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showInkAnnotation="0" codeName="ThisWorkbook" autoCompressPictures="0"/>
  <mc:AlternateContent xmlns:mc="http://schemas.openxmlformats.org/markup-compatibility/2006">
    <mc:Choice Requires="x15">
      <x15ac:absPath xmlns:x15ac="http://schemas.microsoft.com/office/spreadsheetml/2010/11/ac" url="C:\Users\A0505896\Documents\DB-Driver Bias\Galvani\e2e Galvani\Ideal Vacyym Products\"/>
    </mc:Choice>
  </mc:AlternateContent>
  <xr:revisionPtr revIDLastSave="0" documentId="8_{6E03EBF1-8EEB-4F34-8387-B0D64E23E5E1}" xr6:coauthVersionLast="36" xr6:coauthVersionMax="36" xr10:uidLastSave="{00000000-0000-0000-0000-000000000000}"/>
  <workbookProtection workbookAlgorithmName="SHA-512" workbookHashValue="b+MirVK01DCTvsCU9y7fP25bI7uUqi+KdI3ZGE8YxGgNy4EqaaT226YeSnnSUJb6UfvQh2b0yT+mXy8rMeG2jg==" workbookSaltValue="DY8B3Op4I7nQpnoYqGopwg==" workbookSpinCount="100000" lockStructure="1"/>
  <bookViews>
    <workbookView xWindow="0" yWindow="0" windowWidth="25600" windowHeight="983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43" i="25" l="1"/>
  <c r="FD233" i="25"/>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Y216" i="25" l="1"/>
  <c r="EL216" i="25"/>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I130" i="24"/>
  <c r="FI150" i="24"/>
  <c r="FI197" i="24"/>
  <c r="FJ234" i="24"/>
  <c r="FJ255" i="24"/>
  <c r="FJ169" i="24"/>
  <c r="FI170" i="24"/>
  <c r="FI108" i="24"/>
  <c r="FJ228" i="24"/>
  <c r="FJ133" i="24"/>
  <c r="FJ199" i="24"/>
  <c r="FI116" i="24"/>
  <c r="FJ154" i="24"/>
  <c r="FI174" i="24"/>
  <c r="FJ131" i="24"/>
  <c r="FJ291" i="24"/>
  <c r="FI207" i="24"/>
  <c r="FI132" i="24"/>
  <c r="FI204" i="24"/>
  <c r="FJ261" i="24"/>
  <c r="FJ136" i="24"/>
  <c r="FJ270" i="24"/>
  <c r="FJ122" i="24"/>
  <c r="FI175" i="24"/>
  <c r="FJ26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I157" i="24"/>
  <c r="FJ258" i="24"/>
  <c r="FI195" i="24"/>
  <c r="FI120" i="24"/>
  <c r="FI119" i="24"/>
  <c r="FJ143" i="24"/>
  <c r="FI185" i="24"/>
  <c r="CF216" i="24"/>
  <c r="FI192" i="24"/>
  <c r="FI128" i="24"/>
  <c r="FJ286" i="24"/>
  <c r="FJ164" i="24"/>
  <c r="FJ233" i="24"/>
  <c r="FI164"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12" i="24" l="1"/>
  <c r="FJ311" i="24"/>
  <c r="FJ174" i="24"/>
  <c r="FJ188" i="24"/>
  <c r="FJ175" i="24"/>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228" i="24" l="1"/>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S236" i="24"/>
  <c r="T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H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AM112" i="24"/>
  <c r="H112" i="24"/>
  <c r="BO112" i="24"/>
  <c r="BR112" i="24" s="1"/>
  <c r="H315" i="24"/>
  <c r="CE315" i="24"/>
  <c r="AM315" i="24"/>
  <c r="BO315" i="24"/>
  <c r="BR315" i="24" s="1"/>
  <c r="I315" i="24"/>
  <c r="K315" i="24" s="1"/>
  <c r="H79" i="24"/>
  <c r="AM79" i="24"/>
  <c r="K79" i="24"/>
  <c r="I79" i="24"/>
  <c r="M79" i="24" s="1"/>
  <c r="H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K69" i="24"/>
  <c r="H69" i="24"/>
  <c r="AM69" i="24"/>
  <c r="I69" i="24"/>
  <c r="BO69" i="24"/>
  <c r="BR69" i="24" s="1"/>
  <c r="AM31" i="24"/>
  <c r="CF31" i="24"/>
  <c r="CE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H236" i="24"/>
  <c r="CF236" i="24"/>
  <c r="AM236" i="24"/>
  <c r="BO236" i="24"/>
  <c r="BR236" i="24" s="1"/>
  <c r="I303" i="25"/>
  <c r="BN303" i="25"/>
  <c r="BQ303" i="25" s="1"/>
  <c r="AL7" i="25"/>
  <c r="CC7" i="25"/>
  <c r="H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K49" i="24"/>
  <c r="I49" i="24"/>
  <c r="H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AM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C73" i="25"/>
  <c r="AL246" i="25"/>
  <c r="CC246" i="25"/>
  <c r="H246" i="25"/>
  <c r="BN120" i="25"/>
  <c r="BN194" i="25"/>
  <c r="BN132" i="25"/>
  <c r="BN208" i="25"/>
  <c r="H116" i="24"/>
  <c r="CF116" i="24"/>
  <c r="AM116" i="24"/>
  <c r="CE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K7" i="24"/>
  <c r="AM7" i="24"/>
  <c r="H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BK233" i="24" l="1"/>
  <c r="M236" i="24"/>
  <c r="N236" i="24" s="1"/>
  <c r="K236" i="24"/>
  <c r="M233" i="24"/>
  <c r="N233" i="24" s="1"/>
  <c r="AP233" i="24" s="1"/>
  <c r="K294" i="24"/>
  <c r="K233" i="24"/>
  <c r="BK294" i="24"/>
  <c r="M294" i="24"/>
  <c r="N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92" i="24"/>
  <c r="V292" i="24" s="1"/>
  <c r="U271" i="24"/>
  <c r="U287" i="24"/>
  <c r="U306" i="24"/>
  <c r="U226" i="24"/>
  <c r="U257" i="24"/>
  <c r="V257" i="24" s="1"/>
  <c r="U218" i="24"/>
  <c r="U225" i="24"/>
  <c r="V225" i="24" s="1"/>
  <c r="U234" i="24"/>
  <c r="U303" i="24"/>
  <c r="U270" i="24"/>
  <c r="U272" i="24"/>
  <c r="U238" i="24"/>
  <c r="U307" i="24"/>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U83" i="24"/>
  <c r="BI160" i="25"/>
  <c r="N160" i="25"/>
  <c r="BK261" i="24"/>
  <c r="S261" i="24"/>
  <c r="T261" i="24" s="1"/>
  <c r="M261" i="24"/>
  <c r="N261" i="24" s="1"/>
  <c r="AP261" i="24" s="1"/>
  <c r="K261"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N218" i="24"/>
  <c r="N310" i="24"/>
  <c r="P314" i="25"/>
  <c r="O314" i="25"/>
  <c r="AO314" i="25" s="1"/>
  <c r="P47" i="24"/>
  <c r="Q47" i="24"/>
  <c r="R47" i="24" s="1"/>
  <c r="N120" i="24"/>
  <c r="AP120" i="24" s="1"/>
  <c r="U120" i="24"/>
  <c r="P270" i="24"/>
  <c r="Q270" i="24"/>
  <c r="P273" i="25"/>
  <c r="O273" i="25"/>
  <c r="AO273" i="25" s="1"/>
  <c r="T273" i="25"/>
  <c r="BK152" i="24"/>
  <c r="S152" i="24"/>
  <c r="T152" i="24" s="1"/>
  <c r="M152" i="24"/>
  <c r="N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K235" i="24"/>
  <c r="BI27" i="25"/>
  <c r="N27" i="25"/>
  <c r="AP236" i="24"/>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H227" i="25"/>
  <c r="U61" i="24"/>
  <c r="AH259" i="25"/>
  <c r="AH287" i="25"/>
  <c r="BQ90" i="25"/>
  <c r="BI285" i="25"/>
  <c r="BI166" i="25"/>
  <c r="BK48" i="24"/>
  <c r="S48" i="24"/>
  <c r="T48" i="24" s="1"/>
  <c r="M65" i="24"/>
  <c r="N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M112" i="24"/>
  <c r="N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Q233" i="24" l="1"/>
  <c r="P233" i="24"/>
  <c r="AP218" i="24"/>
  <c r="AP112" i="24"/>
  <c r="AP83" i="24"/>
  <c r="AP65" i="24"/>
  <c r="AP49" i="24"/>
  <c r="AP258" i="24"/>
  <c r="AP152" i="24"/>
  <c r="U236" i="24"/>
  <c r="V236" i="24" s="1"/>
  <c r="AP69" i="24"/>
  <c r="AP294" i="24"/>
  <c r="AP278" i="24"/>
  <c r="AP264" i="24"/>
  <c r="U233" i="24"/>
  <c r="V233" i="24" s="1"/>
  <c r="W257" i="24"/>
  <c r="Y257" i="24" s="1"/>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AP301" i="24" s="1"/>
  <c r="U301" i="24"/>
  <c r="U295" i="24"/>
  <c r="U258" i="24"/>
  <c r="V258" i="24" s="1"/>
  <c r="U243" i="24"/>
  <c r="N284" i="24"/>
  <c r="P284" i="24" s="1"/>
  <c r="U284" i="24"/>
  <c r="V284" i="24" s="1"/>
  <c r="U251" i="24"/>
  <c r="V251" i="24" s="1"/>
  <c r="U244" i="24"/>
  <c r="U217" i="24"/>
  <c r="V217" i="24" s="1"/>
  <c r="U240" i="24"/>
  <c r="U256" i="24"/>
  <c r="U265" i="24"/>
  <c r="V265" i="24" s="1"/>
  <c r="N222" i="24"/>
  <c r="Q222" i="24" s="1"/>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AP223" i="24" s="1"/>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F126" i="25"/>
  <c r="CF119" i="25"/>
  <c r="CF123" i="25"/>
  <c r="CF142" i="25"/>
  <c r="CF150" i="25"/>
  <c r="CE141" i="25"/>
  <c r="CE114" i="25"/>
  <c r="CE119" i="25"/>
  <c r="CF133" i="25"/>
  <c r="CE140" i="25"/>
  <c r="CF158" i="25"/>
  <c r="CE167" i="25"/>
  <c r="CE150" i="25"/>
  <c r="CF157" i="25"/>
  <c r="CE128" i="25"/>
  <c r="CE124" i="25"/>
  <c r="CF178" i="25"/>
  <c r="CE146" i="25"/>
  <c r="CE133" i="25"/>
  <c r="CF127" i="25"/>
  <c r="CF140" i="25"/>
  <c r="CE123" i="25"/>
  <c r="CE158" i="25"/>
  <c r="CF188" i="25"/>
  <c r="CE157" i="25"/>
  <c r="CF122" i="25"/>
  <c r="CF136" i="25"/>
  <c r="CE155" i="25"/>
  <c r="CE178" i="25"/>
  <c r="CF131" i="25"/>
  <c r="CE197" i="25"/>
  <c r="CE188" i="25"/>
  <c r="CE139" i="25"/>
  <c r="CF146" i="25"/>
  <c r="CE127" i="25"/>
  <c r="CE134" i="25"/>
  <c r="CE131" i="25"/>
  <c r="CF134" i="25"/>
  <c r="CE144" i="25"/>
  <c r="CF148" i="25"/>
  <c r="CE122" i="25"/>
  <c r="CE143" i="25"/>
  <c r="CF139" i="25"/>
  <c r="CF155" i="25"/>
  <c r="CF124"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W233" i="24" l="1"/>
  <c r="Y233" i="24" s="1"/>
  <c r="W236" i="24"/>
  <c r="Y236" i="24" s="1"/>
  <c r="AO190" i="25"/>
  <c r="Q300" i="24"/>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58" i="25"/>
  <c r="CE265" i="25"/>
  <c r="CE241" i="25"/>
  <c r="CE222" i="25"/>
  <c r="CE217" i="25"/>
  <c r="CE278" i="25"/>
  <c r="CE248" i="25"/>
  <c r="CE261" i="25"/>
  <c r="CE293" i="25"/>
  <c r="CE304" i="25"/>
  <c r="CE271" i="25"/>
  <c r="CE253" i="25"/>
  <c r="CE301" i="25"/>
  <c r="CE244" i="25"/>
  <c r="CE262" i="25"/>
  <c r="CE255" i="25"/>
  <c r="CE256" i="25"/>
  <c r="CE225" i="25"/>
  <c r="CE254" i="25"/>
  <c r="CE276" i="25"/>
  <c r="CE290" i="25"/>
  <c r="CE298" i="25"/>
  <c r="CE275" i="25"/>
  <c r="CE282" i="25"/>
  <c r="CE224" i="25"/>
  <c r="CE249" i="25"/>
  <c r="CE240" i="25"/>
  <c r="CE277" i="25"/>
  <c r="CE238" i="25"/>
  <c r="CE266" i="25"/>
  <c r="CE226" i="25"/>
  <c r="CE250" i="25"/>
  <c r="CE234" i="25"/>
  <c r="CE285" i="25"/>
  <c r="CE264" i="25"/>
  <c r="CE297" i="25"/>
  <c r="CE273" i="25"/>
  <c r="CE259" i="25"/>
  <c r="CE263" i="25"/>
  <c r="CE291" i="25"/>
  <c r="CE227" i="25"/>
  <c r="CE230" i="25"/>
  <c r="CE229" i="25"/>
  <c r="CE247" i="25"/>
  <c r="CE251" i="25"/>
  <c r="CE232" i="25"/>
  <c r="CE237" i="25"/>
  <c r="CE288" i="25"/>
  <c r="CE233" i="25"/>
  <c r="CE308" i="25"/>
  <c r="CE220" i="25"/>
  <c r="CE281" i="25"/>
  <c r="CE246" i="25"/>
  <c r="CE23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CE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CE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BI294" i="24" l="1"/>
  <c r="CE294" i="24"/>
  <c r="AN222" i="24"/>
  <c r="AX264" i="24"/>
  <c r="BI264" i="24"/>
  <c r="CE119" i="24"/>
  <c r="BI119" i="24"/>
  <c r="BL119" i="24" s="1"/>
  <c r="CE233" i="24"/>
  <c r="BI233" i="24"/>
  <c r="BL233" i="24" s="1"/>
  <c r="AX142" i="24"/>
  <c r="BI142" i="24"/>
  <c r="BL142" i="24" s="1"/>
  <c r="BU236" i="24"/>
  <c r="BI236" i="24"/>
  <c r="BL236" i="24" s="1"/>
  <c r="CE132" i="24"/>
  <c r="BI132" i="24"/>
  <c r="BL132" i="24" s="1"/>
  <c r="CE162" i="24"/>
  <c r="BI162" i="24"/>
  <c r="BL162" i="24" s="1"/>
  <c r="BU292" i="24"/>
  <c r="BI292" i="24"/>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CE261" i="24" s="1"/>
  <c r="AK261" i="24"/>
  <c r="BA220" i="24"/>
  <c r="AX31" i="25"/>
  <c r="AW31" i="25"/>
  <c r="BA154" i="24"/>
  <c r="AS202" i="25"/>
  <c r="AS185" i="25"/>
  <c r="AN48" i="24"/>
  <c r="CE48" i="24" s="1"/>
  <c r="AK48" i="24"/>
  <c r="AS269" i="25"/>
  <c r="AT232" i="24"/>
  <c r="BA165" i="24"/>
  <c r="AS120" i="25"/>
  <c r="AJ59" i="25"/>
  <c r="AM59" i="25"/>
  <c r="BG59" i="25" s="1"/>
  <c r="AS58" i="25"/>
  <c r="AX131" i="25"/>
  <c r="AW131" i="25"/>
  <c r="AN235" i="24"/>
  <c r="AK235" i="24"/>
  <c r="AF146" i="25"/>
  <c r="AE146" i="25"/>
  <c r="AT248" i="24"/>
  <c r="AJ257" i="25"/>
  <c r="AM257" i="25"/>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CE83" i="24" s="1"/>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AX29" i="25"/>
  <c r="AW29" i="25"/>
  <c r="AN171" i="24"/>
  <c r="BI171" i="24" s="1"/>
  <c r="AK171" i="24"/>
  <c r="AW198" i="25"/>
  <c r="AX198" i="25"/>
  <c r="AS20" i="25"/>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CE112" i="24" s="1"/>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CE298" i="24" s="1"/>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CE152" i="24" s="1"/>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BG261" i="25" s="1"/>
  <c r="AK222" i="24"/>
  <c r="BI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CE49" i="24" s="1"/>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CE84" i="24" s="1"/>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CE65" i="24" s="1"/>
  <c r="AK65" i="24"/>
  <c r="AS78" i="25"/>
  <c r="AK14" i="24"/>
  <c r="AN14" i="24"/>
  <c r="BI14" i="24" s="1"/>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CE69" i="24" s="1"/>
  <c r="AK69" i="24"/>
  <c r="AF309" i="25"/>
  <c r="AE309" i="25"/>
  <c r="AW173" i="25"/>
  <c r="AX173" i="25"/>
  <c r="AF23" i="25"/>
  <c r="AE23" i="25"/>
  <c r="AM201" i="25"/>
  <c r="BG201" i="25" s="1"/>
  <c r="AJ201" i="25"/>
  <c r="AX21" i="25"/>
  <c r="AW21" i="25"/>
  <c r="BA143" i="24"/>
  <c r="BA169" i="24"/>
  <c r="AJ71" i="25"/>
  <c r="AM71" i="25"/>
  <c r="AJ87" i="25"/>
  <c r="AM87" i="25"/>
  <c r="BG87" i="25" s="1"/>
  <c r="AK305" i="24"/>
  <c r="AN305" i="24"/>
  <c r="CE305" i="24" s="1"/>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BL264" i="24"/>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G296" i="25" l="1"/>
  <c r="CE296" i="25"/>
  <c r="AM189" i="25"/>
  <c r="BG257" i="25"/>
  <c r="BJ257" i="25" s="1"/>
  <c r="CE257" i="25"/>
  <c r="AM155" i="25"/>
  <c r="BG155" i="25" s="1"/>
  <c r="BJ155" i="25" s="1"/>
  <c r="BI174" i="24"/>
  <c r="BL174" i="24" s="1"/>
  <c r="CE174" i="24"/>
  <c r="BI188" i="24"/>
  <c r="BL188" i="24" s="1"/>
  <c r="CE188" i="24"/>
  <c r="BI172" i="24"/>
  <c r="BL172" i="24" s="1"/>
  <c r="CE172" i="24"/>
  <c r="BI175" i="24"/>
  <c r="BL175" i="24" s="1"/>
  <c r="CE175" i="24"/>
  <c r="BG267" i="25"/>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BL250" i="24" s="1"/>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BG189" i="25"/>
  <c r="BJ189" i="25" s="1"/>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BL111" i="24" s="1"/>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L17" i="24" s="1"/>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BU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AS249" i="24"/>
  <c r="AU249" i="24" s="1"/>
  <c r="BB249" i="24" s="1"/>
  <c r="BJ249" i="24"/>
  <c r="AQ249" i="24"/>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J17" i="24"/>
  <c r="AQ17" i="24"/>
  <c r="AX135" i="24"/>
  <c r="AJ125" i="25"/>
  <c r="AM125" i="25"/>
  <c r="BU121" i="24"/>
  <c r="AS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H257" i="25"/>
  <c r="AP257" i="25"/>
  <c r="BW257" i="25"/>
  <c r="BU257" i="25"/>
  <c r="BF257" i="25"/>
  <c r="BA232" i="24"/>
  <c r="AX202" i="25"/>
  <c r="AW202" i="25"/>
  <c r="AS128" i="24"/>
  <c r="AU128" i="24" s="1"/>
  <c r="BB128" i="24" s="1"/>
  <c r="AQ128" i="24"/>
  <c r="BJ128" i="24"/>
  <c r="BU280" i="25" l="1"/>
  <c r="BF280" i="25"/>
  <c r="BH280" i="25"/>
  <c r="BW155" i="25"/>
  <c r="BF155" i="25"/>
  <c r="BH155" i="25"/>
  <c r="AP155" i="25"/>
  <c r="AR155" i="25"/>
  <c r="AU155" i="25" s="1"/>
  <c r="BG7" i="25"/>
  <c r="CE7" i="25"/>
  <c r="BG83" i="25"/>
  <c r="CE83" i="25"/>
  <c r="BG289" i="25"/>
  <c r="CE289" i="25"/>
  <c r="BG315" i="25"/>
  <c r="BJ315" i="25" s="1"/>
  <c r="CE315" i="25"/>
  <c r="BG118" i="25"/>
  <c r="BJ118" i="25" s="1"/>
  <c r="CE118" i="25"/>
  <c r="BG236" i="25"/>
  <c r="CE236" i="25"/>
  <c r="BG149" i="25"/>
  <c r="CE149" i="25"/>
  <c r="BG48" i="25"/>
  <c r="BJ48" i="25" s="1"/>
  <c r="CE48" i="25"/>
  <c r="BG68" i="25"/>
  <c r="BJ68" i="25" s="1"/>
  <c r="CE68" i="25"/>
  <c r="BG73" i="25"/>
  <c r="BJ73" i="25" s="1"/>
  <c r="CE73" i="25"/>
  <c r="BG299" i="25"/>
  <c r="CE299" i="25"/>
  <c r="BG312" i="25"/>
  <c r="CE312" i="25"/>
  <c r="AP280" i="25"/>
  <c r="BG57" i="25"/>
  <c r="BJ57" i="25" s="1"/>
  <c r="CE57" i="25"/>
  <c r="BG112" i="25"/>
  <c r="BJ112" i="25" s="1"/>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BJ175" i="25" s="1"/>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BJ269" i="25" s="1"/>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J227" i="25"/>
  <c r="BH227" i="25"/>
  <c r="AP227" i="25"/>
  <c r="BW227" i="25"/>
  <c r="BF227" i="25"/>
  <c r="BU227" i="25"/>
  <c r="AR235" i="25"/>
  <c r="BH235" i="25"/>
  <c r="AP235" i="25"/>
  <c r="BF235" i="25"/>
  <c r="BW235" i="25"/>
  <c r="BU235" i="25"/>
  <c r="AT95" i="25"/>
  <c r="AY95" i="25" s="1"/>
  <c r="AU95" i="25"/>
  <c r="AR65" i="25"/>
  <c r="BH65" i="25"/>
  <c r="AP65" i="25"/>
  <c r="BW65" i="25"/>
  <c r="BU65" i="25"/>
  <c r="BF65" i="25"/>
  <c r="AR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H68" i="25"/>
  <c r="AP68" i="25"/>
  <c r="BW68" i="25"/>
  <c r="BU68" i="25"/>
  <c r="BF68" i="25"/>
  <c r="AU310" i="24"/>
  <c r="BB310" i="24" s="1"/>
  <c r="AW310" i="24"/>
  <c r="AR228" i="25"/>
  <c r="BH228" i="25"/>
  <c r="AP228" i="25"/>
  <c r="BU228" i="25"/>
  <c r="BW228" i="25"/>
  <c r="BF228" i="25"/>
  <c r="AR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H48" i="25"/>
  <c r="AP48" i="25"/>
  <c r="BF48" i="25"/>
  <c r="BU48" i="25"/>
  <c r="BW48" i="25"/>
  <c r="AU192" i="24"/>
  <c r="BB192" i="24" s="1"/>
  <c r="AW192" i="24"/>
  <c r="AT229" i="25"/>
  <c r="AU229" i="25"/>
  <c r="AU156" i="24"/>
  <c r="BB156" i="24" s="1"/>
  <c r="AW156" i="24"/>
  <c r="AR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BC11" i="25" s="1"/>
  <c r="BT11" i="25" s="1"/>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B11" i="25"/>
  <c r="BS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BC97" i="25" l="1"/>
  <c r="BT97" i="25" s="1"/>
  <c r="BA97" i="25"/>
  <c r="BA11" i="25"/>
  <c r="AO442" i="29"/>
  <c r="AO110" i="29"/>
  <c r="U110" i="29" s="1"/>
  <c r="AO231" i="29"/>
  <c r="U231" i="29" s="1"/>
  <c r="AO323" i="29"/>
  <c r="U323" i="29" s="1"/>
  <c r="AO541" i="29"/>
  <c r="V541" i="29" s="1"/>
  <c r="AO544" i="29"/>
  <c r="U544" i="29" s="1"/>
  <c r="AO352" i="29"/>
  <c r="U352" i="29" s="1"/>
  <c r="AO508" i="29"/>
  <c r="U508" i="29" s="1"/>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7" i="24" l="1"/>
  <c r="CF7" i="24"/>
  <c r="V110" i="29"/>
  <c r="CB152" i="24"/>
  <c r="CF152" i="24"/>
  <c r="V231" i="29"/>
  <c r="X231" i="29" s="1"/>
  <c r="Y231" i="29" s="1"/>
  <c r="V544" i="29"/>
  <c r="X544" i="29" s="1"/>
  <c r="Y544" i="29" s="1"/>
  <c r="U541" i="29"/>
  <c r="AG541" i="29" s="1"/>
  <c r="V323" i="29"/>
  <c r="X323" i="29" s="1"/>
  <c r="Y323" i="29" s="1"/>
  <c r="V352" i="29"/>
  <c r="AH352" i="29" s="1"/>
  <c r="CB294" i="24"/>
  <c r="CF294" i="24"/>
  <c r="V521" i="29"/>
  <c r="X521" i="29" s="1"/>
  <c r="Y521" i="29" s="1"/>
  <c r="CB224" i="24"/>
  <c r="CF224" i="24"/>
  <c r="AP212" i="25"/>
  <c r="BG212" i="25"/>
  <c r="BJ212" i="25" s="1"/>
  <c r="V63" i="29"/>
  <c r="AH63" i="29" s="1"/>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CB223" i="24" s="1"/>
  <c r="BM223" i="24"/>
  <c r="BN223" i="24" s="1"/>
  <c r="BN65" i="24"/>
  <c r="BY65" i="24"/>
  <c r="CA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BE187" i="25"/>
  <c r="BR187" i="25"/>
  <c r="BX187" i="25" s="1"/>
  <c r="BY143" i="24"/>
  <c r="CA143" i="24" s="1"/>
  <c r="CB143" i="24" s="1"/>
  <c r="BM143" i="24"/>
  <c r="BN143" i="24" s="1"/>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AG345" i="29"/>
  <c r="W345" i="29"/>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AH231" i="29" l="1"/>
  <c r="CB218" i="24"/>
  <c r="CF218" i="24"/>
  <c r="CB112" i="24"/>
  <c r="CF112" i="24"/>
  <c r="CB83" i="24"/>
  <c r="CF83" i="24"/>
  <c r="W541" i="29"/>
  <c r="AA541" i="29" s="1"/>
  <c r="CB65" i="24"/>
  <c r="CF65" i="24"/>
  <c r="X352" i="29"/>
  <c r="Y352" i="29" s="1"/>
  <c r="CB49" i="24"/>
  <c r="CF49" i="24"/>
  <c r="CB48" i="24"/>
  <c r="CF48" i="24"/>
  <c r="CB258" i="24"/>
  <c r="CF258" i="24"/>
  <c r="AH521" i="29"/>
  <c r="AH323" i="29"/>
  <c r="CB174" i="24"/>
  <c r="CF174" i="24"/>
  <c r="CB69" i="24"/>
  <c r="CF69" i="24"/>
  <c r="CB280" i="24"/>
  <c r="CF280" i="24"/>
  <c r="X63" i="29"/>
  <c r="Y63" i="29" s="1"/>
  <c r="CB188" i="24"/>
  <c r="CF188" i="24"/>
  <c r="CB172" i="24"/>
  <c r="CF172" i="24"/>
  <c r="CB278" i="24"/>
  <c r="CF278"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A530" i="29"/>
  <c r="BY7" i="25"/>
  <c r="CA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AK241" i="29" l="1"/>
  <c r="AJ540" i="29"/>
  <c r="AK540" i="29" s="1"/>
  <c r="CB7" i="25"/>
  <c r="CF7" i="25"/>
  <c r="CB83" i="25"/>
  <c r="CF83" i="25"/>
  <c r="AK45" i="29"/>
  <c r="CB118" i="25"/>
  <c r="CF118" i="25"/>
  <c r="CB48" i="25"/>
  <c r="CF48" i="25"/>
  <c r="CB149" i="25"/>
  <c r="CF149" i="25"/>
  <c r="AK269" i="29"/>
  <c r="CB68" i="25"/>
  <c r="CF68" i="25"/>
  <c r="AK288" i="29"/>
  <c r="CB73" i="25"/>
  <c r="CF73" i="25"/>
  <c r="AA584" i="29"/>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<sst xmlns="http://schemas.openxmlformats.org/spreadsheetml/2006/main" count="2461" uniqueCount="960">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</sst>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82"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86.227382334484659</c:v>
                </c:pt>
                <c:pt idx="1">
                  <c:v>85.439860579611718</c:v>
                </c:pt>
                <c:pt idx="2">
                  <c:v>84.650325606392556</c:v>
                </c:pt>
                <c:pt idx="3">
                  <c:v>83.859090785312148</c:v>
                </c:pt>
                <c:pt idx="4">
                  <c:v>83.066937638399224</c:v>
                </c:pt>
                <c:pt idx="5">
                  <c:v>82.272767866508786</c:v>
                </c:pt>
                <c:pt idx="6">
                  <c:v>81.4778928314132</c:v>
                </c:pt>
                <c:pt idx="7">
                  <c:v>80.681943498941479</c:v>
                </c:pt>
                <c:pt idx="8">
                  <c:v>79.885629579009532</c:v>
                </c:pt>
                <c:pt idx="9">
                  <c:v>79.088456493691424</c:v>
                </c:pt>
                <c:pt idx="10">
                  <c:v>78.290972994685589</c:v>
                </c:pt>
                <c:pt idx="11">
                  <c:v>77.493141368863149</c:v>
                </c:pt>
                <c:pt idx="12">
                  <c:v>76.69460254743862</c:v>
                </c:pt>
                <c:pt idx="13">
                  <c:v>75.896176540718358</c:v>
                </c:pt>
                <c:pt idx="14">
                  <c:v>75.097270265099553</c:v>
                </c:pt>
                <c:pt idx="15">
                  <c:v>74.298227801668986</c:v>
                </c:pt>
                <c:pt idx="16">
                  <c:v>73.499015475253103</c:v>
                </c:pt>
                <c:pt idx="17">
                  <c:v>72.699772443020194</c:v>
                </c:pt>
                <c:pt idx="18">
                  <c:v>71.900287599491676</c:v>
                </c:pt>
                <c:pt idx="19">
                  <c:v>71.100792874445645</c:v>
                </c:pt>
                <c:pt idx="20">
                  <c:v>70.301142634808485</c:v>
                </c:pt>
                <c:pt idx="21">
                  <c:v>69.501510952046132</c:v>
                </c:pt>
                <c:pt idx="22">
                  <c:v>68.701735697838856</c:v>
                </c:pt>
                <c:pt idx="23">
                  <c:v>67.90202161154582</c:v>
                </c:pt>
                <c:pt idx="24">
                  <c:v>67.10217055134035</c:v>
                </c:pt>
                <c:pt idx="25">
                  <c:v>66.302310542711325</c:v>
                </c:pt>
                <c:pt idx="26">
                  <c:v>65.502258527307816</c:v>
                </c:pt>
                <c:pt idx="27">
                  <c:v>64.702271793632192</c:v>
                </c:pt>
                <c:pt idx="28">
                  <c:v>63.90232129234051</c:v>
                </c:pt>
                <c:pt idx="29">
                  <c:v>63.10290564538483</c:v>
                </c:pt>
                <c:pt idx="30">
                  <c:v>62.30267453243485</c:v>
                </c:pt>
                <c:pt idx="31">
                  <c:v>61.502747498487849</c:v>
                </c:pt>
                <c:pt idx="32">
                  <c:v>60.702583234349646</c:v>
                </c:pt>
                <c:pt idx="33">
                  <c:v>59.902753209617401</c:v>
                </c:pt>
                <c:pt idx="34">
                  <c:v>59.102641952186339</c:v>
                </c:pt>
                <c:pt idx="35">
                  <c:v>58.302701124557458</c:v>
                </c:pt>
                <c:pt idx="36">
                  <c:v>57.502809594970159</c:v>
                </c:pt>
                <c:pt idx="37">
                  <c:v>56.70253782192372</c:v>
                </c:pt>
                <c:pt idx="38">
                  <c:v>55.902648881933565</c:v>
                </c:pt>
                <c:pt idx="39">
                  <c:v>55.10249890015406</c:v>
                </c:pt>
                <c:pt idx="40">
                  <c:v>54.302390367445497</c:v>
                </c:pt>
                <c:pt idx="41">
                  <c:v>53.502253346963606</c:v>
                </c:pt>
                <c:pt idx="42">
                  <c:v>52.702195726956987</c:v>
                </c:pt>
                <c:pt idx="43">
                  <c:v>51.901978509125385</c:v>
                </c:pt>
                <c:pt idx="44">
                  <c:v>51.101808954551487</c:v>
                </c:pt>
                <c:pt idx="45">
                  <c:v>50.301518365192791</c:v>
                </c:pt>
                <c:pt idx="46">
                  <c:v>49.50125918749098</c:v>
                </c:pt>
                <c:pt idx="47">
                  <c:v>48.700847836275145</c:v>
                </c:pt>
                <c:pt idx="48">
                  <c:v>47.900467604312666</c:v>
                </c:pt>
                <c:pt idx="49">
                  <c:v>47.099897557871387</c:v>
                </c:pt>
                <c:pt idx="50">
                  <c:v>46.299241424948001</c:v>
                </c:pt>
                <c:pt idx="51">
                  <c:v>45.4982889294496</c:v>
                </c:pt>
                <c:pt idx="52">
                  <c:v>44.697267113468357</c:v>
                </c:pt>
                <c:pt idx="53">
                  <c:v>43.8961118828324</c:v>
                </c:pt>
                <c:pt idx="54">
                  <c:v>43.095282122298393</c:v>
                </c:pt>
                <c:pt idx="55">
                  <c:v>42.293377251139646</c:v>
                </c:pt>
                <c:pt idx="56">
                  <c:v>41.491462541250073</c:v>
                </c:pt>
                <c:pt idx="57">
                  <c:v>40.688928521362755</c:v>
                </c:pt>
                <c:pt idx="58">
                  <c:v>39.88626899455528</c:v>
                </c:pt>
                <c:pt idx="59">
                  <c:v>39.082771732671333</c:v>
                </c:pt>
                <c:pt idx="60">
                  <c:v>38.278777439990108</c:v>
                </c:pt>
                <c:pt idx="61">
                  <c:v>37.474030256303543</c:v>
                </c:pt>
                <c:pt idx="62">
                  <c:v>36.667937263541049</c:v>
                </c:pt>
                <c:pt idx="63">
                  <c:v>35.861076360513053</c:v>
                </c:pt>
                <c:pt idx="64">
                  <c:v>35.052571438553606</c:v>
                </c:pt>
                <c:pt idx="65">
                  <c:v>34.24245825727791</c:v>
                </c:pt>
                <c:pt idx="66">
                  <c:v>33.43034704518319</c:v>
                </c:pt>
                <c:pt idx="67">
                  <c:v>32.615970834250263</c:v>
                </c:pt>
                <c:pt idx="68">
                  <c:v>31.798642603338799</c:v>
                </c:pt>
                <c:pt idx="69">
                  <c:v>30.978053872852321</c:v>
                </c:pt>
                <c:pt idx="70">
                  <c:v>30.153425293522901</c:v>
                </c:pt>
                <c:pt idx="71">
                  <c:v>29.324211375373885</c:v>
                </c:pt>
                <c:pt idx="72">
                  <c:v>28.489413617236295</c:v>
                </c:pt>
                <c:pt idx="73">
                  <c:v>27.648302487405076</c:v>
                </c:pt>
                <c:pt idx="74">
                  <c:v>26.799608051056062</c:v>
                </c:pt>
                <c:pt idx="75">
                  <c:v>25.942285739062243</c:v>
                </c:pt>
                <c:pt idx="76">
                  <c:v>25.074847338651544</c:v>
                </c:pt>
                <c:pt idx="77">
                  <c:v>24.196189013261797</c:v>
                </c:pt>
                <c:pt idx="78">
                  <c:v>23.304840493598867</c:v>
                </c:pt>
                <c:pt idx="79">
                  <c:v>22.399919703054106</c:v>
                </c:pt>
                <c:pt idx="80">
                  <c:v>21.478490444412799</c:v>
                </c:pt>
                <c:pt idx="81">
                  <c:v>20.540564037416019</c:v>
                </c:pt>
                <c:pt idx="82">
                  <c:v>19.584482793360905</c:v>
                </c:pt>
                <c:pt idx="83">
                  <c:v>18.610259295910222</c:v>
                </c:pt>
                <c:pt idx="84">
                  <c:v>17.616938378487962</c:v>
                </c:pt>
                <c:pt idx="85">
                  <c:v>16.605441358713652</c:v>
                </c:pt>
                <c:pt idx="86">
                  <c:v>15.576639414001026</c:v>
                </c:pt>
                <c:pt idx="87">
                  <c:v>14.531680582231727</c:v>
                </c:pt>
                <c:pt idx="88">
                  <c:v>13.473953252712585</c:v>
                </c:pt>
                <c:pt idx="89">
                  <c:v>12.405611685890793</c:v>
                </c:pt>
                <c:pt idx="90">
                  <c:v>11.330536445016667</c:v>
                </c:pt>
                <c:pt idx="91">
                  <c:v>10.252410546192849</c:v>
                </c:pt>
                <c:pt idx="92">
                  <c:v>9.1752339333827564</c:v>
                </c:pt>
                <c:pt idx="93">
                  <c:v>8.1023884089849911</c:v>
                </c:pt>
                <c:pt idx="94">
                  <c:v>7.8353909903693459</c:v>
                </c:pt>
                <c:pt idx="95">
                  <c:v>7.701266641460113</c:v>
                </c:pt>
                <c:pt idx="96">
                  <c:v>7.5688174237789285</c:v>
                </c:pt>
                <c:pt idx="97">
                  <c:v>7.4349960463275142</c:v>
                </c:pt>
                <c:pt idx="98">
                  <c:v>7.3028569483572774</c:v>
                </c:pt>
                <c:pt idx="99">
                  <c:v>7.1693264715481604</c:v>
                </c:pt>
                <c:pt idx="100">
                  <c:v>7.0374853768782888</c:v>
                </c:pt>
                <c:pt idx="101">
                  <c:v>6.9043360330358201</c:v>
                </c:pt>
                <c:pt idx="102">
                  <c:v>6.7728805064027924</c:v>
                </c:pt>
                <c:pt idx="103">
                  <c:v>6.6400032531590378</c:v>
                </c:pt>
                <c:pt idx="104">
                  <c:v>6.5088265790235047</c:v>
                </c:pt>
                <c:pt idx="105">
                  <c:v>6.3763128570823397</c:v>
                </c:pt>
                <c:pt idx="106">
                  <c:v>6.2455036901574008</c:v>
                </c:pt>
                <c:pt idx="107">
                  <c:v>6.1134377946815555</c:v>
                </c:pt>
                <c:pt idx="108">
                  <c:v>5.9830777518061407</c:v>
                </c:pt>
                <c:pt idx="109">
                  <c:v>5.8514479858268507</c:v>
                </c:pt>
                <c:pt idx="110">
                  <c:v>5.7215251061043997</c:v>
                </c:pt>
                <c:pt idx="111">
                  <c:v>5.5902354651914941</c:v>
                </c:pt>
                <c:pt idx="112">
                  <c:v>5.4606556428818207</c:v>
                </c:pt>
                <c:pt idx="113">
                  <c:v>5.3297901632933931</c:v>
                </c:pt>
                <c:pt idx="114">
                  <c:v>5.2006346601656066</c:v>
                </c:pt>
                <c:pt idx="115">
                  <c:v>5.0701878182937925</c:v>
                </c:pt>
                <c:pt idx="116">
                  <c:v>4.9414506188943248</c:v>
                </c:pt>
                <c:pt idx="117">
                  <c:v>4.8114184257078874</c:v>
                </c:pt>
                <c:pt idx="118">
                  <c:v>4.6830949887666611</c:v>
                </c:pt>
                <c:pt idx="119">
                  <c:v>4.5535527668622473</c:v>
                </c:pt>
                <c:pt idx="120">
                  <c:v>4.4257157659992226</c:v>
                </c:pt>
                <c:pt idx="121">
                  <c:v>4.2966557051565415</c:v>
                </c:pt>
                <c:pt idx="122">
                  <c:v>4.169296830314142</c:v>
                </c:pt>
                <c:pt idx="123">
                  <c:v>4.0406382296965413</c:v>
                </c:pt>
                <c:pt idx="124">
                  <c:v>3.9136781823000106</c:v>
                </c:pt>
                <c:pt idx="125">
                  <c:v>3.7854931281610926</c:v>
                </c:pt>
                <c:pt idx="126">
                  <c:v>3.6590013808350905</c:v>
                </c:pt>
                <c:pt idx="127">
                  <c:v>3.5312846304194241</c:v>
                </c:pt>
                <c:pt idx="128">
                  <c:v>3.4052553422357699</c:v>
                </c:pt>
                <c:pt idx="129">
                  <c:v>3.2780021822089163</c:v>
                </c:pt>
                <c:pt idx="130">
                  <c:v>3.1524300219053396</c:v>
                </c:pt>
                <c:pt idx="131">
                  <c:v>3.0256361064889092</c:v>
                </c:pt>
                <c:pt idx="132">
                  <c:v>2.9628694884112603</c:v>
                </c:pt>
                <c:pt idx="133">
                  <c:v>2.9005160969288681</c:v>
                </c:pt>
                <c:pt idx="134">
                  <c:v>2.8371031613660422</c:v>
                </c:pt>
                <c:pt idx="135">
                  <c:v>2.7741125119345007</c:v>
                </c:pt>
                <c:pt idx="136">
                  <c:v>2.7115388086501606</c:v>
                </c:pt>
                <c:pt idx="137">
                  <c:v>2.649376799183909</c:v>
                </c:pt>
                <c:pt idx="138">
                  <c:v>2.5862239116328634</c:v>
                </c:pt>
                <c:pt idx="139">
                  <c:v>2.5234907858015774</c:v>
                </c:pt>
                <c:pt idx="140">
                  <c:v>2.4611720770594907</c:v>
                </c:pt>
                <c:pt idx="141">
                  <c:v>2.3992625294659771</c:v>
                </c:pt>
                <c:pt idx="142">
                  <c:v>2.3363033287422388</c:v>
                </c:pt>
                <c:pt idx="143">
                  <c:v>2.2737620548640622</c:v>
                </c:pt>
                <c:pt idx="144">
                  <c:v>2.2116333467011753</c:v>
                </c:pt>
                <c:pt idx="145">
                  <c:v>2.1499119331108769</c:v>
                </c:pt>
                <c:pt idx="146">
                  <c:v>2.0871769477442923</c:v>
                </c:pt>
                <c:pt idx="147">
                  <c:v>2.0248574614236099</c:v>
                </c:pt>
                <c:pt idx="148">
                  <c:v>1.962948109175958</c:v>
                </c:pt>
                <c:pt idx="149">
                  <c:v>1.9014436170307689</c:v>
                </c:pt>
                <c:pt idx="150">
                  <c:v>1.8389306585926701</c:v>
                </c:pt>
                <c:pt idx="151">
                  <c:v>1.7768306134414411</c:v>
                </c:pt>
                <c:pt idx="152">
                  <c:v>1.7151381172499149</c:v>
                </c:pt>
                <c:pt idx="153">
                  <c:v>1.6538478976002589</c:v>
                </c:pt>
                <c:pt idx="154">
                  <c:v>1.5915260604826942</c:v>
                </c:pt>
                <c:pt idx="155">
                  <c:v>1.5296147721829616</c:v>
                </c:pt>
                <c:pt idx="156">
                  <c:v>1.4681086661767635</c:v>
                </c:pt>
                <c:pt idx="157">
                  <c:v>1.4070024688129403</c:v>
                </c:pt>
                <c:pt idx="158">
                  <c:v>1.3448714604016403</c:v>
                </c:pt>
                <c:pt idx="159">
                  <c:v>1.2831484559033079</c:v>
                </c:pt>
                <c:pt idx="160">
                  <c:v>1.2218280915886146</c:v>
                </c:pt>
                <c:pt idx="161">
                  <c:v>1.1609050974408377</c:v>
                </c:pt>
                <c:pt idx="162">
                  <c:v>1.0989914050164464</c:v>
                </c:pt>
                <c:pt idx="163">
                  <c:v>1.0374826447510013</c:v>
                </c:pt>
                <c:pt idx="164">
                  <c:v>0.9763734676373319</c:v>
                </c:pt>
                <c:pt idx="165">
                  <c:v>0.91565861892897393</c:v>
                </c:pt>
                <c:pt idx="166">
                  <c:v>0.85390634341594329</c:v>
                </c:pt>
                <c:pt idx="167">
                  <c:v>0.79255647918614169</c:v>
                </c:pt>
                <c:pt idx="168">
                  <c:v>0.73160368265902442</c:v>
                </c:pt>
                <c:pt idx="169">
                  <c:v>0.67104270526497756</c:v>
                </c:pt>
                <c:pt idx="170">
                  <c:v>0.60958129734463362</c:v>
                </c:pt>
                <c:pt idx="171">
                  <c:v>0.54851792971847635</c:v>
                </c:pt>
                <c:pt idx="172">
                  <c:v>0.4878473026557355</c:v>
                </c:pt>
                <c:pt idx="173">
                  <c:v>0.42756421125639404</c:v>
                </c:pt>
                <c:pt idx="174">
                  <c:v>0.36615834053177654</c:v>
                </c:pt>
                <c:pt idx="175">
                  <c:v>0.30514900914333931</c:v>
                </c:pt>
                <c:pt idx="176">
                  <c:v>0.24453090566264596</c:v>
                </c:pt>
                <c:pt idx="177">
                  <c:v>0.18429881461508257</c:v>
                </c:pt>
                <c:pt idx="178">
                  <c:v>0.12298061885356912</c:v>
                </c:pt>
                <c:pt idx="179">
                  <c:v>6.2056868103029406E-2</c:v>
                </c:pt>
                <c:pt idx="180">
                  <c:v>1.5222524457911986E-3</c:v>
                </c:pt>
                <c:pt idx="181">
                  <c:v>-5.8628441286143515E-2</c:v>
                </c:pt>
                <c:pt idx="182">
                  <c:v>-0.11959194033203596</c:v>
                </c:pt>
                <c:pt idx="183">
                  <c:v>-0.18016666472129542</c:v>
                </c:pt>
                <c:pt idx="184">
                  <c:v>-0.24035784922956324</c:v>
                </c:pt>
                <c:pt idx="185">
                  <c:v>-0.30017063289630158</c:v>
                </c:pt>
                <c:pt idx="186">
                  <c:v>-0.36123651399667894</c:v>
                </c:pt>
                <c:pt idx="187">
                  <c:v>-0.42191363178389307</c:v>
                </c:pt>
                <c:pt idx="188">
                  <c:v>-0.48220725839724787</c:v>
                </c:pt>
                <c:pt idx="189">
                  <c:v>-0.54212256853479401</c:v>
                </c:pt>
                <c:pt idx="190">
                  <c:v>-0.60279734414614183</c:v>
                </c:pt>
                <c:pt idx="191">
                  <c:v>-0.66308977718721029</c:v>
                </c:pt>
                <c:pt idx="192">
                  <c:v>-0.7230050459091184</c:v>
                </c:pt>
                <c:pt idx="193">
                  <c:v>-0.7825482326584654</c:v>
                </c:pt>
                <c:pt idx="194">
                  <c:v>-0.84327086565605047</c:v>
                </c:pt>
                <c:pt idx="195">
                  <c:v>-0.90361219527456615</c:v>
                </c:pt>
                <c:pt idx="196">
                  <c:v>-0.96357741331195623</c:v>
                </c:pt>
                <c:pt idx="197">
                  <c:v>-1.0231716145771224</c:v>
                </c:pt>
                <c:pt idx="198">
                  <c:v>-1.0836927085913424</c:v>
                </c:pt>
                <c:pt idx="199">
                  <c:v>-1.1438368159493888</c:v>
                </c:pt>
                <c:pt idx="200">
                  <c:v>-1.2036090738789966</c:v>
                </c:pt>
                <c:pt idx="201">
                  <c:v>-1.2630145232444763</c:v>
                </c:pt>
                <c:pt idx="202">
                  <c:v>-1.3233194062912566</c:v>
                </c:pt>
                <c:pt idx="203">
                  <c:v>-1.3832519251635422</c:v>
                </c:pt>
                <c:pt idx="204">
                  <c:v>-1.4428171546169108</c:v>
                </c:pt>
                <c:pt idx="205">
                  <c:v>-1.5020200738976477</c:v>
                </c:pt>
                <c:pt idx="206">
                  <c:v>-1.5623014029322118</c:v>
                </c:pt>
                <c:pt idx="207">
                  <c:v>-1.6222127513350522</c:v>
                </c:pt>
                <c:pt idx="208">
                  <c:v>-1.681759175464455</c:v>
                </c:pt>
                <c:pt idx="209">
                  <c:v>-1.7409456359457938</c:v>
                </c:pt>
                <c:pt idx="210">
                  <c:v>-1.8013783823880387</c:v>
                </c:pt>
                <c:pt idx="211">
                  <c:v>-1.8614415526706294</c:v>
                </c:pt>
                <c:pt idx="212">
                  <c:v>-1.921140223968101</c:v>
                </c:pt>
                <c:pt idx="213">
                  <c:v>-1.9804793765222426</c:v>
                </c:pt>
                <c:pt idx="214">
                  <c:v>-2.0406360950365086</c:v>
                </c:pt>
                <c:pt idx="215">
                  <c:v>-2.1004289855866478</c:v>
                </c:pt>
                <c:pt idx="216">
                  <c:v>-2.1598630351660981</c:v>
                </c:pt>
                <c:pt idx="217">
                  <c:v>-2.2189431354696598</c:v>
                </c:pt>
                <c:pt idx="218">
                  <c:v>-2.2790091932065741</c:v>
                </c:pt>
                <c:pt idx="219">
                  <c:v>-2.3387150324116783</c:v>
                </c:pt>
                <c:pt idx="220">
                  <c:v>-2.3980655922102412</c:v>
                </c:pt>
                <c:pt idx="221">
                  <c:v>-2.4570657170166417</c:v>
                </c:pt>
                <c:pt idx="222">
                  <c:v>-2.5170238388090516</c:v>
                </c:pt>
                <c:pt idx="223">
                  <c:v>-2.5766256722177534</c:v>
                </c:pt>
                <c:pt idx="224">
                  <c:v>-2.6358761004566893</c:v>
                </c:pt>
                <c:pt idx="225">
                  <c:v>-2.6947799128461778</c:v>
                </c:pt>
                <c:pt idx="226">
                  <c:v>-2.7547969665825258</c:v>
                </c:pt>
                <c:pt idx="227">
                  <c:v>-2.8144598069623772</c:v>
                </c:pt>
                <c:pt idx="228">
                  <c:v>-2.8737732978978787</c:v>
                </c:pt>
                <c:pt idx="229">
                  <c:v>-2.9327422093088567</c:v>
                </c:pt>
                <c:pt idx="230">
                  <c:v>-3.0524913973561558</c:v>
                </c:pt>
                <c:pt idx="231">
                  <c:v>-3.1118432721105025</c:v>
                </c:pt>
                <c:pt idx="232">
                  <c:v>-3.1708530192895186</c:v>
                </c:pt>
                <c:pt idx="233">
                  <c:v>-3.2309140381324823</c:v>
                </c:pt>
                <c:pt idx="234">
                  <c:v>-3.290626256095984</c:v>
                </c:pt>
                <c:pt idx="235">
                  <c:v>-3.3499944684827989</c:v>
                </c:pt>
                <c:pt idx="236">
                  <c:v>-3.4090233772261431</c:v>
                </c:pt>
                <c:pt idx="237">
                  <c:v>-3.4689050576404377</c:v>
                </c:pt>
                <c:pt idx="238">
                  <c:v>-3.5284431272936785</c:v>
                </c:pt>
                <c:pt idx="239">
                  <c:v>-3.5876422941135093</c:v>
                </c:pt>
                <c:pt idx="240">
                  <c:v>-3.6465071743713242</c:v>
                </c:pt>
                <c:pt idx="241">
                  <c:v>-3.7065346475417575</c:v>
                </c:pt>
                <c:pt idx="242">
                  <c:v>-3.7662200700558541</c:v>
                </c:pt>
                <c:pt idx="243">
                  <c:v>-3.8255681355169981</c:v>
                </c:pt>
                <c:pt idx="244">
                  <c:v>-3.884583445710954</c:v>
                </c:pt>
                <c:pt idx="245">
                  <c:v>-3.944567373580854</c:v>
                </c:pt>
                <c:pt idx="246">
                  <c:v>-4.0042130732638324</c:v>
                </c:pt>
                <c:pt idx="247">
                  <c:v>-4.0635251763070972</c:v>
                </c:pt>
                <c:pt idx="248">
                  <c:v>-4.1225082235333792</c:v>
                </c:pt>
                <c:pt idx="249">
                  <c:v>-4.1825933428702289</c:v>
                </c:pt>
                <c:pt idx="250">
                  <c:v>-4.2423425231389436</c:v>
                </c:pt>
                <c:pt idx="251">
                  <c:v>-4.3017603638538411</c:v>
                </c:pt>
                <c:pt idx="252">
                  <c:v>-4.360851374130835</c:v>
                </c:pt>
                <c:pt idx="253">
                  <c:v>-4.4208603025929341</c:v>
                </c:pt>
                <c:pt idx="254">
                  <c:v>-4.4805376449737153</c:v>
                </c:pt>
                <c:pt idx="255">
                  <c:v>-4.5398879251913158</c:v>
                </c:pt>
                <c:pt idx="256">
                  <c:v>-4.5989155782433135</c:v>
                </c:pt>
                <c:pt idx="257">
                  <c:v>-4.6591417294988409</c:v>
                </c:pt>
                <c:pt idx="258">
                  <c:v>-4.7190374992835098</c:v>
                </c:pt>
                <c:pt idx="259">
                  <c:v>-4.7786073988029152</c:v>
                </c:pt>
                <c:pt idx="260">
                  <c:v>-4.8378558501876441</c:v>
                </c:pt>
                <c:pt idx="261">
                  <c:v>-4.8981228853205465</c:v>
                </c:pt>
                <c:pt idx="262">
                  <c:v>-4.9580627752208617</c:v>
                </c:pt>
                <c:pt idx="263">
                  <c:v>-5.0176799755259873</c:v>
                </c:pt>
                <c:pt idx="264">
                  <c:v>-5.0769788537770797</c:v>
                </c:pt>
                <c:pt idx="265">
                  <c:v>-5.1372709311999998</c:v>
                </c:pt>
                <c:pt idx="266">
                  <c:v>-5.1972393384561153</c:v>
                </c:pt>
                <c:pt idx="267">
                  <c:v>-5.2568884693825648</c:v>
                </c:pt>
                <c:pt idx="268">
                  <c:v>-5.3162226308747664</c:v>
                </c:pt>
                <c:pt idx="269">
                  <c:v>-5.3766679224582914</c:v>
                </c:pt>
                <c:pt idx="270">
                  <c:v>-5.4367917187855017</c:v>
                </c:pt>
                <c:pt idx="271">
                  <c:v>-5.4965983768586106</c:v>
                </c:pt>
                <c:pt idx="272">
                  <c:v>-5.5560921672459518</c:v>
                </c:pt>
                <c:pt idx="273">
                  <c:v>-5.6166694590679231</c:v>
                </c:pt>
                <c:pt idx="274">
                  <c:v>-5.6769277373997138</c:v>
                </c:pt>
                <c:pt idx="275">
                  <c:v>-5.7368713147031691</c:v>
                </c:pt>
                <c:pt idx="276">
                  <c:v>-5.796504417725636</c:v>
                </c:pt>
                <c:pt idx="277">
                  <c:v>-5.8570582553115695</c:v>
                </c:pt>
                <c:pt idx="278">
                  <c:v>-5.917297243569049</c:v>
                </c:pt>
                <c:pt idx="279">
                  <c:v>-5.9772256150565406</c:v>
                </c:pt>
                <c:pt idx="280">
                  <c:v>-6.0368475182806236</c:v>
                </c:pt>
                <c:pt idx="281">
                  <c:v>-6.0977696995723605</c:v>
                </c:pt>
                <c:pt idx="282">
                  <c:v>-6.1583771922804402</c:v>
                </c:pt>
                <c:pt idx="283">
                  <c:v>-6.2186742280762841</c:v>
                </c:pt>
                <c:pt idx="284">
                  <c:v>-6.2786649541607975</c:v>
                </c:pt>
                <c:pt idx="285">
                  <c:v>-6.3395310654928592</c:v>
                </c:pt>
                <c:pt idx="286">
                  <c:v>-6.4000870814043083</c:v>
                </c:pt>
                <c:pt idx="287">
                  <c:v>-6.46033714218024</c:v>
                </c:pt>
                <c:pt idx="288">
                  <c:v>-6.5202853056207024</c:v>
                </c:pt>
                <c:pt idx="289">
                  <c:v>-6.5814743108753424</c:v>
                </c:pt>
                <c:pt idx="290">
                  <c:v>-6.6423539952228072</c:v>
                </c:pt>
                <c:pt idx="291">
                  <c:v>-6.7029284823591251</c:v>
                </c:pt>
                <c:pt idx="292">
                  <c:v>-6.7632018135061607</c:v>
                </c:pt>
                <c:pt idx="293">
                  <c:v>-6.8245604704024547</c:v>
                </c:pt>
                <c:pt idx="294">
                  <c:v>-6.8856121941313759</c:v>
                </c:pt>
                <c:pt idx="295">
                  <c:v>-6.946361057946417</c:v>
                </c:pt>
                <c:pt idx="296">
                  <c:v>-7.0068110535429318</c:v>
                </c:pt>
                <c:pt idx="297">
                  <c:v>-7.0683214548149786</c:v>
                </c:pt>
                <c:pt idx="298">
                  <c:v>-7.1295275243192027</c:v>
                </c:pt>
                <c:pt idx="299">
                  <c:v>-7.1904332790238072</c:v>
                </c:pt>
                <c:pt idx="300">
                  <c:v>-7.2510426554190897</c:v>
                </c:pt>
                <c:pt idx="301">
                  <c:v>-7.3126885384947817</c:v>
                </c:pt>
                <c:pt idx="302">
                  <c:v>-7.3740328725716155</c:v>
                </c:pt>
                <c:pt idx="303">
                  <c:v>-7.4350796131914354</c:v>
                </c:pt>
                <c:pt idx="304">
                  <c:v>-7.4958326366447645</c:v>
                </c:pt>
                <c:pt idx="305">
                  <c:v>-7.5578362225509359</c:v>
                </c:pt>
                <c:pt idx="306">
                  <c:v>-7.6195389070981809</c:v>
                </c:pt>
                <c:pt idx="307">
                  <c:v>-7.6809446245263544</c:v>
                </c:pt>
                <c:pt idx="308">
                  <c:v>-7.7420572299902668</c:v>
                </c:pt>
                <c:pt idx="309">
                  <c:v>-7.8041591322106996</c:v>
                </c:pt>
                <c:pt idx="310">
                  <c:v>-7.8659633188272764</c:v>
                </c:pt>
                <c:pt idx="311">
                  <c:v>-7.927473651460919</c:v>
                </c:pt>
                <c:pt idx="312">
                  <c:v>-7.9886939141936999</c:v>
                </c:pt>
                <c:pt idx="313">
                  <c:v>-8.0511104616558775</c:v>
                </c:pt>
                <c:pt idx="314">
                  <c:v>-8.1132304146246188</c:v>
                </c:pt>
                <c:pt idx="315">
                  <c:v>-8.1750576004851645</c:v>
                </c:pt>
                <c:pt idx="316">
                  <c:v>-8.2365957696170824</c:v>
                </c:pt>
                <c:pt idx="317">
                  <c:v>-8.2993035499776848</c:v>
                </c:pt>
                <c:pt idx="318">
                  <c:v>-8.3617161039479413</c:v>
                </c:pt>
                <c:pt idx="319">
                  <c:v>-8.4238372179924692</c:v>
                </c:pt>
                <c:pt idx="320">
                  <c:v>-8.4856706022946149</c:v>
                </c:pt>
                <c:pt idx="321">
                  <c:v>-8.5486479200433667</c:v>
                </c:pt>
                <c:pt idx="322">
                  <c:v>-8.6113315932441807</c:v>
                </c:pt>
                <c:pt idx="323">
                  <c:v>-8.6737253614844168</c:v>
                </c:pt>
                <c:pt idx="324">
                  <c:v>-8.7358328889685986</c:v>
                </c:pt>
                <c:pt idx="325">
                  <c:v>-8.7990596200792819</c:v>
                </c:pt>
                <c:pt idx="326">
                  <c:v>-8.8619944709273195</c:v>
                </c:pt>
                <c:pt idx="327">
                  <c:v>-8.9246411289761305</c:v>
                </c:pt>
                <c:pt idx="328">
                  <c:v>-8.9870032073625765</c:v>
                </c:pt>
                <c:pt idx="329">
                  <c:v>-9.0505665323766049</c:v>
                </c:pt>
                <c:pt idx="330">
                  <c:v>-9.1138389301543459</c:v>
                </c:pt>
                <c:pt idx="331">
                  <c:v>-9.1768240495352416</c:v>
                </c:pt>
                <c:pt idx="332">
                  <c:v>-9.2395254657462651</c:v>
                </c:pt>
                <c:pt idx="333">
                  <c:v>-9.3032983190752514</c:v>
                </c:pt>
                <c:pt idx="334">
                  <c:v>-9.3667823395166376</c:v>
                </c:pt>
                <c:pt idx="335">
                  <c:v>-9.4299811141715359</c:v>
                </c:pt>
                <c:pt idx="336">
                  <c:v>-9.4928981578835927</c:v>
                </c:pt>
                <c:pt idx="337">
                  <c:v>-9.5570687135361183</c:v>
                </c:pt>
                <c:pt idx="338">
                  <c:v>-9.6209508030494977</c:v>
                </c:pt>
                <c:pt idx="339">
                  <c:v>-9.6845479821485174</c:v>
                </c:pt>
                <c:pt idx="340">
                  <c:v>-9.7478637348671722</c:v>
                </c:pt>
                <c:pt idx="341">
                  <c:v>-9.8124061780392573</c:v>
                </c:pt>
                <c:pt idx="342">
                  <c:v>-9.8766607388496936</c:v>
                </c:pt>
                <c:pt idx="343">
                  <c:v>-9.9406309357084996</c:v>
                </c:pt>
                <c:pt idx="344">
                  <c:v>-10.004320216087867</c:v>
                </c:pt>
                <c:pt idx="345">
                  <c:v>-10.069111701816183</c:v>
                </c:pt>
                <c:pt idx="346">
                  <c:v>-10.133616944397396</c:v>
                </c:pt>
                <c:pt idx="347">
                  <c:v>-10.19783940403542</c:v>
                </c:pt>
                <c:pt idx="348">
                  <c:v>-10.261782471339609</c:v>
                </c:pt>
                <c:pt idx="349">
                  <c:v>-10.326998901508848</c:v>
                </c:pt>
                <c:pt idx="350">
                  <c:v>-10.391929130950734</c:v>
                </c:pt>
                <c:pt idx="351">
                  <c:v>-10.456576588966906</c:v>
                </c:pt>
                <c:pt idx="352">
                  <c:v>-10.520944635911778</c:v>
                </c:pt>
                <c:pt idx="353">
                  <c:v>-10.586559224589196</c:v>
                </c:pt>
                <c:pt idx="354">
                  <c:v>-10.651887853203361</c:v>
                </c:pt>
                <c:pt idx="355">
                  <c:v>-10.716933914870044</c:v>
                </c:pt>
                <c:pt idx="356">
                  <c:v>-10.781700734585218</c:v>
                </c:pt>
                <c:pt idx="357">
                  <c:v>-10.847594571183702</c:v>
                </c:pt>
                <c:pt idx="358">
                  <c:v>-10.91320366572476</c:v>
                </c:pt>
                <c:pt idx="359">
                  <c:v>-10.978531356469796</c:v>
                </c:pt>
                <c:pt idx="360">
                  <c:v>-11.043580914926789</c:v>
                </c:pt>
                <c:pt idx="361">
                  <c:v>-11.109918554612728</c:v>
                </c:pt>
                <c:pt idx="362">
                  <c:v>-11.175971186915149</c:v>
                </c:pt>
                <c:pt idx="363">
                  <c:v>-11.241742120027148</c:v>
                </c:pt>
                <c:pt idx="364">
                  <c:v>-11.307234596141509</c:v>
                </c:pt>
                <c:pt idx="365">
                  <c:v>-11.37389796157785</c:v>
                </c:pt>
                <c:pt idx="366">
                  <c:v>-11.440277004118975</c:v>
                </c:pt>
                <c:pt idx="367">
                  <c:v>-11.506374984246294</c:v>
                </c:pt>
                <c:pt idx="368">
                  <c:v>-11.572195097711489</c:v>
                </c:pt>
                <c:pt idx="369">
                  <c:v>-11.639340073657571</c:v>
                </c:pt>
                <c:pt idx="370">
                  <c:v>-11.706200014508337</c:v>
                </c:pt>
                <c:pt idx="371">
                  <c:v>-11.772778155989689</c:v>
                </c:pt>
                <c:pt idx="372">
                  <c:v>-11.83907766981676</c:v>
                </c:pt>
                <c:pt idx="373">
                  <c:v>-11.906587117875391</c:v>
                </c:pt>
                <c:pt idx="374">
                  <c:v>-11.973811742427845</c:v>
                </c:pt>
                <c:pt idx="375">
                  <c:v>-12.040754737883965</c:v>
                </c:pt>
                <c:pt idx="376">
                  <c:v>-12.107419235856259</c:v>
                </c:pt>
                <c:pt idx="377">
                  <c:v>-12.175440902408582</c:v>
                </c:pt>
                <c:pt idx="378">
                  <c:v>-12.243176637936768</c:v>
                </c:pt>
                <c:pt idx="379">
                  <c:v>-12.310629617001219</c:v>
                </c:pt>
                <c:pt idx="380">
                  <c:v>-12.377802952081314</c:v>
                </c:pt>
                <c:pt idx="381">
                  <c:v>-12.446136227656574</c:v>
                </c:pt>
                <c:pt idx="382">
                  <c:v>-12.514184069091209</c:v>
                </c:pt>
                <c:pt idx="383">
                  <c:v>-12.581949604137836</c:v>
                </c:pt>
                <c:pt idx="384">
                  <c:v>-12.649435899950685</c:v>
                </c:pt>
                <c:pt idx="385">
                  <c:v>-12.718308159304231</c:v>
                </c:pt>
                <c:pt idx="386">
                  <c:v>-12.786893500882126</c:v>
                </c:pt>
                <c:pt idx="387">
                  <c:v>-12.855195038060911</c:v>
                </c:pt>
                <c:pt idx="388">
                  <c:v>-12.92321582433682</c:v>
                </c:pt>
                <c:pt idx="389">
                  <c:v>-12.992511983881156</c:v>
                </c:pt>
                <c:pt idx="390">
                  <c:v>-13.061520623371683</c:v>
                </c:pt>
                <c:pt idx="391">
                  <c:v>-13.130244827539887</c:v>
                </c:pt>
                <c:pt idx="392">
                  <c:v>-13.198687622398026</c:v>
                </c:pt>
                <c:pt idx="393">
                  <c:v>-13.268379680511783</c:v>
                </c:pt>
                <c:pt idx="394">
                  <c:v>-13.337783764165502</c:v>
                </c:pt>
                <c:pt idx="395">
                  <c:v>-13.406902927700202</c:v>
                </c:pt>
                <c:pt idx="396">
                  <c:v>-13.475740168019257</c:v>
                </c:pt>
                <c:pt idx="397">
                  <c:v>-13.545959401921907</c:v>
                </c:pt>
                <c:pt idx="398">
                  <c:v>-13.615889044415697</c:v>
                </c:pt>
                <c:pt idx="399">
                  <c:v>-13.685532138730551</c:v>
                </c:pt>
                <c:pt idx="400">
                  <c:v>-13.754891671542778</c:v>
                </c:pt>
                <c:pt idx="401">
                  <c:v>-13.82552670132997</c:v>
                </c:pt>
                <c:pt idx="402">
                  <c:v>-13.89587136546467</c:v>
                </c:pt>
                <c:pt idx="403">
                  <c:v>-13.96592868398673</c:v>
                </c:pt>
                <c:pt idx="404">
                  <c:v>-14.035701621652469</c:v>
                </c:pt>
                <c:pt idx="405">
                  <c:v>-14.106800504129954</c:v>
                </c:pt>
                <c:pt idx="406">
                  <c:v>-14.177607778559269</c:v>
                </c:pt>
                <c:pt idx="407">
                  <c:v>-14.248126450761502</c:v>
                </c:pt>
                <c:pt idx="408">
                  <c:v>-14.318359472413906</c:v>
                </c:pt>
                <c:pt idx="409">
                  <c:v>-14.389966423877203</c:v>
                </c:pt>
                <c:pt idx="410">
                  <c:v>-14.461280098394946</c:v>
                </c:pt>
                <c:pt idx="411">
                  <c:v>-14.532303496145602</c:v>
                </c:pt>
                <c:pt idx="412">
                  <c:v>-14.603039564194402</c:v>
                </c:pt>
                <c:pt idx="413">
                  <c:v>-14.675121078185569</c:v>
                </c:pt>
                <c:pt idx="414">
                  <c:v>-14.746907864286465</c:v>
                </c:pt>
                <c:pt idx="415">
                  <c:v>-14.818402916155261</c:v>
                </c:pt>
                <c:pt idx="416">
                  <c:v>-14.889609175487228</c:v>
                </c:pt>
                <c:pt idx="417">
                  <c:v>-14.962205975437644</c:v>
                </c:pt>
                <c:pt idx="418">
                  <c:v>-15.034506217436723</c:v>
                </c:pt>
                <c:pt idx="419">
                  <c:v>-15.106512897353653</c:v>
                </c:pt>
                <c:pt idx="420">
                  <c:v>-15.178228960145649</c:v>
                </c:pt>
                <c:pt idx="421">
                  <c:v>-15.251234977532391</c:v>
                </c:pt>
                <c:pt idx="422">
                  <c:v>-15.323943436077911</c:v>
                </c:pt>
                <c:pt idx="423">
                  <c:v>-15.39635732488706</c:v>
                </c:pt>
                <c:pt idx="424">
                  <c:v>-15.468479583507897</c:v>
                </c:pt>
                <c:pt idx="425">
                  <c:v>-15.542077044899003</c:v>
                </c:pt>
                <c:pt idx="426">
                  <c:v>-15.615374442051873</c:v>
                </c:pt>
                <c:pt idx="427">
                  <c:v>-15.688374784030612</c:v>
                </c:pt>
                <c:pt idx="428">
                  <c:v>-15.761081031217381</c:v>
                </c:pt>
                <c:pt idx="429">
                  <c:v>-15.835162197232043</c:v>
                </c:pt>
                <c:pt idx="430">
                  <c:v>-15.908941669806232</c:v>
                </c:pt>
                <c:pt idx="431">
                  <c:v>-15.982422469506394</c:v>
                </c:pt>
                <c:pt idx="432">
                  <c:v>-16.055607569392002</c:v>
                </c:pt>
                <c:pt idx="433">
                  <c:v>-16.130139189636303</c:v>
                </c:pt>
                <c:pt idx="434">
                  <c:v>-16.204367773515195</c:v>
                </c:pt>
                <c:pt idx="435">
                  <c:v>-16.278296354217577</c:v>
                </c:pt>
                <c:pt idx="436">
                  <c:v>-16.351927918686524</c:v>
                </c:pt>
                <c:pt idx="437">
                  <c:v>-16.427012779582526</c:v>
                </c:pt>
                <c:pt idx="438">
                  <c:v>-16.501792466764996</c:v>
                </c:pt>
                <c:pt idx="439">
                  <c:v>-16.576270044083536</c:v>
                </c:pt>
                <c:pt idx="440">
                  <c:v>-16.650448530158489</c:v>
                </c:pt>
                <c:pt idx="441">
                  <c:v>-16.72605020795498</c:v>
                </c:pt>
                <c:pt idx="442">
                  <c:v>-16.801344939520064</c:v>
                </c:pt>
                <c:pt idx="443">
                  <c:v>-16.876335820853576</c:v>
                </c:pt>
                <c:pt idx="444">
                  <c:v>-16.951025903843263</c:v>
                </c:pt>
                <c:pt idx="445">
                  <c:v>-17.027109930102625</c:v>
                </c:pt>
                <c:pt idx="446">
                  <c:v>-17.102885615279106</c:v>
                </c:pt>
                <c:pt idx="447">
                  <c:v>-17.178356089649483</c:v>
                </c:pt>
                <c:pt idx="448">
                  <c:v>-17.253524440586951</c:v>
                </c:pt>
                <c:pt idx="449">
                  <c:v>-17.330186414118216</c:v>
                </c:pt>
                <c:pt idx="450">
                  <c:v>-17.406538012273156</c:v>
                </c:pt>
                <c:pt idx="451">
                  <c:v>-17.482582418202856</c:v>
                </c:pt>
                <c:pt idx="452">
                  <c:v>-17.558322773168701</c:v>
                </c:pt>
                <c:pt idx="453">
                  <c:v>-17.635463213651256</c:v>
                </c:pt>
                <c:pt idx="454">
                  <c:v>-17.712292223426928</c:v>
                </c:pt>
                <c:pt idx="455">
                  <c:v>-17.788813033496346</c:v>
                </c:pt>
                <c:pt idx="456">
                  <c:v>-17.865028834225612</c:v>
                </c:pt>
                <c:pt idx="457">
                  <c:v>-17.942740693708657</c:v>
                </c:pt>
                <c:pt idx="458">
                  <c:v>-18.020139536563711</c:v>
                </c:pt>
                <c:pt idx="459">
                  <c:v>-18.097228661125307</c:v>
                </c:pt>
                <c:pt idx="460">
                  <c:v>-18.17401132618722</c:v>
                </c:pt>
                <c:pt idx="461">
                  <c:v>-18.252260085840568</c:v>
                </c:pt>
                <c:pt idx="462">
                  <c:v>-18.330194793614009</c:v>
                </c:pt>
                <c:pt idx="463">
                  <c:v>-18.407818819307813</c:v>
                </c:pt>
                <c:pt idx="464">
                  <c:v>-18.48513549439685</c:v>
                </c:pt>
                <c:pt idx="465">
                  <c:v>-18.563949476207643</c:v>
                </c:pt>
                <c:pt idx="466">
                  <c:v>-18.64244847428456</c:v>
                </c:pt>
                <c:pt idx="467">
                  <c:v>-18.720635942699058</c:v>
                </c:pt>
                <c:pt idx="468">
                  <c:v>-18.798515298423414</c:v>
                </c:pt>
                <c:pt idx="469">
                  <c:v>-18.877862897886342</c:v>
                </c:pt>
                <c:pt idx="470">
                  <c:v>-18.956895229544756</c:v>
                </c:pt>
                <c:pt idx="471">
                  <c:v>-19.035615837479213</c:v>
                </c:pt>
                <c:pt idx="472">
                  <c:v>-19.114028230042003</c:v>
                </c:pt>
                <c:pt idx="473">
                  <c:v>-19.193997441177761</c:v>
                </c:pt>
                <c:pt idx="474">
                  <c:v>-19.273650874238601</c:v>
                </c:pt>
                <c:pt idx="475">
                  <c:v>-19.352992185931903</c:v>
                </c:pt>
                <c:pt idx="476">
                  <c:v>-19.432024998567876</c:v>
                </c:pt>
                <c:pt idx="477">
                  <c:v>-19.512585510461612</c:v>
                </c:pt>
                <c:pt idx="478">
                  <c:v>-19.592830534405209</c:v>
                </c:pt>
                <c:pt idx="479">
                  <c:v>-19.672763847620903</c:v>
                </c:pt>
                <c:pt idx="480">
                  <c:v>-19.752389194473722</c:v>
                </c:pt>
                <c:pt idx="481">
                  <c:v>-19.833514658470712</c:v>
                </c:pt>
                <c:pt idx="482">
                  <c:v>-19.914325780714243</c:v>
                </c:pt>
                <c:pt idx="483">
                  <c:v>-19.994826468183444</c:v>
                </c:pt>
                <c:pt idx="484">
                  <c:v>-20.075020596774724</c:v>
                </c:pt>
                <c:pt idx="485">
                  <c:v>-20.156744429375987</c:v>
                </c:pt>
                <c:pt idx="486">
                  <c:v>-20.238155562174462</c:v>
                </c:pt>
                <c:pt idx="487">
                  <c:v>-20.319258050931662</c:v>
                </c:pt>
                <c:pt idx="488">
                  <c:v>-20.400055922292882</c:v>
                </c:pt>
                <c:pt idx="489">
                  <c:v>-20.482467447088773</c:v>
                </c:pt>
                <c:pt idx="490">
                  <c:v>-20.564568119796924</c:v>
                </c:pt>
                <c:pt idx="491">
                  <c:v>-20.646362174522285</c:v>
                </c:pt>
                <c:pt idx="492">
                  <c:v>-20.727853818415326</c:v>
                </c:pt>
                <c:pt idx="493">
                  <c:v>-20.810933189867022</c:v>
                </c:pt>
                <c:pt idx="494">
                  <c:v>-20.893704743477155</c:v>
                </c:pt>
                <c:pt idx="495">
                  <c:v>-20.976172907168099</c:v>
                </c:pt>
                <c:pt idx="496">
                  <c:v>-21.058342084504268</c:v>
                </c:pt>
                <c:pt idx="497">
                  <c:v>-21.142128359544479</c:v>
                </c:pt>
                <c:pt idx="498">
                  <c:v>-21.225610756070779</c:v>
                </c:pt>
                <c:pt idx="499">
                  <c:v>-21.308793922854434</c:v>
                </c:pt>
                <c:pt idx="500">
                  <c:v>-21.391682487371181</c:v>
                </c:pt>
                <c:pt idx="501">
                  <c:v>-21.476218018901374</c:v>
                </c:pt>
                <c:pt idx="502">
                  <c:v>-21.560454690055927</c:v>
                </c:pt>
                <c:pt idx="503">
                  <c:v>-21.644397401443317</c:v>
                </c:pt>
                <c:pt idx="504">
                  <c:v>-21.72805103604081</c:v>
                </c:pt>
                <c:pt idx="505">
                  <c:v>-21.813330728653753</c:v>
                </c:pt>
                <c:pt idx="506">
                  <c:v>-21.898318208157104</c:v>
                </c:pt>
                <c:pt idx="507">
                  <c:v>-21.983018653436531</c:v>
                </c:pt>
                <c:pt idx="508">
                  <c:v>-22.06743723021464</c:v>
                </c:pt>
                <c:pt idx="509">
                  <c:v>-22.153514859396672</c:v>
                </c:pt>
                <c:pt idx="510">
                  <c:v>-22.239308381523543</c:v>
                </c:pt>
                <c:pt idx="511">
                  <c:v>-22.324823294897161</c:v>
                </c:pt>
                <c:pt idx="512">
                  <c:v>-22.410065090081265</c:v>
                </c:pt>
                <c:pt idx="513">
                  <c:v>-22.497050847641358</c:v>
                </c:pt>
                <c:pt idx="514">
                  <c:v>-22.583762008633819</c:v>
                </c:pt>
                <c:pt idx="515">
                  <c:v>-22.670204449282675</c:v>
                </c:pt>
                <c:pt idx="516">
                  <c:v>-22.756384044718931</c:v>
                </c:pt>
                <c:pt idx="517">
                  <c:v>-22.8442937743458</c:v>
                </c:pt>
                <c:pt idx="518">
                  <c:v>-22.931940789830961</c:v>
                </c:pt>
                <c:pt idx="519">
                  <c:v>-23.019331392808073</c:v>
                </c:pt>
                <c:pt idx="520">
                  <c:v>-23.106471892038201</c:v>
                </c:pt>
                <c:pt idx="521">
                  <c:v>-23.19538204140223</c:v>
                </c:pt>
                <c:pt idx="522">
                  <c:v>-23.284043741084929</c:v>
                </c:pt>
                <c:pt idx="523">
                  <c:v>-23.3724637864422</c:v>
                </c:pt>
                <c:pt idx="524">
                  <c:v>-23.460648990156862</c:v>
                </c:pt>
                <c:pt idx="525">
                  <c:v>-23.550646783142035</c:v>
                </c:pt>
                <c:pt idx="526">
                  <c:v>-23.640413194565568</c:v>
                </c:pt>
                <c:pt idx="527">
                  <c:v>-23.729955595547409</c:v>
                </c:pt>
                <c:pt idx="528">
                  <c:v>-23.819281387250989</c:v>
                </c:pt>
                <c:pt idx="529">
                  <c:v>-23.910466935330135</c:v>
                </c:pt>
                <c:pt idx="530">
                  <c:v>-24.001441475009155</c:v>
                </c:pt>
                <c:pt idx="531">
                  <c:v>-24.092213052362624</c:v>
                </c:pt>
                <c:pt idx="532">
                  <c:v>-24.182789759432019</c:v>
                </c:pt>
                <c:pt idx="533">
                  <c:v>-24.275326264256783</c:v>
                </c:pt>
                <c:pt idx="534">
                  <c:v>-24.367675850575537</c:v>
                </c:pt>
                <c:pt idx="535">
                  <c:v>-24.459847373857965</c:v>
                </c:pt>
                <c:pt idx="536">
                  <c:v>-24.551849755701447</c:v>
                </c:pt>
                <c:pt idx="537">
                  <c:v>-24.645775368875302</c:v>
                </c:pt>
                <c:pt idx="538">
                  <c:v>-24.739543177181925</c:v>
                </c:pt>
                <c:pt idx="539">
                  <c:v>-24.833162965919861</c:v>
                </c:pt>
                <c:pt idx="540">
                  <c:v>-24.926644611653757</c:v>
                </c:pt>
                <c:pt idx="541">
                  <c:v>-25.022210344081568</c:v>
                </c:pt>
                <c:pt idx="542">
                  <c:v>-25.117652565593012</c:v>
                </c:pt>
                <c:pt idx="543">
                  <c:v>-25.212982203170494</c:v>
                </c:pt>
                <c:pt idx="544">
                  <c:v>-25.308210307333017</c:v>
                </c:pt>
                <c:pt idx="545">
                  <c:v>-25.405550860164126</c:v>
                </c:pt>
                <c:pt idx="546">
                  <c:v>-25.50280894920235</c:v>
                </c:pt>
                <c:pt idx="547">
                  <c:v>-25.599996854303964</c:v>
                </c:pt>
                <c:pt idx="548">
                  <c:v>-25.69712701969372</c:v>
                </c:pt>
                <c:pt idx="549">
                  <c:v>-25.796456370671351</c:v>
                </c:pt>
                <c:pt idx="550">
                  <c:v>-25.895752195780503</c:v>
                </c:pt>
                <c:pt idx="551">
                  <c:v>-25.995028409345238</c:v>
                </c:pt>
                <c:pt idx="552">
                  <c:v>-26.094299142239667</c:v>
                </c:pt>
                <c:pt idx="553">
                  <c:v>-26.195916067503791</c:v>
                </c:pt>
                <c:pt idx="554">
                  <c:v>-26.297557945651132</c:v>
                </c:pt>
                <c:pt idx="555">
                  <c:v>-26.39924070080983</c:v>
                </c:pt>
                <c:pt idx="556">
                  <c:v>-26.50098054120005</c:v>
                </c:pt>
                <c:pt idx="557">
                  <c:v>-26.709481450907212</c:v>
                </c:pt>
                <c:pt idx="558">
                  <c:v>-26.918436737773447</c:v>
                </c:pt>
                <c:pt idx="559">
                  <c:v>-27.132809816897865</c:v>
                </c:pt>
                <c:pt idx="560">
                  <c:v>-27.347986389938825</c:v>
                </c:pt>
                <c:pt idx="561">
                  <c:v>-27.569285476310608</c:v>
                </c:pt>
                <c:pt idx="562">
                  <c:v>-27.791811473644728</c:v>
                </c:pt>
                <c:pt idx="563">
                  <c:v>-28.020597139167215</c:v>
                </c:pt>
                <c:pt idx="564">
                  <c:v>-28.251116490483547</c:v>
                </c:pt>
                <c:pt idx="565">
                  <c:v>-28.489507064021097</c:v>
                </c:pt>
                <c:pt idx="566">
                  <c:v>-28.730264195424049</c:v>
                </c:pt>
                <c:pt idx="567">
                  <c:v>-28.979710861471002</c:v>
                </c:pt>
                <c:pt idx="568">
                  <c:v>-29.232302356921764</c:v>
                </c:pt>
                <c:pt idx="569">
                  <c:v>-29.49356711617769</c:v>
                </c:pt>
                <c:pt idx="570">
                  <c:v>-29.758904513869993</c:v>
                </c:pt>
                <c:pt idx="571">
                  <c:v>-30.036239384583268</c:v>
                </c:pt>
                <c:pt idx="572">
                  <c:v>-30.318871452247976</c:v>
                </c:pt>
                <c:pt idx="573">
                  <c:v>-30.612933509774855</c:v>
                </c:pt>
                <c:pt idx="574">
                  <c:v>-30.913734474124798</c:v>
                </c:pt>
                <c:pt idx="575">
                  <c:v>-31.230168708275443</c:v>
                </c:pt>
                <c:pt idx="576">
                  <c:v>-31.555276289059385</c:v>
                </c:pt>
                <c:pt idx="577">
                  <c:v>-33.050510406877308</c:v>
                </c:pt>
                <c:pt idx="578">
                  <c:v>-34.811726590157328</c:v>
                </c:pt>
                <c:pt idx="579">
                  <c:v>-40.513379844629434</c:v>
                </c:pt>
                <c:pt idx="580">
                  <c:v>-64.975270313866261</c:v>
                </c:pt>
                <c:pt idx="581">
                  <c:v>-43.463246938479287</c:v>
                </c:pt>
                <c:pt idx="582">
                  <c:v>-39.340457874827401</c:v>
                </c:pt>
                <c:pt idx="583">
                  <c:v>-38.466578390231717</c:v>
                </c:pt>
                <c:pt idx="584">
                  <c:v>-38.93270743417623</c:v>
                </c:pt>
                <c:pt idx="585">
                  <c:v>-40.26489414183488</c:v>
                </c:pt>
                <c:pt idx="586">
                  <c:v>-42.841381223737606</c:v>
                </c:pt>
                <c:pt idx="587">
                  <c:v>-49.930047778441875</c:v>
                </c:pt>
                <c:pt idx="588">
                  <c:v>-53.82727394963748</c:v>
                </c:pt>
                <c:pt idx="589">
                  <c:v>-46.688487253347979</c:v>
                </c:pt>
                <c:pt idx="590">
                  <c:v>-46.638350491762885</c:v>
                </c:pt>
                <c:pt idx="591">
                  <c:v>-49.49687742379443</c:v>
                </c:pt>
                <c:pt idx="592">
                  <c:v>-94.210508205259885</c:v>
                </c:pt>
                <c:pt idx="593">
                  <c:v>-51.632160091477218</c:v>
                </c:pt>
                <c:pt idx="594">
                  <c:v>-52.001473853166907</c:v>
                </c:pt>
                <c:pt idx="595">
                  <c:v>-67.426248127760303</c:v>
                </c:pt>
                <c:pt idx="596">
                  <c:v>-54.808818736375898</c:v>
                </c:pt>
                <c:pt idx="597">
                  <c:v>-57.268683267425772</c:v>
                </c:pt>
                <c:pt idx="598">
                  <c:v>-59.028888785319474</c:v>
                </c:pt>
                <c:pt idx="599">
                  <c:v>-58.910374608010123</c:v>
                </c:pt>
                <c:pt idx="600">
                  <c:v>-60.162002798929279</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97.542819526936611</c:v>
                </c:pt>
                <c:pt idx="1">
                  <c:v>96.883457560495415</c:v>
                </c:pt>
                <c:pt idx="2">
                  <c:v>96.280367856694824</c:v>
                </c:pt>
                <c:pt idx="3">
                  <c:v>95.728926190293265</c:v>
                </c:pt>
                <c:pt idx="4">
                  <c:v>95.225148379909157</c:v>
                </c:pt>
                <c:pt idx="5">
                  <c:v>94.764236501373134</c:v>
                </c:pt>
                <c:pt idx="6">
                  <c:v>94.343200371093005</c:v>
                </c:pt>
                <c:pt idx="7">
                  <c:v>93.958352645056578</c:v>
                </c:pt>
                <c:pt idx="8">
                  <c:v>93.606831814188268</c:v>
                </c:pt>
                <c:pt idx="9">
                  <c:v>93.285482232807269</c:v>
                </c:pt>
                <c:pt idx="10">
                  <c:v>92.991842803038296</c:v>
                </c:pt>
                <c:pt idx="11">
                  <c:v>92.72342508721357</c:v>
                </c:pt>
                <c:pt idx="12">
                  <c:v>92.477865962949807</c:v>
                </c:pt>
                <c:pt idx="13">
                  <c:v>92.253350106882763</c:v>
                </c:pt>
                <c:pt idx="14">
                  <c:v>92.0478113606666</c:v>
                </c:pt>
                <c:pt idx="15">
                  <c:v>91.859610058480243</c:v>
                </c:pt>
                <c:pt idx="16">
                  <c:v>91.687146249667066</c:v>
                </c:pt>
                <c:pt idx="17">
                  <c:v>91.528988932381083</c:v>
                </c:pt>
                <c:pt idx="18">
                  <c:v>91.383758465552305</c:v>
                </c:pt>
                <c:pt idx="19">
                  <c:v>91.250268589337225</c:v>
                </c:pt>
                <c:pt idx="20">
                  <c:v>91.127363932963632</c:v>
                </c:pt>
                <c:pt idx="21">
                  <c:v>91.0140297410193</c:v>
                </c:pt>
                <c:pt idx="22">
                  <c:v>90.909282290198163</c:v>
                </c:pt>
                <c:pt idx="23">
                  <c:v>90.812260100093084</c:v>
                </c:pt>
                <c:pt idx="24">
                  <c:v>90.722116084826098</c:v>
                </c:pt>
                <c:pt idx="25">
                  <c:v>90.638101016817444</c:v>
                </c:pt>
                <c:pt idx="26">
                  <c:v>90.559484248490762</c:v>
                </c:pt>
                <c:pt idx="27">
                  <c:v>90.485624695883118</c:v>
                </c:pt>
                <c:pt idx="28">
                  <c:v>90.415891587176532</c:v>
                </c:pt>
                <c:pt idx="29">
                  <c:v>90.349732625610116</c:v>
                </c:pt>
                <c:pt idx="30">
                  <c:v>90.286475840064199</c:v>
                </c:pt>
                <c:pt idx="31">
                  <c:v>90.225675794335245</c:v>
                </c:pt>
                <c:pt idx="32">
                  <c:v>90.166774666822263</c:v>
                </c:pt>
                <c:pt idx="33">
                  <c:v>90.109314457215035</c:v>
                </c:pt>
                <c:pt idx="34">
                  <c:v>90.052762981319191</c:v>
                </c:pt>
                <c:pt idx="35">
                  <c:v>89.996672599022389</c:v>
                </c:pt>
                <c:pt idx="36">
                  <c:v>89.940558855787742</c:v>
                </c:pt>
                <c:pt idx="37">
                  <c:v>89.883915349734664</c:v>
                </c:pt>
                <c:pt idx="38">
                  <c:v>89.826315950850613</c:v>
                </c:pt>
                <c:pt idx="39">
                  <c:v>89.767226034983949</c:v>
                </c:pt>
                <c:pt idx="40">
                  <c:v>89.706166580065315</c:v>
                </c:pt>
                <c:pt idx="41">
                  <c:v>89.642615033584789</c:v>
                </c:pt>
                <c:pt idx="42">
                  <c:v>89.576042290579622</c:v>
                </c:pt>
                <c:pt idx="43">
                  <c:v>89.505864753502706</c:v>
                </c:pt>
                <c:pt idx="44">
                  <c:v>89.431506774979937</c:v>
                </c:pt>
                <c:pt idx="45">
                  <c:v>89.352324229278622</c:v>
                </c:pt>
                <c:pt idx="46">
                  <c:v>89.267663822243492</c:v>
                </c:pt>
                <c:pt idx="47">
                  <c:v>89.176792097772136</c:v>
                </c:pt>
                <c:pt idx="48">
                  <c:v>89.078965075566131</c:v>
                </c:pt>
                <c:pt idx="49">
                  <c:v>88.973333551347821</c:v>
                </c:pt>
                <c:pt idx="50">
                  <c:v>88.859024226493602</c:v>
                </c:pt>
                <c:pt idx="51">
                  <c:v>88.735048213558755</c:v>
                </c:pt>
                <c:pt idx="52">
                  <c:v>88.600405338825837</c:v>
                </c:pt>
                <c:pt idx="53">
                  <c:v>88.453969128010471</c:v>
                </c:pt>
                <c:pt idx="54">
                  <c:v>88.294627448009606</c:v>
                </c:pt>
                <c:pt idx="55">
                  <c:v>88.120784276239164</c:v>
                </c:pt>
                <c:pt idx="56">
                  <c:v>87.931238086017103</c:v>
                </c:pt>
                <c:pt idx="57">
                  <c:v>87.724310836701278</c:v>
                </c:pt>
                <c:pt idx="58">
                  <c:v>87.498474036501037</c:v>
                </c:pt>
                <c:pt idx="59">
                  <c:v>87.251738446527696</c:v>
                </c:pt>
                <c:pt idx="60">
                  <c:v>86.982276963434543</c:v>
                </c:pt>
                <c:pt idx="61">
                  <c:v>86.687944482782839</c:v>
                </c:pt>
                <c:pt idx="62">
                  <c:v>86.366294958793247</c:v>
                </c:pt>
                <c:pt idx="63">
                  <c:v>86.015203982935674</c:v>
                </c:pt>
                <c:pt idx="64">
                  <c:v>85.631804622045379</c:v>
                </c:pt>
                <c:pt idx="65">
                  <c:v>85.213484377759912</c:v>
                </c:pt>
                <c:pt idx="66">
                  <c:v>84.757322592322836</c:v>
                </c:pt>
                <c:pt idx="67">
                  <c:v>84.260381193575313</c:v>
                </c:pt>
                <c:pt idx="68">
                  <c:v>83.719416078650013</c:v>
                </c:pt>
                <c:pt idx="69">
                  <c:v>83.131431389872233</c:v>
                </c:pt>
                <c:pt idx="70">
                  <c:v>82.493198863789019</c:v>
                </c:pt>
                <c:pt idx="71">
                  <c:v>81.801853553533306</c:v>
                </c:pt>
                <c:pt idx="72">
                  <c:v>81.054482970293947</c:v>
                </c:pt>
                <c:pt idx="73">
                  <c:v>80.248889983247182</c:v>
                </c:pt>
                <c:pt idx="74">
                  <c:v>79.383049084243495</c:v>
                </c:pt>
                <c:pt idx="75">
                  <c:v>78.456046816419175</c:v>
                </c:pt>
                <c:pt idx="76">
                  <c:v>77.467648650485515</c:v>
                </c:pt>
                <c:pt idx="77">
                  <c:v>76.419477364108147</c:v>
                </c:pt>
                <c:pt idx="78">
                  <c:v>75.314439809095688</c:v>
                </c:pt>
                <c:pt idx="79">
                  <c:v>74.158112523966622</c:v>
                </c:pt>
                <c:pt idx="80">
                  <c:v>72.955489639237413</c:v>
                </c:pt>
                <c:pt idx="81">
                  <c:v>71.717480205135004</c:v>
                </c:pt>
                <c:pt idx="82">
                  <c:v>70.454837461995808</c:v>
                </c:pt>
                <c:pt idx="83">
                  <c:v>69.182178133311027</c:v>
                </c:pt>
                <c:pt idx="84">
                  <c:v>67.913954374286462</c:v>
                </c:pt>
                <c:pt idx="85">
                  <c:v>66.667341377883773</c:v>
                </c:pt>
                <c:pt idx="86">
                  <c:v>65.458686888382346</c:v>
                </c:pt>
                <c:pt idx="87">
                  <c:v>64.30285793162588</c:v>
                </c:pt>
                <c:pt idx="88">
                  <c:v>63.214097799441433</c:v>
                </c:pt>
                <c:pt idx="89">
                  <c:v>62.20103609906279</c:v>
                </c:pt>
                <c:pt idx="90">
                  <c:v>61.268842479366569</c:v>
                </c:pt>
                <c:pt idx="91">
                  <c:v>60.41655878672789</c:v>
                </c:pt>
                <c:pt idx="92">
                  <c:v>59.637308314169331</c:v>
                </c:pt>
                <c:pt idx="93">
                  <c:v>58.917736995643409</c:v>
                </c:pt>
                <c:pt idx="94">
                  <c:v>58.745164510002354</c:v>
                </c:pt>
                <c:pt idx="95">
                  <c:v>58.659211385727929</c:v>
                </c:pt>
                <c:pt idx="96">
                  <c:v>58.574753486060445</c:v>
                </c:pt>
                <c:pt idx="97">
                  <c:v>58.489797472182914</c:v>
                </c:pt>
                <c:pt idx="98">
                  <c:v>58.406232057515822</c:v>
                </c:pt>
                <c:pt idx="99">
                  <c:v>58.322061449955996</c:v>
                </c:pt>
                <c:pt idx="100">
                  <c:v>58.239175477976545</c:v>
                </c:pt>
                <c:pt idx="101">
                  <c:v>58.155635630601722</c:v>
                </c:pt>
                <c:pt idx="102">
                  <c:v>58.073271531472386</c:v>
                </c:pt>
                <c:pt idx="103">
                  <c:v>57.990075709330767</c:v>
                </c:pt>
                <c:pt idx="104">
                  <c:v>57.907947672940523</c:v>
                </c:pt>
                <c:pt idx="105">
                  <c:v>57.824928551442824</c:v>
                </c:pt>
                <c:pt idx="106">
                  <c:v>57.742867024286184</c:v>
                </c:pt>
                <c:pt idx="107">
                  <c:v>57.659847101127895</c:v>
                </c:pt>
                <c:pt idx="108">
                  <c:v>57.577673215756661</c:v>
                </c:pt>
                <c:pt idx="109">
                  <c:v>57.494410311673306</c:v>
                </c:pt>
                <c:pt idx="110">
                  <c:v>57.411882300447431</c:v>
                </c:pt>
                <c:pt idx="111">
                  <c:v>57.328075956646614</c:v>
                </c:pt>
                <c:pt idx="112">
                  <c:v>57.244894743290544</c:v>
                </c:pt>
                <c:pt idx="113">
                  <c:v>57.160354335249878</c:v>
                </c:pt>
                <c:pt idx="114">
                  <c:v>57.076329069017461</c:v>
                </c:pt>
                <c:pt idx="115">
                  <c:v>56.990804097749418</c:v>
                </c:pt>
                <c:pt idx="116">
                  <c:v>56.905685329208893</c:v>
                </c:pt>
                <c:pt idx="117">
                  <c:v>56.818923169943744</c:v>
                </c:pt>
                <c:pt idx="118">
                  <c:v>56.732459563980598</c:v>
                </c:pt>
                <c:pt idx="119">
                  <c:v>56.64425922766506</c:v>
                </c:pt>
                <c:pt idx="120">
                  <c:v>56.556251137446495</c:v>
                </c:pt>
                <c:pt idx="121">
                  <c:v>56.466356345735079</c:v>
                </c:pt>
                <c:pt idx="122">
                  <c:v>56.376549609322609</c:v>
                </c:pt>
                <c:pt idx="123">
                  <c:v>56.28465066165684</c:v>
                </c:pt>
                <c:pt idx="124">
                  <c:v>56.192737873164717</c:v>
                </c:pt>
                <c:pt idx="125">
                  <c:v>56.098631505630152</c:v>
                </c:pt>
                <c:pt idx="126">
                  <c:v>56.004411848479521</c:v>
                </c:pt>
                <c:pt idx="127">
                  <c:v>55.907842055043204</c:v>
                </c:pt>
                <c:pt idx="128">
                  <c:v>55.811062331357107</c:v>
                </c:pt>
                <c:pt idx="129">
                  <c:v>55.711774210849327</c:v>
                </c:pt>
                <c:pt idx="130">
                  <c:v>55.612182548464304</c:v>
                </c:pt>
                <c:pt idx="131">
                  <c:v>55.509922778296229</c:v>
                </c:pt>
                <c:pt idx="132">
                  <c:v>55.458647358278171</c:v>
                </c:pt>
                <c:pt idx="133">
                  <c:v>55.407269098424578</c:v>
                </c:pt>
                <c:pt idx="134">
                  <c:v>55.354558641708294</c:v>
                </c:pt>
                <c:pt idx="135">
                  <c:v>55.301731842063759</c:v>
                </c:pt>
                <c:pt idx="136">
                  <c:v>55.248784660863407</c:v>
                </c:pt>
                <c:pt idx="137">
                  <c:v>55.195713245653451</c:v>
                </c:pt>
                <c:pt idx="138">
                  <c:v>55.141304583561322</c:v>
                </c:pt>
                <c:pt idx="139">
                  <c:v>55.086758401617189</c:v>
                </c:pt>
                <c:pt idx="140">
                  <c:v>55.032071143439111</c:v>
                </c:pt>
                <c:pt idx="141">
                  <c:v>54.977239430169348</c:v>
                </c:pt>
                <c:pt idx="142">
                  <c:v>54.920954487770203</c:v>
                </c:pt>
                <c:pt idx="143">
                  <c:v>54.864511535914318</c:v>
                </c:pt>
                <c:pt idx="144">
                  <c:v>54.807907488563174</c:v>
                </c:pt>
                <c:pt idx="145">
                  <c:v>54.751139428868896</c:v>
                </c:pt>
                <c:pt idx="146">
                  <c:v>54.692883760744593</c:v>
                </c:pt>
                <c:pt idx="147">
                  <c:v>54.634450732799976</c:v>
                </c:pt>
                <c:pt idx="148">
                  <c:v>54.575837732236295</c:v>
                </c:pt>
                <c:pt idx="149">
                  <c:v>54.51704230639244</c:v>
                </c:pt>
                <c:pt idx="150">
                  <c:v>54.45669625165894</c:v>
                </c:pt>
                <c:pt idx="151">
                  <c:v>54.396154532367134</c:v>
                </c:pt>
                <c:pt idx="152">
                  <c:v>54.335415004608862</c:v>
                </c:pt>
                <c:pt idx="153">
                  <c:v>54.274475675252063</c:v>
                </c:pt>
                <c:pt idx="154">
                  <c:v>54.2118929641492</c:v>
                </c:pt>
                <c:pt idx="155">
                  <c:v>54.149097167990632</c:v>
                </c:pt>
                <c:pt idx="156">
                  <c:v>54.08608660359603</c:v>
                </c:pt>
                <c:pt idx="157">
                  <c:v>54.022859729195432</c:v>
                </c:pt>
                <c:pt idx="158">
                  <c:v>53.95792416412219</c:v>
                </c:pt>
                <c:pt idx="159">
                  <c:v>53.892759183287012</c:v>
                </c:pt>
                <c:pt idx="160">
                  <c:v>53.827363558320442</c:v>
                </c:pt>
                <c:pt idx="161">
                  <c:v>53.761736192632455</c:v>
                </c:pt>
                <c:pt idx="162">
                  <c:v>53.694363779176044</c:v>
                </c:pt>
                <c:pt idx="163">
                  <c:v>53.62674695763873</c:v>
                </c:pt>
                <c:pt idx="164">
                  <c:v>53.558884947840099</c:v>
                </c:pt>
                <c:pt idx="165">
                  <c:v>53.490777091328368</c:v>
                </c:pt>
                <c:pt idx="166">
                  <c:v>53.420798088691839</c:v>
                </c:pt>
                <c:pt idx="167">
                  <c:v>53.350560407304357</c:v>
                </c:pt>
                <c:pt idx="168">
                  <c:v>53.28006370394975</c:v>
                </c:pt>
                <c:pt idx="169">
                  <c:v>53.209307747361763</c:v>
                </c:pt>
                <c:pt idx="170">
                  <c:v>53.136765635944116</c:v>
                </c:pt>
                <c:pt idx="171">
                  <c:v>53.063952873376977</c:v>
                </c:pt>
                <c:pt idx="172">
                  <c:v>52.990869543293641</c:v>
                </c:pt>
                <c:pt idx="173">
                  <c:v>52.917515830513778</c:v>
                </c:pt>
                <c:pt idx="174">
                  <c:v>52.84203246637054</c:v>
                </c:pt>
                <c:pt idx="175">
                  <c:v>52.766265614336433</c:v>
                </c:pt>
                <c:pt idx="176">
                  <c:v>52.690215774364901</c:v>
                </c:pt>
                <c:pt idx="177">
                  <c:v>52.613883538293422</c:v>
                </c:pt>
                <c:pt idx="178">
                  <c:v>52.535382093047488</c:v>
                </c:pt>
                <c:pt idx="179">
                  <c:v>52.456585726801066</c:v>
                </c:pt>
                <c:pt idx="180">
                  <c:v>52.37749534713295</c:v>
                </c:pt>
                <c:pt idx="181">
                  <c:v>52.298111943851197</c:v>
                </c:pt>
                <c:pt idx="182">
                  <c:v>52.21684010725015</c:v>
                </c:pt>
                <c:pt idx="183">
                  <c:v>52.135265732054009</c:v>
                </c:pt>
                <c:pt idx="184">
                  <c:v>52.053390105785255</c:v>
                </c:pt>
                <c:pt idx="185">
                  <c:v>51.971214587223415</c:v>
                </c:pt>
                <c:pt idx="186">
                  <c:v>51.886472415650957</c:v>
                </c:pt>
                <c:pt idx="187">
                  <c:v>51.80141678318796</c:v>
                </c:pt>
                <c:pt idx="188">
                  <c:v>51.716049372648143</c:v>
                </c:pt>
                <c:pt idx="189">
                  <c:v>51.630371929273366</c:v>
                </c:pt>
                <c:pt idx="190">
                  <c:v>51.542742323781624</c:v>
                </c:pt>
                <c:pt idx="191">
                  <c:v>51.454794580468587</c:v>
                </c:pt>
                <c:pt idx="192">
                  <c:v>51.366530722437773</c:v>
                </c:pt>
                <c:pt idx="193">
                  <c:v>51.277952824495344</c:v>
                </c:pt>
                <c:pt idx="194">
                  <c:v>51.18672838866334</c:v>
                </c:pt>
                <c:pt idx="195">
                  <c:v>51.095177809991554</c:v>
                </c:pt>
                <c:pt idx="196">
                  <c:v>51.003303478036372</c:v>
                </c:pt>
                <c:pt idx="197">
                  <c:v>50.911107824999931</c:v>
                </c:pt>
                <c:pt idx="198">
                  <c:v>50.816563908760656</c:v>
                </c:pt>
                <c:pt idx="199">
                  <c:v>50.721689702548133</c:v>
                </c:pt>
                <c:pt idx="200">
                  <c:v>50.62648791904175</c:v>
                </c:pt>
                <c:pt idx="201">
                  <c:v>50.530961303909834</c:v>
                </c:pt>
                <c:pt idx="202">
                  <c:v>50.433055228781541</c:v>
                </c:pt>
                <c:pt idx="203">
                  <c:v>50.334816134591506</c:v>
                </c:pt>
                <c:pt idx="204">
                  <c:v>50.236247034927658</c:v>
                </c:pt>
                <c:pt idx="205">
                  <c:v>50.137350966994546</c:v>
                </c:pt>
                <c:pt idx="206">
                  <c:v>50.035698492924155</c:v>
                </c:pt>
                <c:pt idx="207">
                  <c:v>49.933709367052103</c:v>
                </c:pt>
                <c:pt idx="208">
                  <c:v>49.831386914853027</c:v>
                </c:pt>
                <c:pt idx="209">
                  <c:v>49.728734476581991</c:v>
                </c:pt>
                <c:pt idx="210">
                  <c:v>49.622939140460971</c:v>
                </c:pt>
                <c:pt idx="211">
                  <c:v>49.516802736368675</c:v>
                </c:pt>
                <c:pt idx="212">
                  <c:v>49.410328918496759</c:v>
                </c:pt>
                <c:pt idx="213">
                  <c:v>49.303521347189985</c:v>
                </c:pt>
                <c:pt idx="214">
                  <c:v>49.194244721841216</c:v>
                </c:pt>
                <c:pt idx="215">
                  <c:v>49.08462860605465</c:v>
                </c:pt>
                <c:pt idx="216">
                  <c:v>48.974676889130222</c:v>
                </c:pt>
                <c:pt idx="217">
                  <c:v>48.864393457959665</c:v>
                </c:pt>
                <c:pt idx="218">
                  <c:v>48.751256321924188</c:v>
                </c:pt>
                <c:pt idx="219">
                  <c:v>48.637780381159388</c:v>
                </c:pt>
                <c:pt idx="220">
                  <c:v>48.52396977435788</c:v>
                </c:pt>
                <c:pt idx="221">
                  <c:v>48.409828629639094</c:v>
                </c:pt>
                <c:pt idx="222">
                  <c:v>48.292805550066817</c:v>
                </c:pt>
                <c:pt idx="223">
                  <c:v>48.175445714561732</c:v>
                </c:pt>
                <c:pt idx="224">
                  <c:v>48.057753488574889</c:v>
                </c:pt>
                <c:pt idx="225">
                  <c:v>47.939733219177725</c:v>
                </c:pt>
                <c:pt idx="226">
                  <c:v>47.818435753583316</c:v>
                </c:pt>
                <c:pt idx="227">
                  <c:v>47.696802871080479</c:v>
                </c:pt>
                <c:pt idx="228">
                  <c:v>47.574839182684116</c:v>
                </c:pt>
                <c:pt idx="229">
                  <c:v>47.452549273309984</c:v>
                </c:pt>
                <c:pt idx="230">
                  <c:v>47.201022689791074</c:v>
                </c:pt>
                <c:pt idx="231">
                  <c:v>47.074765288397685</c:v>
                </c:pt>
                <c:pt idx="232">
                  <c:v>46.948184893443198</c:v>
                </c:pt>
                <c:pt idx="233">
                  <c:v>46.81827001349555</c:v>
                </c:pt>
                <c:pt idx="234">
                  <c:v>46.688026694436616</c:v>
                </c:pt>
                <c:pt idx="235">
                  <c:v>46.557459972335607</c:v>
                </c:pt>
                <c:pt idx="236">
                  <c:v>46.42657484262412</c:v>
                </c:pt>
                <c:pt idx="237">
                  <c:v>46.292711048938372</c:v>
                </c:pt>
                <c:pt idx="238">
                  <c:v>46.158526169284045</c:v>
                </c:pt>
                <c:pt idx="239">
                  <c:v>46.024025374074967</c:v>
                </c:pt>
                <c:pt idx="240">
                  <c:v>45.88921378691964</c:v>
                </c:pt>
                <c:pt idx="241">
                  <c:v>45.750637816740436</c:v>
                </c:pt>
                <c:pt idx="242">
                  <c:v>45.611745721182984</c:v>
                </c:pt>
                <c:pt idx="243">
                  <c:v>45.472542870525132</c:v>
                </c:pt>
                <c:pt idx="244">
                  <c:v>45.333034581430667</c:v>
                </c:pt>
                <c:pt idx="245">
                  <c:v>45.190124508241297</c:v>
                </c:pt>
                <c:pt idx="246">
                  <c:v>45.046906369545155</c:v>
                </c:pt>
                <c:pt idx="247">
                  <c:v>44.903385668030268</c:v>
                </c:pt>
                <c:pt idx="248">
                  <c:v>44.759567846953075</c:v>
                </c:pt>
                <c:pt idx="249">
                  <c:v>44.611939823294051</c:v>
                </c:pt>
                <c:pt idx="250">
                  <c:v>44.464011381577365</c:v>
                </c:pt>
                <c:pt idx="251">
                  <c:v>44.315788178846304</c:v>
                </c:pt>
                <c:pt idx="252">
                  <c:v>44.167275806683421</c:v>
                </c:pt>
                <c:pt idx="253">
                  <c:v>44.01532764415154</c:v>
                </c:pt>
                <c:pt idx="254">
                  <c:v>43.86308951955715</c:v>
                </c:pt>
                <c:pt idx="255">
                  <c:v>43.710567176750828</c:v>
                </c:pt>
                <c:pt idx="256">
                  <c:v>43.557766289237776</c:v>
                </c:pt>
                <c:pt idx="257">
                  <c:v>43.400723239976486</c:v>
                </c:pt>
                <c:pt idx="258">
                  <c:v>43.243398898114123</c:v>
                </c:pt>
                <c:pt idx="259">
                  <c:v>43.085799161085987</c:v>
                </c:pt>
                <c:pt idx="260">
                  <c:v>42.927929850074577</c:v>
                </c:pt>
                <c:pt idx="261">
                  <c:v>42.76619975391759</c:v>
                </c:pt>
                <c:pt idx="262">
                  <c:v>42.604199765233659</c:v>
                </c:pt>
                <c:pt idx="263">
                  <c:v>42.441935867186686</c:v>
                </c:pt>
                <c:pt idx="264">
                  <c:v>42.279413961973802</c:v>
                </c:pt>
                <c:pt idx="265">
                  <c:v>42.113019849291561</c:v>
                </c:pt>
                <c:pt idx="266">
                  <c:v>41.946368351100801</c:v>
                </c:pt>
                <c:pt idx="267">
                  <c:v>41.779465514165054</c:v>
                </c:pt>
                <c:pt idx="268">
                  <c:v>41.61231730003442</c:v>
                </c:pt>
                <c:pt idx="269">
                  <c:v>41.440883490545104</c:v>
                </c:pt>
                <c:pt idx="270">
                  <c:v>41.269204693617212</c:v>
                </c:pt>
                <c:pt idx="271">
                  <c:v>41.097287041108672</c:v>
                </c:pt>
                <c:pt idx="272">
                  <c:v>40.925136575049379</c:v>
                </c:pt>
                <c:pt idx="273">
                  <c:v>40.748691055279693</c:v>
                </c:pt>
                <c:pt idx="274">
                  <c:v>40.572014136906461</c:v>
                </c:pt>
                <c:pt idx="275">
                  <c:v>40.395112013990143</c:v>
                </c:pt>
                <c:pt idx="276">
                  <c:v>40.217990786593333</c:v>
                </c:pt>
                <c:pt idx="277">
                  <c:v>40.03697680902917</c:v>
                </c:pt>
                <c:pt idx="278">
                  <c:v>39.855747094450777</c:v>
                </c:pt>
                <c:pt idx="279">
                  <c:v>39.674307835027435</c:v>
                </c:pt>
                <c:pt idx="280">
                  <c:v>39.492665126086166</c:v>
                </c:pt>
                <c:pt idx="281">
                  <c:v>39.305896583658949</c:v>
                </c:pt>
                <c:pt idx="282">
                  <c:v>39.118926146366704</c:v>
                </c:pt>
                <c:pt idx="283">
                  <c:v>38.93176010809114</c:v>
                </c:pt>
                <c:pt idx="284">
                  <c:v>38.744404660838484</c:v>
                </c:pt>
                <c:pt idx="285">
                  <c:v>38.553154530198526</c:v>
                </c:pt>
                <c:pt idx="286">
                  <c:v>38.361720112350525</c:v>
                </c:pt>
                <c:pt idx="287">
                  <c:v>38.17010765625227</c:v>
                </c:pt>
                <c:pt idx="288">
                  <c:v>37.978323307071093</c:v>
                </c:pt>
                <c:pt idx="289">
                  <c:v>37.781406731842907</c:v>
                </c:pt>
                <c:pt idx="290">
                  <c:v>37.584322030644273</c:v>
                </c:pt>
                <c:pt idx="291">
                  <c:v>37.387075507774767</c:v>
                </c:pt>
                <c:pt idx="292">
                  <c:v>37.189673359576972</c:v>
                </c:pt>
                <c:pt idx="293">
                  <c:v>36.98755468633621</c:v>
                </c:pt>
                <c:pt idx="294">
                  <c:v>36.785285895249103</c:v>
                </c:pt>
                <c:pt idx="295">
                  <c:v>36.582873282622529</c:v>
                </c:pt>
                <c:pt idx="296">
                  <c:v>36.380323033989583</c:v>
                </c:pt>
                <c:pt idx="297">
                  <c:v>36.173061724769184</c:v>
                </c:pt>
                <c:pt idx="298">
                  <c:v>35.965669227381312</c:v>
                </c:pt>
                <c:pt idx="299">
                  <c:v>35.75815180861963</c:v>
                </c:pt>
                <c:pt idx="300">
                  <c:v>35.550515622124607</c:v>
                </c:pt>
                <c:pt idx="301">
                  <c:v>35.338176651827922</c:v>
                </c:pt>
                <c:pt idx="302">
                  <c:v>35.125726254749225</c:v>
                </c:pt>
                <c:pt idx="303">
                  <c:v>34.913170647490034</c:v>
                </c:pt>
                <c:pt idx="304">
                  <c:v>34.700515931544516</c:v>
                </c:pt>
                <c:pt idx="305">
                  <c:v>34.482333289758202</c:v>
                </c:pt>
                <c:pt idx="306">
                  <c:v>34.264059047601478</c:v>
                </c:pt>
                <c:pt idx="307">
                  <c:v>34.04569942221994</c:v>
                </c:pt>
                <c:pt idx="308">
                  <c:v>33.82726051232126</c:v>
                </c:pt>
                <c:pt idx="309">
                  <c:v>33.604142890976931</c:v>
                </c:pt>
                <c:pt idx="310">
                  <c:v>33.380955091062958</c:v>
                </c:pt>
                <c:pt idx="311">
                  <c:v>33.157703236641424</c:v>
                </c:pt>
                <c:pt idx="312">
                  <c:v>32.934393332244923</c:v>
                </c:pt>
                <c:pt idx="313">
                  <c:v>32.705582807047364</c:v>
                </c:pt>
                <c:pt idx="314">
                  <c:v>32.476723746394242</c:v>
                </c:pt>
                <c:pt idx="315">
                  <c:v>32.24782222926666</c:v>
                </c:pt>
                <c:pt idx="316">
                  <c:v>32.018884212643087</c:v>
                </c:pt>
                <c:pt idx="317">
                  <c:v>31.78446357215438</c:v>
                </c:pt>
                <c:pt idx="318">
                  <c:v>31.550016928266018</c:v>
                </c:pt>
                <c:pt idx="319">
                  <c:v>31.31555029126821</c:v>
                </c:pt>
                <c:pt idx="320">
                  <c:v>31.081069547413676</c:v>
                </c:pt>
                <c:pt idx="321">
                  <c:v>30.841127173036227</c:v>
                </c:pt>
                <c:pt idx="322">
                  <c:v>30.601182110390823</c:v>
                </c:pt>
                <c:pt idx="323">
                  <c:v>30.36124027828086</c:v>
                </c:pt>
                <c:pt idx="324">
                  <c:v>30.12130746986719</c:v>
                </c:pt>
                <c:pt idx="325">
                  <c:v>29.875936885203856</c:v>
                </c:pt>
                <c:pt idx="326">
                  <c:v>29.630587604085861</c:v>
                </c:pt>
                <c:pt idx="327">
                  <c:v>29.385265431931629</c:v>
                </c:pt>
                <c:pt idx="328">
                  <c:v>29.139976047329327</c:v>
                </c:pt>
                <c:pt idx="329">
                  <c:v>28.888856263777114</c:v>
                </c:pt>
                <c:pt idx="330">
                  <c:v>28.637782509100361</c:v>
                </c:pt>
                <c:pt idx="331">
                  <c:v>28.386760482572043</c:v>
                </c:pt>
                <c:pt idx="332">
                  <c:v>28.135795755004835</c:v>
                </c:pt>
                <c:pt idx="333">
                  <c:v>27.879449221875262</c:v>
                </c:pt>
                <c:pt idx="334">
                  <c:v>27.623173859574251</c:v>
                </c:pt>
                <c:pt idx="335">
                  <c:v>27.36697521092421</c:v>
                </c:pt>
                <c:pt idx="336">
                  <c:v>27.110858689931803</c:v>
                </c:pt>
                <c:pt idx="337">
                  <c:v>26.848555502811166</c:v>
                </c:pt>
                <c:pt idx="338">
                  <c:v>26.586349620076447</c:v>
                </c:pt>
                <c:pt idx="339">
                  <c:v>26.324246460307734</c:v>
                </c:pt>
                <c:pt idx="340">
                  <c:v>26.062251311648254</c:v>
                </c:pt>
                <c:pt idx="341">
                  <c:v>25.794105643442776</c:v>
                </c:pt>
                <c:pt idx="342">
                  <c:v>25.526084029907082</c:v>
                </c:pt>
                <c:pt idx="343">
                  <c:v>25.258191740530009</c:v>
                </c:pt>
                <c:pt idx="344">
                  <c:v>24.990433913197961</c:v>
                </c:pt>
                <c:pt idx="345">
                  <c:v>24.716981233461695</c:v>
                </c:pt>
                <c:pt idx="346">
                  <c:v>24.443679381627618</c:v>
                </c:pt>
                <c:pt idx="347">
                  <c:v>24.170533431334519</c:v>
                </c:pt>
                <c:pt idx="348">
                  <c:v>23.897548324697908</c:v>
                </c:pt>
                <c:pt idx="349">
                  <c:v>23.618076851488127</c:v>
                </c:pt>
                <c:pt idx="350">
                  <c:v>23.338784251541284</c:v>
                </c:pt>
                <c:pt idx="351">
                  <c:v>23.05967542659846</c:v>
                </c:pt>
                <c:pt idx="352">
                  <c:v>22.780755145788618</c:v>
                </c:pt>
                <c:pt idx="353">
                  <c:v>22.495394080993663</c:v>
                </c:pt>
                <c:pt idx="354">
                  <c:v>22.210240348990226</c:v>
                </c:pt>
                <c:pt idx="355">
                  <c:v>21.92529865454631</c:v>
                </c:pt>
                <c:pt idx="356">
                  <c:v>21.640573569200143</c:v>
                </c:pt>
                <c:pt idx="357">
                  <c:v>21.349869179487399</c:v>
                </c:pt>
                <c:pt idx="358">
                  <c:v>21.059400184378973</c:v>
                </c:pt>
                <c:pt idx="359">
                  <c:v>20.769171048994622</c:v>
                </c:pt>
                <c:pt idx="360">
                  <c:v>20.479186105824851</c:v>
                </c:pt>
                <c:pt idx="361">
                  <c:v>20.182446236555904</c:v>
                </c:pt>
                <c:pt idx="362">
                  <c:v>19.88597129792953</c:v>
                </c:pt>
                <c:pt idx="363">
                  <c:v>19.589765531172958</c:v>
                </c:pt>
                <c:pt idx="364">
                  <c:v>19.293833044425497</c:v>
                </c:pt>
                <c:pt idx="365">
                  <c:v>18.991610878421454</c:v>
                </c:pt>
                <c:pt idx="366">
                  <c:v>18.689682541587075</c:v>
                </c:pt>
                <c:pt idx="367">
                  <c:v>18.388052010480209</c:v>
                </c:pt>
                <c:pt idx="368">
                  <c:v>18.086723129320745</c:v>
                </c:pt>
                <c:pt idx="369">
                  <c:v>17.778341480899485</c:v>
                </c:pt>
                <c:pt idx="370">
                  <c:v>17.470284172692345</c:v>
                </c:pt>
                <c:pt idx="371">
                  <c:v>17.162554925814788</c:v>
                </c:pt>
                <c:pt idx="372">
                  <c:v>16.855157328839198</c:v>
                </c:pt>
                <c:pt idx="373">
                  <c:v>16.541175570459586</c:v>
                </c:pt>
                <c:pt idx="374">
                  <c:v>16.227547763904766</c:v>
                </c:pt>
                <c:pt idx="375">
                  <c:v>15.914277336267588</c:v>
                </c:pt>
                <c:pt idx="376">
                  <c:v>15.601367583093719</c:v>
                </c:pt>
                <c:pt idx="377">
                  <c:v>15.281124122311297</c:v>
                </c:pt>
                <c:pt idx="378">
                  <c:v>14.961265926830123</c:v>
                </c:pt>
                <c:pt idx="379">
                  <c:v>14.641796132667679</c:v>
                </c:pt>
                <c:pt idx="380">
                  <c:v>14.322717744440524</c:v>
                </c:pt>
                <c:pt idx="381">
                  <c:v>13.997180233519543</c:v>
                </c:pt>
                <c:pt idx="382">
                  <c:v>13.672057087680372</c:v>
                </c:pt>
                <c:pt idx="383">
                  <c:v>13.34735110566308</c:v>
                </c:pt>
                <c:pt idx="384">
                  <c:v>13.023064956783713</c:v>
                </c:pt>
                <c:pt idx="385">
                  <c:v>12.691180205145145</c:v>
                </c:pt>
                <c:pt idx="386">
                  <c:v>12.359741627182444</c:v>
                </c:pt>
                <c:pt idx="387">
                  <c:v>12.028751693561958</c:v>
                </c:pt>
                <c:pt idx="388">
                  <c:v>11.698212746085488</c:v>
                </c:pt>
                <c:pt idx="389">
                  <c:v>11.36054875320778</c:v>
                </c:pt>
                <c:pt idx="390">
                  <c:v>11.023361265748235</c:v>
                </c:pt>
                <c:pt idx="391">
                  <c:v>10.686652393220186</c:v>
                </c:pt>
                <c:pt idx="392">
                  <c:v>10.35042411801146</c:v>
                </c:pt>
                <c:pt idx="393">
                  <c:v>10.007143460950601</c:v>
                </c:pt>
                <c:pt idx="394">
                  <c:v>9.6643690295609019</c:v>
                </c:pt>
                <c:pt idx="395">
                  <c:v>9.3221025518649583</c:v>
                </c:pt>
                <c:pt idx="396">
                  <c:v>8.9803456310043828</c:v>
                </c:pt>
                <c:pt idx="397">
                  <c:v>8.6308215320765669</c:v>
                </c:pt>
                <c:pt idx="398">
                  <c:v>8.2818350491544095</c:v>
                </c:pt>
                <c:pt idx="399">
                  <c:v>7.9333875190080221</c:v>
                </c:pt>
                <c:pt idx="400">
                  <c:v>7.5854801551573132</c:v>
                </c:pt>
                <c:pt idx="401">
                  <c:v>7.2302790846723042</c:v>
                </c:pt>
                <c:pt idx="402">
                  <c:v>6.8756450288616122</c:v>
                </c:pt>
                <c:pt idx="403">
                  <c:v>6.5215789070569201</c:v>
                </c:pt>
                <c:pt idx="404">
                  <c:v>6.1680815180772868</c:v>
                </c:pt>
                <c:pt idx="405">
                  <c:v>5.8069798507422945</c:v>
                </c:pt>
                <c:pt idx="406">
                  <c:v>5.4464749068631022</c:v>
                </c:pt>
                <c:pt idx="407">
                  <c:v>5.0865671719976433</c:v>
                </c:pt>
                <c:pt idx="408">
                  <c:v>4.7272570139143397</c:v>
                </c:pt>
                <c:pt idx="409">
                  <c:v>4.3600388200155464</c:v>
                </c:pt>
                <c:pt idx="410">
                  <c:v>3.9934473196647389</c:v>
                </c:pt>
                <c:pt idx="411">
                  <c:v>3.62748254555774</c:v>
                </c:pt>
                <c:pt idx="412">
                  <c:v>3.2621444153655261</c:v>
                </c:pt>
                <c:pt idx="413">
                  <c:v>2.8889853079660668</c:v>
                </c:pt>
                <c:pt idx="414">
                  <c:v>2.5164817066749947</c:v>
                </c:pt>
                <c:pt idx="415">
                  <c:v>2.1446331711497351</c:v>
                </c:pt>
                <c:pt idx="416">
                  <c:v>1.7734391493352746</c:v>
                </c:pt>
                <c:pt idx="417">
                  <c:v>1.3941299465105885</c:v>
                </c:pt>
                <c:pt idx="418">
                  <c:v>1.0155051165209557</c:v>
                </c:pt>
                <c:pt idx="419">
                  <c:v>0.63756372512474968</c:v>
                </c:pt>
                <c:pt idx="420">
                  <c:v>0.26030472975116936</c:v>
                </c:pt>
                <c:pt idx="421">
                  <c:v>-0.12460003938545583</c:v>
                </c:pt>
                <c:pt idx="422">
                  <c:v>-0.50879440601593728</c:v>
                </c:pt>
                <c:pt idx="423">
                  <c:v>-0.89227981277005597</c:v>
                </c:pt>
                <c:pt idx="424">
                  <c:v>-1.2750578062992588</c:v>
                </c:pt>
                <c:pt idx="425">
                  <c:v>-1.6665225353378617</c:v>
                </c:pt>
                <c:pt idx="426">
                  <c:v>-2.0572482170598505</c:v>
                </c:pt>
                <c:pt idx="427">
                  <c:v>-2.4472368333741485</c:v>
                </c:pt>
                <c:pt idx="428">
                  <c:v>-2.8364904666319433</c:v>
                </c:pt>
                <c:pt idx="429">
                  <c:v>-3.2339599247060846</c:v>
                </c:pt>
                <c:pt idx="430">
                  <c:v>-3.630664836232711</c:v>
                </c:pt>
                <c:pt idx="431">
                  <c:v>-4.0266077359452197</c:v>
                </c:pt>
                <c:pt idx="432">
                  <c:v>-4.4217912545506408</c:v>
                </c:pt>
                <c:pt idx="433">
                  <c:v>-4.8250979119200679</c:v>
                </c:pt>
                <c:pt idx="434">
                  <c:v>-5.2276164332332939</c:v>
                </c:pt>
                <c:pt idx="435">
                  <c:v>-5.6293499213484495</c:v>
                </c:pt>
                <c:pt idx="436">
                  <c:v>-6.0303015702158405</c:v>
                </c:pt>
                <c:pt idx="437">
                  <c:v>-6.4400193517730315</c:v>
                </c:pt>
                <c:pt idx="438">
                  <c:v>-6.8489245707355053</c:v>
                </c:pt>
                <c:pt idx="439">
                  <c:v>-7.2570209314208398</c:v>
                </c:pt>
                <c:pt idx="440">
                  <c:v>-7.6643122246245809</c:v>
                </c:pt>
                <c:pt idx="441">
                  <c:v>-8.0802714899377008</c:v>
                </c:pt>
                <c:pt idx="442">
                  <c:v>-8.4953959999325264</c:v>
                </c:pt>
                <c:pt idx="443">
                  <c:v>-8.9096900777356325</c:v>
                </c:pt>
                <c:pt idx="444">
                  <c:v>-9.323158127947238</c:v>
                </c:pt>
                <c:pt idx="445">
                  <c:v>-9.7451980835078587</c:v>
                </c:pt>
                <c:pt idx="446">
                  <c:v>-10.16638350507921</c:v>
                </c:pt>
                <c:pt idx="447">
                  <c:v>-10.586719349962976</c:v>
                </c:pt>
                <c:pt idx="448">
                  <c:v>-11.006210651627953</c:v>
                </c:pt>
                <c:pt idx="449">
                  <c:v>-11.434897022317529</c:v>
                </c:pt>
                <c:pt idx="450">
                  <c:v>-11.862708751447627</c:v>
                </c:pt>
                <c:pt idx="451">
                  <c:v>-12.289651472559655</c:v>
                </c:pt>
                <c:pt idx="452">
                  <c:v>-12.715730890299568</c:v>
                </c:pt>
                <c:pt idx="453">
                  <c:v>-13.150550440201812</c:v>
                </c:pt>
                <c:pt idx="454">
                  <c:v>-13.584479515461794</c:v>
                </c:pt>
                <c:pt idx="455">
                  <c:v>-14.017524428304341</c:v>
                </c:pt>
                <c:pt idx="456">
                  <c:v>-14.449691556553603</c:v>
                </c:pt>
                <c:pt idx="457">
                  <c:v>-14.891212143118992</c:v>
                </c:pt>
                <c:pt idx="458">
                  <c:v>-15.331826513907174</c:v>
                </c:pt>
                <c:pt idx="459">
                  <c:v>-15.771541707492105</c:v>
                </c:pt>
                <c:pt idx="460">
                  <c:v>-16.210364822846287</c:v>
                </c:pt>
                <c:pt idx="461">
                  <c:v>-16.658444624065169</c:v>
                </c:pt>
                <c:pt idx="462">
                  <c:v>-17.10560572673711</c:v>
                </c:pt>
                <c:pt idx="463">
                  <c:v>-17.55185591443535</c:v>
                </c:pt>
                <c:pt idx="464">
                  <c:v>-17.9972030258632</c:v>
                </c:pt>
                <c:pt idx="465">
                  <c:v>-18.452061122199126</c:v>
                </c:pt>
                <c:pt idx="466">
                  <c:v>-18.905990093991107</c:v>
                </c:pt>
                <c:pt idx="467">
                  <c:v>-19.358998507491407</c:v>
                </c:pt>
                <c:pt idx="468">
                  <c:v>-19.811094979019032</c:v>
                </c:pt>
                <c:pt idx="469">
                  <c:v>-20.272610330134569</c:v>
                </c:pt>
                <c:pt idx="470">
                  <c:v>-20.733189880502096</c:v>
                </c:pt>
                <c:pt idx="471">
                  <c:v>-21.192842999761496</c:v>
                </c:pt>
                <c:pt idx="472">
                  <c:v>-21.651579102695194</c:v>
                </c:pt>
                <c:pt idx="473">
                  <c:v>-22.120329848998892</c:v>
                </c:pt>
                <c:pt idx="474">
                  <c:v>-22.588139369353485</c:v>
                </c:pt>
                <c:pt idx="475">
                  <c:v>-23.05501790264114</c:v>
                </c:pt>
                <c:pt idx="476">
                  <c:v>-23.520975728468215</c:v>
                </c:pt>
                <c:pt idx="477">
                  <c:v>-23.996858971520567</c:v>
                </c:pt>
                <c:pt idx="478">
                  <c:v>-24.471799960574032</c:v>
                </c:pt>
                <c:pt idx="479">
                  <c:v>-24.945809831451129</c:v>
                </c:pt>
                <c:pt idx="480">
                  <c:v>-25.418899756633351</c:v>
                </c:pt>
                <c:pt idx="481">
                  <c:v>-25.901832404145608</c:v>
                </c:pt>
                <c:pt idx="482">
                  <c:v>-26.383826444771472</c:v>
                </c:pt>
                <c:pt idx="483">
                  <c:v>-26.864893940530976</c:v>
                </c:pt>
                <c:pt idx="484">
                  <c:v>-27.345046986547771</c:v>
                </c:pt>
                <c:pt idx="485">
                  <c:v>-27.835300621587606</c:v>
                </c:pt>
                <c:pt idx="486">
                  <c:v>-28.324623000383838</c:v>
                </c:pt>
                <c:pt idx="487">
                  <c:v>-28.813027169416642</c:v>
                </c:pt>
                <c:pt idx="488">
                  <c:v>-29.300526205476956</c:v>
                </c:pt>
                <c:pt idx="489">
                  <c:v>-29.798716210743237</c:v>
                </c:pt>
                <c:pt idx="490">
                  <c:v>-30.295985271734253</c:v>
                </c:pt>
                <c:pt idx="491">
                  <c:v>-30.792347513480593</c:v>
                </c:pt>
                <c:pt idx="492">
                  <c:v>-31.287817089513027</c:v>
                </c:pt>
                <c:pt idx="493">
                  <c:v>-31.793907601437496</c:v>
                </c:pt>
                <c:pt idx="494">
                  <c:v>-32.299093489444488</c:v>
                </c:pt>
                <c:pt idx="495">
                  <c:v>-32.803390005233808</c:v>
                </c:pt>
                <c:pt idx="496">
                  <c:v>-33.306812428195883</c:v>
                </c:pt>
                <c:pt idx="497">
                  <c:v>-33.821121783804102</c:v>
                </c:pt>
                <c:pt idx="498">
                  <c:v>-34.334548140725758</c:v>
                </c:pt>
                <c:pt idx="499">
                  <c:v>-34.84710796217135</c:v>
                </c:pt>
                <c:pt idx="500">
                  <c:v>-35.358817739520333</c:v>
                </c:pt>
                <c:pt idx="501">
                  <c:v>-35.881685642884605</c:v>
                </c:pt>
                <c:pt idx="502">
                  <c:v>-36.403698140077495</c:v>
                </c:pt>
                <c:pt idx="503">
                  <c:v>-36.924873002311926</c:v>
                </c:pt>
                <c:pt idx="504">
                  <c:v>-37.445228030964074</c:v>
                </c:pt>
                <c:pt idx="505">
                  <c:v>-37.976697008148875</c:v>
                </c:pt>
                <c:pt idx="506">
                  <c:v>-38.507345865199767</c:v>
                </c:pt>
                <c:pt idx="507">
                  <c:v>-39.037193756341566</c:v>
                </c:pt>
                <c:pt idx="508">
                  <c:v>-39.566259869651475</c:v>
                </c:pt>
                <c:pt idx="509">
                  <c:v>-40.106728961200702</c:v>
                </c:pt>
                <c:pt idx="510">
                  <c:v>-40.646420567256655</c:v>
                </c:pt>
                <c:pt idx="511">
                  <c:v>-41.185355346478786</c:v>
                </c:pt>
                <c:pt idx="512">
                  <c:v>-41.723553997113299</c:v>
                </c:pt>
                <c:pt idx="513">
                  <c:v>-42.273772865575609</c:v>
                </c:pt>
                <c:pt idx="514">
                  <c:v>-42.823264311334924</c:v>
                </c:pt>
                <c:pt idx="515">
                  <c:v>-43.37205067501182</c:v>
                </c:pt>
                <c:pt idx="516">
                  <c:v>-43.920154345014339</c:v>
                </c:pt>
                <c:pt idx="517">
                  <c:v>-44.480269754049885</c:v>
                </c:pt>
                <c:pt idx="518">
                  <c:v>-45.039718055414625</c:v>
                </c:pt>
                <c:pt idx="519">
                  <c:v>-45.598523393635759</c:v>
                </c:pt>
                <c:pt idx="520">
                  <c:v>-46.15670997183534</c:v>
                </c:pt>
                <c:pt idx="521">
                  <c:v>-46.727233094396752</c:v>
                </c:pt>
                <c:pt idx="522">
                  <c:v>-47.297159871539975</c:v>
                </c:pt>
                <c:pt idx="523">
                  <c:v>-47.866516432892695</c:v>
                </c:pt>
                <c:pt idx="524">
                  <c:v>-48.435328980547837</c:v>
                </c:pt>
                <c:pt idx="525">
                  <c:v>-49.016819387906395</c:v>
                </c:pt>
                <c:pt idx="526">
                  <c:v>-49.597795959570306</c:v>
                </c:pt>
                <c:pt idx="527">
                  <c:v>-50.178287017033341</c:v>
                </c:pt>
                <c:pt idx="528">
                  <c:v>-50.758320971568338</c:v>
                </c:pt>
                <c:pt idx="529">
                  <c:v>-51.35139336762154</c:v>
                </c:pt>
                <c:pt idx="530">
                  <c:v>-51.94404765059673</c:v>
                </c:pt>
                <c:pt idx="531">
                  <c:v>-52.536314569453651</c:v>
                </c:pt>
                <c:pt idx="532">
                  <c:v>-53.128224984059784</c:v>
                </c:pt>
                <c:pt idx="533">
                  <c:v>-53.733869194349978</c:v>
                </c:pt>
                <c:pt idx="534">
                  <c:v>-54.339205577536234</c:v>
                </c:pt>
                <c:pt idx="535">
                  <c:v>-54.94426762981081</c:v>
                </c:pt>
                <c:pt idx="536">
                  <c:v>-55.549088983846474</c:v>
                </c:pt>
                <c:pt idx="537">
                  <c:v>-56.167428331602167</c:v>
                </c:pt>
                <c:pt idx="538">
                  <c:v>-56.785587533612784</c:v>
                </c:pt>
                <c:pt idx="539">
                  <c:v>-57.403603033262243</c:v>
                </c:pt>
                <c:pt idx="540">
                  <c:v>-58.02151143984446</c:v>
                </c:pt>
                <c:pt idx="541">
                  <c:v>-58.654000036170345</c:v>
                </c:pt>
                <c:pt idx="542">
                  <c:v>-59.28645459283689</c:v>
                </c:pt>
                <c:pt idx="543">
                  <c:v>-59.918914953412809</c:v>
                </c:pt>
                <c:pt idx="544">
                  <c:v>-60.551421162005909</c:v>
                </c:pt>
                <c:pt idx="545">
                  <c:v>-61.198668255215239</c:v>
                </c:pt>
                <c:pt idx="546">
                  <c:v>-61.846048819859732</c:v>
                </c:pt>
                <c:pt idx="547">
                  <c:v>-62.49360642886208</c:v>
                </c:pt>
                <c:pt idx="548">
                  <c:v>-63.141384894347652</c:v>
                </c:pt>
                <c:pt idx="549">
                  <c:v>-63.804415420483309</c:v>
                </c:pt>
                <c:pt idx="550">
                  <c:v>-64.467770704141742</c:v>
                </c:pt>
                <c:pt idx="551">
                  <c:v>-65.131498474440718</c:v>
                </c:pt>
                <c:pt idx="552">
                  <c:v>-65.795646742120596</c:v>
                </c:pt>
                <c:pt idx="553">
                  <c:v>-66.475915257003606</c:v>
                </c:pt>
                <c:pt idx="554">
                  <c:v>-67.156727001837538</c:v>
                </c:pt>
                <c:pt idx="555">
                  <c:v>-67.838134403107745</c:v>
                </c:pt>
                <c:pt idx="556">
                  <c:v>-68.520190214399264</c:v>
                </c:pt>
                <c:pt idx="557">
                  <c:v>-69.918548289418908</c:v>
                </c:pt>
                <c:pt idx="558">
                  <c:v>-71.320305565725079</c:v>
                </c:pt>
                <c:pt idx="559">
                  <c:v>-72.758195438469812</c:v>
                </c:pt>
                <c:pt idx="560">
                  <c:v>-74.200634250666951</c:v>
                </c:pt>
                <c:pt idx="561">
                  <c:v>-75.682542328114863</c:v>
                </c:pt>
                <c:pt idx="562">
                  <c:v>-77.170309796619563</c:v>
                </c:pt>
                <c:pt idx="563">
                  <c:v>-78.696638474009774</c:v>
                </c:pt>
                <c:pt idx="564">
                  <c:v>-80.23027582285556</c:v>
                </c:pt>
                <c:pt idx="565">
                  <c:v>-81.810807371180886</c:v>
                </c:pt>
                <c:pt idx="566">
                  <c:v>-83.400336993646818</c:v>
                </c:pt>
                <c:pt idx="567">
                  <c:v>-85.03899398769795</c:v>
                </c:pt>
                <c:pt idx="568">
                  <c:v>-86.688542435615432</c:v>
                </c:pt>
                <c:pt idx="569">
                  <c:v>-88.383070114798727</c:v>
                </c:pt>
                <c:pt idx="570">
                  <c:v>-90.090489931083255</c:v>
                </c:pt>
                <c:pt idx="571">
                  <c:v>-91.85904164053261</c:v>
                </c:pt>
                <c:pt idx="572">
                  <c:v>-93.642901369643653</c:v>
                </c:pt>
                <c:pt idx="573">
                  <c:v>-95.477442533045803</c:v>
                </c:pt>
                <c:pt idx="574">
                  <c:v>-97.329676811604202</c:v>
                </c:pt>
                <c:pt idx="575">
                  <c:v>-99.249803039137248</c:v>
                </c:pt>
                <c:pt idx="576">
                  <c:v>-101.19045130929436</c:v>
                </c:pt>
                <c:pt idx="577">
                  <c:v>-109.65435946979142</c:v>
                </c:pt>
                <c:pt idx="578">
                  <c:v>-118.56327141039446</c:v>
                </c:pt>
                <c:pt idx="579">
                  <c:v>-139.76754761032686</c:v>
                </c:pt>
                <c:pt idx="580">
                  <c:v>-165.08007419891499</c:v>
                </c:pt>
                <c:pt idx="581">
                  <c:v>-12.52394456229348</c:v>
                </c:pt>
                <c:pt idx="582">
                  <c:v>-38.699709348049879</c:v>
                </c:pt>
                <c:pt idx="583">
                  <c:v>-61.908130951153879</c:v>
                </c:pt>
                <c:pt idx="584">
                  <c:v>-82.992496990040934</c:v>
                </c:pt>
                <c:pt idx="585">
                  <c:v>-104.16430119365361</c:v>
                </c:pt>
                <c:pt idx="586">
                  <c:v>-129.10872905781792</c:v>
                </c:pt>
                <c:pt idx="587">
                  <c:v>-164.19190985944886</c:v>
                </c:pt>
                <c:pt idx="588">
                  <c:v>-31.41374082856413</c:v>
                </c:pt>
                <c:pt idx="589">
                  <c:v>-73.501713469567875</c:v>
                </c:pt>
                <c:pt idx="590">
                  <c:v>-105.92453202507841</c:v>
                </c:pt>
                <c:pt idx="591">
                  <c:v>-141.23683718301277</c:v>
                </c:pt>
                <c:pt idx="592">
                  <c:v>-19.300882266252614</c:v>
                </c:pt>
                <c:pt idx="593">
                  <c:v>-80.941723363238793</c:v>
                </c:pt>
                <c:pt idx="594">
                  <c:v>-124.50873757242863</c:v>
                </c:pt>
                <c:pt idx="595">
                  <c:v>-189.64869394416831</c:v>
                </c:pt>
                <c:pt idx="596">
                  <c:v>-88.831038091778112</c:v>
                </c:pt>
                <c:pt idx="597">
                  <c:v>-146.98601414748083</c:v>
                </c:pt>
                <c:pt idx="598">
                  <c:v>-68.251254523321251</c:v>
                </c:pt>
                <c:pt idx="599">
                  <c:v>-139.65213959308056</c:v>
                </c:pt>
                <c:pt idx="600">
                  <c:v>-76.428032040141488</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10902.5</c:v>
                </c:pt>
              </c:numCache>
            </c:numRef>
          </c:xVal>
          <c:yVal>
            <c:numRef>
              <c:f>'Stability Calculations'!$AL$9</c:f>
              <c:numCache>
                <c:formatCode>0.0</c:formatCode>
                <c:ptCount val="1"/>
                <c:pt idx="0">
                  <c:v>52.37749534713295</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10902.5</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Single'!$AN$110:$AN$210</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341.19996701038207</c:v>
                </c:pt>
                <c:pt idx="35">
                  <c:v>332.17721232048342</c:v>
                </c:pt>
                <c:pt idx="36">
                  <c:v>323.23537981342434</c:v>
                </c:pt>
                <c:pt idx="37">
                  <c:v>315.07489404756603</c:v>
                </c:pt>
                <c:pt idx="38">
                  <c:v>307.3841642389832</c:v>
                </c:pt>
                <c:pt idx="39">
                  <c:v>300.07165912005559</c:v>
                </c:pt>
                <c:pt idx="40">
                  <c:v>293.07134516897264</c:v>
                </c:pt>
                <c:pt idx="41">
                  <c:v>286.28690671498555</c:v>
                </c:pt>
                <c:pt idx="42">
                  <c:v>279.80612247679039</c:v>
                </c:pt>
                <c:pt idx="43">
                  <c:v>273.62769789235898</c:v>
                </c:pt>
                <c:pt idx="44">
                  <c:v>267.71492912959576</c:v>
                </c:pt>
                <c:pt idx="45">
                  <c:v>262.05103803733306</c:v>
                </c:pt>
                <c:pt idx="46">
                  <c:v>256.62063023751739</c:v>
                </c:pt>
                <c:pt idx="47">
                  <c:v>251.40955534920479</c:v>
                </c:pt>
                <c:pt idx="48">
                  <c:v>246.40478381972719</c:v>
                </c:pt>
                <c:pt idx="49">
                  <c:v>241.59429810572948</c:v>
                </c:pt>
                <c:pt idx="50">
                  <c:v>236.96699629074348</c:v>
                </c:pt>
                <c:pt idx="51">
                  <c:v>232.51260651207804</c:v>
                </c:pt>
                <c:pt idx="52">
                  <c:v>228.22161080866272</c:v>
                </c:pt>
                <c:pt idx="53">
                  <c:v>224.08517720160768</c:v>
                </c:pt>
                <c:pt idx="54">
                  <c:v>220.09509898749036</c:v>
                </c:pt>
                <c:pt idx="55">
                  <c:v>216.24374036629294</c:v>
                </c:pt>
                <c:pt idx="56">
                  <c:v>212.5239876459938</c:v>
                </c:pt>
                <c:pt idx="57">
                  <c:v>208.92920536772999</c:v>
                </c:pt>
                <c:pt idx="58">
                  <c:v>205.45319678220679</c:v>
                </c:pt>
                <c:pt idx="59">
                  <c:v>202.09016818208795</c:v>
                </c:pt>
                <c:pt idx="60">
                  <c:v>198.83469665849324</c:v>
                </c:pt>
                <c:pt idx="61">
                  <c:v>195.68170090414023</c:v>
                </c:pt>
                <c:pt idx="62">
                  <c:v>192.62641473248769</c:v>
                </c:pt>
                <c:pt idx="63">
                  <c:v>189.66436302261533</c:v>
                </c:pt>
                <c:pt idx="64">
                  <c:v>186.79133983450225</c:v>
                </c:pt>
                <c:pt idx="65">
                  <c:v>184.003388469621</c:v>
                </c:pt>
                <c:pt idx="66">
                  <c:v>181.29678327805729</c:v>
                </c:pt>
                <c:pt idx="67">
                  <c:v>178.6680130362445</c:v>
                </c:pt>
                <c:pt idx="68">
                  <c:v>176.11376573936465</c:v>
                </c:pt>
                <c:pt idx="69">
                  <c:v>173.63091466991705</c:v>
                </c:pt>
                <c:pt idx="70">
                  <c:v>171.21650561923701</c:v>
                </c:pt>
                <c:pt idx="71">
                  <c:v>168.86774515216089</c:v>
                </c:pt>
                <c:pt idx="72">
                  <c:v>166.5819898168206</c:v>
                </c:pt>
                <c:pt idx="73">
                  <c:v>164.35673621194306</c:v>
                </c:pt>
                <c:pt idx="74">
                  <c:v>162.18961183318621</c:v>
                </c:pt>
                <c:pt idx="75">
                  <c:v>160.07836662814898</c:v>
                </c:pt>
                <c:pt idx="76">
                  <c:v>158.02086519686063</c:v>
                </c:pt>
                <c:pt idx="77">
                  <c:v>156.01507958091381</c:v>
                </c:pt>
                <c:pt idx="78">
                  <c:v>154.05908259005574</c:v>
                </c:pt>
                <c:pt idx="79">
                  <c:v>152.15104162007464</c:v>
                </c:pt>
                <c:pt idx="80">
                  <c:v>150.28921292029628</c:v>
                </c:pt>
                <c:pt idx="81">
                  <c:v>148.47193627299765</c:v>
                </c:pt>
                <c:pt idx="82">
                  <c:v>146.69763005061552</c:v>
                </c:pt>
                <c:pt idx="83">
                  <c:v>144.96478661981774</c:v>
                </c:pt>
                <c:pt idx="84">
                  <c:v>143.27196806436959</c:v>
                </c:pt>
                <c:pt idx="85">
                  <c:v>141.61780220128878</c:v>
                </c:pt>
                <c:pt idx="86">
                  <c:v>140.00097886709295</c:v>
                </c:pt>
                <c:pt idx="87">
                  <c:v>138.4202464530149</c:v>
                </c:pt>
                <c:pt idx="88">
                  <c:v>136.87440866992733</c:v>
                </c:pt>
                <c:pt idx="89">
                  <c:v>135.36232152540461</c:v>
                </c:pt>
                <c:pt idx="90">
                  <c:v>133.88289049686736</c:v>
                </c:pt>
                <c:pt idx="91">
                  <c:v>132.4350678861303</c:v>
                </c:pt>
                <c:pt idx="92">
                  <c:v>131.01785034191516</c:v>
                </c:pt>
                <c:pt idx="93">
                  <c:v>129.63027653801851</c:v>
                </c:pt>
                <c:pt idx="94">
                  <c:v>128.27142499584147</c:v>
                </c:pt>
                <c:pt idx="95">
                  <c:v>126.94041204091924</c:v>
                </c:pt>
                <c:pt idx="96">
                  <c:v>125.63638988392481</c:v>
                </c:pt>
                <c:pt idx="97">
                  <c:v>124.35854481739277</c:v>
                </c:pt>
                <c:pt idx="98">
                  <c:v>123.10609552010054</c:v>
                </c:pt>
                <c:pt idx="99">
                  <c:v>121.87829146168403</c:v>
                </c:pt>
                <c:pt idx="100">
                  <c:v>120.67441140064166</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Single'!$AN$5:$AN$105</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347.66330326496347</c:v>
                </c:pt>
                <c:pt idx="45">
                  <c:v>340.55931015097519</c:v>
                </c:pt>
                <c:pt idx="46">
                  <c:v>333.74620214384856</c:v>
                </c:pt>
                <c:pt idx="47">
                  <c:v>326.69203433110465</c:v>
                </c:pt>
                <c:pt idx="48">
                  <c:v>320.42475146740026</c:v>
                </c:pt>
                <c:pt idx="49">
                  <c:v>314.40157442794577</c:v>
                </c:pt>
                <c:pt idx="50">
                  <c:v>308.60888682019475</c:v>
                </c:pt>
                <c:pt idx="51">
                  <c:v>303.03408398803276</c:v>
                </c:pt>
                <c:pt idx="52">
                  <c:v>297.63271981452345</c:v>
                </c:pt>
                <c:pt idx="53">
                  <c:v>292.36349774218758</c:v>
                </c:pt>
                <c:pt idx="54">
                  <c:v>287.27863903344956</c:v>
                </c:pt>
                <c:pt idx="55">
                  <c:v>282.36866544043266</c:v>
                </c:pt>
                <c:pt idx="56">
                  <c:v>277.61404678115326</c:v>
                </c:pt>
                <c:pt idx="57">
                  <c:v>273.01559640379708</c:v>
                </c:pt>
                <c:pt idx="58">
                  <c:v>268.5671369804906</c:v>
                </c:pt>
                <c:pt idx="59">
                  <c:v>264.26144415393429</c:v>
                </c:pt>
                <c:pt idx="60">
                  <c:v>260.09175019452078</c:v>
                </c:pt>
                <c:pt idx="61">
                  <c:v>256.05170848410688</c:v>
                </c:pt>
                <c:pt idx="62">
                  <c:v>252.13536126392751</c:v>
                </c:pt>
                <c:pt idx="63">
                  <c:v>248.33711030194053</c:v>
                </c:pt>
                <c:pt idx="64">
                  <c:v>244.65169017587641</c:v>
                </c:pt>
                <c:pt idx="65">
                  <c:v>241.07414390384915</c:v>
                </c:pt>
                <c:pt idx="66">
                  <c:v>237.5998006853479</c:v>
                </c:pt>
                <c:pt idx="67">
                  <c:v>234.2242555424248</c:v>
                </c:pt>
                <c:pt idx="68">
                  <c:v>230.94335067448264</c:v>
                </c:pt>
                <c:pt idx="69">
                  <c:v>227.75315836071772</c:v>
                </c:pt>
                <c:pt idx="70">
                  <c:v>224.64996526238895</c:v>
                </c:pt>
                <c:pt idx="71">
                  <c:v>221.63025799300297</c:v>
                </c:pt>
                <c:pt idx="72">
                  <c:v>218.69070983852433</c:v>
                </c:pt>
                <c:pt idx="73">
                  <c:v>215.82816852208171</c:v>
                </c:pt>
                <c:pt idx="74">
                  <c:v>213.03964491856547</c:v>
                </c:pt>
                <c:pt idx="75">
                  <c:v>210.32230263417952</c:v>
                </c:pt>
                <c:pt idx="76">
                  <c:v>207.67344837458063</c:v>
                </c:pt>
                <c:pt idx="77">
                  <c:v>205.09052303284869</c:v>
                </c:pt>
                <c:pt idx="78">
                  <c:v>202.57109343529737</c:v>
                </c:pt>
                <c:pt idx="79">
                  <c:v>200.1128446891621</c:v>
                </c:pt>
                <c:pt idx="80">
                  <c:v>197.71357308157911</c:v>
                </c:pt>
                <c:pt idx="81">
                  <c:v>195.37117948406774</c:v>
                </c:pt>
                <c:pt idx="82">
                  <c:v>193.08366322102654</c:v>
                </c:pt>
                <c:pt idx="83">
                  <c:v>190.84911636459867</c:v>
                </c:pt>
                <c:pt idx="84">
                  <c:v>188.665718421713</c:v>
                </c:pt>
                <c:pt idx="85">
                  <c:v>186.53173138220478</c:v>
                </c:pt>
                <c:pt idx="86">
                  <c:v>184.44549509970815</c:v>
                </c:pt>
                <c:pt idx="87">
                  <c:v>182.40542297951816</c:v>
                </c:pt>
                <c:pt idx="88">
                  <c:v>180.409997949885</c:v>
                </c:pt>
                <c:pt idx="89">
                  <c:v>178.4577686952388</c:v>
                </c:pt>
                <c:pt idx="90">
                  <c:v>176.54734613169154</c:v>
                </c:pt>
                <c:pt idx="91">
                  <c:v>174.67740010682937</c:v>
                </c:pt>
                <c:pt idx="92">
                  <c:v>172.84665630731507</c:v>
                </c:pt>
                <c:pt idx="93">
                  <c:v>171.05389335919594</c:v>
                </c:pt>
                <c:pt idx="94">
                  <c:v>169.29794010704876</c:v>
                </c:pt>
                <c:pt idx="95">
                  <c:v>167.57767305922579</c:v>
                </c:pt>
                <c:pt idx="96">
                  <c:v>165.89201398749125</c:v>
                </c:pt>
                <c:pt idx="97">
                  <c:v>164.23992767027067</c:v>
                </c:pt>
                <c:pt idx="98">
                  <c:v>162.62041976958793</c:v>
                </c:pt>
                <c:pt idx="99">
                  <c:v>161.03253483254144</c:v>
                </c:pt>
                <c:pt idx="100">
                  <c:v>159.47535440887859</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Single'!$AN$216:$AN$316</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347.09082652202289</c:v>
                </c:pt>
                <c:pt idx="62">
                  <c:v>341.98395049687286</c:v>
                </c:pt>
                <c:pt idx="63">
                  <c:v>337.0295896010839</c:v>
                </c:pt>
                <c:pt idx="64">
                  <c:v>332.22105826031043</c:v>
                </c:pt>
                <c:pt idx="65">
                  <c:v>327.03848099648962</c:v>
                </c:pt>
                <c:pt idx="66">
                  <c:v>322.51658389644467</c:v>
                </c:pt>
                <c:pt idx="67">
                  <c:v>318.12328877596747</c:v>
                </c:pt>
                <c:pt idx="68">
                  <c:v>313.85330312229485</c:v>
                </c:pt>
                <c:pt idx="69">
                  <c:v>309.7016235562441</c:v>
                </c:pt>
                <c:pt idx="70">
                  <c:v>305.65044437869921</c:v>
                </c:pt>
                <c:pt idx="71">
                  <c:v>301.66886094028393</c:v>
                </c:pt>
                <c:pt idx="72">
                  <c:v>297.79215268116826</c:v>
                </c:pt>
                <c:pt idx="73">
                  <c:v>294.0162741763836</c:v>
                </c:pt>
                <c:pt idx="74">
                  <c:v>290.33738645271148</c:v>
                </c:pt>
                <c:pt idx="75">
                  <c:v>286.75184401474047</c:v>
                </c:pt>
                <c:pt idx="76">
                  <c:v>283.24753111949281</c:v>
                </c:pt>
                <c:pt idx="77">
                  <c:v>279.81280698348456</c:v>
                </c:pt>
                <c:pt idx="78">
                  <c:v>276.46128035470485</c:v>
                </c:pt>
                <c:pt idx="79">
                  <c:v>273.18996236625179</c:v>
                </c:pt>
                <c:pt idx="80">
                  <c:v>269.99600562646924</c:v>
                </c:pt>
                <c:pt idx="81">
                  <c:v>266.87669594608525</c:v>
                </c:pt>
                <c:pt idx="82">
                  <c:v>263.829444639153</c:v>
                </c:pt>
                <c:pt idx="83">
                  <c:v>260.85178135189494</c:v>
                </c:pt>
                <c:pt idx="84">
                  <c:v>257.94134737769537</c:v>
                </c:pt>
                <c:pt idx="85">
                  <c:v>255.09588942022236</c:v>
                </c:pt>
                <c:pt idx="86">
                  <c:v>252.31325377001829</c:v>
                </c:pt>
                <c:pt idx="87">
                  <c:v>249.59138086293152</c:v>
                </c:pt>
                <c:pt idx="88">
                  <c:v>246.92830019149039</c:v>
                </c:pt>
                <c:pt idx="89">
                  <c:v>244.32212554280423</c:v>
                </c:pt>
                <c:pt idx="90">
                  <c:v>241.77105053879831</c:v>
                </c:pt>
                <c:pt idx="91">
                  <c:v>239.27334445662993</c:v>
                </c:pt>
                <c:pt idx="92">
                  <c:v>236.82734830895751</c:v>
                </c:pt>
                <c:pt idx="93">
                  <c:v>234.43147116541209</c:v>
                </c:pt>
                <c:pt idx="94">
                  <c:v>232.08418669812698</c:v>
                </c:pt>
                <c:pt idx="95">
                  <c:v>229.78402993556682</c:v>
                </c:pt>
                <c:pt idx="96">
                  <c:v>227.52959421014609</c:v>
                </c:pt>
                <c:pt idx="97">
                  <c:v>225.3195282862747</c:v>
                </c:pt>
                <c:pt idx="98">
                  <c:v>223.15253365650787</c:v>
                </c:pt>
                <c:pt idx="99">
                  <c:v>221.02736199443322</c:v>
                </c:pt>
                <c:pt idx="100">
                  <c:v>218.94281275379512</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8.0000016577729104E-3</c:v>
                </c:pt>
                <c:pt idx="1">
                  <c:v>1.7921139490229387E-2</c:v>
                </c:pt>
                <c:pt idx="2">
                  <c:v>3.5842278980458775E-2</c:v>
                </c:pt>
                <c:pt idx="3">
                  <c:v>5.3763418470688148E-2</c:v>
                </c:pt>
                <c:pt idx="4">
                  <c:v>7.168455796091755E-2</c:v>
                </c:pt>
                <c:pt idx="5">
                  <c:v>8.9605697451146937E-2</c:v>
                </c:pt>
                <c:pt idx="6">
                  <c:v>0.1075268369413763</c:v>
                </c:pt>
                <c:pt idx="7">
                  <c:v>0.12544797643160571</c:v>
                </c:pt>
                <c:pt idx="8">
                  <c:v>0.1433691159218351</c:v>
                </c:pt>
                <c:pt idx="9">
                  <c:v>0.16129025541206446</c:v>
                </c:pt>
                <c:pt idx="10">
                  <c:v>0.17921139490229387</c:v>
                </c:pt>
                <c:pt idx="11">
                  <c:v>0.19713253439252326</c:v>
                </c:pt>
                <c:pt idx="12">
                  <c:v>0.21505367388275259</c:v>
                </c:pt>
                <c:pt idx="13">
                  <c:v>0.23297481337298204</c:v>
                </c:pt>
                <c:pt idx="14">
                  <c:v>0.24214675178683573</c:v>
                </c:pt>
                <c:pt idx="15">
                  <c:v>0.25072538734920752</c:v>
                </c:pt>
                <c:pt idx="16">
                  <c:v>0.25902765312865034</c:v>
                </c:pt>
                <c:pt idx="17">
                  <c:v>0.26707909080264181</c:v>
                </c:pt>
                <c:pt idx="18">
                  <c:v>0.27490153448896643</c:v>
                </c:pt>
                <c:pt idx="19">
                  <c:v>0.28251382312078732</c:v>
                </c:pt>
                <c:pt idx="20">
                  <c:v>0.28993234593925554</c:v>
                </c:pt>
                <c:pt idx="21">
                  <c:v>0.29717146653500676</c:v>
                </c:pt>
                <c:pt idx="22">
                  <c:v>0.30424385693864964</c:v>
                </c:pt>
                <c:pt idx="23">
                  <c:v>0.31116076403737697</c:v>
                </c:pt>
                <c:pt idx="24">
                  <c:v>0.31793222435410257</c:v>
                </c:pt>
                <c:pt idx="25">
                  <c:v>0.32456723891910705</c:v>
                </c:pt>
                <c:pt idx="26">
                  <c:v>0.33107391693942873</c:v>
                </c:pt>
                <c:pt idx="27">
                  <c:v>0.33745959481227689</c:v>
                </c:pt>
                <c:pt idx="28">
                  <c:v>0.34373093546499039</c:v>
                </c:pt>
                <c:pt idx="29">
                  <c:v>0.3498940118561093</c:v>
                </c:pt>
                <c:pt idx="30">
                  <c:v>0.35595437761894666</c:v>
                </c:pt>
                <c:pt idx="31">
                  <c:v>0.36191712718767616</c:v>
                </c:pt>
                <c:pt idx="32">
                  <c:v>0.36778694725870625</c:v>
                </c:pt>
                <c:pt idx="33">
                  <c:v>0.37356816106630786</c:v>
                </c:pt>
                <c:pt idx="34">
                  <c:v>0.37926476666206849</c:v>
                </c:pt>
                <c:pt idx="35">
                  <c:v>0.38488047016178711</c:v>
                </c:pt>
                <c:pt idx="36">
                  <c:v>0.39041871474558942</c:v>
                </c:pt>
                <c:pt idx="37">
                  <c:v>0.39588270605603254</c:v>
                </c:pt>
                <c:pt idx="38">
                  <c:v>0.40127543452637526</c:v>
                </c:pt>
                <c:pt idx="39">
                  <c:v>0.4065996950806916</c:v>
                </c:pt>
                <c:pt idx="40">
                  <c:v>0.41185810457431465</c:v>
                </c:pt>
                <c:pt idx="41">
                  <c:v>0.41705311728354683</c:v>
                </c:pt>
                <c:pt idx="42">
                  <c:v>0.42228201827182715</c:v>
                </c:pt>
                <c:pt idx="43">
                  <c:v>0.42750016189576767</c:v>
                </c:pt>
                <c:pt idx="44">
                  <c:v>0.42978014530509101</c:v>
                </c:pt>
                <c:pt idx="45">
                  <c:v>0.42598115463579467</c:v>
                </c:pt>
                <c:pt idx="46">
                  <c:v>0.422298886708317</c:v>
                </c:pt>
                <c:pt idx="47">
                  <c:v>0.41775188513275024</c:v>
                </c:pt>
                <c:pt idx="48">
                  <c:v>0.41856023875404147</c:v>
                </c:pt>
                <c:pt idx="49">
                  <c:v>0.41935388613407509</c:v>
                </c:pt>
                <c:pt idx="50">
                  <c:v>0.42013428868517899</c:v>
                </c:pt>
                <c:pt idx="51">
                  <c:v>0.42090283323346139</c:v>
                </c:pt>
                <c:pt idx="52">
                  <c:v>0.4216637787749441</c:v>
                </c:pt>
                <c:pt idx="53">
                  <c:v>0.42242112749225885</c:v>
                </c:pt>
                <c:pt idx="54">
                  <c:v>0.42317051111498538</c:v>
                </c:pt>
                <c:pt idx="55">
                  <c:v>0.42391311030425438</c:v>
                </c:pt>
                <c:pt idx="56">
                  <c:v>0.42452280548327587</c:v>
                </c:pt>
                <c:pt idx="57">
                  <c:v>0.4251007217729571</c:v>
                </c:pt>
                <c:pt idx="58">
                  <c:v>0.42566538136681087</c:v>
                </c:pt>
                <c:pt idx="59">
                  <c:v>0.42621741832995069</c:v>
                </c:pt>
                <c:pt idx="60">
                  <c:v>0.42675742665563232</c:v>
                </c:pt>
                <c:pt idx="61">
                  <c:v>0.42728596338196301</c:v>
                </c:pt>
                <c:pt idx="62">
                  <c:v>0.42780355142217075</c:v>
                </c:pt>
                <c:pt idx="63">
                  <c:v>0.42831068213868456</c:v>
                </c:pt>
                <c:pt idx="64">
                  <c:v>0.42880781768767878</c:v>
                </c:pt>
                <c:pt idx="65">
                  <c:v>0.42929539315761012</c:v>
                </c:pt>
                <c:pt idx="66">
                  <c:v>0.42977381852256141</c:v>
                </c:pt>
                <c:pt idx="67">
                  <c:v>0.43024348042883498</c:v>
                </c:pt>
                <c:pt idx="68">
                  <c:v>0.43070474383117235</c:v>
                </c:pt>
                <c:pt idx="69">
                  <c:v>0.43115795349315922</c:v>
                </c:pt>
                <c:pt idx="70">
                  <c:v>0.4316034353647904</c:v>
                </c:pt>
                <c:pt idx="71">
                  <c:v>0.43204149784876994</c:v>
                </c:pt>
                <c:pt idx="72">
                  <c:v>0.43247243296589077</c:v>
                </c:pt>
                <c:pt idx="73">
                  <c:v>0.43289651742875401</c:v>
                </c:pt>
                <c:pt idx="74">
                  <c:v>0.43331401363213379</c:v>
                </c:pt>
                <c:pt idx="75">
                  <c:v>0.43372517056743409</c:v>
                </c:pt>
                <c:pt idx="76">
                  <c:v>0.43413022466794632</c:v>
                </c:pt>
                <c:pt idx="77">
                  <c:v>0.43452940059093514</c:v>
                </c:pt>
                <c:pt idx="78">
                  <c:v>0.43492291194199939</c:v>
                </c:pt>
                <c:pt idx="79">
                  <c:v>0.4353109619466094</c:v>
                </c:pt>
                <c:pt idx="80">
                  <c:v>0.43569374407327094</c:v>
                </c:pt>
                <c:pt idx="81">
                  <c:v>0.43607144261232572</c:v>
                </c:pt>
                <c:pt idx="82">
                  <c:v>0.43644423321403131</c:v>
                </c:pt>
                <c:pt idx="83">
                  <c:v>0.4368122833892269</c:v>
                </c:pt>
                <c:pt idx="84">
                  <c:v>0.43717575297558214</c:v>
                </c:pt>
                <c:pt idx="85">
                  <c:v>0.43753479457215894</c:v>
                </c:pt>
                <c:pt idx="86">
                  <c:v>0.43788955394477047</c:v>
                </c:pt>
                <c:pt idx="87">
                  <c:v>0.43824017040440283</c:v>
                </c:pt>
                <c:pt idx="88">
                  <c:v>0.43858677716076261</c:v>
                </c:pt>
                <c:pt idx="89">
                  <c:v>0.43892950165283889</c:v>
                </c:pt>
                <c:pt idx="90">
                  <c:v>0.43926846585820317</c:v>
                </c:pt>
                <c:pt idx="91">
                  <c:v>0.43960378658262855</c:v>
                </c:pt>
                <c:pt idx="92">
                  <c:v>0.43993557573146869</c:v>
                </c:pt>
                <c:pt idx="93">
                  <c:v>0.44026394056412899</c:v>
                </c:pt>
                <c:pt idx="94">
                  <c:v>0.44058898393284146</c:v>
                </c:pt>
                <c:pt idx="95">
                  <c:v>0.44091080450686448</c:v>
                </c:pt>
                <c:pt idx="96">
                  <c:v>0.44122949698313252</c:v>
                </c:pt>
                <c:pt idx="97">
                  <c:v>0.44154515228430391</c:v>
                </c:pt>
                <c:pt idx="98">
                  <c:v>0.44185785774507608</c:v>
                </c:pt>
                <c:pt idx="99">
                  <c:v>0.44216769728757127</c:v>
                </c:pt>
                <c:pt idx="100">
                  <c:v>0.44247475158653449</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1.066666961381871E-2</c:v>
                </c:pt>
                <c:pt idx="1">
                  <c:v>2.3903478481208183E-2</c:v>
                </c:pt>
                <c:pt idx="2">
                  <c:v>4.7806956962416366E-2</c:v>
                </c:pt>
                <c:pt idx="3">
                  <c:v>7.1710435443624543E-2</c:v>
                </c:pt>
                <c:pt idx="4">
                  <c:v>9.5613913924832733E-2</c:v>
                </c:pt>
                <c:pt idx="5">
                  <c:v>0.11951739240604092</c:v>
                </c:pt>
                <c:pt idx="6">
                  <c:v>0.14342087088724909</c:v>
                </c:pt>
                <c:pt idx="7">
                  <c:v>0.1673243493684573</c:v>
                </c:pt>
                <c:pt idx="8">
                  <c:v>0.19122782784966547</c:v>
                </c:pt>
                <c:pt idx="9">
                  <c:v>0.21513130633087366</c:v>
                </c:pt>
                <c:pt idx="10">
                  <c:v>0.23903478481208185</c:v>
                </c:pt>
                <c:pt idx="11">
                  <c:v>0.26293826329329006</c:v>
                </c:pt>
                <c:pt idx="12">
                  <c:v>0.28684174177449817</c:v>
                </c:pt>
                <c:pt idx="13">
                  <c:v>0.31074522025570644</c:v>
                </c:pt>
                <c:pt idx="14">
                  <c:v>0.322982195023645</c:v>
                </c:pt>
                <c:pt idx="15">
                  <c:v>0.33442898467658816</c:v>
                </c:pt>
                <c:pt idx="16">
                  <c:v>0.34550728595688823</c:v>
                </c:pt>
                <c:pt idx="17">
                  <c:v>0.35625115428581283</c:v>
                </c:pt>
                <c:pt idx="18">
                  <c:v>0.36668970168504833</c:v>
                </c:pt>
                <c:pt idx="19">
                  <c:v>0.37684804660824617</c:v>
                </c:pt>
                <c:pt idx="20">
                  <c:v>0.38674804126296941</c:v>
                </c:pt>
                <c:pt idx="21">
                  <c:v>0.39640883699809648</c:v>
                </c:pt>
                <c:pt idx="22">
                  <c:v>0.4058473297567588</c:v>
                </c:pt>
                <c:pt idx="23">
                  <c:v>0.41507851529761158</c:v>
                </c:pt>
                <c:pt idx="24">
                  <c:v>0.42411577556627406</c:v>
                </c:pt>
                <c:pt idx="25">
                  <c:v>0.43297111185689113</c:v>
                </c:pt>
                <c:pt idx="26">
                  <c:v>0.4416553363707777</c:v>
                </c:pt>
                <c:pt idx="27">
                  <c:v>0.45017823090050146</c:v>
                </c:pt>
                <c:pt idx="28">
                  <c:v>0.45854867928275223</c:v>
                </c:pt>
                <c:pt idx="29">
                  <c:v>0.46677477873274875</c:v>
                </c:pt>
                <c:pt idx="30">
                  <c:v>0.4748639340353546</c:v>
                </c:pt>
                <c:pt idx="31">
                  <c:v>0.48282293771291895</c:v>
                </c:pt>
                <c:pt idx="32">
                  <c:v>0.49070241553827243</c:v>
                </c:pt>
                <c:pt idx="33">
                  <c:v>0.49864432246093437</c:v>
                </c:pt>
                <c:pt idx="34">
                  <c:v>0.4937557398758064</c:v>
                </c:pt>
                <c:pt idx="35">
                  <c:v>0.48805949806923143</c:v>
                </c:pt>
                <c:pt idx="36">
                  <c:v>0.48437246520930854</c:v>
                </c:pt>
                <c:pt idx="37">
                  <c:v>0.4854045271235341</c:v>
                </c:pt>
                <c:pt idx="38">
                  <c:v>0.48654124617166161</c:v>
                </c:pt>
                <c:pt idx="39">
                  <c:v>0.48765571909235045</c:v>
                </c:pt>
                <c:pt idx="40">
                  <c:v>0.48875593050853144</c:v>
                </c:pt>
                <c:pt idx="41">
                  <c:v>0.48985314439168121</c:v>
                </c:pt>
                <c:pt idx="42">
                  <c:v>0.49092699268853918</c:v>
                </c:pt>
                <c:pt idx="43">
                  <c:v>0.49176491136598366</c:v>
                </c:pt>
                <c:pt idx="44">
                  <c:v>0.49257556119777191</c:v>
                </c:pt>
                <c:pt idx="45">
                  <c:v>0.49336065516490585</c:v>
                </c:pt>
                <c:pt idx="46">
                  <c:v>0.49412176498627614</c:v>
                </c:pt>
                <c:pt idx="47">
                  <c:v>0.49486033538735891</c:v>
                </c:pt>
                <c:pt idx="48">
                  <c:v>0.49557769667364315</c:v>
                </c:pt>
                <c:pt idx="49">
                  <c:v>0.49627507583921482</c:v>
                </c:pt>
                <c:pt idx="50">
                  <c:v>0.49695360640580077</c:v>
                </c:pt>
                <c:pt idx="51">
                  <c:v>0.4976143371583846</c:v>
                </c:pt>
                <c:pt idx="52">
                  <c:v>0.49825823991911372</c:v>
                </c:pt>
                <c:pt idx="53">
                  <c:v>0.49888621648079373</c:v>
                </c:pt>
                <c:pt idx="54">
                  <c:v>0.49949910480409082</c:v>
                </c:pt>
                <c:pt idx="55">
                  <c:v>0.50009768456807702</c:v>
                </c:pt>
                <c:pt idx="56">
                  <c:v>0.50068268215149425</c:v>
                </c:pt>
                <c:pt idx="57">
                  <c:v>0.50125477511171179</c:v>
                </c:pt>
                <c:pt idx="58">
                  <c:v>0.50181459621949398</c:v>
                </c:pt>
                <c:pt idx="59">
                  <c:v>0.5023627371001359</c:v>
                </c:pt>
                <c:pt idx="60">
                  <c:v>0.50289975152505328</c:v>
                </c:pt>
                <c:pt idx="61">
                  <c:v>0.5034261583923596</c:v>
                </c:pt>
                <c:pt idx="62">
                  <c:v>0.50394244443018221</c:v>
                </c:pt>
                <c:pt idx="63">
                  <c:v>0.50444906665234868</c:v>
                </c:pt>
                <c:pt idx="64">
                  <c:v>0.50494645459251064</c:v>
                </c:pt>
                <c:pt idx="65">
                  <c:v>0.50543501233967814</c:v>
                </c:pt>
                <c:pt idx="66">
                  <c:v>0.50591512039546349</c:v>
                </c:pt>
                <c:pt idx="67">
                  <c:v>0.50638713737098673</c:v>
                </c:pt>
                <c:pt idx="68">
                  <c:v>0.50685140153936536</c:v>
                </c:pt>
                <c:pt idx="69">
                  <c:v>0.50730823225792732</c:v>
                </c:pt>
                <c:pt idx="70">
                  <c:v>0.50775793127272262</c:v>
                </c:pt>
                <c:pt idx="71">
                  <c:v>0.50820078391654744</c:v>
                </c:pt>
                <c:pt idx="72">
                  <c:v>0.50863706021048083</c:v>
                </c:pt>
                <c:pt idx="73">
                  <c:v>0.5090670158778865</c:v>
                </c:pt>
                <c:pt idx="74">
                  <c:v>0.50949089327888164</c:v>
                </c:pt>
                <c:pt idx="75">
                  <c:v>0.50990892227246343</c:v>
                </c:pt>
                <c:pt idx="76">
                  <c:v>0.51032132101274041</c:v>
                </c:pt>
                <c:pt idx="77">
                  <c:v>0.51072829668506881</c:v>
                </c:pt>
                <c:pt idx="78">
                  <c:v>0.5111300461873266</c:v>
                </c:pt>
                <c:pt idx="79">
                  <c:v>0.51152675676102821</c:v>
                </c:pt>
                <c:pt idx="80">
                  <c:v>0.51191860657654287</c:v>
                </c:pt>
                <c:pt idx="81">
                  <c:v>0.51230576527626126</c:v>
                </c:pt>
                <c:pt idx="82">
                  <c:v>0.51268839447919423</c:v>
                </c:pt>
                <c:pt idx="83">
                  <c:v>0.51306664825016068</c:v>
                </c:pt>
                <c:pt idx="84">
                  <c:v>0.51344067353643263</c:v>
                </c:pt>
                <c:pt idx="85">
                  <c:v>0.51381061057443633</c:v>
                </c:pt>
                <c:pt idx="86">
                  <c:v>0.51417659326888354</c:v>
                </c:pt>
                <c:pt idx="87">
                  <c:v>0.51453874954648438</c:v>
                </c:pt>
                <c:pt idx="88">
                  <c:v>0.51489720168621034</c:v>
                </c:pt>
                <c:pt idx="89">
                  <c:v>0.51525206662790179</c:v>
                </c:pt>
                <c:pt idx="90">
                  <c:v>0.5156034562608558</c:v>
                </c:pt>
                <c:pt idx="91">
                  <c:v>0.51595147769389704</c:v>
                </c:pt>
                <c:pt idx="92">
                  <c:v>0.51629623350830045</c:v>
                </c:pt>
                <c:pt idx="93">
                  <c:v>0.51663782199482366</c:v>
                </c:pt>
                <c:pt idx="94">
                  <c:v>0.51697633737600202</c:v>
                </c:pt>
                <c:pt idx="95">
                  <c:v>0.51731187001476397</c:v>
                </c:pt>
                <c:pt idx="96">
                  <c:v>0.51764450661033889</c:v>
                </c:pt>
                <c:pt idx="97">
                  <c:v>0.5179743303823513</c:v>
                </c:pt>
                <c:pt idx="98">
                  <c:v>0.51830142124392475</c:v>
                </c:pt>
                <c:pt idx="99">
                  <c:v>0.51862585596455313</c:v>
                </c:pt>
                <c:pt idx="100">
                  <c:v>0.51894770832343717</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5.3333340701212425E-3</c:v>
                </c:pt>
                <c:pt idx="1">
                  <c:v>1.1943116524634985E-2</c:v>
                </c:pt>
                <c:pt idx="2">
                  <c:v>2.388623304926997E-2</c:v>
                </c:pt>
                <c:pt idx="3">
                  <c:v>3.5829349573904948E-2</c:v>
                </c:pt>
                <c:pt idx="4">
                  <c:v>4.777246609853994E-2</c:v>
                </c:pt>
                <c:pt idx="5">
                  <c:v>5.9715582623174925E-2</c:v>
                </c:pt>
                <c:pt idx="6">
                  <c:v>7.1658699147809896E-2</c:v>
                </c:pt>
                <c:pt idx="7">
                  <c:v>8.3601815672444901E-2</c:v>
                </c:pt>
                <c:pt idx="8">
                  <c:v>9.5544932197079879E-2</c:v>
                </c:pt>
                <c:pt idx="9">
                  <c:v>0.10748804872171486</c:v>
                </c:pt>
                <c:pt idx="10">
                  <c:v>0.11943116524634985</c:v>
                </c:pt>
                <c:pt idx="11">
                  <c:v>0.13137428177098484</c:v>
                </c:pt>
                <c:pt idx="12">
                  <c:v>0.14331739829561979</c:v>
                </c:pt>
                <c:pt idx="13">
                  <c:v>0.1552605148202548</c:v>
                </c:pt>
                <c:pt idx="14">
                  <c:v>0.1613712826674755</c:v>
                </c:pt>
                <c:pt idx="15">
                  <c:v>0.16708607345839827</c:v>
                </c:pt>
                <c:pt idx="16">
                  <c:v>0.17261661555941996</c:v>
                </c:pt>
                <c:pt idx="17">
                  <c:v>0.17797993682470994</c:v>
                </c:pt>
                <c:pt idx="18">
                  <c:v>0.18319059339576715</c:v>
                </c:pt>
                <c:pt idx="19">
                  <c:v>0.18826114461901147</c:v>
                </c:pt>
                <c:pt idx="20">
                  <c:v>0.19320251670823546</c:v>
                </c:pt>
                <c:pt idx="21">
                  <c:v>0.19802428543952169</c:v>
                </c:pt>
                <c:pt idx="22">
                  <c:v>0.20273489887872159</c:v>
                </c:pt>
                <c:pt idx="23">
                  <c:v>0.20734185499293797</c:v>
                </c:pt>
                <c:pt idx="24">
                  <c:v>0.21185184483696143</c:v>
                </c:pt>
                <c:pt idx="25">
                  <c:v>0.21627086913466229</c:v>
                </c:pt>
                <c:pt idx="26">
                  <c:v>0.22060433405883681</c:v>
                </c:pt>
                <c:pt idx="27">
                  <c:v>0.22485713057370141</c:v>
                </c:pt>
                <c:pt idx="28">
                  <c:v>0.22903370066172099</c:v>
                </c:pt>
                <c:pt idx="29">
                  <c:v>0.2331380929911562</c:v>
                </c:pt>
                <c:pt idx="30">
                  <c:v>0.23717401001192298</c:v>
                </c:pt>
                <c:pt idx="31">
                  <c:v>0.24114484803977965</c:v>
                </c:pt>
                <c:pt idx="32">
                  <c:v>0.24505373156402352</c:v>
                </c:pt>
                <c:pt idx="33">
                  <c:v>0.24890354276467724</c:v>
                </c:pt>
                <c:pt idx="34">
                  <c:v>0.25269694703221496</c:v>
                </c:pt>
                <c:pt idx="35">
                  <c:v>0.25643641513224014</c:v>
                </c:pt>
                <c:pt idx="36">
                  <c:v>0.26012424253896838</c:v>
                </c:pt>
                <c:pt idx="37">
                  <c:v>0.26376256636736323</c:v>
                </c:pt>
                <c:pt idx="38">
                  <c:v>0.26735338025870886</c:v>
                </c:pt>
                <c:pt idx="39">
                  <c:v>0.27089854751407327</c:v>
                </c:pt>
                <c:pt idx="40">
                  <c:v>0.27439981272131936</c:v>
                </c:pt>
                <c:pt idx="41">
                  <c:v>0.27785881208162388</c:v>
                </c:pt>
                <c:pt idx="42">
                  <c:v>0.28127708260899215</c:v>
                </c:pt>
                <c:pt idx="43">
                  <c:v>0.28465607034955015</c:v>
                </c:pt>
                <c:pt idx="44">
                  <c:v>0.28799713774532348</c:v>
                </c:pt>
                <c:pt idx="45">
                  <c:v>0.29130157024888576</c:v>
                </c:pt>
                <c:pt idx="46">
                  <c:v>0.29457058227996819</c:v>
                </c:pt>
                <c:pt idx="47">
                  <c:v>0.29780532260231524</c:v>
                </c:pt>
                <c:pt idx="48">
                  <c:v>0.30100687918829766</c:v>
                </c:pt>
                <c:pt idx="49">
                  <c:v>0.30417628362969218</c:v>
                </c:pt>
                <c:pt idx="50">
                  <c:v>0.30731451514533137</c:v>
                </c:pt>
                <c:pt idx="51">
                  <c:v>0.31042250422975792</c:v>
                </c:pt>
                <c:pt idx="52">
                  <c:v>0.31350113598142526</c:v>
                </c:pt>
                <c:pt idx="53">
                  <c:v>0.31655125314418531</c:v>
                </c:pt>
                <c:pt idx="54">
                  <c:v>0.31957365889168643</c:v>
                </c:pt>
                <c:pt idx="55">
                  <c:v>0.32256911938075344</c:v>
                </c:pt>
                <c:pt idx="56">
                  <c:v>0.32555106332587946</c:v>
                </c:pt>
                <c:pt idx="57">
                  <c:v>0.32857030596379516</c:v>
                </c:pt>
                <c:pt idx="58">
                  <c:v>0.33156730225690068</c:v>
                </c:pt>
                <c:pt idx="59">
                  <c:v>0.33454269859200852</c:v>
                </c:pt>
                <c:pt idx="60">
                  <c:v>0.33749711463754972</c:v>
                </c:pt>
                <c:pt idx="61">
                  <c:v>0.3376015070258509</c:v>
                </c:pt>
                <c:pt idx="62">
                  <c:v>0.3354817219006262</c:v>
                </c:pt>
                <c:pt idx="63">
                  <c:v>0.33340922636788661</c:v>
                </c:pt>
                <c:pt idx="64">
                  <c:v>0.33138245492707097</c:v>
                </c:pt>
                <c:pt idx="65">
                  <c:v>0.32839167815993003</c:v>
                </c:pt>
                <c:pt idx="66">
                  <c:v>0.3290014578440299</c:v>
                </c:pt>
                <c:pt idx="67">
                  <c:v>0.32948545244963318</c:v>
                </c:pt>
                <c:pt idx="68">
                  <c:v>0.32996335923457104</c:v>
                </c:pt>
                <c:pt idx="69">
                  <c:v>0.33043556719358264</c:v>
                </c:pt>
                <c:pt idx="70">
                  <c:v>0.33090336948794224</c:v>
                </c:pt>
                <c:pt idx="71">
                  <c:v>0.3313689869436609</c:v>
                </c:pt>
                <c:pt idx="72">
                  <c:v>0.33182997586783264</c:v>
                </c:pt>
                <c:pt idx="73">
                  <c:v>0.33228666479677632</c:v>
                </c:pt>
                <c:pt idx="74">
                  <c:v>0.33273936949865163</c:v>
                </c:pt>
                <c:pt idx="75">
                  <c:v>0.33318839390934224</c:v>
                </c:pt>
                <c:pt idx="76">
                  <c:v>0.33360969390865813</c:v>
                </c:pt>
                <c:pt idx="77">
                  <c:v>0.33397862364776487</c:v>
                </c:pt>
                <c:pt idx="78">
                  <c:v>0.33434180498740662</c:v>
                </c:pt>
                <c:pt idx="79">
                  <c:v>0.33469944274114599</c:v>
                </c:pt>
                <c:pt idx="80">
                  <c:v>0.33505173202920902</c:v>
                </c:pt>
                <c:pt idx="81">
                  <c:v>0.33539885884530013</c:v>
                </c:pt>
                <c:pt idx="82">
                  <c:v>0.33574100058410494</c:v>
                </c:pt>
                <c:pt idx="83">
                  <c:v>0.3360783265326231</c:v>
                </c:pt>
                <c:pt idx="84">
                  <c:v>0.33641099832819354</c:v>
                </c:pt>
                <c:pt idx="85">
                  <c:v>0.33673917038581597</c:v>
                </c:pt>
                <c:pt idx="86">
                  <c:v>0.33706299029714493</c:v>
                </c:pt>
                <c:pt idx="87">
                  <c:v>0.33738259920332053</c:v>
                </c:pt>
                <c:pt idx="88">
                  <c:v>0.33769813214361905</c:v>
                </c:pt>
                <c:pt idx="89">
                  <c:v>0.33800971838173105</c:v>
                </c:pt>
                <c:pt idx="90">
                  <c:v>0.3383174817113247</c:v>
                </c:pt>
                <c:pt idx="91">
                  <c:v>0.33862154074241291</c:v>
                </c:pt>
                <c:pt idx="92">
                  <c:v>0.33892200916991783</c:v>
                </c:pt>
                <c:pt idx="93">
                  <c:v>0.33921899602570676</c:v>
                </c:pt>
                <c:pt idx="94">
                  <c:v>0.33951260591527971</c:v>
                </c:pt>
                <c:pt idx="95">
                  <c:v>0.33980293924018223</c:v>
                </c:pt>
                <c:pt idx="96">
                  <c:v>0.34009009240714427</c:v>
                </c:pt>
                <c:pt idx="97">
                  <c:v>0.34037415802485355</c:v>
                </c:pt>
                <c:pt idx="98">
                  <c:v>0.34065522508921331</c:v>
                </c:pt>
                <c:pt idx="99">
                  <c:v>0.34093337915786126</c:v>
                </c:pt>
                <c:pt idx="100">
                  <c:v>0.34120870251466723</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2.0982658897037267</c:v>
                </c:pt>
                <c:pt idx="33">
                  <c:v>2.1319992888143418</c:v>
                </c:pt>
                <c:pt idx="34">
                  <c:v>2.1653099184900952</c:v>
                </c:pt>
                <c:pt idx="35">
                  <c:v>2.1982205832420019</c:v>
                </c:pt>
                <c:pt idx="36">
                  <c:v>2.2424251922979432</c:v>
                </c:pt>
                <c:pt idx="37">
                  <c:v>2.3052471162643364</c:v>
                </c:pt>
                <c:pt idx="38">
                  <c:v>2.3681609182295311</c:v>
                </c:pt>
                <c:pt idx="39">
                  <c:v>2.4311084419165931</c:v>
                </c:pt>
                <c:pt idx="40">
                  <c:v>2.4944500425967133</c:v>
                </c:pt>
                <c:pt idx="41">
                  <c:v>2.558925571490104</c:v>
                </c:pt>
                <c:pt idx="42">
                  <c:v>2.6235467954084664</c:v>
                </c:pt>
                <c:pt idx="43">
                  <c:v>2.6871710745302413</c:v>
                </c:pt>
                <c:pt idx="44">
                  <c:v>2.7508494323644106</c:v>
                </c:pt>
                <c:pt idx="45">
                  <c:v>2.814581880599504</c:v>
                </c:pt>
                <c:pt idx="46">
                  <c:v>2.8783684309287541</c:v>
                </c:pt>
                <c:pt idx="47">
                  <c:v>2.9422090950499489</c:v>
                </c:pt>
                <c:pt idx="48">
                  <c:v>3.0061038846653099</c:v>
                </c:pt>
                <c:pt idx="49">
                  <c:v>3.0700528114813768</c:v>
                </c:pt>
                <c:pt idx="50">
                  <c:v>3.1340558872089175</c:v>
                </c:pt>
                <c:pt idx="51">
                  <c:v>3.1981131235628433</c:v>
                </c:pt>
                <c:pt idx="52">
                  <c:v>3.262224532262131</c:v>
                </c:pt>
                <c:pt idx="53">
                  <c:v>3.3263901250297616</c:v>
                </c:pt>
                <c:pt idx="54">
                  <c:v>3.3906099135926593</c:v>
                </c:pt>
                <c:pt idx="55">
                  <c:v>3.4548839096816484</c:v>
                </c:pt>
                <c:pt idx="56">
                  <c:v>3.5192121250313981</c:v>
                </c:pt>
                <c:pt idx="57">
                  <c:v>3.5835945713803827</c:v>
                </c:pt>
                <c:pt idx="58">
                  <c:v>3.6480312604708591</c:v>
                </c:pt>
                <c:pt idx="59">
                  <c:v>3.7125222040488208</c:v>
                </c:pt>
                <c:pt idx="60">
                  <c:v>3.7770674138639704</c:v>
                </c:pt>
                <c:pt idx="61">
                  <c:v>3.8416669016697047</c:v>
                </c:pt>
                <c:pt idx="62">
                  <c:v>3.9063206792230778</c:v>
                </c:pt>
                <c:pt idx="63">
                  <c:v>3.9710287582847945</c:v>
                </c:pt>
                <c:pt idx="64">
                  <c:v>4.0357911506191808</c:v>
                </c:pt>
                <c:pt idx="65">
                  <c:v>4.1006078679941709</c:v>
                </c:pt>
                <c:pt idx="66">
                  <c:v>4.1654789221812951</c:v>
                </c:pt>
                <c:pt idx="67">
                  <c:v>4.2304043249556642</c:v>
                </c:pt>
                <c:pt idx="68">
                  <c:v>4.2953840880959531</c:v>
                </c:pt>
                <c:pt idx="69">
                  <c:v>4.3604182233844009</c:v>
                </c:pt>
                <c:pt idx="70">
                  <c:v>4.4255067426067907</c:v>
                </c:pt>
                <c:pt idx="71">
                  <c:v>4.4906496575524422</c:v>
                </c:pt>
                <c:pt idx="72">
                  <c:v>4.5558469800142092</c:v>
                </c:pt>
                <c:pt idx="73">
                  <c:v>4.6210987217884671</c:v>
                </c:pt>
                <c:pt idx="74">
                  <c:v>4.6864048946751051</c:v>
                </c:pt>
                <c:pt idx="75">
                  <c:v>4.7517655104775312</c:v>
                </c:pt>
                <c:pt idx="76">
                  <c:v>4.8171805810026536</c:v>
                </c:pt>
                <c:pt idx="77">
                  <c:v>4.8826501180608757</c:v>
                </c:pt>
                <c:pt idx="78">
                  <c:v>4.9481741334661082</c:v>
                </c:pt>
                <c:pt idx="79">
                  <c:v>5.013752639035749</c:v>
                </c:pt>
                <c:pt idx="80">
                  <c:v>5.0793856465906835</c:v>
                </c:pt>
                <c:pt idx="81">
                  <c:v>5.1450731679552835</c:v>
                </c:pt>
                <c:pt idx="82">
                  <c:v>5.2108152149574032</c:v>
                </c:pt>
                <c:pt idx="83">
                  <c:v>5.2766117994283839</c:v>
                </c:pt>
                <c:pt idx="84">
                  <c:v>5.3424629332030351</c:v>
                </c:pt>
                <c:pt idx="85">
                  <c:v>5.4083686281196455</c:v>
                </c:pt>
                <c:pt idx="86">
                  <c:v>5.4743288960199825</c:v>
                </c:pt>
                <c:pt idx="87">
                  <c:v>5.5403437487492795</c:v>
                </c:pt>
                <c:pt idx="88">
                  <c:v>5.6064131981562477</c:v>
                </c:pt>
                <c:pt idx="89">
                  <c:v>5.6725372560930625</c:v>
                </c:pt>
                <c:pt idx="90">
                  <c:v>5.7387159344153762</c:v>
                </c:pt>
                <c:pt idx="91">
                  <c:v>5.804949244982299</c:v>
                </c:pt>
                <c:pt idx="92">
                  <c:v>5.8712371996564183</c:v>
                </c:pt>
                <c:pt idx="93">
                  <c:v>5.9375798103037818</c:v>
                </c:pt>
                <c:pt idx="94">
                  <c:v>6.0039770887939081</c:v>
                </c:pt>
                <c:pt idx="95">
                  <c:v>6.0704290469997773</c:v>
                </c:pt>
                <c:pt idx="96">
                  <c:v>6.1369356967978428</c:v>
                </c:pt>
                <c:pt idx="97">
                  <c:v>6.2034970500680142</c:v>
                </c:pt>
                <c:pt idx="98">
                  <c:v>6.2701131186936738</c:v>
                </c:pt>
                <c:pt idx="99">
                  <c:v>6.3367839145616669</c:v>
                </c:pt>
                <c:pt idx="100">
                  <c:v>6.4035094495623044</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2.4083248910059685</c:v>
                </c:pt>
                <c:pt idx="43">
                  <c:v>2.4379281613518806</c:v>
                </c:pt>
                <c:pt idx="44">
                  <c:v>2.4672428239722648</c:v>
                </c:pt>
                <c:pt idx="45">
                  <c:v>2.4962803276495933</c:v>
                </c:pt>
                <c:pt idx="46">
                  <c:v>2.5250515248416421</c:v>
                </c:pt>
                <c:pt idx="47">
                  <c:v>2.5522516927574062</c:v>
                </c:pt>
                <c:pt idx="48">
                  <c:v>2.6070215968754433</c:v>
                </c:pt>
                <c:pt idx="49">
                  <c:v>2.6618092382793108</c:v>
                </c:pt>
                <c:pt idx="50">
                  <c:v>2.7166147364079594</c:v>
                </c:pt>
                <c:pt idx="51">
                  <c:v>2.7714382278048908</c:v>
                </c:pt>
                <c:pt idx="52">
                  <c:v>2.826610664935242</c:v>
                </c:pt>
                <c:pt idx="53">
                  <c:v>2.8824873235258046</c:v>
                </c:pt>
                <c:pt idx="54">
                  <c:v>2.9384649365729691</c:v>
                </c:pt>
                <c:pt idx="55">
                  <c:v>2.9945478365546494</c:v>
                </c:pt>
                <c:pt idx="56">
                  <c:v>3.0500558831255788</c:v>
                </c:pt>
                <c:pt idx="57">
                  <c:v>3.1055042616597839</c:v>
                </c:pt>
                <c:pt idx="58">
                  <c:v>3.1609872313768848</c:v>
                </c:pt>
                <c:pt idx="59">
                  <c:v>3.216504797168386</c:v>
                </c:pt>
                <c:pt idx="60">
                  <c:v>3.2720569639269574</c:v>
                </c:pt>
                <c:pt idx="61">
                  <c:v>3.3276437365464138</c:v>
                </c:pt>
                <c:pt idx="62">
                  <c:v>3.3832651199216923</c:v>
                </c:pt>
                <c:pt idx="63">
                  <c:v>3.4389211189488424</c:v>
                </c:pt>
                <c:pt idx="64">
                  <c:v>3.4946117385250068</c:v>
                </c:pt>
                <c:pt idx="65">
                  <c:v>3.5503369835484078</c:v>
                </c:pt>
                <c:pt idx="66">
                  <c:v>3.6060968589183435</c:v>
                </c:pt>
                <c:pt idx="67">
                  <c:v>3.6618913695351645</c:v>
                </c:pt>
                <c:pt idx="68">
                  <c:v>3.7177205203002712</c:v>
                </c:pt>
                <c:pt idx="69">
                  <c:v>3.7735843161161076</c:v>
                </c:pt>
                <c:pt idx="70">
                  <c:v>3.8294827618861449</c:v>
                </c:pt>
                <c:pt idx="71">
                  <c:v>3.8854158625148814</c:v>
                </c:pt>
                <c:pt idx="72">
                  <c:v>3.9413836229078325</c:v>
                </c:pt>
                <c:pt idx="73">
                  <c:v>3.9973860479715229</c:v>
                </c:pt>
                <c:pt idx="74">
                  <c:v>4.053423142613485</c:v>
                </c:pt>
                <c:pt idx="75">
                  <c:v>4.1094949117422521</c:v>
                </c:pt>
                <c:pt idx="76">
                  <c:v>4.1656013602673525</c:v>
                </c:pt>
                <c:pt idx="77">
                  <c:v>4.2217424930993044</c:v>
                </c:pt>
                <c:pt idx="78">
                  <c:v>4.2779183151496163</c:v>
                </c:pt>
                <c:pt idx="79">
                  <c:v>4.33412883133078</c:v>
                </c:pt>
                <c:pt idx="80">
                  <c:v>4.3903740465562642</c:v>
                </c:pt>
                <c:pt idx="81">
                  <c:v>4.44665396574052</c:v>
                </c:pt>
                <c:pt idx="82">
                  <c:v>4.5029685937989674</c:v>
                </c:pt>
                <c:pt idx="83">
                  <c:v>4.5593179356480054</c:v>
                </c:pt>
                <c:pt idx="84">
                  <c:v>4.6157019962049963</c:v>
                </c:pt>
                <c:pt idx="85">
                  <c:v>4.6721207803882736</c:v>
                </c:pt>
                <c:pt idx="86">
                  <c:v>4.7285742931171324</c:v>
                </c:pt>
                <c:pt idx="87">
                  <c:v>4.7850625393118351</c:v>
                </c:pt>
                <c:pt idx="88">
                  <c:v>4.8415855238936025</c:v>
                </c:pt>
                <c:pt idx="89">
                  <c:v>4.8981432517846146</c:v>
                </c:pt>
                <c:pt idx="90">
                  <c:v>4.9547357279080169</c:v>
                </c:pt>
                <c:pt idx="91">
                  <c:v>5.0113629571879041</c:v>
                </c:pt>
                <c:pt idx="92">
                  <c:v>5.0680249445493306</c:v>
                </c:pt>
                <c:pt idx="93">
                  <c:v>5.1247216949183034</c:v>
                </c:pt>
                <c:pt idx="94">
                  <c:v>5.1814532132217836</c:v>
                </c:pt>
                <c:pt idx="95">
                  <c:v>5.2382195043876898</c:v>
                </c:pt>
                <c:pt idx="96">
                  <c:v>5.2950205733448854</c:v>
                </c:pt>
                <c:pt idx="97">
                  <c:v>5.3518564250231897</c:v>
                </c:pt>
                <c:pt idx="98">
                  <c:v>5.4087270643533669</c:v>
                </c:pt>
                <c:pt idx="99">
                  <c:v>5.4656324962671361</c:v>
                </c:pt>
                <c:pt idx="100">
                  <c:v>5.5225727256971631</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2.4078505137490342</c:v>
                </c:pt>
                <c:pt idx="43">
                  <c:v>2.4367389951979468</c:v>
                </c:pt>
                <c:pt idx="44">
                  <c:v>2.465302425816235</c:v>
                </c:pt>
                <c:pt idx="45">
                  <c:v>2.4935518239923748</c:v>
                </c:pt>
                <c:pt idx="46">
                  <c:v>2.5214975992544084</c:v>
                </c:pt>
                <c:pt idx="47">
                  <c:v>2.5491495983576913</c:v>
                </c:pt>
                <c:pt idx="48">
                  <c:v>2.5765171469819501</c:v>
                </c:pt>
                <c:pt idx="49">
                  <c:v>2.6036090875383247</c:v>
                </c:pt>
                <c:pt idx="50">
                  <c:v>2.6304338135209688</c:v>
                </c:pt>
                <c:pt idx="51">
                  <c:v>2.6569993007815409</c:v>
                </c:pt>
                <c:pt idx="52">
                  <c:v>2.6833131360569165</c:v>
                </c:pt>
                <c:pt idx="53">
                  <c:v>2.7093825430393474</c:v>
                </c:pt>
                <c:pt idx="54">
                  <c:v>2.7352144062429771</c:v>
                </c:pt>
                <c:pt idx="55">
                  <c:v>2.7608152928901779</c:v>
                </c:pt>
                <c:pt idx="56">
                  <c:v>2.7862907226923928</c:v>
                </c:pt>
                <c:pt idx="57">
                  <c:v>2.8120383813188226</c:v>
                </c:pt>
                <c:pt idx="58">
                  <c:v>2.8375932952278915</c:v>
                </c:pt>
                <c:pt idx="59">
                  <c:v>2.8629609955864606</c:v>
                </c:pt>
                <c:pt idx="60">
                  <c:v>2.8881467842860387</c:v>
                </c:pt>
                <c:pt idx="61">
                  <c:v>2.9131557473334793</c:v>
                </c:pt>
                <c:pt idx="62">
                  <c:v>2.9379927672574242</c:v>
                </c:pt>
                <c:pt idx="63">
                  <c:v>2.962662534617551</c:v>
                </c:pt>
                <c:pt idx="64">
                  <c:v>2.987169558694688</c:v>
                </c:pt>
                <c:pt idx="65">
                  <c:v>3.0074072629498447</c:v>
                </c:pt>
                <c:pt idx="66">
                  <c:v>3.0551232573127871</c:v>
                </c:pt>
                <c:pt idx="67">
                  <c:v>3.1017553382444984</c:v>
                </c:pt>
                <c:pt idx="68">
                  <c:v>3.14839594443808</c:v>
                </c:pt>
                <c:pt idx="69">
                  <c:v>3.1950450637435037</c:v>
                </c:pt>
                <c:pt idx="70">
                  <c:v>3.2418503547143618</c:v>
                </c:pt>
                <c:pt idx="71">
                  <c:v>3.289130260264236</c:v>
                </c:pt>
                <c:pt idx="72">
                  <c:v>3.3364507357258062</c:v>
                </c:pt>
                <c:pt idx="73">
                  <c:v>3.3838126120698786</c:v>
                </c:pt>
                <c:pt idx="74">
                  <c:v>3.4312167431212912</c:v>
                </c:pt>
                <c:pt idx="75">
                  <c:v>3.4786640063501957</c:v>
                </c:pt>
                <c:pt idx="76">
                  <c:v>3.526024508479022</c:v>
                </c:pt>
                <c:pt idx="77">
                  <c:v>3.5731581624515001</c:v>
                </c:pt>
                <c:pt idx="78">
                  <c:v>3.6203110414706816</c:v>
                </c:pt>
                <c:pt idx="79">
                  <c:v>3.6674831470830047</c:v>
                </c:pt>
                <c:pt idx="80">
                  <c:v>3.7146744808351038</c:v>
                </c:pt>
                <c:pt idx="81">
                  <c:v>3.7618850442738063</c:v>
                </c:pt>
                <c:pt idx="82">
                  <c:v>3.8091148389461407</c:v>
                </c:pt>
                <c:pt idx="83">
                  <c:v>3.8563638663993229</c:v>
                </c:pt>
                <c:pt idx="84">
                  <c:v>3.903632128180766</c:v>
                </c:pt>
                <c:pt idx="85">
                  <c:v>3.9509196258380657</c:v>
                </c:pt>
                <c:pt idx="86">
                  <c:v>3.9982263609190141</c:v>
                </c:pt>
                <c:pt idx="87">
                  <c:v>4.045552334971581</c:v>
                </c:pt>
                <c:pt idx="88">
                  <c:v>4.0928975495439319</c:v>
                </c:pt>
                <c:pt idx="89">
                  <c:v>4.1402620061844102</c:v>
                </c:pt>
                <c:pt idx="90">
                  <c:v>4.1876457064415478</c:v>
                </c:pt>
                <c:pt idx="91">
                  <c:v>4.2350486518640533</c:v>
                </c:pt>
                <c:pt idx="92">
                  <c:v>4.2824708440008248</c:v>
                </c:pt>
                <c:pt idx="93">
                  <c:v>4.329912284400935</c:v>
                </c:pt>
                <c:pt idx="94">
                  <c:v>4.3773729746136416</c:v>
                </c:pt>
                <c:pt idx="95">
                  <c:v>4.4248529161883781</c:v>
                </c:pt>
                <c:pt idx="96">
                  <c:v>4.4723521106747617</c:v>
                </c:pt>
                <c:pt idx="97">
                  <c:v>4.519870559622583</c:v>
                </c:pt>
                <c:pt idx="98">
                  <c:v>4.5674082645818102</c:v>
                </c:pt>
                <c:pt idx="99">
                  <c:v>4.6149652271025934</c:v>
                </c:pt>
                <c:pt idx="100">
                  <c:v>4.6625414487352561</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1.2361656503101914</c:v>
                </c:pt>
                <c:pt idx="15">
                  <c:v>1.2723955309214987</c:v>
                </c:pt>
                <c:pt idx="16">
                  <c:v>1.3074555542325577</c:v>
                </c:pt>
                <c:pt idx="17">
                  <c:v>1.34145383438327</c:v>
                </c:pt>
                <c:pt idx="18">
                  <c:v>1.3744827920297544</c:v>
                </c:pt>
                <c:pt idx="19">
                  <c:v>1.4066221697040173</c:v>
                </c:pt>
                <c:pt idx="20">
                  <c:v>1.4379413407899349</c:v>
                </c:pt>
                <c:pt idx="21">
                  <c:v>1.4685011044182217</c:v>
                </c:pt>
                <c:pt idx="22">
                  <c:v>1.4983550996146462</c:v>
                </c:pt>
                <c:pt idx="23">
                  <c:v>1.5275509329965833</c:v>
                </c:pt>
                <c:pt idx="24">
                  <c:v>1.5561310878971428</c:v>
                </c:pt>
                <c:pt idx="25">
                  <c:v>1.584133664567801</c:v>
                </c:pt>
                <c:pt idx="26">
                  <c:v>1.6115929883072588</c:v>
                </c:pt>
                <c:pt idx="27">
                  <c:v>1.6385401132257704</c:v>
                </c:pt>
                <c:pt idx="28">
                  <c:v>1.6650032427350812</c:v>
                </c:pt>
                <c:pt idx="29">
                  <c:v>1.69100808299504</c:v>
                </c:pt>
                <c:pt idx="30">
                  <c:v>1.7165781419365733</c:v>
                </c:pt>
                <c:pt idx="31">
                  <c:v>1.7417349837659049</c:v>
                </c:pt>
                <c:pt idx="32">
                  <c:v>1.7666167084225135</c:v>
                </c:pt>
                <c:pt idx="33">
                  <c:v>1.7916044114674134</c:v>
                </c:pt>
                <c:pt idx="34">
                  <c:v>1.8162789519679716</c:v>
                </c:pt>
                <c:pt idx="35">
                  <c:v>1.8406572221545692</c:v>
                </c:pt>
                <c:pt idx="36">
                  <c:v>1.873401377010822</c:v>
                </c:pt>
                <c:pt idx="37">
                  <c:v>1.9199361355044466</c:v>
                </c:pt>
                <c:pt idx="38">
                  <c:v>1.9665389517749612</c:v>
                </c:pt>
                <c:pt idx="39">
                  <c:v>2.0131667470987109</c:v>
                </c:pt>
                <c:pt idx="40">
                  <c:v>2.0600864513062072</c:v>
                </c:pt>
                <c:pt idx="41">
                  <c:v>2.1078461023383483</c:v>
                </c:pt>
                <c:pt idx="42">
                  <c:v>2.1557136756112096</c:v>
                </c:pt>
                <c:pt idx="43">
                  <c:v>2.2028427712569689</c:v>
                </c:pt>
                <c:pt idx="44">
                  <c:v>2.2500119252082054</c:v>
                </c:pt>
                <c:pt idx="45">
                  <c:v>2.2972211461230891</c:v>
                </c:pt>
                <c:pt idx="46">
                  <c:v>2.3444704426632743</c:v>
                </c:pt>
                <c:pt idx="47">
                  <c:v>2.3917598234937891</c:v>
                </c:pt>
                <c:pt idx="48">
                  <c:v>2.4390892972829454</c:v>
                </c:pt>
                <c:pt idx="49">
                  <c:v>2.4864588727022543</c:v>
                </c:pt>
                <c:pt idx="50">
                  <c:v>2.5338685584263585</c:v>
                </c:pt>
                <c:pt idx="51">
                  <c:v>2.5813183631329704</c:v>
                </c:pt>
                <c:pt idx="52">
                  <c:v>2.6288082955028127</c:v>
                </c:pt>
                <c:pt idx="53">
                  <c:v>2.6763383642195766</c:v>
                </c:pt>
                <c:pt idx="54">
                  <c:v>2.7239085779698708</c:v>
                </c:pt>
                <c:pt idx="55">
                  <c:v>2.7715189454431961</c:v>
                </c:pt>
                <c:pt idx="56">
                  <c:v>2.8191694753318997</c:v>
                </c:pt>
                <c:pt idx="57">
                  <c:v>2.8668601763311479</c:v>
                </c:pt>
                <c:pt idx="58">
                  <c:v>2.9145910571389075</c:v>
                </c:pt>
                <c:pt idx="59">
                  <c:v>2.9623621264559166</c:v>
                </c:pt>
                <c:pt idx="60">
                  <c:v>3.0101733929856569</c:v>
                </c:pt>
                <c:pt idx="61">
                  <c:v>3.0580248654343487</c:v>
                </c:pt>
                <c:pt idx="62">
                  <c:v>3.1059165525109216</c:v>
                </c:pt>
                <c:pt idx="63">
                  <c:v>3.1538484629270078</c:v>
                </c:pt>
                <c:pt idx="64">
                  <c:v>3.2018206053969234</c:v>
                </c:pt>
                <c:pt idx="65">
                  <c:v>3.2498329886376567</c:v>
                </c:pt>
                <c:pt idx="66">
                  <c:v>3.2978856213688603</c:v>
                </c:pt>
                <c:pt idx="67">
                  <c:v>3.3459785123128372</c:v>
                </c:pt>
                <c:pt idx="68">
                  <c:v>3.3941116701945333</c:v>
                </c:pt>
                <c:pt idx="69">
                  <c:v>3.442285103741531</c:v>
                </c:pt>
                <c:pt idx="70">
                  <c:v>3.4904988216840422</c:v>
                </c:pt>
                <c:pt idx="71">
                  <c:v>3.5387528327548949</c:v>
                </c:pt>
                <c:pt idx="72">
                  <c:v>3.587047145689537</c:v>
                </c:pt>
                <c:pt idx="73">
                  <c:v>3.6353817692260249</c:v>
                </c:pt>
                <c:pt idx="74">
                  <c:v>3.6837567121050165</c:v>
                </c:pt>
                <c:pt idx="75">
                  <c:v>3.7321719830697759</c:v>
                </c:pt>
                <c:pt idx="76">
                  <c:v>3.7806275908661631</c:v>
                </c:pt>
                <c:pt idx="77">
                  <c:v>3.8291235442426244</c:v>
                </c:pt>
                <c:pt idx="78">
                  <c:v>3.8776598519502032</c:v>
                </c:pt>
                <c:pt idx="79">
                  <c:v>3.9262365227425304</c:v>
                </c:pt>
                <c:pt idx="80">
                  <c:v>3.974853565375815</c:v>
                </c:pt>
                <c:pt idx="81">
                  <c:v>4.0235109886088516</c:v>
                </c:pt>
                <c:pt idx="82">
                  <c:v>4.0722088012030149</c:v>
                </c:pt>
                <c:pt idx="83">
                  <c:v>4.1209470119222598</c:v>
                </c:pt>
                <c:pt idx="84">
                  <c:v>4.1697256295331124</c:v>
                </c:pt>
                <c:pt idx="85">
                  <c:v>4.2185446628046757</c:v>
                </c:pt>
                <c:pt idx="86">
                  <c:v>4.2674041205086288</c:v>
                </c:pt>
                <c:pt idx="87">
                  <c:v>4.316304011419219</c:v>
                </c:pt>
                <c:pt idx="88">
                  <c:v>4.36524434431327</c:v>
                </c:pt>
                <c:pt idx="89">
                  <c:v>4.4142251279701696</c:v>
                </c:pt>
                <c:pt idx="90">
                  <c:v>4.4632463711718833</c:v>
                </c:pt>
                <c:pt idx="91">
                  <c:v>4.5123080827029378</c:v>
                </c:pt>
                <c:pt idx="92">
                  <c:v>4.5614102713504332</c:v>
                </c:pt>
                <c:pt idx="93">
                  <c:v>4.6105529459040362</c:v>
                </c:pt>
                <c:pt idx="94">
                  <c:v>4.6597361151559813</c:v>
                </c:pt>
                <c:pt idx="95">
                  <c:v>4.7089597879010689</c:v>
                </c:pt>
                <c:pt idx="96">
                  <c:v>4.7582239729366735</c:v>
                </c:pt>
                <c:pt idx="97">
                  <c:v>4.8075286790627265</c:v>
                </c:pt>
                <c:pt idx="98">
                  <c:v>4.8568739150817333</c:v>
                </c:pt>
                <c:pt idx="99">
                  <c:v>4.9062596897987651</c:v>
                </c:pt>
                <c:pt idx="100">
                  <c:v>4.9556860120214603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Single'!$AK$5:$AK$105</c:f>
              <c:numCache>
                <c:formatCode>0.000</c:formatCode>
                <c:ptCount val="101"/>
                <c:pt idx="0">
                  <c:v>1.0068571428571429</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1.2361656503101914</c:v>
                </c:pt>
                <c:pt idx="15">
                  <c:v>1.2723955309214987</c:v>
                </c:pt>
                <c:pt idx="16">
                  <c:v>1.3074555542325577</c:v>
                </c:pt>
                <c:pt idx="17">
                  <c:v>1.34145383438327</c:v>
                </c:pt>
                <c:pt idx="18">
                  <c:v>1.3744827920297544</c:v>
                </c:pt>
                <c:pt idx="19">
                  <c:v>1.4066221697040173</c:v>
                </c:pt>
                <c:pt idx="20">
                  <c:v>1.4379413407899349</c:v>
                </c:pt>
                <c:pt idx="21">
                  <c:v>1.4685011044182217</c:v>
                </c:pt>
                <c:pt idx="22">
                  <c:v>1.4983550996146462</c:v>
                </c:pt>
                <c:pt idx="23">
                  <c:v>1.5275509329965833</c:v>
                </c:pt>
                <c:pt idx="24">
                  <c:v>1.5561310878971428</c:v>
                </c:pt>
                <c:pt idx="25">
                  <c:v>1.584133664567801</c:v>
                </c:pt>
                <c:pt idx="26">
                  <c:v>1.6115929883072588</c:v>
                </c:pt>
                <c:pt idx="27">
                  <c:v>1.6385401132257704</c:v>
                </c:pt>
                <c:pt idx="28">
                  <c:v>1.6650032427350812</c:v>
                </c:pt>
                <c:pt idx="29">
                  <c:v>1.69100808299504</c:v>
                </c:pt>
                <c:pt idx="30">
                  <c:v>1.7165781419365733</c:v>
                </c:pt>
                <c:pt idx="31">
                  <c:v>1.7417349837659049</c:v>
                </c:pt>
                <c:pt idx="32">
                  <c:v>1.766498446792486</c:v>
                </c:pt>
                <c:pt idx="33">
                  <c:v>1.7908868308408405</c:v>
                </c:pt>
                <c:pt idx="34">
                  <c:v>1.8149170592815955</c:v>
                </c:pt>
                <c:pt idx="35">
                  <c:v>1.8386048197605047</c:v>
                </c:pt>
                <c:pt idx="36">
                  <c:v>1.8619646869515436</c:v>
                </c:pt>
                <c:pt idx="37">
                  <c:v>1.885010230063271</c:v>
                </c:pt>
                <c:pt idx="38">
                  <c:v>1.9077541073510758</c:v>
                </c:pt>
                <c:pt idx="39">
                  <c:v>1.9302081495048513</c:v>
                </c:pt>
                <c:pt idx="40">
                  <c:v>1.9523834334718404</c:v>
                </c:pt>
                <c:pt idx="41">
                  <c:v>1.9742903480223397</c:v>
                </c:pt>
                <c:pt idx="42">
                  <c:v>1.9962900427204704</c:v>
                </c:pt>
                <c:pt idx="43">
                  <c:v>2.0182183911248499</c:v>
                </c:pt>
                <c:pt idx="44">
                  <c:v>2.0399329560288377</c:v>
                </c:pt>
                <c:pt idx="45">
                  <c:v>2.0614422180120444</c:v>
                </c:pt>
                <c:pt idx="46">
                  <c:v>2.0827542159320802</c:v>
                </c:pt>
                <c:pt idx="47">
                  <c:v>2.1029024884622762</c:v>
                </c:pt>
                <c:pt idx="48">
                  <c:v>2.1434727878089701</c:v>
                </c:pt>
                <c:pt idx="49">
                  <c:v>2.1840562258859091</c:v>
                </c:pt>
                <c:pt idx="50">
                  <c:v>2.2246528911663894</c:v>
                </c:pt>
                <c:pt idx="51">
                  <c:v>2.2652628847937462</c:v>
                </c:pt>
                <c:pt idx="52">
                  <c:v>2.3061313567421546</c:v>
                </c:pt>
                <c:pt idx="53">
                  <c:v>2.347521474216645</c:v>
                </c:pt>
                <c:pt idx="54">
                  <c:v>2.3889863727701002</c:v>
                </c:pt>
                <c:pt idx="55">
                  <c:v>2.430529261645419</c:v>
                </c:pt>
                <c:pt idx="56">
                  <c:v>2.4716463331794412</c:v>
                </c:pt>
                <c:pt idx="57">
                  <c:v>2.5127192061677412</c:v>
                </c:pt>
                <c:pt idx="58">
                  <c:v>2.5538177022544826</c:v>
                </c:pt>
                <c:pt idx="59">
                  <c:v>2.5949418250630019</c:v>
                </c:pt>
                <c:pt idx="60">
                  <c:v>2.6360915782174992</c:v>
                </c:pt>
                <c:pt idx="61">
                  <c:v>2.6772669653430228</c:v>
                </c:pt>
                <c:pt idx="62">
                  <c:v>2.7184679900654509</c:v>
                </c:pt>
                <c:pt idx="63">
                  <c:v>2.7596946560114883</c:v>
                </c:pt>
                <c:pt idx="64">
                  <c:v>2.8009469668086471</c:v>
                </c:pt>
                <c:pt idx="65">
                  <c:v>2.8422249260852404</c:v>
                </c:pt>
                <c:pt idx="66">
                  <c:v>2.8835285374703776</c:v>
                </c:pt>
                <c:pt idx="67">
                  <c:v>2.9248578045939491</c:v>
                </c:pt>
                <c:pt idx="68">
                  <c:v>2.9662127310866202</c:v>
                </c:pt>
                <c:pt idx="69">
                  <c:v>3.0075933205798329</c:v>
                </c:pt>
                <c:pt idx="70">
                  <c:v>3.048999576705786</c:v>
                </c:pt>
                <c:pt idx="71">
                  <c:v>3.0904315030974425</c:v>
                </c:pt>
                <c:pt idx="72">
                  <c:v>3.1318891033885174</c:v>
                </c:pt>
                <c:pt idx="73">
                  <c:v>3.1733723812134738</c:v>
                </c:pt>
                <c:pt idx="74">
                  <c:v>3.2148813402075191</c:v>
                </c:pt>
                <c:pt idx="75">
                  <c:v>3.2564159840066065</c:v>
                </c:pt>
                <c:pt idx="76">
                  <c:v>3.2979763162474214</c:v>
                </c:pt>
                <c:pt idx="77">
                  <c:v>3.3395623405673858</c:v>
                </c:pt>
                <c:pt idx="78">
                  <c:v>3.3811740606046534</c:v>
                </c:pt>
                <c:pt idx="79">
                  <c:v>3.4228114799981082</c:v>
                </c:pt>
                <c:pt idx="80">
                  <c:v>3.4644746023873561</c:v>
                </c:pt>
                <c:pt idx="81">
                  <c:v>3.5061634314127303</c:v>
                </c:pt>
                <c:pt idx="82">
                  <c:v>3.5478779707152839</c:v>
                </c:pt>
                <c:pt idx="83">
                  <c:v>3.5896182239367942</c:v>
                </c:pt>
                <c:pt idx="84">
                  <c:v>3.6313841947197503</c:v>
                </c:pt>
                <c:pt idx="85">
                  <c:v>3.6731758867073632</c:v>
                </c:pt>
                <c:pt idx="86">
                  <c:v>3.7149933035435545</c:v>
                </c:pt>
                <c:pt idx="87">
                  <c:v>3.7568364488729644</c:v>
                </c:pt>
                <c:pt idx="88">
                  <c:v>3.79870532634094</c:v>
                </c:pt>
                <c:pt idx="89">
                  <c:v>3.8405999395935417</c:v>
                </c:pt>
                <c:pt idx="90">
                  <c:v>3.882520292277543</c:v>
                </c:pt>
                <c:pt idx="91">
                  <c:v>3.9244663880404227</c:v>
                </c:pt>
                <c:pt idx="92">
                  <c:v>3.9664382305303683</c:v>
                </c:pt>
                <c:pt idx="93">
                  <c:v>4.0084358233962742</c:v>
                </c:pt>
                <c:pt idx="94">
                  <c:v>4.0504591702877404</c:v>
                </c:pt>
                <c:pt idx="95">
                  <c:v>4.0925082748550787</c:v>
                </c:pt>
                <c:pt idx="96">
                  <c:v>4.1345831407492977</c:v>
                </c:pt>
                <c:pt idx="97">
                  <c:v>4.1766837716221152</c:v>
                </c:pt>
                <c:pt idx="98">
                  <c:v>4.2188101711259511</c:v>
                </c:pt>
                <c:pt idx="99">
                  <c:v>4.2609623429139285</c:v>
                </c:pt>
                <c:pt idx="100">
                  <c:v>4.303140290639873</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1.2361656503101914</c:v>
                </c:pt>
                <c:pt idx="15">
                  <c:v>1.2723955309214987</c:v>
                </c:pt>
                <c:pt idx="16">
                  <c:v>1.3074555542325577</c:v>
                </c:pt>
                <c:pt idx="17">
                  <c:v>1.34145383438327</c:v>
                </c:pt>
                <c:pt idx="18">
                  <c:v>1.3744827920297544</c:v>
                </c:pt>
                <c:pt idx="19">
                  <c:v>1.4066221697040173</c:v>
                </c:pt>
                <c:pt idx="20">
                  <c:v>1.4379413407899349</c:v>
                </c:pt>
                <c:pt idx="21">
                  <c:v>1.4685011044182217</c:v>
                </c:pt>
                <c:pt idx="22">
                  <c:v>1.4983550996146462</c:v>
                </c:pt>
                <c:pt idx="23">
                  <c:v>1.5275509329965833</c:v>
                </c:pt>
                <c:pt idx="24">
                  <c:v>1.5561310878971428</c:v>
                </c:pt>
                <c:pt idx="25">
                  <c:v>1.584133664567801</c:v>
                </c:pt>
                <c:pt idx="26">
                  <c:v>1.6115929883072588</c:v>
                </c:pt>
                <c:pt idx="27">
                  <c:v>1.6385401132257704</c:v>
                </c:pt>
                <c:pt idx="28">
                  <c:v>1.6650032427350812</c:v>
                </c:pt>
                <c:pt idx="29">
                  <c:v>1.69100808299504</c:v>
                </c:pt>
                <c:pt idx="30">
                  <c:v>1.7165781419365733</c:v>
                </c:pt>
                <c:pt idx="31">
                  <c:v>1.7417349837659049</c:v>
                </c:pt>
                <c:pt idx="32">
                  <c:v>1.766498446792486</c:v>
                </c:pt>
                <c:pt idx="33">
                  <c:v>1.7908868308408405</c:v>
                </c:pt>
                <c:pt idx="34">
                  <c:v>1.8149170592815955</c:v>
                </c:pt>
                <c:pt idx="35">
                  <c:v>1.8386048197605047</c:v>
                </c:pt>
                <c:pt idx="36">
                  <c:v>1.8619646869515436</c:v>
                </c:pt>
                <c:pt idx="37">
                  <c:v>1.885010230063271</c:v>
                </c:pt>
                <c:pt idx="38">
                  <c:v>1.9077541073510758</c:v>
                </c:pt>
                <c:pt idx="39">
                  <c:v>1.9302081495048513</c:v>
                </c:pt>
                <c:pt idx="40">
                  <c:v>1.9523834334718404</c:v>
                </c:pt>
                <c:pt idx="41">
                  <c:v>1.9742903480223397</c:v>
                </c:pt>
                <c:pt idx="42">
                  <c:v>1.9959386521597784</c:v>
                </c:pt>
                <c:pt idx="43">
                  <c:v>2.017337527307121</c:v>
                </c:pt>
                <c:pt idx="44">
                  <c:v>2.0384956240614085</c:v>
                </c:pt>
                <c:pt idx="45">
                  <c:v>2.0594211041918822</c:v>
                </c:pt>
                <c:pt idx="46">
                  <c:v>2.0801216784600554</c:v>
                </c:pt>
                <c:pt idx="47">
                  <c:v>2.1006046407587835</c:v>
                </c:pt>
                <c:pt idx="48">
                  <c:v>2.1208768989989752</c:v>
                </c:pt>
                <c:pt idx="49">
                  <c:v>2.1409450031148083</c:v>
                </c:pt>
                <c:pt idx="50">
                  <c:v>2.1608151705093595</c:v>
                </c:pt>
                <c:pt idx="51">
                  <c:v>2.1804933092208945</c:v>
                </c:pt>
                <c:pt idx="52">
                  <c:v>2.1999850390545057</c:v>
                </c:pt>
                <c:pt idx="53">
                  <c:v>2.2192957108933435</c:v>
                </c:pt>
                <c:pt idx="54">
                  <c:v>2.2384304243775137</c:v>
                </c:pt>
                <c:pt idx="55">
                  <c:v>2.2573940441161811</c:v>
                </c:pt>
                <c:pt idx="56">
                  <c:v>2.2762647328585626</c:v>
                </c:pt>
                <c:pt idx="57">
                  <c:v>2.2953370725818436</c:v>
                </c:pt>
                <c:pt idx="58">
                  <c:v>2.3142666384404134</c:v>
                </c:pt>
                <c:pt idx="59">
                  <c:v>2.3330575275949088</c:v>
                </c:pt>
                <c:pt idx="60">
                  <c:v>2.351713667372374</c:v>
                </c:pt>
                <c:pt idx="61">
                  <c:v>2.3702388251852931</c:v>
                </c:pt>
                <c:pt idx="62">
                  <c:v>2.3886366177215486</c:v>
                </c:pt>
                <c:pt idx="63">
                  <c:v>2.4069105194697906</c:v>
                </c:pt>
                <c:pt idx="64">
                  <c:v>2.4250638706380405</c:v>
                </c:pt>
                <c:pt idx="65">
                  <c:v>2.4400547626788973</c:v>
                </c:pt>
                <c:pt idx="66">
                  <c:v>2.4753999436884842</c:v>
                </c:pt>
                <c:pt idx="67">
                  <c:v>2.5099422258601223</c:v>
                </c:pt>
                <c:pt idx="68">
                  <c:v>2.5444908230405527</c:v>
                </c:pt>
                <c:pt idx="69">
                  <c:v>2.5790457262297557</c:v>
                </c:pt>
                <c:pt idx="70">
                  <c:v>2.6137163121340947</c:v>
                </c:pt>
                <c:pt idx="71">
                  <c:v>2.6487384643932614</c:v>
                </c:pt>
                <c:pt idx="72">
                  <c:v>2.6837906684388688</c:v>
                </c:pt>
                <c:pt idx="73">
                  <c:v>2.7188735398048482</c:v>
                </c:pt>
                <c:pt idx="74">
                  <c:v>2.7539877109540427</c:v>
                </c:pt>
                <c:pt idx="75">
                  <c:v>2.7891338318643424</c:v>
                </c:pt>
                <c:pt idx="76">
                  <c:v>2.8242156852931029</c:v>
                </c:pt>
                <c:pt idx="77">
                  <c:v>2.859129503050494</c:v>
                </c:pt>
                <c:pt idx="78">
                  <c:v>2.8940575615832209</c:v>
                </c:pt>
                <c:pt idx="79">
                  <c:v>2.9289998620367936</c:v>
                </c:pt>
                <c:pt idx="80">
                  <c:v>2.9639564055568668</c:v>
                </c:pt>
                <c:pt idx="81">
                  <c:v>2.998927193289239</c:v>
                </c:pt>
                <c:pt idx="82">
                  <c:v>3.033912226379857</c:v>
                </c:pt>
                <c:pt idx="83">
                  <c:v>3.0689115059748069</c:v>
                </c:pt>
                <c:pt idx="84">
                  <c:v>3.1039250332203201</c:v>
                </c:pt>
                <c:pt idx="85">
                  <c:v>3.1389528092627641</c:v>
                </c:pt>
                <c:pt idx="86">
                  <c:v>3.173994835248652</c:v>
                </c:pt>
                <c:pt idx="87">
                  <c:v>3.2090511123246275</c:v>
                </c:pt>
                <c:pt idx="88">
                  <c:v>3.2441216416374798</c:v>
                </c:pt>
                <c:pt idx="89">
                  <c:v>3.2792064243341308</c:v>
                </c:pt>
                <c:pt idx="90">
                  <c:v>3.3143054615616396</c:v>
                </c:pt>
                <c:pt idx="91">
                  <c:v>3.3494187544671998</c:v>
                </c:pt>
                <c:pt idx="92">
                  <c:v>3.3845463041981416</c:v>
                </c:pt>
                <c:pt idx="93">
                  <c:v>3.4196881119019267</c:v>
                </c:pt>
                <c:pt idx="94">
                  <c:v>3.4548441787261543</c:v>
                </c:pt>
                <c:pt idx="95">
                  <c:v>3.4900145058185519</c:v>
                </c:pt>
                <c:pt idx="96">
                  <c:v>3.5251990943269842</c:v>
                </c:pt>
                <c:pt idx="97">
                  <c:v>3.5603979453994441</c:v>
                </c:pt>
                <c:pt idx="98">
                  <c:v>3.5956110601840567</c:v>
                </c:pt>
                <c:pt idx="99">
                  <c:v>3.6308384398290814</c:v>
                </c:pt>
                <c:pt idx="100">
                  <c:v>3.6660800854829061</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Single'!$CB$5:$CB$105</c:f>
              <c:numCache>
                <c:formatCode>0.00</c:formatCode>
                <c:ptCount val="101"/>
                <c:pt idx="0">
                  <c:v>1.02092934192264E-6</c:v>
                </c:pt>
                <c:pt idx="1">
                  <c:v>34.391939417191026</c:v>
                </c:pt>
                <c:pt idx="2">
                  <c:v>46.87648875062925</c:v>
                </c:pt>
                <c:pt idx="3">
                  <c:v>53.329339993624167</c:v>
                </c:pt>
                <c:pt idx="4">
                  <c:v>57.271077404644785</c:v>
                </c:pt>
                <c:pt idx="5">
                  <c:v>59.928669851585525</c:v>
                </c:pt>
                <c:pt idx="6">
                  <c:v>61.841689315355609</c:v>
                </c:pt>
                <c:pt idx="7">
                  <c:v>63.284555286474934</c:v>
                </c:pt>
                <c:pt idx="8">
                  <c:v>64.411588554571992</c:v>
                </c:pt>
                <c:pt idx="9">
                  <c:v>65.316232650149459</c:v>
                </c:pt>
                <c:pt idx="10">
                  <c:v>66.058378062997107</c:v>
                </c:pt>
                <c:pt idx="11">
                  <c:v>66.678181680739229</c:v>
                </c:pt>
                <c:pt idx="12">
                  <c:v>67.203575884848206</c:v>
                </c:pt>
                <c:pt idx="13">
                  <c:v>67.654591280522453</c:v>
                </c:pt>
                <c:pt idx="14">
                  <c:v>68.186005158202221</c:v>
                </c:pt>
                <c:pt idx="15">
                  <c:v>68.666763347852083</c:v>
                </c:pt>
                <c:pt idx="16">
                  <c:v>69.101779737374201</c:v>
                </c:pt>
                <c:pt idx="17">
                  <c:v>69.497988735159495</c:v>
                </c:pt>
                <c:pt idx="18">
                  <c:v>69.860954079071277</c:v>
                </c:pt>
                <c:pt idx="19">
                  <c:v>70.195196066684431</c:v>
                </c:pt>
                <c:pt idx="20">
                  <c:v>70.504428568753468</c:v>
                </c:pt>
                <c:pt idx="21">
                  <c:v>70.791733719831967</c:v>
                </c:pt>
                <c:pt idx="22">
                  <c:v>71.059692704442782</c:v>
                </c:pt>
                <c:pt idx="23">
                  <c:v>71.310485065086453</c:v>
                </c:pt>
                <c:pt idx="24">
                  <c:v>71.545965079721086</c:v>
                </c:pt>
                <c:pt idx="25">
                  <c:v>71.767721192380918</c:v>
                </c:pt>
                <c:pt idx="26">
                  <c:v>71.977122753092715</c:v>
                </c:pt>
                <c:pt idx="27">
                  <c:v>72.175357138933535</c:v>
                </c:pt>
                <c:pt idx="28">
                  <c:v>72.363459503151745</c:v>
                </c:pt>
                <c:pt idx="29">
                  <c:v>72.542336816238802</c:v>
                </c:pt>
                <c:pt idx="30">
                  <c:v>72.71278744518861</c:v>
                </c:pt>
                <c:pt idx="31">
                  <c:v>72.875517214254813</c:v>
                </c:pt>
                <c:pt idx="32">
                  <c:v>73.031152668252744</c:v>
                </c:pt>
                <c:pt idx="33">
                  <c:v>73.18025209461409</c:v>
                </c:pt>
                <c:pt idx="34">
                  <c:v>73.323314736920537</c:v>
                </c:pt>
                <c:pt idx="35">
                  <c:v>73.460788539274063</c:v>
                </c:pt>
                <c:pt idx="36">
                  <c:v>73.593076689639474</c:v>
                </c:pt>
                <c:pt idx="37">
                  <c:v>73.720543175517491</c:v>
                </c:pt>
                <c:pt idx="38">
                  <c:v>73.843517522849893</c:v>
                </c:pt>
                <c:pt idx="39">
                  <c:v>73.962298855909197</c:v>
                </c:pt>
                <c:pt idx="40">
                  <c:v>74.077159389865372</c:v>
                </c:pt>
                <c:pt idx="41">
                  <c:v>74.188347447099318</c:v>
                </c:pt>
                <c:pt idx="42">
                  <c:v>74.293398605328292</c:v>
                </c:pt>
                <c:pt idx="43">
                  <c:v>74.393997785286444</c:v>
                </c:pt>
                <c:pt idx="44">
                  <c:v>74.509216399157893</c:v>
                </c:pt>
                <c:pt idx="45">
                  <c:v>74.65483201307454</c:v>
                </c:pt>
                <c:pt idx="46">
                  <c:v>74.791544819883654</c:v>
                </c:pt>
                <c:pt idx="47">
                  <c:v>74.933848814112451</c:v>
                </c:pt>
                <c:pt idx="48">
                  <c:v>74.950219384081691</c:v>
                </c:pt>
                <c:pt idx="49">
                  <c:v>74.960492747891607</c:v>
                </c:pt>
                <c:pt idx="50">
                  <c:v>74.965017436067725</c:v>
                </c:pt>
                <c:pt idx="51">
                  <c:v>74.964112940958003</c:v>
                </c:pt>
                <c:pt idx="52">
                  <c:v>74.956973592775228</c:v>
                </c:pt>
                <c:pt idx="53">
                  <c:v>74.942650285461951</c:v>
                </c:pt>
                <c:pt idx="54">
                  <c:v>74.923373710915882</c:v>
                </c:pt>
                <c:pt idx="55">
                  <c:v>74.89935446499409</c:v>
                </c:pt>
                <c:pt idx="56">
                  <c:v>74.873890828198526</c:v>
                </c:pt>
                <c:pt idx="57">
                  <c:v>74.844720586280687</c:v>
                </c:pt>
                <c:pt idx="58">
                  <c:v>74.811581630084305</c:v>
                </c:pt>
                <c:pt idx="59">
                  <c:v>74.774633530419806</c:v>
                </c:pt>
                <c:pt idx="60">
                  <c:v>74.734023205916884</c:v>
                </c:pt>
                <c:pt idx="61">
                  <c:v>74.689885947416599</c:v>
                </c:pt>
                <c:pt idx="62">
                  <c:v>74.642346340896808</c:v>
                </c:pt>
                <c:pt idx="63">
                  <c:v>74.591519100130341</c:v>
                </c:pt>
                <c:pt idx="64">
                  <c:v>74.537509818890285</c:v>
                </c:pt>
                <c:pt idx="65">
                  <c:v>74.480415651318353</c:v>
                </c:pt>
                <c:pt idx="66">
                  <c:v>74.42032592803497</c:v>
                </c:pt>
                <c:pt idx="67">
                  <c:v>74.357322714668555</c:v>
                </c:pt>
                <c:pt idx="68">
                  <c:v>74.291481318698089</c:v>
                </c:pt>
                <c:pt idx="69">
                  <c:v>74.222870749819677</c:v>
                </c:pt>
                <c:pt idx="70">
                  <c:v>74.151554138451687</c:v>
                </c:pt>
                <c:pt idx="71">
                  <c:v>74.077589116470648</c:v>
                </c:pt>
                <c:pt idx="72">
                  <c:v>74.001028163813217</c:v>
                </c:pt>
                <c:pt idx="73">
                  <c:v>73.921918924177049</c:v>
                </c:pt>
                <c:pt idx="74">
                  <c:v>73.840304492700398</c:v>
                </c:pt>
                <c:pt idx="75">
                  <c:v>73.756223678188604</c:v>
                </c:pt>
                <c:pt idx="76">
                  <c:v>73.669711242180682</c:v>
                </c:pt>
                <c:pt idx="77">
                  <c:v>73.580798116905626</c:v>
                </c:pt>
                <c:pt idx="78">
                  <c:v>73.489511603963237</c:v>
                </c:pt>
                <c:pt idx="79">
                  <c:v>73.395875555372257</c:v>
                </c:pt>
                <c:pt idx="80">
                  <c:v>73.299910538459102</c:v>
                </c:pt>
                <c:pt idx="81">
                  <c:v>73.201633985909226</c:v>
                </c:pt>
                <c:pt idx="82">
                  <c:v>73.101060332167421</c:v>
                </c:pt>
                <c:pt idx="83">
                  <c:v>72.998201137253673</c:v>
                </c:pt>
                <c:pt idx="84">
                  <c:v>72.893065198952229</c:v>
                </c:pt>
                <c:pt idx="85">
                  <c:v>72.785658654235391</c:v>
                </c:pt>
                <c:pt idx="86">
                  <c:v>72.675985070696242</c:v>
                </c:pt>
                <c:pt idx="87">
                  <c:v>72.564045528686137</c:v>
                </c:pt>
                <c:pt idx="88">
                  <c:v>72.449838694782088</c:v>
                </c:pt>
                <c:pt idx="89">
                  <c:v>72.333360887145631</c:v>
                </c:pt>
                <c:pt idx="90">
                  <c:v>72.214606133276348</c:v>
                </c:pt>
                <c:pt idx="91">
                  <c:v>72.093566220611521</c:v>
                </c:pt>
                <c:pt idx="92">
                  <c:v>71.970230740374092</c:v>
                </c:pt>
                <c:pt idx="93">
                  <c:v>71.844587125029364</c:v>
                </c:pt>
                <c:pt idx="94">
                  <c:v>71.716620679669262</c:v>
                </c:pt>
                <c:pt idx="95">
                  <c:v>71.586314607606866</c:v>
                </c:pt>
                <c:pt idx="96">
                  <c:v>71.453650030430509</c:v>
                </c:pt>
                <c:pt idx="97">
                  <c:v>71.318606002734541</c:v>
                </c:pt>
                <c:pt idx="98">
                  <c:v>71.181159521715571</c:v>
                </c:pt>
                <c:pt idx="99">
                  <c:v>71.041285531795566</c:v>
                </c:pt>
                <c:pt idx="100">
                  <c:v>70.898956924407628</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37.274999999999999</c:v>
                </c:pt>
                <c:pt idx="2">
                  <c:v>74.55</c:v>
                </c:pt>
                <c:pt idx="3">
                  <c:v>111.82499999999999</c:v>
                </c:pt>
                <c:pt idx="4">
                  <c:v>149.1</c:v>
                </c:pt>
                <c:pt idx="5">
                  <c:v>186.375</c:v>
                </c:pt>
                <c:pt idx="6">
                  <c:v>223.64999999999998</c:v>
                </c:pt>
                <c:pt idx="7">
                  <c:v>260.92499999999995</c:v>
                </c:pt>
                <c:pt idx="8">
                  <c:v>298.2</c:v>
                </c:pt>
                <c:pt idx="9">
                  <c:v>335.47499999999997</c:v>
                </c:pt>
                <c:pt idx="10">
                  <c:v>372.75</c:v>
                </c:pt>
                <c:pt idx="11">
                  <c:v>410.02499999999998</c:v>
                </c:pt>
                <c:pt idx="12">
                  <c:v>447.29999999999995</c:v>
                </c:pt>
                <c:pt idx="13">
                  <c:v>484.57499999999993</c:v>
                </c:pt>
                <c:pt idx="14">
                  <c:v>521.84999999999991</c:v>
                </c:pt>
                <c:pt idx="15">
                  <c:v>559.12499999999989</c:v>
                </c:pt>
                <c:pt idx="16">
                  <c:v>596.4</c:v>
                </c:pt>
                <c:pt idx="17">
                  <c:v>633.67499999999995</c:v>
                </c:pt>
                <c:pt idx="18">
                  <c:v>670.94999999999993</c:v>
                </c:pt>
                <c:pt idx="19">
                  <c:v>708.22500000000002</c:v>
                </c:pt>
                <c:pt idx="20">
                  <c:v>745.5</c:v>
                </c:pt>
                <c:pt idx="21">
                  <c:v>782.77499999999986</c:v>
                </c:pt>
                <c:pt idx="22">
                  <c:v>820.05</c:v>
                </c:pt>
                <c:pt idx="23">
                  <c:v>857.32499999999993</c:v>
                </c:pt>
                <c:pt idx="24">
                  <c:v>894.59999999999991</c:v>
                </c:pt>
                <c:pt idx="25">
                  <c:v>931.87499999999977</c:v>
                </c:pt>
                <c:pt idx="26">
                  <c:v>969.14999999999986</c:v>
                </c:pt>
                <c:pt idx="27">
                  <c:v>1006.425</c:v>
                </c:pt>
                <c:pt idx="28">
                  <c:v>1043.6999999999998</c:v>
                </c:pt>
                <c:pt idx="29">
                  <c:v>1080.9749999999999</c:v>
                </c:pt>
                <c:pt idx="30">
                  <c:v>1118.2499999999998</c:v>
                </c:pt>
                <c:pt idx="31">
                  <c:v>1155.5249999999996</c:v>
                </c:pt>
                <c:pt idx="32">
                  <c:v>1192.8</c:v>
                </c:pt>
                <c:pt idx="33">
                  <c:v>1230.0749999999998</c:v>
                </c:pt>
                <c:pt idx="34">
                  <c:v>1267.3499999999999</c:v>
                </c:pt>
                <c:pt idx="35">
                  <c:v>1304.6249999999998</c:v>
                </c:pt>
                <c:pt idx="36">
                  <c:v>1341.8999999999999</c:v>
                </c:pt>
                <c:pt idx="37">
                  <c:v>1379.1749999999997</c:v>
                </c:pt>
                <c:pt idx="38">
                  <c:v>1416.45</c:v>
                </c:pt>
                <c:pt idx="39">
                  <c:v>1453.7249999999999</c:v>
                </c:pt>
                <c:pt idx="40">
                  <c:v>1491</c:v>
                </c:pt>
                <c:pt idx="41">
                  <c:v>1528.2749999999999</c:v>
                </c:pt>
                <c:pt idx="42">
                  <c:v>1565.5499999999997</c:v>
                </c:pt>
                <c:pt idx="43">
                  <c:v>1602.8249999999998</c:v>
                </c:pt>
                <c:pt idx="44">
                  <c:v>1640.1</c:v>
                </c:pt>
                <c:pt idx="45">
                  <c:v>1677.3749999999998</c:v>
                </c:pt>
                <c:pt idx="46">
                  <c:v>1714.6499999999999</c:v>
                </c:pt>
                <c:pt idx="47">
                  <c:v>1751.9249999999997</c:v>
                </c:pt>
                <c:pt idx="48">
                  <c:v>1789.1999999999998</c:v>
                </c:pt>
                <c:pt idx="49">
                  <c:v>1826.4749999999999</c:v>
                </c:pt>
                <c:pt idx="50">
                  <c:v>1863.7499999999995</c:v>
                </c:pt>
                <c:pt idx="51">
                  <c:v>1901.0249999999996</c:v>
                </c:pt>
                <c:pt idx="52">
                  <c:v>1938.2999999999997</c:v>
                </c:pt>
                <c:pt idx="53">
                  <c:v>1975.5749999999998</c:v>
                </c:pt>
                <c:pt idx="54">
                  <c:v>2012.85</c:v>
                </c:pt>
                <c:pt idx="55">
                  <c:v>2050.125</c:v>
                </c:pt>
                <c:pt idx="56">
                  <c:v>2087.3999999999996</c:v>
                </c:pt>
                <c:pt idx="57">
                  <c:v>2124.6749999999993</c:v>
                </c:pt>
                <c:pt idx="58">
                  <c:v>2161.9499999999998</c:v>
                </c:pt>
                <c:pt idx="59">
                  <c:v>2199.2249999999999</c:v>
                </c:pt>
                <c:pt idx="60">
                  <c:v>2236.4999999999995</c:v>
                </c:pt>
                <c:pt idx="61">
                  <c:v>2273.7749999999996</c:v>
                </c:pt>
                <c:pt idx="62">
                  <c:v>2311.0499999999993</c:v>
                </c:pt>
                <c:pt idx="63">
                  <c:v>2348.3249999999998</c:v>
                </c:pt>
                <c:pt idx="64">
                  <c:v>2385.6</c:v>
                </c:pt>
                <c:pt idx="65">
                  <c:v>2422.875</c:v>
                </c:pt>
                <c:pt idx="66">
                  <c:v>2460.1499999999996</c:v>
                </c:pt>
                <c:pt idx="67">
                  <c:v>2497.4249999999997</c:v>
                </c:pt>
                <c:pt idx="68">
                  <c:v>2534.6999999999998</c:v>
                </c:pt>
                <c:pt idx="69">
                  <c:v>2571.9749999999995</c:v>
                </c:pt>
                <c:pt idx="70">
                  <c:v>2609.2499999999995</c:v>
                </c:pt>
                <c:pt idx="71">
                  <c:v>2646.5249999999996</c:v>
                </c:pt>
                <c:pt idx="72">
                  <c:v>2683.7999999999997</c:v>
                </c:pt>
                <c:pt idx="73">
                  <c:v>2721.0749999999998</c:v>
                </c:pt>
                <c:pt idx="74">
                  <c:v>2758.3499999999995</c:v>
                </c:pt>
                <c:pt idx="75">
                  <c:v>2795.625</c:v>
                </c:pt>
                <c:pt idx="76">
                  <c:v>2832.9</c:v>
                </c:pt>
                <c:pt idx="77">
                  <c:v>2870.1749999999997</c:v>
                </c:pt>
                <c:pt idx="78">
                  <c:v>2907.45</c:v>
                </c:pt>
                <c:pt idx="79">
                  <c:v>2944.7249999999999</c:v>
                </c:pt>
                <c:pt idx="80">
                  <c:v>2982</c:v>
                </c:pt>
                <c:pt idx="81">
                  <c:v>3019.2750000000001</c:v>
                </c:pt>
                <c:pt idx="82">
                  <c:v>3056.5499999999997</c:v>
                </c:pt>
                <c:pt idx="83">
                  <c:v>3093.8249999999994</c:v>
                </c:pt>
                <c:pt idx="84">
                  <c:v>3131.0999999999995</c:v>
                </c:pt>
                <c:pt idx="85">
                  <c:v>3168.3749999999991</c:v>
                </c:pt>
                <c:pt idx="86">
                  <c:v>3205.6499999999996</c:v>
                </c:pt>
                <c:pt idx="87">
                  <c:v>3242.9249999999993</c:v>
                </c:pt>
                <c:pt idx="88">
                  <c:v>3280.2</c:v>
                </c:pt>
                <c:pt idx="89">
                  <c:v>3317.4749999999995</c:v>
                </c:pt>
                <c:pt idx="90">
                  <c:v>3354.7499999999995</c:v>
                </c:pt>
                <c:pt idx="91">
                  <c:v>3392.0249999999992</c:v>
                </c:pt>
                <c:pt idx="92">
                  <c:v>3429.2999999999997</c:v>
                </c:pt>
                <c:pt idx="93">
                  <c:v>3466.5749999999998</c:v>
                </c:pt>
                <c:pt idx="94">
                  <c:v>3503.8499999999995</c:v>
                </c:pt>
                <c:pt idx="95">
                  <c:v>3541.1249999999991</c:v>
                </c:pt>
                <c:pt idx="96">
                  <c:v>3578.3999999999996</c:v>
                </c:pt>
                <c:pt idx="97">
                  <c:v>3615.6749999999997</c:v>
                </c:pt>
                <c:pt idx="98">
                  <c:v>3652.95</c:v>
                </c:pt>
                <c:pt idx="99">
                  <c:v>3690.2249999999995</c:v>
                </c:pt>
                <c:pt idx="100">
                  <c:v>3727.4999999999991</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15.11189150241038</c:v>
                </c:pt>
                <c:pt idx="1">
                  <c:v>34.083161845514645</c:v>
                </c:pt>
                <c:pt idx="2">
                  <c:v>68.168422267106664</c:v>
                </c:pt>
                <c:pt idx="3">
                  <c:v>102.255781458603</c:v>
                </c:pt>
                <c:pt idx="4">
                  <c:v>136.34523961385455</c:v>
                </c:pt>
                <c:pt idx="5">
                  <c:v>170.43679692673595</c:v>
                </c:pt>
                <c:pt idx="6">
                  <c:v>204.53045359114574</c:v>
                </c:pt>
                <c:pt idx="7">
                  <c:v>238.62620980100658</c:v>
                </c:pt>
                <c:pt idx="8">
                  <c:v>272.72406575026469</c:v>
                </c:pt>
                <c:pt idx="9">
                  <c:v>306.82402163289021</c:v>
                </c:pt>
                <c:pt idx="10">
                  <c:v>340.92607764287743</c:v>
                </c:pt>
                <c:pt idx="11">
                  <c:v>375.03023397424431</c:v>
                </c:pt>
                <c:pt idx="12">
                  <c:v>409.13649082103268</c:v>
                </c:pt>
                <c:pt idx="13">
                  <c:v>443.24484837730864</c:v>
                </c:pt>
                <c:pt idx="14">
                  <c:v>458.58814767722771</c:v>
                </c:pt>
                <c:pt idx="15">
                  <c:v>472.84793686999512</c:v>
                </c:pt>
                <c:pt idx="16">
                  <c:v>486.67440021695626</c:v>
                </c:pt>
                <c:pt idx="17">
                  <c:v>500.10835742267199</c:v>
                </c:pt>
                <c:pt idx="18">
                  <c:v>513.18468844513109</c:v>
                </c:pt>
                <c:pt idx="19">
                  <c:v>525.9334760317505</c:v>
                </c:pt>
                <c:pt idx="20">
                  <c:v>538.38088043720927</c:v>
                </c:pt>
                <c:pt idx="21">
                  <c:v>550.54981926150765</c:v>
                </c:pt>
                <c:pt idx="22">
                  <c:v>562.4605029744115</c:v>
                </c:pt>
                <c:pt idx="23">
                  <c:v>574.13086188275042</c:v>
                </c:pt>
                <c:pt idx="24">
                  <c:v>585.57689027710308</c:v>
                </c:pt>
                <c:pt idx="25">
                  <c:v>596.81292658082566</c:v>
                </c:pt>
                <c:pt idx="26">
                  <c:v>607.85188346892653</c:v>
                </c:pt>
                <c:pt idx="27">
                  <c:v>618.70543845899078</c:v>
                </c:pt>
                <c:pt idx="28">
                  <c:v>629.38419296665279</c:v>
                </c:pt>
                <c:pt idx="29">
                  <c:v>639.89780597594381</c:v>
                </c:pt>
                <c:pt idx="30">
                  <c:v>650.25510710582648</c:v>
                </c:pt>
                <c:pt idx="31">
                  <c:v>660.46419282520208</c:v>
                </c:pt>
                <c:pt idx="32">
                  <c:v>670.53250878700635</c:v>
                </c:pt>
                <c:pt idx="33">
                  <c:v>680.46692065239074</c:v>
                </c:pt>
                <c:pt idx="34">
                  <c:v>690.27377531181583</c:v>
                </c:pt>
                <c:pt idx="35">
                  <c:v>699.95895404750138</c:v>
                </c:pt>
                <c:pt idx="36">
                  <c:v>709.52791889649779</c:v>
                </c:pt>
                <c:pt idx="37">
                  <c:v>718.98575324753517</c:v>
                </c:pt>
                <c:pt idx="38">
                  <c:v>728.33719752430545</c:v>
                </c:pt>
                <c:pt idx="39">
                  <c:v>737.58668066272833</c:v>
                </c:pt>
                <c:pt idx="40">
                  <c:v>746.73834797244967</c:v>
                </c:pt>
                <c:pt idx="41">
                  <c:v>755.79608587736902</c:v>
                </c:pt>
                <c:pt idx="42">
                  <c:v>765.05151036984648</c:v>
                </c:pt>
                <c:pt idx="43">
                  <c:v>774.36630825970497</c:v>
                </c:pt>
                <c:pt idx="44">
                  <c:v>778.37509259497574</c:v>
                </c:pt>
                <c:pt idx="45">
                  <c:v>771.37608625545568</c:v>
                </c:pt>
                <c:pt idx="46">
                  <c:v>764.61796389924746</c:v>
                </c:pt>
                <c:pt idx="47">
                  <c:v>755.27764589683147</c:v>
                </c:pt>
                <c:pt idx="48">
                  <c:v>756.45180997605098</c:v>
                </c:pt>
                <c:pt idx="49">
                  <c:v>757.67279489181624</c:v>
                </c:pt>
                <c:pt idx="50">
                  <c:v>758.94091882628084</c:v>
                </c:pt>
                <c:pt idx="51">
                  <c:v>760.25659088689451</c:v>
                </c:pt>
                <c:pt idx="52">
                  <c:v>761.62370119952504</c:v>
                </c:pt>
                <c:pt idx="53">
                  <c:v>763.04709509026986</c:v>
                </c:pt>
                <c:pt idx="54">
                  <c:v>764.52164215174093</c:v>
                </c:pt>
                <c:pt idx="55">
                  <c:v>766.04825768264948</c:v>
                </c:pt>
                <c:pt idx="56">
                  <c:v>767.24208222992445</c:v>
                </c:pt>
                <c:pt idx="57">
                  <c:v>768.40642764730933</c:v>
                </c:pt>
                <c:pt idx="58">
                  <c:v>769.59508218319877</c:v>
                </c:pt>
                <c:pt idx="59">
                  <c:v>770.80781030250296</c:v>
                </c:pt>
                <c:pt idx="60">
                  <c:v>772.04439622800055</c:v>
                </c:pt>
                <c:pt idx="61">
                  <c:v>773.30464244229188</c:v>
                </c:pt>
                <c:pt idx="62">
                  <c:v>774.58836832787108</c:v>
                </c:pt>
                <c:pt idx="63">
                  <c:v>775.89540893073388</c:v>
                </c:pt>
                <c:pt idx="64">
                  <c:v>777.22561383466848</c:v>
                </c:pt>
                <c:pt idx="65">
                  <c:v>778.57884613487965</c:v>
                </c:pt>
                <c:pt idx="66">
                  <c:v>779.95498150092169</c:v>
                </c:pt>
                <c:pt idx="67">
                  <c:v>781.35390732003259</c:v>
                </c:pt>
                <c:pt idx="68">
                  <c:v>782.77552191299083</c:v>
                </c:pt>
                <c:pt idx="69">
                  <c:v>784.21973381546456</c:v>
                </c:pt>
                <c:pt idx="70">
                  <c:v>785.68646111860335</c:v>
                </c:pt>
                <c:pt idx="71">
                  <c:v>787.17563086329244</c:v>
                </c:pt>
                <c:pt idx="72">
                  <c:v>788.68717848308324</c:v>
                </c:pt>
                <c:pt idx="73">
                  <c:v>790.22104729133696</c:v>
                </c:pt>
                <c:pt idx="74">
                  <c:v>791.77718800857804</c:v>
                </c:pt>
                <c:pt idx="75">
                  <c:v>793.35555832646958</c:v>
                </c:pt>
                <c:pt idx="76">
                  <c:v>794.9561225051749</c:v>
                </c:pt>
                <c:pt idx="77">
                  <c:v>796.57885100120438</c:v>
                </c:pt>
                <c:pt idx="78">
                  <c:v>798.22372012312246</c:v>
                </c:pt>
                <c:pt idx="79">
                  <c:v>799.89071171274725</c:v>
                </c:pt>
                <c:pt idx="80">
                  <c:v>801.57981284970822</c:v>
                </c:pt>
                <c:pt idx="81">
                  <c:v>803.29101557742388</c:v>
                </c:pt>
                <c:pt idx="82">
                  <c:v>805.02431664874291</c:v>
                </c:pt>
                <c:pt idx="83">
                  <c:v>806.77971728966099</c:v>
                </c:pt>
                <c:pt idx="84">
                  <c:v>808.55722297966963</c:v>
                </c:pt>
                <c:pt idx="85">
                  <c:v>810.35684324741339</c:v>
                </c:pt>
                <c:pt idx="86">
                  <c:v>812.17859148047228</c:v>
                </c:pt>
                <c:pt idx="87">
                  <c:v>814.02248474816508</c:v>
                </c:pt>
                <c:pt idx="88">
                  <c:v>815.88854363639348</c:v>
                </c:pt>
                <c:pt idx="89">
                  <c:v>817.77679209360326</c:v>
                </c:pt>
                <c:pt idx="90">
                  <c:v>819.68725728704499</c:v>
                </c:pt>
                <c:pt idx="91">
                  <c:v>821.61996946856789</c:v>
                </c:pt>
                <c:pt idx="92">
                  <c:v>823.57496184924844</c:v>
                </c:pt>
                <c:pt idx="93">
                  <c:v>825.55227048222457</c:v>
                </c:pt>
                <c:pt idx="94">
                  <c:v>827.55193415314181</c:v>
                </c:pt>
                <c:pt idx="95">
                  <c:v>829.57399427767393</c:v>
                </c:pt>
                <c:pt idx="96">
                  <c:v>831.61849480562955</c:v>
                </c:pt>
                <c:pt idx="97">
                  <c:v>833.68548213118595</c:v>
                </c:pt>
                <c:pt idx="98">
                  <c:v>835.77500500882661</c:v>
                </c:pt>
                <c:pt idx="99">
                  <c:v>837.88711447460776</c:v>
                </c:pt>
                <c:pt idx="100">
                  <c:v>840.02186377238525</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358.68799382245908</c:v>
                </c:pt>
                <c:pt idx="1">
                  <c:v>359.59729270501231</c:v>
                </c:pt>
                <c:pt idx="2">
                  <c:v>358.27241541064643</c:v>
                </c:pt>
                <c:pt idx="3">
                  <c:v>356.94950624722543</c:v>
                </c:pt>
                <c:pt idx="4">
                  <c:v>355.62856290844172</c:v>
                </c:pt>
                <c:pt idx="5">
                  <c:v>354.3095830915891</c:v>
                </c:pt>
                <c:pt idx="6">
                  <c:v>352.99256449755717</c:v>
                </c:pt>
                <c:pt idx="7">
                  <c:v>351.67750483082267</c:v>
                </c:pt>
                <c:pt idx="8">
                  <c:v>350.36440179944401</c:v>
                </c:pt>
                <c:pt idx="9">
                  <c:v>349.05325311505334</c:v>
                </c:pt>
                <c:pt idx="10">
                  <c:v>347.74405649285001</c:v>
                </c:pt>
                <c:pt idx="11">
                  <c:v>346.43680965159336</c:v>
                </c:pt>
                <c:pt idx="12">
                  <c:v>345.13151031359604</c:v>
                </c:pt>
                <c:pt idx="13">
                  <c:v>343.82815620471695</c:v>
                </c:pt>
                <c:pt idx="14">
                  <c:v>366.70479195342159</c:v>
                </c:pt>
                <c:pt idx="15">
                  <c:v>390.19229084897711</c:v>
                </c:pt>
                <c:pt idx="16">
                  <c:v>413.40850260911088</c:v>
                </c:pt>
                <c:pt idx="17">
                  <c:v>436.36070838640609</c:v>
                </c:pt>
                <c:pt idx="18">
                  <c:v>459.05544560021093</c:v>
                </c:pt>
                <c:pt idx="19">
                  <c:v>481.49861703895789</c:v>
                </c:pt>
                <c:pt idx="20">
                  <c:v>503.69557923882758</c:v>
                </c:pt>
                <c:pt idx="21">
                  <c:v>525.65121491656998</c:v>
                </c:pt>
                <c:pt idx="22">
                  <c:v>547.36999295622502</c:v>
                </c:pt>
                <c:pt idx="23">
                  <c:v>568.85601855636617</c:v>
                </c:pt>
                <c:pt idx="24">
                  <c:v>590.11307550850836</c:v>
                </c:pt>
                <c:pt idx="25">
                  <c:v>611.14466211671288</c:v>
                </c:pt>
                <c:pt idx="26">
                  <c:v>631.95402192970812</c:v>
                </c:pt>
                <c:pt idx="27">
                  <c:v>652.54417020426661</c:v>
                </c:pt>
                <c:pt idx="28">
                  <c:v>672.91791682785367</c:v>
                </c:pt>
                <c:pt idx="29">
                  <c:v>693.0778862828364</c:v>
                </c:pt>
                <c:pt idx="30">
                  <c:v>713.0265351220321</c:v>
                </c:pt>
                <c:pt idx="31">
                  <c:v>732.76616733762478</c:v>
                </c:pt>
                <c:pt idx="32">
                  <c:v>752.29894793643768</c:v>
                </c:pt>
                <c:pt idx="33">
                  <c:v>771.62691497974276</c:v>
                </c:pt>
                <c:pt idx="34">
                  <c:v>790.7519903019504</c:v>
                </c:pt>
                <c:pt idx="35">
                  <c:v>809.67598908721152</c:v>
                </c:pt>
                <c:pt idx="36">
                  <c:v>828.40062845429088</c:v>
                </c:pt>
                <c:pt idx="37">
                  <c:v>846.92753517667143</c:v>
                </c:pt>
                <c:pt idx="38">
                  <c:v>865.25825264562343</c:v>
                </c:pt>
                <c:pt idx="39">
                  <c:v>883.39424716807241</c:v>
                </c:pt>
                <c:pt idx="40">
                  <c:v>901.33691367791687</c:v>
                </c:pt>
                <c:pt idx="41">
                  <c:v>919.08758092840844</c:v>
                </c:pt>
                <c:pt idx="42">
                  <c:v>936.85722067915992</c:v>
                </c:pt>
                <c:pt idx="43">
                  <c:v>954.54115749685354</c:v>
                </c:pt>
                <c:pt idx="44">
                  <c:v>975.32727415629222</c:v>
                </c:pt>
                <c:pt idx="45">
                  <c:v>1003.1543023233362</c:v>
                </c:pt>
                <c:pt idx="46">
                  <c:v>1031.1787770498586</c:v>
                </c:pt>
                <c:pt idx="47">
                  <c:v>1059.6810286811703</c:v>
                </c:pt>
                <c:pt idx="48">
                  <c:v>1101.9236036165462</c:v>
                </c:pt>
                <c:pt idx="49">
                  <c:v>1145.1106089145023</c:v>
                </c:pt>
                <c:pt idx="50">
                  <c:v>1189.2526220081493</c:v>
                </c:pt>
                <c:pt idx="51">
                  <c:v>1234.360445385174</c:v>
                </c:pt>
                <c:pt idx="52">
                  <c:v>1280.7054221056515</c:v>
                </c:pt>
                <c:pt idx="53">
                  <c:v>1328.6030923572921</c:v>
                </c:pt>
                <c:pt idx="54">
                  <c:v>1377.6063374042199</c:v>
                </c:pt>
                <c:pt idx="55">
                  <c:v>1427.7357826256784</c:v>
                </c:pt>
                <c:pt idx="56">
                  <c:v>1478.6539179503202</c:v>
                </c:pt>
                <c:pt idx="57">
                  <c:v>1530.6342164112846</c:v>
                </c:pt>
                <c:pt idx="58">
                  <c:v>1583.7427368283954</c:v>
                </c:pt>
                <c:pt idx="59">
                  <c:v>1637.9976600203167</c:v>
                </c:pt>
                <c:pt idx="60">
                  <c:v>1693.4177302962064</c:v>
                </c:pt>
                <c:pt idx="61">
                  <c:v>1750.0222735779976</c:v>
                </c:pt>
                <c:pt idx="62">
                  <c:v>1807.8312163054309</c:v>
                </c:pt>
                <c:pt idx="63">
                  <c:v>1866.8651051607578</c:v>
                </c:pt>
                <c:pt idx="64">
                  <c:v>1927.1451276521957</c:v>
                </c:pt>
                <c:pt idx="65">
                  <c:v>1988.69313359753</c:v>
                </c:pt>
                <c:pt idx="66">
                  <c:v>2051.5316575516713</c:v>
                </c:pt>
                <c:pt idx="67">
                  <c:v>2115.6839422245507</c:v>
                </c:pt>
                <c:pt idx="68">
                  <c:v>2181.1739629384965</c:v>
                </c:pt>
                <c:pt idx="69">
                  <c:v>2248.026453177134</c:v>
                </c:pt>
                <c:pt idx="70">
                  <c:v>2316.2669312809317</c:v>
                </c:pt>
                <c:pt idx="71">
                  <c:v>2385.9217283478588</c:v>
                </c:pt>
                <c:pt idx="72">
                  <c:v>2457.0180174010934</c:v>
                </c:pt>
                <c:pt idx="73">
                  <c:v>2529.583843889498</c:v>
                </c:pt>
                <c:pt idx="74">
                  <c:v>2603.6481575905536</c:v>
                </c:pt>
                <c:pt idx="75">
                  <c:v>2679.2408459897592</c:v>
                </c:pt>
                <c:pt idx="76">
                  <c:v>2756.3927692149937</c:v>
                </c:pt>
                <c:pt idx="77">
                  <c:v>2835.1357966093083</c:v>
                </c:pt>
                <c:pt idx="78">
                  <c:v>2915.5028450307395</c:v>
                </c:pt>
                <c:pt idx="79">
                  <c:v>2997.5279189733919</c:v>
                </c:pt>
                <c:pt idx="80">
                  <c:v>3081.2461526099692</c:v>
                </c:pt>
                <c:pt idx="81">
                  <c:v>3166.6938538623704</c:v>
                </c:pt>
                <c:pt idx="82">
                  <c:v>3253.9085506138049</c:v>
                </c:pt>
                <c:pt idx="83">
                  <c:v>3342.9290391832733</c:v>
                </c:pt>
                <c:pt idx="84">
                  <c:v>3433.7954351911362</c:v>
                </c:pt>
                <c:pt idx="85">
                  <c:v>3526.5492269530323</c:v>
                </c:pt>
                <c:pt idx="86">
                  <c:v>3621.2333315484502</c:v>
                </c:pt>
                <c:pt idx="87">
                  <c:v>3717.8921537201663</c:v>
                </c:pt>
                <c:pt idx="88">
                  <c:v>3816.5716477712176</c:v>
                </c:pt>
                <c:pt idx="89">
                  <c:v>3917.3193826374813</c:v>
                </c:pt>
                <c:pt idx="90">
                  <c:v>4020.184610326236</c:v>
                </c:pt>
                <c:pt idx="91">
                  <c:v>4125.2183379240323</c:v>
                </c:pt>
                <c:pt idx="92">
                  <c:v>4232.4734033918248</c:v>
                </c:pt>
                <c:pt idx="93">
                  <c:v>4342.0045553801856</c:v>
                </c:pt>
                <c:pt idx="94">
                  <c:v>4453.8685373144172</c:v>
                </c:pt>
                <c:pt idx="95">
                  <c:v>4568.1241760170333</c:v>
                </c:pt>
                <c:pt idx="96">
                  <c:v>4684.8324751545251</c:v>
                </c:pt>
                <c:pt idx="97">
                  <c:v>4804.0567138163442</c:v>
                </c:pt>
                <c:pt idx="98">
                  <c:v>4925.862550556627</c:v>
                </c:pt>
                <c:pt idx="99">
                  <c:v>5050.3181332539016</c:v>
                </c:pt>
                <c:pt idx="100">
                  <c:v>5177.4942151705645</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Single'!$AN$110:$AN$210</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341.19996701038207</c:v>
                </c:pt>
                <c:pt idx="35">
                  <c:v>332.17721232048342</c:v>
                </c:pt>
                <c:pt idx="36">
                  <c:v>323.23537981342434</c:v>
                </c:pt>
                <c:pt idx="37">
                  <c:v>315.07489404756603</c:v>
                </c:pt>
                <c:pt idx="38">
                  <c:v>307.3841642389832</c:v>
                </c:pt>
                <c:pt idx="39">
                  <c:v>300.07165912005559</c:v>
                </c:pt>
                <c:pt idx="40">
                  <c:v>293.07134516897264</c:v>
                </c:pt>
                <c:pt idx="41">
                  <c:v>286.28690671498555</c:v>
                </c:pt>
                <c:pt idx="42">
                  <c:v>279.80612247679039</c:v>
                </c:pt>
                <c:pt idx="43">
                  <c:v>273.62769789235898</c:v>
                </c:pt>
                <c:pt idx="44">
                  <c:v>267.71492912959576</c:v>
                </c:pt>
                <c:pt idx="45">
                  <c:v>262.05103803733306</c:v>
                </c:pt>
                <c:pt idx="46">
                  <c:v>256.62063023751739</c:v>
                </c:pt>
                <c:pt idx="47">
                  <c:v>251.40955534920479</c:v>
                </c:pt>
                <c:pt idx="48">
                  <c:v>246.40478381972719</c:v>
                </c:pt>
                <c:pt idx="49">
                  <c:v>241.59429810572948</c:v>
                </c:pt>
                <c:pt idx="50">
                  <c:v>236.96699629074348</c:v>
                </c:pt>
                <c:pt idx="51">
                  <c:v>232.51260651207804</c:v>
                </c:pt>
                <c:pt idx="52">
                  <c:v>228.22161080866272</c:v>
                </c:pt>
                <c:pt idx="53">
                  <c:v>224.08517720160768</c:v>
                </c:pt>
                <c:pt idx="54">
                  <c:v>220.09509898749036</c:v>
                </c:pt>
                <c:pt idx="55">
                  <c:v>216.24374036629294</c:v>
                </c:pt>
                <c:pt idx="56">
                  <c:v>212.5239876459938</c:v>
                </c:pt>
                <c:pt idx="57">
                  <c:v>208.92920536772999</c:v>
                </c:pt>
                <c:pt idx="58">
                  <c:v>205.45319678220679</c:v>
                </c:pt>
                <c:pt idx="59">
                  <c:v>202.09016818208795</c:v>
                </c:pt>
                <c:pt idx="60">
                  <c:v>198.83469665849324</c:v>
                </c:pt>
                <c:pt idx="61">
                  <c:v>195.68170090414023</c:v>
                </c:pt>
                <c:pt idx="62">
                  <c:v>192.62641473248769</c:v>
                </c:pt>
                <c:pt idx="63">
                  <c:v>189.66436302261533</c:v>
                </c:pt>
                <c:pt idx="64">
                  <c:v>186.79133983450225</c:v>
                </c:pt>
                <c:pt idx="65">
                  <c:v>184.003388469621</c:v>
                </c:pt>
                <c:pt idx="66">
                  <c:v>181.29678327805729</c:v>
                </c:pt>
                <c:pt idx="67">
                  <c:v>178.6680130362445</c:v>
                </c:pt>
                <c:pt idx="68">
                  <c:v>176.11376573936465</c:v>
                </c:pt>
                <c:pt idx="69">
                  <c:v>173.63091466991705</c:v>
                </c:pt>
                <c:pt idx="70">
                  <c:v>171.21650561923701</c:v>
                </c:pt>
                <c:pt idx="71">
                  <c:v>168.86774515216089</c:v>
                </c:pt>
                <c:pt idx="72">
                  <c:v>166.5819898168206</c:v>
                </c:pt>
                <c:pt idx="73">
                  <c:v>164.35673621194306</c:v>
                </c:pt>
                <c:pt idx="74">
                  <c:v>162.18961183318621</c:v>
                </c:pt>
                <c:pt idx="75">
                  <c:v>160.07836662814898</c:v>
                </c:pt>
                <c:pt idx="76">
                  <c:v>158.02086519686063</c:v>
                </c:pt>
                <c:pt idx="77">
                  <c:v>156.01507958091381</c:v>
                </c:pt>
                <c:pt idx="78">
                  <c:v>154.05908259005574</c:v>
                </c:pt>
                <c:pt idx="79">
                  <c:v>152.15104162007464</c:v>
                </c:pt>
                <c:pt idx="80">
                  <c:v>150.28921292029628</c:v>
                </c:pt>
                <c:pt idx="81">
                  <c:v>148.47193627299765</c:v>
                </c:pt>
                <c:pt idx="82">
                  <c:v>146.69763005061552</c:v>
                </c:pt>
                <c:pt idx="83">
                  <c:v>144.96478661981774</c:v>
                </c:pt>
                <c:pt idx="84">
                  <c:v>143.27196806436959</c:v>
                </c:pt>
                <c:pt idx="85">
                  <c:v>141.61780220128878</c:v>
                </c:pt>
                <c:pt idx="86">
                  <c:v>140.00097886709295</c:v>
                </c:pt>
                <c:pt idx="87">
                  <c:v>138.4202464530149</c:v>
                </c:pt>
                <c:pt idx="88">
                  <c:v>136.87440866992733</c:v>
                </c:pt>
                <c:pt idx="89">
                  <c:v>135.36232152540461</c:v>
                </c:pt>
                <c:pt idx="90">
                  <c:v>133.88289049686736</c:v>
                </c:pt>
                <c:pt idx="91">
                  <c:v>132.4350678861303</c:v>
                </c:pt>
                <c:pt idx="92">
                  <c:v>131.01785034191516</c:v>
                </c:pt>
                <c:pt idx="93">
                  <c:v>129.63027653801851</c:v>
                </c:pt>
                <c:pt idx="94">
                  <c:v>128.27142499584147</c:v>
                </c:pt>
                <c:pt idx="95">
                  <c:v>126.94041204091924</c:v>
                </c:pt>
                <c:pt idx="96">
                  <c:v>125.63638988392481</c:v>
                </c:pt>
                <c:pt idx="97">
                  <c:v>124.35854481739277</c:v>
                </c:pt>
                <c:pt idx="98">
                  <c:v>123.10609552010054</c:v>
                </c:pt>
                <c:pt idx="99">
                  <c:v>121.87829146168403</c:v>
                </c:pt>
                <c:pt idx="100">
                  <c:v>120.67441140064166</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Single'!$AN$5:$AN$105</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347.66330326496347</c:v>
                </c:pt>
                <c:pt idx="45">
                  <c:v>340.55931015097519</c:v>
                </c:pt>
                <c:pt idx="46">
                  <c:v>333.74620214384856</c:v>
                </c:pt>
                <c:pt idx="47">
                  <c:v>326.69203433110465</c:v>
                </c:pt>
                <c:pt idx="48">
                  <c:v>320.42475146740026</c:v>
                </c:pt>
                <c:pt idx="49">
                  <c:v>314.40157442794577</c:v>
                </c:pt>
                <c:pt idx="50">
                  <c:v>308.60888682019475</c:v>
                </c:pt>
                <c:pt idx="51">
                  <c:v>303.03408398803276</c:v>
                </c:pt>
                <c:pt idx="52">
                  <c:v>297.63271981452345</c:v>
                </c:pt>
                <c:pt idx="53">
                  <c:v>292.36349774218758</c:v>
                </c:pt>
                <c:pt idx="54">
                  <c:v>287.27863903344956</c:v>
                </c:pt>
                <c:pt idx="55">
                  <c:v>282.36866544043266</c:v>
                </c:pt>
                <c:pt idx="56">
                  <c:v>277.61404678115326</c:v>
                </c:pt>
                <c:pt idx="57">
                  <c:v>273.01559640379708</c:v>
                </c:pt>
                <c:pt idx="58">
                  <c:v>268.5671369804906</c:v>
                </c:pt>
                <c:pt idx="59">
                  <c:v>264.26144415393429</c:v>
                </c:pt>
                <c:pt idx="60">
                  <c:v>260.09175019452078</c:v>
                </c:pt>
                <c:pt idx="61">
                  <c:v>256.05170848410688</c:v>
                </c:pt>
                <c:pt idx="62">
                  <c:v>252.13536126392751</c:v>
                </c:pt>
                <c:pt idx="63">
                  <c:v>248.33711030194053</c:v>
                </c:pt>
                <c:pt idx="64">
                  <c:v>244.65169017587641</c:v>
                </c:pt>
                <c:pt idx="65">
                  <c:v>241.07414390384915</c:v>
                </c:pt>
                <c:pt idx="66">
                  <c:v>237.5998006853479</c:v>
                </c:pt>
                <c:pt idx="67">
                  <c:v>234.2242555424248</c:v>
                </c:pt>
                <c:pt idx="68">
                  <c:v>230.94335067448264</c:v>
                </c:pt>
                <c:pt idx="69">
                  <c:v>227.75315836071772</c:v>
                </c:pt>
                <c:pt idx="70">
                  <c:v>224.64996526238895</c:v>
                </c:pt>
                <c:pt idx="71">
                  <c:v>221.63025799300297</c:v>
                </c:pt>
                <c:pt idx="72">
                  <c:v>218.69070983852433</c:v>
                </c:pt>
                <c:pt idx="73">
                  <c:v>215.82816852208171</c:v>
                </c:pt>
                <c:pt idx="74">
                  <c:v>213.03964491856547</c:v>
                </c:pt>
                <c:pt idx="75">
                  <c:v>210.32230263417952</c:v>
                </c:pt>
                <c:pt idx="76">
                  <c:v>207.67344837458063</c:v>
                </c:pt>
                <c:pt idx="77">
                  <c:v>205.09052303284869</c:v>
                </c:pt>
                <c:pt idx="78">
                  <c:v>202.57109343529737</c:v>
                </c:pt>
                <c:pt idx="79">
                  <c:v>200.1128446891621</c:v>
                </c:pt>
                <c:pt idx="80">
                  <c:v>197.71357308157911</c:v>
                </c:pt>
                <c:pt idx="81">
                  <c:v>195.37117948406774</c:v>
                </c:pt>
                <c:pt idx="82">
                  <c:v>193.08366322102654</c:v>
                </c:pt>
                <c:pt idx="83">
                  <c:v>190.84911636459867</c:v>
                </c:pt>
                <c:pt idx="84">
                  <c:v>188.665718421713</c:v>
                </c:pt>
                <c:pt idx="85">
                  <c:v>186.53173138220478</c:v>
                </c:pt>
                <c:pt idx="86">
                  <c:v>184.44549509970815</c:v>
                </c:pt>
                <c:pt idx="87">
                  <c:v>182.40542297951816</c:v>
                </c:pt>
                <c:pt idx="88">
                  <c:v>180.409997949885</c:v>
                </c:pt>
                <c:pt idx="89">
                  <c:v>178.4577686952388</c:v>
                </c:pt>
                <c:pt idx="90">
                  <c:v>176.54734613169154</c:v>
                </c:pt>
                <c:pt idx="91">
                  <c:v>174.67740010682937</c:v>
                </c:pt>
                <c:pt idx="92">
                  <c:v>172.84665630731507</c:v>
                </c:pt>
                <c:pt idx="93">
                  <c:v>171.05389335919594</c:v>
                </c:pt>
                <c:pt idx="94">
                  <c:v>169.29794010704876</c:v>
                </c:pt>
                <c:pt idx="95">
                  <c:v>167.57767305922579</c:v>
                </c:pt>
                <c:pt idx="96">
                  <c:v>165.89201398749125</c:v>
                </c:pt>
                <c:pt idx="97">
                  <c:v>164.23992767027067</c:v>
                </c:pt>
                <c:pt idx="98">
                  <c:v>162.62041976958793</c:v>
                </c:pt>
                <c:pt idx="99">
                  <c:v>161.03253483254144</c:v>
                </c:pt>
                <c:pt idx="100">
                  <c:v>159.47535440887859</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Single'!$AN$216:$AN$316</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347.09082652202289</c:v>
                </c:pt>
                <c:pt idx="62">
                  <c:v>341.98395049687286</c:v>
                </c:pt>
                <c:pt idx="63">
                  <c:v>337.0295896010839</c:v>
                </c:pt>
                <c:pt idx="64">
                  <c:v>332.22105826031043</c:v>
                </c:pt>
                <c:pt idx="65">
                  <c:v>327.03848099648962</c:v>
                </c:pt>
                <c:pt idx="66">
                  <c:v>322.51658389644467</c:v>
                </c:pt>
                <c:pt idx="67">
                  <c:v>318.12328877596747</c:v>
                </c:pt>
                <c:pt idx="68">
                  <c:v>313.85330312229485</c:v>
                </c:pt>
                <c:pt idx="69">
                  <c:v>309.7016235562441</c:v>
                </c:pt>
                <c:pt idx="70">
                  <c:v>305.65044437869921</c:v>
                </c:pt>
                <c:pt idx="71">
                  <c:v>301.66886094028393</c:v>
                </c:pt>
                <c:pt idx="72">
                  <c:v>297.79215268116826</c:v>
                </c:pt>
                <c:pt idx="73">
                  <c:v>294.0162741763836</c:v>
                </c:pt>
                <c:pt idx="74">
                  <c:v>290.33738645271148</c:v>
                </c:pt>
                <c:pt idx="75">
                  <c:v>286.75184401474047</c:v>
                </c:pt>
                <c:pt idx="76">
                  <c:v>283.24753111949281</c:v>
                </c:pt>
                <c:pt idx="77">
                  <c:v>279.81280698348456</c:v>
                </c:pt>
                <c:pt idx="78">
                  <c:v>276.46128035470485</c:v>
                </c:pt>
                <c:pt idx="79">
                  <c:v>273.18996236625179</c:v>
                </c:pt>
                <c:pt idx="80">
                  <c:v>269.99600562646924</c:v>
                </c:pt>
                <c:pt idx="81">
                  <c:v>266.87669594608525</c:v>
                </c:pt>
                <c:pt idx="82">
                  <c:v>263.829444639153</c:v>
                </c:pt>
                <c:pt idx="83">
                  <c:v>260.85178135189494</c:v>
                </c:pt>
                <c:pt idx="84">
                  <c:v>257.94134737769537</c:v>
                </c:pt>
                <c:pt idx="85">
                  <c:v>255.09588942022236</c:v>
                </c:pt>
                <c:pt idx="86">
                  <c:v>252.31325377001829</c:v>
                </c:pt>
                <c:pt idx="87">
                  <c:v>249.59138086293152</c:v>
                </c:pt>
                <c:pt idx="88">
                  <c:v>246.92830019149039</c:v>
                </c:pt>
                <c:pt idx="89">
                  <c:v>244.32212554280423</c:v>
                </c:pt>
                <c:pt idx="90">
                  <c:v>241.77105053879831</c:v>
                </c:pt>
                <c:pt idx="91">
                  <c:v>239.27334445662993</c:v>
                </c:pt>
                <c:pt idx="92">
                  <c:v>236.82734830895751</c:v>
                </c:pt>
                <c:pt idx="93">
                  <c:v>234.43147116541209</c:v>
                </c:pt>
                <c:pt idx="94">
                  <c:v>232.08418669812698</c:v>
                </c:pt>
                <c:pt idx="95">
                  <c:v>229.78402993556682</c:v>
                </c:pt>
                <c:pt idx="96">
                  <c:v>227.52959421014609</c:v>
                </c:pt>
                <c:pt idx="97">
                  <c:v>225.3195282862747</c:v>
                </c:pt>
                <c:pt idx="98">
                  <c:v>223.15253365650787</c:v>
                </c:pt>
                <c:pt idx="99">
                  <c:v>221.02736199443322</c:v>
                </c:pt>
                <c:pt idx="100">
                  <c:v>218.94281275379512</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2.0982658897037267</c:v>
                </c:pt>
                <c:pt idx="33">
                  <c:v>2.1319992888143418</c:v>
                </c:pt>
                <c:pt idx="34">
                  <c:v>2.1653099184900952</c:v>
                </c:pt>
                <c:pt idx="35">
                  <c:v>2.1982205832420019</c:v>
                </c:pt>
                <c:pt idx="36">
                  <c:v>2.2424251922979432</c:v>
                </c:pt>
                <c:pt idx="37">
                  <c:v>2.3052471162643364</c:v>
                </c:pt>
                <c:pt idx="38">
                  <c:v>2.3681609182295311</c:v>
                </c:pt>
                <c:pt idx="39">
                  <c:v>2.4311084419165931</c:v>
                </c:pt>
                <c:pt idx="40">
                  <c:v>2.4944500425967133</c:v>
                </c:pt>
                <c:pt idx="41">
                  <c:v>2.558925571490104</c:v>
                </c:pt>
                <c:pt idx="42">
                  <c:v>2.6235467954084664</c:v>
                </c:pt>
                <c:pt idx="43">
                  <c:v>2.6871710745302413</c:v>
                </c:pt>
                <c:pt idx="44">
                  <c:v>2.7508494323644106</c:v>
                </c:pt>
                <c:pt idx="45">
                  <c:v>2.814581880599504</c:v>
                </c:pt>
                <c:pt idx="46">
                  <c:v>2.8783684309287541</c:v>
                </c:pt>
                <c:pt idx="47">
                  <c:v>2.9422090950499489</c:v>
                </c:pt>
                <c:pt idx="48">
                  <c:v>3.0061038846653099</c:v>
                </c:pt>
                <c:pt idx="49">
                  <c:v>3.0700528114813768</c:v>
                </c:pt>
                <c:pt idx="50">
                  <c:v>3.1340558872089175</c:v>
                </c:pt>
                <c:pt idx="51">
                  <c:v>3.1981131235628433</c:v>
                </c:pt>
                <c:pt idx="52">
                  <c:v>3.262224532262131</c:v>
                </c:pt>
                <c:pt idx="53">
                  <c:v>3.3263901250297616</c:v>
                </c:pt>
                <c:pt idx="54">
                  <c:v>3.3906099135926593</c:v>
                </c:pt>
                <c:pt idx="55">
                  <c:v>3.4548839096816484</c:v>
                </c:pt>
                <c:pt idx="56">
                  <c:v>3.5192121250313981</c:v>
                </c:pt>
                <c:pt idx="57">
                  <c:v>3.5835945713803827</c:v>
                </c:pt>
                <c:pt idx="58">
                  <c:v>3.6480312604708591</c:v>
                </c:pt>
                <c:pt idx="59">
                  <c:v>3.7125222040488208</c:v>
                </c:pt>
                <c:pt idx="60">
                  <c:v>3.7770674138639704</c:v>
                </c:pt>
                <c:pt idx="61">
                  <c:v>3.8416669016697047</c:v>
                </c:pt>
                <c:pt idx="62">
                  <c:v>3.9063206792230778</c:v>
                </c:pt>
                <c:pt idx="63">
                  <c:v>3.9710287582847945</c:v>
                </c:pt>
                <c:pt idx="64">
                  <c:v>4.0357911506191808</c:v>
                </c:pt>
                <c:pt idx="65">
                  <c:v>4.1006078679941709</c:v>
                </c:pt>
                <c:pt idx="66">
                  <c:v>4.1654789221812951</c:v>
                </c:pt>
                <c:pt idx="67">
                  <c:v>4.2304043249556642</c:v>
                </c:pt>
                <c:pt idx="68">
                  <c:v>4.2953840880959531</c:v>
                </c:pt>
                <c:pt idx="69">
                  <c:v>4.3604182233844009</c:v>
                </c:pt>
                <c:pt idx="70">
                  <c:v>4.4255067426067907</c:v>
                </c:pt>
                <c:pt idx="71">
                  <c:v>4.4906496575524422</c:v>
                </c:pt>
                <c:pt idx="72">
                  <c:v>4.5558469800142092</c:v>
                </c:pt>
                <c:pt idx="73">
                  <c:v>4.6210987217884671</c:v>
                </c:pt>
                <c:pt idx="74">
                  <c:v>4.6864048946751051</c:v>
                </c:pt>
                <c:pt idx="75">
                  <c:v>4.7517655104775312</c:v>
                </c:pt>
                <c:pt idx="76">
                  <c:v>4.8171805810026536</c:v>
                </c:pt>
                <c:pt idx="77">
                  <c:v>4.8826501180608757</c:v>
                </c:pt>
                <c:pt idx="78">
                  <c:v>4.9481741334661082</c:v>
                </c:pt>
                <c:pt idx="79">
                  <c:v>5.013752639035749</c:v>
                </c:pt>
                <c:pt idx="80">
                  <c:v>5.0793856465906835</c:v>
                </c:pt>
                <c:pt idx="81">
                  <c:v>5.1450731679552835</c:v>
                </c:pt>
                <c:pt idx="82">
                  <c:v>5.2108152149574032</c:v>
                </c:pt>
                <c:pt idx="83">
                  <c:v>5.2766117994283839</c:v>
                </c:pt>
                <c:pt idx="84">
                  <c:v>5.3424629332030351</c:v>
                </c:pt>
                <c:pt idx="85">
                  <c:v>5.4083686281196455</c:v>
                </c:pt>
                <c:pt idx="86">
                  <c:v>5.4743288960199825</c:v>
                </c:pt>
                <c:pt idx="87">
                  <c:v>5.5403437487492795</c:v>
                </c:pt>
                <c:pt idx="88">
                  <c:v>5.6064131981562477</c:v>
                </c:pt>
                <c:pt idx="89">
                  <c:v>5.6725372560930625</c:v>
                </c:pt>
                <c:pt idx="90">
                  <c:v>5.7387159344153762</c:v>
                </c:pt>
                <c:pt idx="91">
                  <c:v>5.804949244982299</c:v>
                </c:pt>
                <c:pt idx="92">
                  <c:v>5.8712371996564183</c:v>
                </c:pt>
                <c:pt idx="93">
                  <c:v>5.9375798103037818</c:v>
                </c:pt>
                <c:pt idx="94">
                  <c:v>6.0039770887939081</c:v>
                </c:pt>
                <c:pt idx="95">
                  <c:v>6.0704290469997773</c:v>
                </c:pt>
                <c:pt idx="96">
                  <c:v>6.1369356967978428</c:v>
                </c:pt>
                <c:pt idx="97">
                  <c:v>6.2034970500680142</c:v>
                </c:pt>
                <c:pt idx="98">
                  <c:v>6.2701131186936738</c:v>
                </c:pt>
                <c:pt idx="99">
                  <c:v>6.3367839145616669</c:v>
                </c:pt>
                <c:pt idx="100">
                  <c:v>6.4035094495623044</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2.4083248910059685</c:v>
                </c:pt>
                <c:pt idx="43">
                  <c:v>2.4379281613518806</c:v>
                </c:pt>
                <c:pt idx="44">
                  <c:v>2.4672428239722648</c:v>
                </c:pt>
                <c:pt idx="45">
                  <c:v>2.4962803276495933</c:v>
                </c:pt>
                <c:pt idx="46">
                  <c:v>2.5250515248416421</c:v>
                </c:pt>
                <c:pt idx="47">
                  <c:v>2.5522516927574062</c:v>
                </c:pt>
                <c:pt idx="48">
                  <c:v>2.6070215968754433</c:v>
                </c:pt>
                <c:pt idx="49">
                  <c:v>2.6618092382793108</c:v>
                </c:pt>
                <c:pt idx="50">
                  <c:v>2.7166147364079594</c:v>
                </c:pt>
                <c:pt idx="51">
                  <c:v>2.7714382278048908</c:v>
                </c:pt>
                <c:pt idx="52">
                  <c:v>2.826610664935242</c:v>
                </c:pt>
                <c:pt idx="53">
                  <c:v>2.8824873235258046</c:v>
                </c:pt>
                <c:pt idx="54">
                  <c:v>2.9384649365729691</c:v>
                </c:pt>
                <c:pt idx="55">
                  <c:v>2.9945478365546494</c:v>
                </c:pt>
                <c:pt idx="56">
                  <c:v>3.0500558831255788</c:v>
                </c:pt>
                <c:pt idx="57">
                  <c:v>3.1055042616597839</c:v>
                </c:pt>
                <c:pt idx="58">
                  <c:v>3.1609872313768848</c:v>
                </c:pt>
                <c:pt idx="59">
                  <c:v>3.216504797168386</c:v>
                </c:pt>
                <c:pt idx="60">
                  <c:v>3.2720569639269574</c:v>
                </c:pt>
                <c:pt idx="61">
                  <c:v>3.3276437365464138</c:v>
                </c:pt>
                <c:pt idx="62">
                  <c:v>3.3832651199216923</c:v>
                </c:pt>
                <c:pt idx="63">
                  <c:v>3.4389211189488424</c:v>
                </c:pt>
                <c:pt idx="64">
                  <c:v>3.4946117385250068</c:v>
                </c:pt>
                <c:pt idx="65">
                  <c:v>3.5503369835484078</c:v>
                </c:pt>
                <c:pt idx="66">
                  <c:v>3.6060968589183435</c:v>
                </c:pt>
                <c:pt idx="67">
                  <c:v>3.6618913695351645</c:v>
                </c:pt>
                <c:pt idx="68">
                  <c:v>3.7177205203002712</c:v>
                </c:pt>
                <c:pt idx="69">
                  <c:v>3.7735843161161076</c:v>
                </c:pt>
                <c:pt idx="70">
                  <c:v>3.8294827618861449</c:v>
                </c:pt>
                <c:pt idx="71">
                  <c:v>3.8854158625148814</c:v>
                </c:pt>
                <c:pt idx="72">
                  <c:v>3.9413836229078325</c:v>
                </c:pt>
                <c:pt idx="73">
                  <c:v>3.9973860479715229</c:v>
                </c:pt>
                <c:pt idx="74">
                  <c:v>4.053423142613485</c:v>
                </c:pt>
                <c:pt idx="75">
                  <c:v>4.1094949117422521</c:v>
                </c:pt>
                <c:pt idx="76">
                  <c:v>4.1656013602673525</c:v>
                </c:pt>
                <c:pt idx="77">
                  <c:v>4.2217424930993044</c:v>
                </c:pt>
                <c:pt idx="78">
                  <c:v>4.2779183151496163</c:v>
                </c:pt>
                <c:pt idx="79">
                  <c:v>4.33412883133078</c:v>
                </c:pt>
                <c:pt idx="80">
                  <c:v>4.3903740465562642</c:v>
                </c:pt>
                <c:pt idx="81">
                  <c:v>4.44665396574052</c:v>
                </c:pt>
                <c:pt idx="82">
                  <c:v>4.5029685937989674</c:v>
                </c:pt>
                <c:pt idx="83">
                  <c:v>4.5593179356480054</c:v>
                </c:pt>
                <c:pt idx="84">
                  <c:v>4.6157019962049963</c:v>
                </c:pt>
                <c:pt idx="85">
                  <c:v>4.6721207803882736</c:v>
                </c:pt>
                <c:pt idx="86">
                  <c:v>4.7285742931171324</c:v>
                </c:pt>
                <c:pt idx="87">
                  <c:v>4.7850625393118351</c:v>
                </c:pt>
                <c:pt idx="88">
                  <c:v>4.8415855238936025</c:v>
                </c:pt>
                <c:pt idx="89">
                  <c:v>4.8981432517846146</c:v>
                </c:pt>
                <c:pt idx="90">
                  <c:v>4.9547357279080169</c:v>
                </c:pt>
                <c:pt idx="91">
                  <c:v>5.0113629571879041</c:v>
                </c:pt>
                <c:pt idx="92">
                  <c:v>5.0680249445493306</c:v>
                </c:pt>
                <c:pt idx="93">
                  <c:v>5.1247216949183034</c:v>
                </c:pt>
                <c:pt idx="94">
                  <c:v>5.1814532132217836</c:v>
                </c:pt>
                <c:pt idx="95">
                  <c:v>5.2382195043876898</c:v>
                </c:pt>
                <c:pt idx="96">
                  <c:v>5.2950205733448854</c:v>
                </c:pt>
                <c:pt idx="97">
                  <c:v>5.3518564250231897</c:v>
                </c:pt>
                <c:pt idx="98">
                  <c:v>5.4087270643533669</c:v>
                </c:pt>
                <c:pt idx="99">
                  <c:v>5.4656324962671361</c:v>
                </c:pt>
                <c:pt idx="100">
                  <c:v>5.5225727256971631</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2.4078505137490342</c:v>
                </c:pt>
                <c:pt idx="43">
                  <c:v>2.4367389951979468</c:v>
                </c:pt>
                <c:pt idx="44">
                  <c:v>2.465302425816235</c:v>
                </c:pt>
                <c:pt idx="45">
                  <c:v>2.4935518239923748</c:v>
                </c:pt>
                <c:pt idx="46">
                  <c:v>2.5214975992544084</c:v>
                </c:pt>
                <c:pt idx="47">
                  <c:v>2.5491495983576913</c:v>
                </c:pt>
                <c:pt idx="48">
                  <c:v>2.5765171469819501</c:v>
                </c:pt>
                <c:pt idx="49">
                  <c:v>2.6036090875383247</c:v>
                </c:pt>
                <c:pt idx="50">
                  <c:v>2.6304338135209688</c:v>
                </c:pt>
                <c:pt idx="51">
                  <c:v>2.6569993007815409</c:v>
                </c:pt>
                <c:pt idx="52">
                  <c:v>2.6833131360569165</c:v>
                </c:pt>
                <c:pt idx="53">
                  <c:v>2.7093825430393474</c:v>
                </c:pt>
                <c:pt idx="54">
                  <c:v>2.7352144062429771</c:v>
                </c:pt>
                <c:pt idx="55">
                  <c:v>2.7608152928901779</c:v>
                </c:pt>
                <c:pt idx="56">
                  <c:v>2.7862907226923928</c:v>
                </c:pt>
                <c:pt idx="57">
                  <c:v>2.8120383813188226</c:v>
                </c:pt>
                <c:pt idx="58">
                  <c:v>2.8375932952278915</c:v>
                </c:pt>
                <c:pt idx="59">
                  <c:v>2.8629609955864606</c:v>
                </c:pt>
                <c:pt idx="60">
                  <c:v>2.8881467842860387</c:v>
                </c:pt>
                <c:pt idx="61">
                  <c:v>2.9131557473334793</c:v>
                </c:pt>
                <c:pt idx="62">
                  <c:v>2.9379927672574242</c:v>
                </c:pt>
                <c:pt idx="63">
                  <c:v>2.962662534617551</c:v>
                </c:pt>
                <c:pt idx="64">
                  <c:v>2.987169558694688</c:v>
                </c:pt>
                <c:pt idx="65">
                  <c:v>3.0074072629498447</c:v>
                </c:pt>
                <c:pt idx="66">
                  <c:v>3.0551232573127871</c:v>
                </c:pt>
                <c:pt idx="67">
                  <c:v>3.1017553382444984</c:v>
                </c:pt>
                <c:pt idx="68">
                  <c:v>3.14839594443808</c:v>
                </c:pt>
                <c:pt idx="69">
                  <c:v>3.1950450637435037</c:v>
                </c:pt>
                <c:pt idx="70">
                  <c:v>3.2418503547143618</c:v>
                </c:pt>
                <c:pt idx="71">
                  <c:v>3.289130260264236</c:v>
                </c:pt>
                <c:pt idx="72">
                  <c:v>3.3364507357258062</c:v>
                </c:pt>
                <c:pt idx="73">
                  <c:v>3.3838126120698786</c:v>
                </c:pt>
                <c:pt idx="74">
                  <c:v>3.4312167431212912</c:v>
                </c:pt>
                <c:pt idx="75">
                  <c:v>3.4786640063501957</c:v>
                </c:pt>
                <c:pt idx="76">
                  <c:v>3.526024508479022</c:v>
                </c:pt>
                <c:pt idx="77">
                  <c:v>3.5731581624515001</c:v>
                </c:pt>
                <c:pt idx="78">
                  <c:v>3.6203110414706816</c:v>
                </c:pt>
                <c:pt idx="79">
                  <c:v>3.6674831470830047</c:v>
                </c:pt>
                <c:pt idx="80">
                  <c:v>3.7146744808351038</c:v>
                </c:pt>
                <c:pt idx="81">
                  <c:v>3.7618850442738063</c:v>
                </c:pt>
                <c:pt idx="82">
                  <c:v>3.8091148389461407</c:v>
                </c:pt>
                <c:pt idx="83">
                  <c:v>3.8563638663993229</c:v>
                </c:pt>
                <c:pt idx="84">
                  <c:v>3.903632128180766</c:v>
                </c:pt>
                <c:pt idx="85">
                  <c:v>3.9509196258380657</c:v>
                </c:pt>
                <c:pt idx="86">
                  <c:v>3.9982263609190141</c:v>
                </c:pt>
                <c:pt idx="87">
                  <c:v>4.045552334971581</c:v>
                </c:pt>
                <c:pt idx="88">
                  <c:v>4.0928975495439319</c:v>
                </c:pt>
                <c:pt idx="89">
                  <c:v>4.1402620061844102</c:v>
                </c:pt>
                <c:pt idx="90">
                  <c:v>4.1876457064415478</c:v>
                </c:pt>
                <c:pt idx="91">
                  <c:v>4.2350486518640533</c:v>
                </c:pt>
                <c:pt idx="92">
                  <c:v>4.2824708440008248</c:v>
                </c:pt>
                <c:pt idx="93">
                  <c:v>4.329912284400935</c:v>
                </c:pt>
                <c:pt idx="94">
                  <c:v>4.3773729746136416</c:v>
                </c:pt>
                <c:pt idx="95">
                  <c:v>4.4248529161883781</c:v>
                </c:pt>
                <c:pt idx="96">
                  <c:v>4.4723521106747617</c:v>
                </c:pt>
                <c:pt idx="97">
                  <c:v>4.519870559622583</c:v>
                </c:pt>
                <c:pt idx="98">
                  <c:v>4.5674082645818102</c:v>
                </c:pt>
                <c:pt idx="99">
                  <c:v>4.6149652271025934</c:v>
                </c:pt>
                <c:pt idx="100">
                  <c:v>4.6625414487352561</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Single'!$AN$110:$AN$210</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341.19996701038207</c:v>
                </c:pt>
                <c:pt idx="35">
                  <c:v>332.17721232048342</c:v>
                </c:pt>
                <c:pt idx="36">
                  <c:v>323.23537981342434</c:v>
                </c:pt>
                <c:pt idx="37">
                  <c:v>315.07489404756603</c:v>
                </c:pt>
                <c:pt idx="38">
                  <c:v>307.3841642389832</c:v>
                </c:pt>
                <c:pt idx="39">
                  <c:v>300.07165912005559</c:v>
                </c:pt>
                <c:pt idx="40">
                  <c:v>293.07134516897264</c:v>
                </c:pt>
                <c:pt idx="41">
                  <c:v>286.28690671498555</c:v>
                </c:pt>
                <c:pt idx="42">
                  <c:v>279.80612247679039</c:v>
                </c:pt>
                <c:pt idx="43">
                  <c:v>273.62769789235898</c:v>
                </c:pt>
                <c:pt idx="44">
                  <c:v>267.71492912959576</c:v>
                </c:pt>
                <c:pt idx="45">
                  <c:v>262.05103803733306</c:v>
                </c:pt>
                <c:pt idx="46">
                  <c:v>256.62063023751739</c:v>
                </c:pt>
                <c:pt idx="47">
                  <c:v>251.40955534920479</c:v>
                </c:pt>
                <c:pt idx="48">
                  <c:v>246.40478381972719</c:v>
                </c:pt>
                <c:pt idx="49">
                  <c:v>241.59429810572948</c:v>
                </c:pt>
                <c:pt idx="50">
                  <c:v>236.96699629074348</c:v>
                </c:pt>
                <c:pt idx="51">
                  <c:v>232.51260651207804</c:v>
                </c:pt>
                <c:pt idx="52">
                  <c:v>228.22161080866272</c:v>
                </c:pt>
                <c:pt idx="53">
                  <c:v>224.08517720160768</c:v>
                </c:pt>
                <c:pt idx="54">
                  <c:v>220.09509898749036</c:v>
                </c:pt>
                <c:pt idx="55">
                  <c:v>216.24374036629294</c:v>
                </c:pt>
                <c:pt idx="56">
                  <c:v>212.5239876459938</c:v>
                </c:pt>
                <c:pt idx="57">
                  <c:v>208.92920536772999</c:v>
                </c:pt>
                <c:pt idx="58">
                  <c:v>205.45319678220679</c:v>
                </c:pt>
                <c:pt idx="59">
                  <c:v>202.09016818208795</c:v>
                </c:pt>
                <c:pt idx="60">
                  <c:v>198.83469665849324</c:v>
                </c:pt>
                <c:pt idx="61">
                  <c:v>195.68170090414023</c:v>
                </c:pt>
                <c:pt idx="62">
                  <c:v>192.62641473248769</c:v>
                </c:pt>
                <c:pt idx="63">
                  <c:v>189.66436302261533</c:v>
                </c:pt>
                <c:pt idx="64">
                  <c:v>186.79133983450225</c:v>
                </c:pt>
                <c:pt idx="65">
                  <c:v>184.003388469621</c:v>
                </c:pt>
                <c:pt idx="66">
                  <c:v>181.29678327805729</c:v>
                </c:pt>
                <c:pt idx="67">
                  <c:v>178.6680130362445</c:v>
                </c:pt>
                <c:pt idx="68">
                  <c:v>176.11376573936465</c:v>
                </c:pt>
                <c:pt idx="69">
                  <c:v>173.63091466991705</c:v>
                </c:pt>
                <c:pt idx="70">
                  <c:v>171.21650561923701</c:v>
                </c:pt>
                <c:pt idx="71">
                  <c:v>168.86774515216089</c:v>
                </c:pt>
                <c:pt idx="72">
                  <c:v>166.5819898168206</c:v>
                </c:pt>
                <c:pt idx="73">
                  <c:v>164.35673621194306</c:v>
                </c:pt>
                <c:pt idx="74">
                  <c:v>162.18961183318621</c:v>
                </c:pt>
                <c:pt idx="75">
                  <c:v>160.07836662814898</c:v>
                </c:pt>
                <c:pt idx="76">
                  <c:v>158.02086519686063</c:v>
                </c:pt>
                <c:pt idx="77">
                  <c:v>156.01507958091381</c:v>
                </c:pt>
                <c:pt idx="78">
                  <c:v>154.05908259005574</c:v>
                </c:pt>
                <c:pt idx="79">
                  <c:v>152.15104162007464</c:v>
                </c:pt>
                <c:pt idx="80">
                  <c:v>150.28921292029628</c:v>
                </c:pt>
                <c:pt idx="81">
                  <c:v>148.47193627299765</c:v>
                </c:pt>
                <c:pt idx="82">
                  <c:v>146.69763005061552</c:v>
                </c:pt>
                <c:pt idx="83">
                  <c:v>144.96478661981774</c:v>
                </c:pt>
                <c:pt idx="84">
                  <c:v>143.27196806436959</c:v>
                </c:pt>
                <c:pt idx="85">
                  <c:v>141.61780220128878</c:v>
                </c:pt>
                <c:pt idx="86">
                  <c:v>140.00097886709295</c:v>
                </c:pt>
                <c:pt idx="87">
                  <c:v>138.4202464530149</c:v>
                </c:pt>
                <c:pt idx="88">
                  <c:v>136.87440866992733</c:v>
                </c:pt>
                <c:pt idx="89">
                  <c:v>135.36232152540461</c:v>
                </c:pt>
                <c:pt idx="90">
                  <c:v>133.88289049686736</c:v>
                </c:pt>
                <c:pt idx="91">
                  <c:v>132.4350678861303</c:v>
                </c:pt>
                <c:pt idx="92">
                  <c:v>131.01785034191516</c:v>
                </c:pt>
                <c:pt idx="93">
                  <c:v>129.63027653801851</c:v>
                </c:pt>
                <c:pt idx="94">
                  <c:v>128.27142499584147</c:v>
                </c:pt>
                <c:pt idx="95">
                  <c:v>126.94041204091924</c:v>
                </c:pt>
                <c:pt idx="96">
                  <c:v>125.63638988392481</c:v>
                </c:pt>
                <c:pt idx="97">
                  <c:v>124.35854481739277</c:v>
                </c:pt>
                <c:pt idx="98">
                  <c:v>123.10609552010054</c:v>
                </c:pt>
                <c:pt idx="99">
                  <c:v>121.87829146168403</c:v>
                </c:pt>
                <c:pt idx="100">
                  <c:v>120.67441140064166</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Single'!$AN$5:$AN$105</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347.66330326496347</c:v>
                </c:pt>
                <c:pt idx="45">
                  <c:v>340.55931015097519</c:v>
                </c:pt>
                <c:pt idx="46">
                  <c:v>333.74620214384856</c:v>
                </c:pt>
                <c:pt idx="47">
                  <c:v>326.69203433110465</c:v>
                </c:pt>
                <c:pt idx="48">
                  <c:v>320.42475146740026</c:v>
                </c:pt>
                <c:pt idx="49">
                  <c:v>314.40157442794577</c:v>
                </c:pt>
                <c:pt idx="50">
                  <c:v>308.60888682019475</c:v>
                </c:pt>
                <c:pt idx="51">
                  <c:v>303.03408398803276</c:v>
                </c:pt>
                <c:pt idx="52">
                  <c:v>297.63271981452345</c:v>
                </c:pt>
                <c:pt idx="53">
                  <c:v>292.36349774218758</c:v>
                </c:pt>
                <c:pt idx="54">
                  <c:v>287.27863903344956</c:v>
                </c:pt>
                <c:pt idx="55">
                  <c:v>282.36866544043266</c:v>
                </c:pt>
                <c:pt idx="56">
                  <c:v>277.61404678115326</c:v>
                </c:pt>
                <c:pt idx="57">
                  <c:v>273.01559640379708</c:v>
                </c:pt>
                <c:pt idx="58">
                  <c:v>268.5671369804906</c:v>
                </c:pt>
                <c:pt idx="59">
                  <c:v>264.26144415393429</c:v>
                </c:pt>
                <c:pt idx="60">
                  <c:v>260.09175019452078</c:v>
                </c:pt>
                <c:pt idx="61">
                  <c:v>256.05170848410688</c:v>
                </c:pt>
                <c:pt idx="62">
                  <c:v>252.13536126392751</c:v>
                </c:pt>
                <c:pt idx="63">
                  <c:v>248.33711030194053</c:v>
                </c:pt>
                <c:pt idx="64">
                  <c:v>244.65169017587641</c:v>
                </c:pt>
                <c:pt idx="65">
                  <c:v>241.07414390384915</c:v>
                </c:pt>
                <c:pt idx="66">
                  <c:v>237.5998006853479</c:v>
                </c:pt>
                <c:pt idx="67">
                  <c:v>234.2242555424248</c:v>
                </c:pt>
                <c:pt idx="68">
                  <c:v>230.94335067448264</c:v>
                </c:pt>
                <c:pt idx="69">
                  <c:v>227.75315836071772</c:v>
                </c:pt>
                <c:pt idx="70">
                  <c:v>224.64996526238895</c:v>
                </c:pt>
                <c:pt idx="71">
                  <c:v>221.63025799300297</c:v>
                </c:pt>
                <c:pt idx="72">
                  <c:v>218.69070983852433</c:v>
                </c:pt>
                <c:pt idx="73">
                  <c:v>215.82816852208171</c:v>
                </c:pt>
                <c:pt idx="74">
                  <c:v>213.03964491856547</c:v>
                </c:pt>
                <c:pt idx="75">
                  <c:v>210.32230263417952</c:v>
                </c:pt>
                <c:pt idx="76">
                  <c:v>207.67344837458063</c:v>
                </c:pt>
                <c:pt idx="77">
                  <c:v>205.09052303284869</c:v>
                </c:pt>
                <c:pt idx="78">
                  <c:v>202.57109343529737</c:v>
                </c:pt>
                <c:pt idx="79">
                  <c:v>200.1128446891621</c:v>
                </c:pt>
                <c:pt idx="80">
                  <c:v>197.71357308157911</c:v>
                </c:pt>
                <c:pt idx="81">
                  <c:v>195.37117948406774</c:v>
                </c:pt>
                <c:pt idx="82">
                  <c:v>193.08366322102654</c:v>
                </c:pt>
                <c:pt idx="83">
                  <c:v>190.84911636459867</c:v>
                </c:pt>
                <c:pt idx="84">
                  <c:v>188.665718421713</c:v>
                </c:pt>
                <c:pt idx="85">
                  <c:v>186.53173138220478</c:v>
                </c:pt>
                <c:pt idx="86">
                  <c:v>184.44549509970815</c:v>
                </c:pt>
                <c:pt idx="87">
                  <c:v>182.40542297951816</c:v>
                </c:pt>
                <c:pt idx="88">
                  <c:v>180.409997949885</c:v>
                </c:pt>
                <c:pt idx="89">
                  <c:v>178.4577686952388</c:v>
                </c:pt>
                <c:pt idx="90">
                  <c:v>176.54734613169154</c:v>
                </c:pt>
                <c:pt idx="91">
                  <c:v>174.67740010682937</c:v>
                </c:pt>
                <c:pt idx="92">
                  <c:v>172.84665630731507</c:v>
                </c:pt>
                <c:pt idx="93">
                  <c:v>171.05389335919594</c:v>
                </c:pt>
                <c:pt idx="94">
                  <c:v>169.29794010704876</c:v>
                </c:pt>
                <c:pt idx="95">
                  <c:v>167.57767305922579</c:v>
                </c:pt>
                <c:pt idx="96">
                  <c:v>165.89201398749125</c:v>
                </c:pt>
                <c:pt idx="97">
                  <c:v>164.23992767027067</c:v>
                </c:pt>
                <c:pt idx="98">
                  <c:v>162.62041976958793</c:v>
                </c:pt>
                <c:pt idx="99">
                  <c:v>161.03253483254144</c:v>
                </c:pt>
                <c:pt idx="100">
                  <c:v>159.47535440887859</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Single'!$AN$216:$AN$316</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347.09082652202289</c:v>
                </c:pt>
                <c:pt idx="62">
                  <c:v>341.98395049687286</c:v>
                </c:pt>
                <c:pt idx="63">
                  <c:v>337.0295896010839</c:v>
                </c:pt>
                <c:pt idx="64">
                  <c:v>332.22105826031043</c:v>
                </c:pt>
                <c:pt idx="65">
                  <c:v>327.03848099648962</c:v>
                </c:pt>
                <c:pt idx="66">
                  <c:v>322.51658389644467</c:v>
                </c:pt>
                <c:pt idx="67">
                  <c:v>318.12328877596747</c:v>
                </c:pt>
                <c:pt idx="68">
                  <c:v>313.85330312229485</c:v>
                </c:pt>
                <c:pt idx="69">
                  <c:v>309.7016235562441</c:v>
                </c:pt>
                <c:pt idx="70">
                  <c:v>305.65044437869921</c:v>
                </c:pt>
                <c:pt idx="71">
                  <c:v>301.66886094028393</c:v>
                </c:pt>
                <c:pt idx="72">
                  <c:v>297.79215268116826</c:v>
                </c:pt>
                <c:pt idx="73">
                  <c:v>294.0162741763836</c:v>
                </c:pt>
                <c:pt idx="74">
                  <c:v>290.33738645271148</c:v>
                </c:pt>
                <c:pt idx="75">
                  <c:v>286.75184401474047</c:v>
                </c:pt>
                <c:pt idx="76">
                  <c:v>283.24753111949281</c:v>
                </c:pt>
                <c:pt idx="77">
                  <c:v>279.81280698348456</c:v>
                </c:pt>
                <c:pt idx="78">
                  <c:v>276.46128035470485</c:v>
                </c:pt>
                <c:pt idx="79">
                  <c:v>273.18996236625179</c:v>
                </c:pt>
                <c:pt idx="80">
                  <c:v>269.99600562646924</c:v>
                </c:pt>
                <c:pt idx="81">
                  <c:v>266.87669594608525</c:v>
                </c:pt>
                <c:pt idx="82">
                  <c:v>263.829444639153</c:v>
                </c:pt>
                <c:pt idx="83">
                  <c:v>260.85178135189494</c:v>
                </c:pt>
                <c:pt idx="84">
                  <c:v>257.94134737769537</c:v>
                </c:pt>
                <c:pt idx="85">
                  <c:v>255.09588942022236</c:v>
                </c:pt>
                <c:pt idx="86">
                  <c:v>252.31325377001829</c:v>
                </c:pt>
                <c:pt idx="87">
                  <c:v>249.59138086293152</c:v>
                </c:pt>
                <c:pt idx="88">
                  <c:v>246.92830019149039</c:v>
                </c:pt>
                <c:pt idx="89">
                  <c:v>244.32212554280423</c:v>
                </c:pt>
                <c:pt idx="90">
                  <c:v>241.77105053879831</c:v>
                </c:pt>
                <c:pt idx="91">
                  <c:v>239.27334445662993</c:v>
                </c:pt>
                <c:pt idx="92">
                  <c:v>236.82734830895751</c:v>
                </c:pt>
                <c:pt idx="93">
                  <c:v>234.43147116541209</c:v>
                </c:pt>
                <c:pt idx="94">
                  <c:v>232.08418669812698</c:v>
                </c:pt>
                <c:pt idx="95">
                  <c:v>229.78402993556682</c:v>
                </c:pt>
                <c:pt idx="96">
                  <c:v>227.52959421014609</c:v>
                </c:pt>
                <c:pt idx="97">
                  <c:v>225.3195282862747</c:v>
                </c:pt>
                <c:pt idx="98">
                  <c:v>223.15253365650787</c:v>
                </c:pt>
                <c:pt idx="99">
                  <c:v>221.02736199443322</c:v>
                </c:pt>
                <c:pt idx="100">
                  <c:v>218.94281275379512</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8.0000016577729104E-3</c:v>
                </c:pt>
                <c:pt idx="1">
                  <c:v>1.7921139490229387E-2</c:v>
                </c:pt>
                <c:pt idx="2">
                  <c:v>3.5842278980458775E-2</c:v>
                </c:pt>
                <c:pt idx="3">
                  <c:v>5.3763418470688148E-2</c:v>
                </c:pt>
                <c:pt idx="4">
                  <c:v>7.168455796091755E-2</c:v>
                </c:pt>
                <c:pt idx="5">
                  <c:v>8.9605697451146937E-2</c:v>
                </c:pt>
                <c:pt idx="6">
                  <c:v>0.1075268369413763</c:v>
                </c:pt>
                <c:pt idx="7">
                  <c:v>0.12544797643160571</c:v>
                </c:pt>
                <c:pt idx="8">
                  <c:v>0.1433691159218351</c:v>
                </c:pt>
                <c:pt idx="9">
                  <c:v>0.16129025541206446</c:v>
                </c:pt>
                <c:pt idx="10">
                  <c:v>0.17921139490229387</c:v>
                </c:pt>
                <c:pt idx="11">
                  <c:v>0.19713253439252326</c:v>
                </c:pt>
                <c:pt idx="12">
                  <c:v>0.21505367388275259</c:v>
                </c:pt>
                <c:pt idx="13">
                  <c:v>0.23297481337298204</c:v>
                </c:pt>
                <c:pt idx="14">
                  <c:v>0.24214675178683573</c:v>
                </c:pt>
                <c:pt idx="15">
                  <c:v>0.25072538734920752</c:v>
                </c:pt>
                <c:pt idx="16">
                  <c:v>0.25902765312865034</c:v>
                </c:pt>
                <c:pt idx="17">
                  <c:v>0.26707909080264181</c:v>
                </c:pt>
                <c:pt idx="18">
                  <c:v>0.27490153448896643</c:v>
                </c:pt>
                <c:pt idx="19">
                  <c:v>0.28251382312078732</c:v>
                </c:pt>
                <c:pt idx="20">
                  <c:v>0.28993234593925554</c:v>
                </c:pt>
                <c:pt idx="21">
                  <c:v>0.29717146653500676</c:v>
                </c:pt>
                <c:pt idx="22">
                  <c:v>0.30424385693864964</c:v>
                </c:pt>
                <c:pt idx="23">
                  <c:v>0.31116076403737697</c:v>
                </c:pt>
                <c:pt idx="24">
                  <c:v>0.31793222435410257</c:v>
                </c:pt>
                <c:pt idx="25">
                  <c:v>0.32456723891910705</c:v>
                </c:pt>
                <c:pt idx="26">
                  <c:v>0.33107391693942873</c:v>
                </c:pt>
                <c:pt idx="27">
                  <c:v>0.33745959481227689</c:v>
                </c:pt>
                <c:pt idx="28">
                  <c:v>0.34373093546499039</c:v>
                </c:pt>
                <c:pt idx="29">
                  <c:v>0.3498940118561093</c:v>
                </c:pt>
                <c:pt idx="30">
                  <c:v>0.35595437761894666</c:v>
                </c:pt>
                <c:pt idx="31">
                  <c:v>0.36191712718767616</c:v>
                </c:pt>
                <c:pt idx="32">
                  <c:v>0.36778694725870625</c:v>
                </c:pt>
                <c:pt idx="33">
                  <c:v>0.37356816106630786</c:v>
                </c:pt>
                <c:pt idx="34">
                  <c:v>0.37926476666206849</c:v>
                </c:pt>
                <c:pt idx="35">
                  <c:v>0.38488047016178711</c:v>
                </c:pt>
                <c:pt idx="36">
                  <c:v>0.39041871474558942</c:v>
                </c:pt>
                <c:pt idx="37">
                  <c:v>0.39588270605603254</c:v>
                </c:pt>
                <c:pt idx="38">
                  <c:v>0.40127543452637526</c:v>
                </c:pt>
                <c:pt idx="39">
                  <c:v>0.4065996950806916</c:v>
                </c:pt>
                <c:pt idx="40">
                  <c:v>0.41185810457431465</c:v>
                </c:pt>
                <c:pt idx="41">
                  <c:v>0.41705311728354683</c:v>
                </c:pt>
                <c:pt idx="42">
                  <c:v>0.42228201827182715</c:v>
                </c:pt>
                <c:pt idx="43">
                  <c:v>0.42750016189576767</c:v>
                </c:pt>
                <c:pt idx="44">
                  <c:v>0.42978014530509101</c:v>
                </c:pt>
                <c:pt idx="45">
                  <c:v>0.42598115463579467</c:v>
                </c:pt>
                <c:pt idx="46">
                  <c:v>0.422298886708317</c:v>
                </c:pt>
                <c:pt idx="47">
                  <c:v>0.41775188513275024</c:v>
                </c:pt>
                <c:pt idx="48">
                  <c:v>0.41856023875404147</c:v>
                </c:pt>
                <c:pt idx="49">
                  <c:v>0.41935388613407509</c:v>
                </c:pt>
                <c:pt idx="50">
                  <c:v>0.42013428868517899</c:v>
                </c:pt>
                <c:pt idx="51">
                  <c:v>0.42090283323346139</c:v>
                </c:pt>
                <c:pt idx="52">
                  <c:v>0.4216637787749441</c:v>
                </c:pt>
                <c:pt idx="53">
                  <c:v>0.42242112749225885</c:v>
                </c:pt>
                <c:pt idx="54">
                  <c:v>0.42317051111498538</c:v>
                </c:pt>
                <c:pt idx="55">
                  <c:v>0.42391311030425438</c:v>
                </c:pt>
                <c:pt idx="56">
                  <c:v>0.42452280548327587</c:v>
                </c:pt>
                <c:pt idx="57">
                  <c:v>0.4251007217729571</c:v>
                </c:pt>
                <c:pt idx="58">
                  <c:v>0.42566538136681087</c:v>
                </c:pt>
                <c:pt idx="59">
                  <c:v>0.42621741832995069</c:v>
                </c:pt>
                <c:pt idx="60">
                  <c:v>0.42675742665563232</c:v>
                </c:pt>
                <c:pt idx="61">
                  <c:v>0.42728596338196301</c:v>
                </c:pt>
                <c:pt idx="62">
                  <c:v>0.42780355142217075</c:v>
                </c:pt>
                <c:pt idx="63">
                  <c:v>0.42831068213868456</c:v>
                </c:pt>
                <c:pt idx="64">
                  <c:v>0.42880781768767878</c:v>
                </c:pt>
                <c:pt idx="65">
                  <c:v>0.42929539315761012</c:v>
                </c:pt>
                <c:pt idx="66">
                  <c:v>0.42977381852256141</c:v>
                </c:pt>
                <c:pt idx="67">
                  <c:v>0.43024348042883498</c:v>
                </c:pt>
                <c:pt idx="68">
                  <c:v>0.43070474383117235</c:v>
                </c:pt>
                <c:pt idx="69">
                  <c:v>0.43115795349315922</c:v>
                </c:pt>
                <c:pt idx="70">
                  <c:v>0.4316034353647904</c:v>
                </c:pt>
                <c:pt idx="71">
                  <c:v>0.43204149784876994</c:v>
                </c:pt>
                <c:pt idx="72">
                  <c:v>0.43247243296589077</c:v>
                </c:pt>
                <c:pt idx="73">
                  <c:v>0.43289651742875401</c:v>
                </c:pt>
                <c:pt idx="74">
                  <c:v>0.43331401363213379</c:v>
                </c:pt>
                <c:pt idx="75">
                  <c:v>0.43372517056743409</c:v>
                </c:pt>
                <c:pt idx="76">
                  <c:v>0.43413022466794632</c:v>
                </c:pt>
                <c:pt idx="77">
                  <c:v>0.43452940059093514</c:v>
                </c:pt>
                <c:pt idx="78">
                  <c:v>0.43492291194199939</c:v>
                </c:pt>
                <c:pt idx="79">
                  <c:v>0.4353109619466094</c:v>
                </c:pt>
                <c:pt idx="80">
                  <c:v>0.43569374407327094</c:v>
                </c:pt>
                <c:pt idx="81">
                  <c:v>0.43607144261232572</c:v>
                </c:pt>
                <c:pt idx="82">
                  <c:v>0.43644423321403131</c:v>
                </c:pt>
                <c:pt idx="83">
                  <c:v>0.4368122833892269</c:v>
                </c:pt>
                <c:pt idx="84">
                  <c:v>0.43717575297558214</c:v>
                </c:pt>
                <c:pt idx="85">
                  <c:v>0.43753479457215894</c:v>
                </c:pt>
                <c:pt idx="86">
                  <c:v>0.43788955394477047</c:v>
                </c:pt>
                <c:pt idx="87">
                  <c:v>0.43824017040440283</c:v>
                </c:pt>
                <c:pt idx="88">
                  <c:v>0.43858677716076261</c:v>
                </c:pt>
                <c:pt idx="89">
                  <c:v>0.43892950165283889</c:v>
                </c:pt>
                <c:pt idx="90">
                  <c:v>0.43926846585820317</c:v>
                </c:pt>
                <c:pt idx="91">
                  <c:v>0.43960378658262855</c:v>
                </c:pt>
                <c:pt idx="92">
                  <c:v>0.43993557573146869</c:v>
                </c:pt>
                <c:pt idx="93">
                  <c:v>0.44026394056412899</c:v>
                </c:pt>
                <c:pt idx="94">
                  <c:v>0.44058898393284146</c:v>
                </c:pt>
                <c:pt idx="95">
                  <c:v>0.44091080450686448</c:v>
                </c:pt>
                <c:pt idx="96">
                  <c:v>0.44122949698313252</c:v>
                </c:pt>
                <c:pt idx="97">
                  <c:v>0.44154515228430391</c:v>
                </c:pt>
                <c:pt idx="98">
                  <c:v>0.44185785774507608</c:v>
                </c:pt>
                <c:pt idx="99">
                  <c:v>0.44216769728757127</c:v>
                </c:pt>
                <c:pt idx="100">
                  <c:v>0.44247475158653449</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1.066666961381871E-2</c:v>
                </c:pt>
                <c:pt idx="1">
                  <c:v>2.3903478481208183E-2</c:v>
                </c:pt>
                <c:pt idx="2">
                  <c:v>4.7806956962416366E-2</c:v>
                </c:pt>
                <c:pt idx="3">
                  <c:v>7.1710435443624543E-2</c:v>
                </c:pt>
                <c:pt idx="4">
                  <c:v>9.5613913924832733E-2</c:v>
                </c:pt>
                <c:pt idx="5">
                  <c:v>0.11951739240604092</c:v>
                </c:pt>
                <c:pt idx="6">
                  <c:v>0.14342087088724909</c:v>
                </c:pt>
                <c:pt idx="7">
                  <c:v>0.1673243493684573</c:v>
                </c:pt>
                <c:pt idx="8">
                  <c:v>0.19122782784966547</c:v>
                </c:pt>
                <c:pt idx="9">
                  <c:v>0.21513130633087366</c:v>
                </c:pt>
                <c:pt idx="10">
                  <c:v>0.23903478481208185</c:v>
                </c:pt>
                <c:pt idx="11">
                  <c:v>0.26293826329329006</c:v>
                </c:pt>
                <c:pt idx="12">
                  <c:v>0.28684174177449817</c:v>
                </c:pt>
                <c:pt idx="13">
                  <c:v>0.31074522025570644</c:v>
                </c:pt>
                <c:pt idx="14">
                  <c:v>0.322982195023645</c:v>
                </c:pt>
                <c:pt idx="15">
                  <c:v>0.33442898467658816</c:v>
                </c:pt>
                <c:pt idx="16">
                  <c:v>0.34550728595688823</c:v>
                </c:pt>
                <c:pt idx="17">
                  <c:v>0.35625115428581283</c:v>
                </c:pt>
                <c:pt idx="18">
                  <c:v>0.36668970168504833</c:v>
                </c:pt>
                <c:pt idx="19">
                  <c:v>0.37684804660824617</c:v>
                </c:pt>
                <c:pt idx="20">
                  <c:v>0.38674804126296941</c:v>
                </c:pt>
                <c:pt idx="21">
                  <c:v>0.39640883699809648</c:v>
                </c:pt>
                <c:pt idx="22">
                  <c:v>0.4058473297567588</c:v>
                </c:pt>
                <c:pt idx="23">
                  <c:v>0.41507851529761158</c:v>
                </c:pt>
                <c:pt idx="24">
                  <c:v>0.42411577556627406</c:v>
                </c:pt>
                <c:pt idx="25">
                  <c:v>0.43297111185689113</c:v>
                </c:pt>
                <c:pt idx="26">
                  <c:v>0.4416553363707777</c:v>
                </c:pt>
                <c:pt idx="27">
                  <c:v>0.45017823090050146</c:v>
                </c:pt>
                <c:pt idx="28">
                  <c:v>0.45854867928275223</c:v>
                </c:pt>
                <c:pt idx="29">
                  <c:v>0.46677477873274875</c:v>
                </c:pt>
                <c:pt idx="30">
                  <c:v>0.4748639340353546</c:v>
                </c:pt>
                <c:pt idx="31">
                  <c:v>0.48282293771291895</c:v>
                </c:pt>
                <c:pt idx="32">
                  <c:v>0.49070241553827243</c:v>
                </c:pt>
                <c:pt idx="33">
                  <c:v>0.49864432246093437</c:v>
                </c:pt>
                <c:pt idx="34">
                  <c:v>0.4937557398758064</c:v>
                </c:pt>
                <c:pt idx="35">
                  <c:v>0.48805949806923143</c:v>
                </c:pt>
                <c:pt idx="36">
                  <c:v>0.48437246520930854</c:v>
                </c:pt>
                <c:pt idx="37">
                  <c:v>0.4854045271235341</c:v>
                </c:pt>
                <c:pt idx="38">
                  <c:v>0.48654124617166161</c:v>
                </c:pt>
                <c:pt idx="39">
                  <c:v>0.48765571909235045</c:v>
                </c:pt>
                <c:pt idx="40">
                  <c:v>0.48875593050853144</c:v>
                </c:pt>
                <c:pt idx="41">
                  <c:v>0.48985314439168121</c:v>
                </c:pt>
                <c:pt idx="42">
                  <c:v>0.49092699268853918</c:v>
                </c:pt>
                <c:pt idx="43">
                  <c:v>0.49176491136598366</c:v>
                </c:pt>
                <c:pt idx="44">
                  <c:v>0.49257556119777191</c:v>
                </c:pt>
                <c:pt idx="45">
                  <c:v>0.49336065516490585</c:v>
                </c:pt>
                <c:pt idx="46">
                  <c:v>0.49412176498627614</c:v>
                </c:pt>
                <c:pt idx="47">
                  <c:v>0.49486033538735891</c:v>
                </c:pt>
                <c:pt idx="48">
                  <c:v>0.49557769667364315</c:v>
                </c:pt>
                <c:pt idx="49">
                  <c:v>0.49627507583921482</c:v>
                </c:pt>
                <c:pt idx="50">
                  <c:v>0.49695360640580077</c:v>
                </c:pt>
                <c:pt idx="51">
                  <c:v>0.4976143371583846</c:v>
                </c:pt>
                <c:pt idx="52">
                  <c:v>0.49825823991911372</c:v>
                </c:pt>
                <c:pt idx="53">
                  <c:v>0.49888621648079373</c:v>
                </c:pt>
                <c:pt idx="54">
                  <c:v>0.49949910480409082</c:v>
                </c:pt>
                <c:pt idx="55">
                  <c:v>0.50009768456807702</c:v>
                </c:pt>
                <c:pt idx="56">
                  <c:v>0.50068268215149425</c:v>
                </c:pt>
                <c:pt idx="57">
                  <c:v>0.50125477511171179</c:v>
                </c:pt>
                <c:pt idx="58">
                  <c:v>0.50181459621949398</c:v>
                </c:pt>
                <c:pt idx="59">
                  <c:v>0.5023627371001359</c:v>
                </c:pt>
                <c:pt idx="60">
                  <c:v>0.50289975152505328</c:v>
                </c:pt>
                <c:pt idx="61">
                  <c:v>0.5034261583923596</c:v>
                </c:pt>
                <c:pt idx="62">
                  <c:v>0.50394244443018221</c:v>
                </c:pt>
                <c:pt idx="63">
                  <c:v>0.50444906665234868</c:v>
                </c:pt>
                <c:pt idx="64">
                  <c:v>0.50494645459251064</c:v>
                </c:pt>
                <c:pt idx="65">
                  <c:v>0.50543501233967814</c:v>
                </c:pt>
                <c:pt idx="66">
                  <c:v>0.50591512039546349</c:v>
                </c:pt>
                <c:pt idx="67">
                  <c:v>0.50638713737098673</c:v>
                </c:pt>
                <c:pt idx="68">
                  <c:v>0.50685140153936536</c:v>
                </c:pt>
                <c:pt idx="69">
                  <c:v>0.50730823225792732</c:v>
                </c:pt>
                <c:pt idx="70">
                  <c:v>0.50775793127272262</c:v>
                </c:pt>
                <c:pt idx="71">
                  <c:v>0.50820078391654744</c:v>
                </c:pt>
                <c:pt idx="72">
                  <c:v>0.50863706021048083</c:v>
                </c:pt>
                <c:pt idx="73">
                  <c:v>0.5090670158778865</c:v>
                </c:pt>
                <c:pt idx="74">
                  <c:v>0.50949089327888164</c:v>
                </c:pt>
                <c:pt idx="75">
                  <c:v>0.50990892227246343</c:v>
                </c:pt>
                <c:pt idx="76">
                  <c:v>0.51032132101274041</c:v>
                </c:pt>
                <c:pt idx="77">
                  <c:v>0.51072829668506881</c:v>
                </c:pt>
                <c:pt idx="78">
                  <c:v>0.5111300461873266</c:v>
                </c:pt>
                <c:pt idx="79">
                  <c:v>0.51152675676102821</c:v>
                </c:pt>
                <c:pt idx="80">
                  <c:v>0.51191860657654287</c:v>
                </c:pt>
                <c:pt idx="81">
                  <c:v>0.51230576527626126</c:v>
                </c:pt>
                <c:pt idx="82">
                  <c:v>0.51268839447919423</c:v>
                </c:pt>
                <c:pt idx="83">
                  <c:v>0.51306664825016068</c:v>
                </c:pt>
                <c:pt idx="84">
                  <c:v>0.51344067353643263</c:v>
                </c:pt>
                <c:pt idx="85">
                  <c:v>0.51381061057443633</c:v>
                </c:pt>
                <c:pt idx="86">
                  <c:v>0.51417659326888354</c:v>
                </c:pt>
                <c:pt idx="87">
                  <c:v>0.51453874954648438</c:v>
                </c:pt>
                <c:pt idx="88">
                  <c:v>0.51489720168621034</c:v>
                </c:pt>
                <c:pt idx="89">
                  <c:v>0.51525206662790179</c:v>
                </c:pt>
                <c:pt idx="90">
                  <c:v>0.5156034562608558</c:v>
                </c:pt>
                <c:pt idx="91">
                  <c:v>0.51595147769389704</c:v>
                </c:pt>
                <c:pt idx="92">
                  <c:v>0.51629623350830045</c:v>
                </c:pt>
                <c:pt idx="93">
                  <c:v>0.51663782199482366</c:v>
                </c:pt>
                <c:pt idx="94">
                  <c:v>0.51697633737600202</c:v>
                </c:pt>
                <c:pt idx="95">
                  <c:v>0.51731187001476397</c:v>
                </c:pt>
                <c:pt idx="96">
                  <c:v>0.51764450661033889</c:v>
                </c:pt>
                <c:pt idx="97">
                  <c:v>0.5179743303823513</c:v>
                </c:pt>
                <c:pt idx="98">
                  <c:v>0.51830142124392475</c:v>
                </c:pt>
                <c:pt idx="99">
                  <c:v>0.51862585596455313</c:v>
                </c:pt>
                <c:pt idx="100">
                  <c:v>0.51894770832343717</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5.3333340701212425E-3</c:v>
                </c:pt>
                <c:pt idx="1">
                  <c:v>1.1943116524634985E-2</c:v>
                </c:pt>
                <c:pt idx="2">
                  <c:v>2.388623304926997E-2</c:v>
                </c:pt>
                <c:pt idx="3">
                  <c:v>3.5829349573904948E-2</c:v>
                </c:pt>
                <c:pt idx="4">
                  <c:v>4.777246609853994E-2</c:v>
                </c:pt>
                <c:pt idx="5">
                  <c:v>5.9715582623174925E-2</c:v>
                </c:pt>
                <c:pt idx="6">
                  <c:v>7.1658699147809896E-2</c:v>
                </c:pt>
                <c:pt idx="7">
                  <c:v>8.3601815672444901E-2</c:v>
                </c:pt>
                <c:pt idx="8">
                  <c:v>9.5544932197079879E-2</c:v>
                </c:pt>
                <c:pt idx="9">
                  <c:v>0.10748804872171486</c:v>
                </c:pt>
                <c:pt idx="10">
                  <c:v>0.11943116524634985</c:v>
                </c:pt>
                <c:pt idx="11">
                  <c:v>0.13137428177098484</c:v>
                </c:pt>
                <c:pt idx="12">
                  <c:v>0.14331739829561979</c:v>
                </c:pt>
                <c:pt idx="13">
                  <c:v>0.1552605148202548</c:v>
                </c:pt>
                <c:pt idx="14">
                  <c:v>0.1613712826674755</c:v>
                </c:pt>
                <c:pt idx="15">
                  <c:v>0.16708607345839827</c:v>
                </c:pt>
                <c:pt idx="16">
                  <c:v>0.17261661555941996</c:v>
                </c:pt>
                <c:pt idx="17">
                  <c:v>0.17797993682470994</c:v>
                </c:pt>
                <c:pt idx="18">
                  <c:v>0.18319059339576715</c:v>
                </c:pt>
                <c:pt idx="19">
                  <c:v>0.18826114461901147</c:v>
                </c:pt>
                <c:pt idx="20">
                  <c:v>0.19320251670823546</c:v>
                </c:pt>
                <c:pt idx="21">
                  <c:v>0.19802428543952169</c:v>
                </c:pt>
                <c:pt idx="22">
                  <c:v>0.20273489887872159</c:v>
                </c:pt>
                <c:pt idx="23">
                  <c:v>0.20734185499293797</c:v>
                </c:pt>
                <c:pt idx="24">
                  <c:v>0.21185184483696143</c:v>
                </c:pt>
                <c:pt idx="25">
                  <c:v>0.21627086913466229</c:v>
                </c:pt>
                <c:pt idx="26">
                  <c:v>0.22060433405883681</c:v>
                </c:pt>
                <c:pt idx="27">
                  <c:v>0.22485713057370141</c:v>
                </c:pt>
                <c:pt idx="28">
                  <c:v>0.22903370066172099</c:v>
                </c:pt>
                <c:pt idx="29">
                  <c:v>0.2331380929911562</c:v>
                </c:pt>
                <c:pt idx="30">
                  <c:v>0.23717401001192298</c:v>
                </c:pt>
                <c:pt idx="31">
                  <c:v>0.24114484803977965</c:v>
                </c:pt>
                <c:pt idx="32">
                  <c:v>0.24505373156402352</c:v>
                </c:pt>
                <c:pt idx="33">
                  <c:v>0.24890354276467724</c:v>
                </c:pt>
                <c:pt idx="34">
                  <c:v>0.25269694703221496</c:v>
                </c:pt>
                <c:pt idx="35">
                  <c:v>0.25643641513224014</c:v>
                </c:pt>
                <c:pt idx="36">
                  <c:v>0.26012424253896838</c:v>
                </c:pt>
                <c:pt idx="37">
                  <c:v>0.26376256636736323</c:v>
                </c:pt>
                <c:pt idx="38">
                  <c:v>0.26735338025870886</c:v>
                </c:pt>
                <c:pt idx="39">
                  <c:v>0.27089854751407327</c:v>
                </c:pt>
                <c:pt idx="40">
                  <c:v>0.27439981272131936</c:v>
                </c:pt>
                <c:pt idx="41">
                  <c:v>0.27785881208162388</c:v>
                </c:pt>
                <c:pt idx="42">
                  <c:v>0.28127708260899215</c:v>
                </c:pt>
                <c:pt idx="43">
                  <c:v>0.28465607034955015</c:v>
                </c:pt>
                <c:pt idx="44">
                  <c:v>0.28799713774532348</c:v>
                </c:pt>
                <c:pt idx="45">
                  <c:v>0.29130157024888576</c:v>
                </c:pt>
                <c:pt idx="46">
                  <c:v>0.29457058227996819</c:v>
                </c:pt>
                <c:pt idx="47">
                  <c:v>0.29780532260231524</c:v>
                </c:pt>
                <c:pt idx="48">
                  <c:v>0.30100687918829766</c:v>
                </c:pt>
                <c:pt idx="49">
                  <c:v>0.30417628362969218</c:v>
                </c:pt>
                <c:pt idx="50">
                  <c:v>0.30731451514533137</c:v>
                </c:pt>
                <c:pt idx="51">
                  <c:v>0.31042250422975792</c:v>
                </c:pt>
                <c:pt idx="52">
                  <c:v>0.31350113598142526</c:v>
                </c:pt>
                <c:pt idx="53">
                  <c:v>0.31655125314418531</c:v>
                </c:pt>
                <c:pt idx="54">
                  <c:v>0.31957365889168643</c:v>
                </c:pt>
                <c:pt idx="55">
                  <c:v>0.32256911938075344</c:v>
                </c:pt>
                <c:pt idx="56">
                  <c:v>0.32555106332587946</c:v>
                </c:pt>
                <c:pt idx="57">
                  <c:v>0.32857030596379516</c:v>
                </c:pt>
                <c:pt idx="58">
                  <c:v>0.33156730225690068</c:v>
                </c:pt>
                <c:pt idx="59">
                  <c:v>0.33454269859200852</c:v>
                </c:pt>
                <c:pt idx="60">
                  <c:v>0.33749711463754972</c:v>
                </c:pt>
                <c:pt idx="61">
                  <c:v>0.3376015070258509</c:v>
                </c:pt>
                <c:pt idx="62">
                  <c:v>0.3354817219006262</c:v>
                </c:pt>
                <c:pt idx="63">
                  <c:v>0.33340922636788661</c:v>
                </c:pt>
                <c:pt idx="64">
                  <c:v>0.33138245492707097</c:v>
                </c:pt>
                <c:pt idx="65">
                  <c:v>0.32839167815993003</c:v>
                </c:pt>
                <c:pt idx="66">
                  <c:v>0.3290014578440299</c:v>
                </c:pt>
                <c:pt idx="67">
                  <c:v>0.32948545244963318</c:v>
                </c:pt>
                <c:pt idx="68">
                  <c:v>0.32996335923457104</c:v>
                </c:pt>
                <c:pt idx="69">
                  <c:v>0.33043556719358264</c:v>
                </c:pt>
                <c:pt idx="70">
                  <c:v>0.33090336948794224</c:v>
                </c:pt>
                <c:pt idx="71">
                  <c:v>0.3313689869436609</c:v>
                </c:pt>
                <c:pt idx="72">
                  <c:v>0.33182997586783264</c:v>
                </c:pt>
                <c:pt idx="73">
                  <c:v>0.33228666479677632</c:v>
                </c:pt>
                <c:pt idx="74">
                  <c:v>0.33273936949865163</c:v>
                </c:pt>
                <c:pt idx="75">
                  <c:v>0.33318839390934224</c:v>
                </c:pt>
                <c:pt idx="76">
                  <c:v>0.33360969390865813</c:v>
                </c:pt>
                <c:pt idx="77">
                  <c:v>0.33397862364776487</c:v>
                </c:pt>
                <c:pt idx="78">
                  <c:v>0.33434180498740662</c:v>
                </c:pt>
                <c:pt idx="79">
                  <c:v>0.33469944274114599</c:v>
                </c:pt>
                <c:pt idx="80">
                  <c:v>0.33505173202920902</c:v>
                </c:pt>
                <c:pt idx="81">
                  <c:v>0.33539885884530013</c:v>
                </c:pt>
                <c:pt idx="82">
                  <c:v>0.33574100058410494</c:v>
                </c:pt>
                <c:pt idx="83">
                  <c:v>0.3360783265326231</c:v>
                </c:pt>
                <c:pt idx="84">
                  <c:v>0.33641099832819354</c:v>
                </c:pt>
                <c:pt idx="85">
                  <c:v>0.33673917038581597</c:v>
                </c:pt>
                <c:pt idx="86">
                  <c:v>0.33706299029714493</c:v>
                </c:pt>
                <c:pt idx="87">
                  <c:v>0.33738259920332053</c:v>
                </c:pt>
                <c:pt idx="88">
                  <c:v>0.33769813214361905</c:v>
                </c:pt>
                <c:pt idx="89">
                  <c:v>0.33800971838173105</c:v>
                </c:pt>
                <c:pt idx="90">
                  <c:v>0.3383174817113247</c:v>
                </c:pt>
                <c:pt idx="91">
                  <c:v>0.33862154074241291</c:v>
                </c:pt>
                <c:pt idx="92">
                  <c:v>0.33892200916991783</c:v>
                </c:pt>
                <c:pt idx="93">
                  <c:v>0.33921899602570676</c:v>
                </c:pt>
                <c:pt idx="94">
                  <c:v>0.33951260591527971</c:v>
                </c:pt>
                <c:pt idx="95">
                  <c:v>0.33980293924018223</c:v>
                </c:pt>
                <c:pt idx="96">
                  <c:v>0.34009009240714427</c:v>
                </c:pt>
                <c:pt idx="97">
                  <c:v>0.34037415802485355</c:v>
                </c:pt>
                <c:pt idx="98">
                  <c:v>0.34065522508921331</c:v>
                </c:pt>
                <c:pt idx="99">
                  <c:v>0.34093337915786126</c:v>
                </c:pt>
                <c:pt idx="100">
                  <c:v>0.34120870251466723</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2.0982658897037267</c:v>
                </c:pt>
                <c:pt idx="33">
                  <c:v>2.1319992888143418</c:v>
                </c:pt>
                <c:pt idx="34">
                  <c:v>2.1653099184900952</c:v>
                </c:pt>
                <c:pt idx="35">
                  <c:v>2.1982205832420019</c:v>
                </c:pt>
                <c:pt idx="36">
                  <c:v>2.2424251922979432</c:v>
                </c:pt>
                <c:pt idx="37">
                  <c:v>2.3052471162643364</c:v>
                </c:pt>
                <c:pt idx="38">
                  <c:v>2.3681609182295311</c:v>
                </c:pt>
                <c:pt idx="39">
                  <c:v>2.4311084419165931</c:v>
                </c:pt>
                <c:pt idx="40">
                  <c:v>2.4944500425967133</c:v>
                </c:pt>
                <c:pt idx="41">
                  <c:v>2.558925571490104</c:v>
                </c:pt>
                <c:pt idx="42">
                  <c:v>2.6235467954084664</c:v>
                </c:pt>
                <c:pt idx="43">
                  <c:v>2.6871710745302413</c:v>
                </c:pt>
                <c:pt idx="44">
                  <c:v>2.7508494323644106</c:v>
                </c:pt>
                <c:pt idx="45">
                  <c:v>2.814581880599504</c:v>
                </c:pt>
                <c:pt idx="46">
                  <c:v>2.8783684309287541</c:v>
                </c:pt>
                <c:pt idx="47">
                  <c:v>2.9422090950499489</c:v>
                </c:pt>
                <c:pt idx="48">
                  <c:v>3.0061038846653099</c:v>
                </c:pt>
                <c:pt idx="49">
                  <c:v>3.0700528114813768</c:v>
                </c:pt>
                <c:pt idx="50">
                  <c:v>3.1340558872089175</c:v>
                </c:pt>
                <c:pt idx="51">
                  <c:v>3.1981131235628433</c:v>
                </c:pt>
                <c:pt idx="52">
                  <c:v>3.262224532262131</c:v>
                </c:pt>
                <c:pt idx="53">
                  <c:v>3.3263901250297616</c:v>
                </c:pt>
                <c:pt idx="54">
                  <c:v>3.3906099135926593</c:v>
                </c:pt>
                <c:pt idx="55">
                  <c:v>3.4548839096816484</c:v>
                </c:pt>
                <c:pt idx="56">
                  <c:v>3.5192121250313981</c:v>
                </c:pt>
                <c:pt idx="57">
                  <c:v>3.5835945713803827</c:v>
                </c:pt>
                <c:pt idx="58">
                  <c:v>3.6480312604708591</c:v>
                </c:pt>
                <c:pt idx="59">
                  <c:v>3.7125222040488208</c:v>
                </c:pt>
                <c:pt idx="60">
                  <c:v>3.7770674138639704</c:v>
                </c:pt>
                <c:pt idx="61">
                  <c:v>3.8416669016697047</c:v>
                </c:pt>
                <c:pt idx="62">
                  <c:v>3.9063206792230778</c:v>
                </c:pt>
                <c:pt idx="63">
                  <c:v>3.9710287582847945</c:v>
                </c:pt>
                <c:pt idx="64">
                  <c:v>4.0357911506191808</c:v>
                </c:pt>
                <c:pt idx="65">
                  <c:v>4.1006078679941709</c:v>
                </c:pt>
                <c:pt idx="66">
                  <c:v>4.1654789221812951</c:v>
                </c:pt>
                <c:pt idx="67">
                  <c:v>4.2304043249556642</c:v>
                </c:pt>
                <c:pt idx="68">
                  <c:v>4.2953840880959531</c:v>
                </c:pt>
                <c:pt idx="69">
                  <c:v>4.3604182233844009</c:v>
                </c:pt>
                <c:pt idx="70">
                  <c:v>4.4255067426067907</c:v>
                </c:pt>
                <c:pt idx="71">
                  <c:v>4.4906496575524422</c:v>
                </c:pt>
                <c:pt idx="72">
                  <c:v>4.5558469800142092</c:v>
                </c:pt>
                <c:pt idx="73">
                  <c:v>4.6210987217884671</c:v>
                </c:pt>
                <c:pt idx="74">
                  <c:v>4.6864048946751051</c:v>
                </c:pt>
                <c:pt idx="75">
                  <c:v>4.7517655104775312</c:v>
                </c:pt>
                <c:pt idx="76">
                  <c:v>4.8171805810026536</c:v>
                </c:pt>
                <c:pt idx="77">
                  <c:v>4.8826501180608757</c:v>
                </c:pt>
                <c:pt idx="78">
                  <c:v>4.9481741334661082</c:v>
                </c:pt>
                <c:pt idx="79">
                  <c:v>5.013752639035749</c:v>
                </c:pt>
                <c:pt idx="80">
                  <c:v>5.0793856465906835</c:v>
                </c:pt>
                <c:pt idx="81">
                  <c:v>5.1450731679552835</c:v>
                </c:pt>
                <c:pt idx="82">
                  <c:v>5.2108152149574032</c:v>
                </c:pt>
                <c:pt idx="83">
                  <c:v>5.2766117994283839</c:v>
                </c:pt>
                <c:pt idx="84">
                  <c:v>5.3424629332030351</c:v>
                </c:pt>
                <c:pt idx="85">
                  <c:v>5.4083686281196455</c:v>
                </c:pt>
                <c:pt idx="86">
                  <c:v>5.4743288960199825</c:v>
                </c:pt>
                <c:pt idx="87">
                  <c:v>5.5403437487492795</c:v>
                </c:pt>
                <c:pt idx="88">
                  <c:v>5.6064131981562477</c:v>
                </c:pt>
                <c:pt idx="89">
                  <c:v>5.6725372560930625</c:v>
                </c:pt>
                <c:pt idx="90">
                  <c:v>5.7387159344153762</c:v>
                </c:pt>
                <c:pt idx="91">
                  <c:v>5.804949244982299</c:v>
                </c:pt>
                <c:pt idx="92">
                  <c:v>5.8712371996564183</c:v>
                </c:pt>
                <c:pt idx="93">
                  <c:v>5.9375798103037818</c:v>
                </c:pt>
                <c:pt idx="94">
                  <c:v>6.0039770887939081</c:v>
                </c:pt>
                <c:pt idx="95">
                  <c:v>6.0704290469997773</c:v>
                </c:pt>
                <c:pt idx="96">
                  <c:v>6.1369356967978428</c:v>
                </c:pt>
                <c:pt idx="97">
                  <c:v>6.2034970500680142</c:v>
                </c:pt>
                <c:pt idx="98">
                  <c:v>6.2701131186936738</c:v>
                </c:pt>
                <c:pt idx="99">
                  <c:v>6.3367839145616669</c:v>
                </c:pt>
                <c:pt idx="100">
                  <c:v>6.4035094495623044</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2.4083248910059685</c:v>
                </c:pt>
                <c:pt idx="43">
                  <c:v>2.4379281613518806</c:v>
                </c:pt>
                <c:pt idx="44">
                  <c:v>2.4672428239722648</c:v>
                </c:pt>
                <c:pt idx="45">
                  <c:v>2.4962803276495933</c:v>
                </c:pt>
                <c:pt idx="46">
                  <c:v>2.5250515248416421</c:v>
                </c:pt>
                <c:pt idx="47">
                  <c:v>2.5522516927574062</c:v>
                </c:pt>
                <c:pt idx="48">
                  <c:v>2.6070215968754433</c:v>
                </c:pt>
                <c:pt idx="49">
                  <c:v>2.6618092382793108</c:v>
                </c:pt>
                <c:pt idx="50">
                  <c:v>2.7166147364079594</c:v>
                </c:pt>
                <c:pt idx="51">
                  <c:v>2.7714382278048908</c:v>
                </c:pt>
                <c:pt idx="52">
                  <c:v>2.826610664935242</c:v>
                </c:pt>
                <c:pt idx="53">
                  <c:v>2.8824873235258046</c:v>
                </c:pt>
                <c:pt idx="54">
                  <c:v>2.9384649365729691</c:v>
                </c:pt>
                <c:pt idx="55">
                  <c:v>2.9945478365546494</c:v>
                </c:pt>
                <c:pt idx="56">
                  <c:v>3.0500558831255788</c:v>
                </c:pt>
                <c:pt idx="57">
                  <c:v>3.1055042616597839</c:v>
                </c:pt>
                <c:pt idx="58">
                  <c:v>3.1609872313768848</c:v>
                </c:pt>
                <c:pt idx="59">
                  <c:v>3.216504797168386</c:v>
                </c:pt>
                <c:pt idx="60">
                  <c:v>3.2720569639269574</c:v>
                </c:pt>
                <c:pt idx="61">
                  <c:v>3.3276437365464138</c:v>
                </c:pt>
                <c:pt idx="62">
                  <c:v>3.3832651199216923</c:v>
                </c:pt>
                <c:pt idx="63">
                  <c:v>3.4389211189488424</c:v>
                </c:pt>
                <c:pt idx="64">
                  <c:v>3.4946117385250068</c:v>
                </c:pt>
                <c:pt idx="65">
                  <c:v>3.5503369835484078</c:v>
                </c:pt>
                <c:pt idx="66">
                  <c:v>3.6060968589183435</c:v>
                </c:pt>
                <c:pt idx="67">
                  <c:v>3.6618913695351645</c:v>
                </c:pt>
                <c:pt idx="68">
                  <c:v>3.7177205203002712</c:v>
                </c:pt>
                <c:pt idx="69">
                  <c:v>3.7735843161161076</c:v>
                </c:pt>
                <c:pt idx="70">
                  <c:v>3.8294827618861449</c:v>
                </c:pt>
                <c:pt idx="71">
                  <c:v>3.8854158625148814</c:v>
                </c:pt>
                <c:pt idx="72">
                  <c:v>3.9413836229078325</c:v>
                </c:pt>
                <c:pt idx="73">
                  <c:v>3.9973860479715229</c:v>
                </c:pt>
                <c:pt idx="74">
                  <c:v>4.053423142613485</c:v>
                </c:pt>
                <c:pt idx="75">
                  <c:v>4.1094949117422521</c:v>
                </c:pt>
                <c:pt idx="76">
                  <c:v>4.1656013602673525</c:v>
                </c:pt>
                <c:pt idx="77">
                  <c:v>4.2217424930993044</c:v>
                </c:pt>
                <c:pt idx="78">
                  <c:v>4.2779183151496163</c:v>
                </c:pt>
                <c:pt idx="79">
                  <c:v>4.33412883133078</c:v>
                </c:pt>
                <c:pt idx="80">
                  <c:v>4.3903740465562642</c:v>
                </c:pt>
                <c:pt idx="81">
                  <c:v>4.44665396574052</c:v>
                </c:pt>
                <c:pt idx="82">
                  <c:v>4.5029685937989674</c:v>
                </c:pt>
                <c:pt idx="83">
                  <c:v>4.5593179356480054</c:v>
                </c:pt>
                <c:pt idx="84">
                  <c:v>4.6157019962049963</c:v>
                </c:pt>
                <c:pt idx="85">
                  <c:v>4.6721207803882736</c:v>
                </c:pt>
                <c:pt idx="86">
                  <c:v>4.7285742931171324</c:v>
                </c:pt>
                <c:pt idx="87">
                  <c:v>4.7850625393118351</c:v>
                </c:pt>
                <c:pt idx="88">
                  <c:v>4.8415855238936025</c:v>
                </c:pt>
                <c:pt idx="89">
                  <c:v>4.8981432517846146</c:v>
                </c:pt>
                <c:pt idx="90">
                  <c:v>4.9547357279080169</c:v>
                </c:pt>
                <c:pt idx="91">
                  <c:v>5.0113629571879041</c:v>
                </c:pt>
                <c:pt idx="92">
                  <c:v>5.0680249445493306</c:v>
                </c:pt>
                <c:pt idx="93">
                  <c:v>5.1247216949183034</c:v>
                </c:pt>
                <c:pt idx="94">
                  <c:v>5.1814532132217836</c:v>
                </c:pt>
                <c:pt idx="95">
                  <c:v>5.2382195043876898</c:v>
                </c:pt>
                <c:pt idx="96">
                  <c:v>5.2950205733448854</c:v>
                </c:pt>
                <c:pt idx="97">
                  <c:v>5.3518564250231897</c:v>
                </c:pt>
                <c:pt idx="98">
                  <c:v>5.4087270643533669</c:v>
                </c:pt>
                <c:pt idx="99">
                  <c:v>5.4656324962671361</c:v>
                </c:pt>
                <c:pt idx="100">
                  <c:v>5.5225727256971631</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2.4078505137490342</c:v>
                </c:pt>
                <c:pt idx="43">
                  <c:v>2.4367389951979468</c:v>
                </c:pt>
                <c:pt idx="44">
                  <c:v>2.465302425816235</c:v>
                </c:pt>
                <c:pt idx="45">
                  <c:v>2.4935518239923748</c:v>
                </c:pt>
                <c:pt idx="46">
                  <c:v>2.5214975992544084</c:v>
                </c:pt>
                <c:pt idx="47">
                  <c:v>2.5491495983576913</c:v>
                </c:pt>
                <c:pt idx="48">
                  <c:v>2.5765171469819501</c:v>
                </c:pt>
                <c:pt idx="49">
                  <c:v>2.6036090875383247</c:v>
                </c:pt>
                <c:pt idx="50">
                  <c:v>2.6304338135209688</c:v>
                </c:pt>
                <c:pt idx="51">
                  <c:v>2.6569993007815409</c:v>
                </c:pt>
                <c:pt idx="52">
                  <c:v>2.6833131360569165</c:v>
                </c:pt>
                <c:pt idx="53">
                  <c:v>2.7093825430393474</c:v>
                </c:pt>
                <c:pt idx="54">
                  <c:v>2.7352144062429771</c:v>
                </c:pt>
                <c:pt idx="55">
                  <c:v>2.7608152928901779</c:v>
                </c:pt>
                <c:pt idx="56">
                  <c:v>2.7862907226923928</c:v>
                </c:pt>
                <c:pt idx="57">
                  <c:v>2.8120383813188226</c:v>
                </c:pt>
                <c:pt idx="58">
                  <c:v>2.8375932952278915</c:v>
                </c:pt>
                <c:pt idx="59">
                  <c:v>2.8629609955864606</c:v>
                </c:pt>
                <c:pt idx="60">
                  <c:v>2.8881467842860387</c:v>
                </c:pt>
                <c:pt idx="61">
                  <c:v>2.9131557473334793</c:v>
                </c:pt>
                <c:pt idx="62">
                  <c:v>2.9379927672574242</c:v>
                </c:pt>
                <c:pt idx="63">
                  <c:v>2.962662534617551</c:v>
                </c:pt>
                <c:pt idx="64">
                  <c:v>2.987169558694688</c:v>
                </c:pt>
                <c:pt idx="65">
                  <c:v>3.0074072629498447</c:v>
                </c:pt>
                <c:pt idx="66">
                  <c:v>3.0551232573127871</c:v>
                </c:pt>
                <c:pt idx="67">
                  <c:v>3.1017553382444984</c:v>
                </c:pt>
                <c:pt idx="68">
                  <c:v>3.14839594443808</c:v>
                </c:pt>
                <c:pt idx="69">
                  <c:v>3.1950450637435037</c:v>
                </c:pt>
                <c:pt idx="70">
                  <c:v>3.2418503547143618</c:v>
                </c:pt>
                <c:pt idx="71">
                  <c:v>3.289130260264236</c:v>
                </c:pt>
                <c:pt idx="72">
                  <c:v>3.3364507357258062</c:v>
                </c:pt>
                <c:pt idx="73">
                  <c:v>3.3838126120698786</c:v>
                </c:pt>
                <c:pt idx="74">
                  <c:v>3.4312167431212912</c:v>
                </c:pt>
                <c:pt idx="75">
                  <c:v>3.4786640063501957</c:v>
                </c:pt>
                <c:pt idx="76">
                  <c:v>3.526024508479022</c:v>
                </c:pt>
                <c:pt idx="77">
                  <c:v>3.5731581624515001</c:v>
                </c:pt>
                <c:pt idx="78">
                  <c:v>3.6203110414706816</c:v>
                </c:pt>
                <c:pt idx="79">
                  <c:v>3.6674831470830047</c:v>
                </c:pt>
                <c:pt idx="80">
                  <c:v>3.7146744808351038</c:v>
                </c:pt>
                <c:pt idx="81">
                  <c:v>3.7618850442738063</c:v>
                </c:pt>
                <c:pt idx="82">
                  <c:v>3.8091148389461407</c:v>
                </c:pt>
                <c:pt idx="83">
                  <c:v>3.8563638663993229</c:v>
                </c:pt>
                <c:pt idx="84">
                  <c:v>3.903632128180766</c:v>
                </c:pt>
                <c:pt idx="85">
                  <c:v>3.9509196258380657</c:v>
                </c:pt>
                <c:pt idx="86">
                  <c:v>3.9982263609190141</c:v>
                </c:pt>
                <c:pt idx="87">
                  <c:v>4.045552334971581</c:v>
                </c:pt>
                <c:pt idx="88">
                  <c:v>4.0928975495439319</c:v>
                </c:pt>
                <c:pt idx="89">
                  <c:v>4.1402620061844102</c:v>
                </c:pt>
                <c:pt idx="90">
                  <c:v>4.1876457064415478</c:v>
                </c:pt>
                <c:pt idx="91">
                  <c:v>4.2350486518640533</c:v>
                </c:pt>
                <c:pt idx="92">
                  <c:v>4.2824708440008248</c:v>
                </c:pt>
                <c:pt idx="93">
                  <c:v>4.329912284400935</c:v>
                </c:pt>
                <c:pt idx="94">
                  <c:v>4.3773729746136416</c:v>
                </c:pt>
                <c:pt idx="95">
                  <c:v>4.4248529161883781</c:v>
                </c:pt>
                <c:pt idx="96">
                  <c:v>4.4723521106747617</c:v>
                </c:pt>
                <c:pt idx="97">
                  <c:v>4.519870559622583</c:v>
                </c:pt>
                <c:pt idx="98">
                  <c:v>4.5674082645818102</c:v>
                </c:pt>
                <c:pt idx="99">
                  <c:v>4.6149652271025934</c:v>
                </c:pt>
                <c:pt idx="100">
                  <c:v>4.6625414487352561</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1.2361656503101914</c:v>
                </c:pt>
                <c:pt idx="15">
                  <c:v>1.2723955309214987</c:v>
                </c:pt>
                <c:pt idx="16">
                  <c:v>1.3074555542325577</c:v>
                </c:pt>
                <c:pt idx="17">
                  <c:v>1.34145383438327</c:v>
                </c:pt>
                <c:pt idx="18">
                  <c:v>1.3744827920297544</c:v>
                </c:pt>
                <c:pt idx="19">
                  <c:v>1.4066221697040173</c:v>
                </c:pt>
                <c:pt idx="20">
                  <c:v>1.4379413407899349</c:v>
                </c:pt>
                <c:pt idx="21">
                  <c:v>1.4685011044182217</c:v>
                </c:pt>
                <c:pt idx="22">
                  <c:v>1.4983550996146462</c:v>
                </c:pt>
                <c:pt idx="23">
                  <c:v>1.5275509329965833</c:v>
                </c:pt>
                <c:pt idx="24">
                  <c:v>1.5561310878971428</c:v>
                </c:pt>
                <c:pt idx="25">
                  <c:v>1.584133664567801</c:v>
                </c:pt>
                <c:pt idx="26">
                  <c:v>1.6115929883072588</c:v>
                </c:pt>
                <c:pt idx="27">
                  <c:v>1.6385401132257704</c:v>
                </c:pt>
                <c:pt idx="28">
                  <c:v>1.6650032427350812</c:v>
                </c:pt>
                <c:pt idx="29">
                  <c:v>1.69100808299504</c:v>
                </c:pt>
                <c:pt idx="30">
                  <c:v>1.7165781419365733</c:v>
                </c:pt>
                <c:pt idx="31">
                  <c:v>1.7417349837659049</c:v>
                </c:pt>
                <c:pt idx="32">
                  <c:v>1.7666167084225135</c:v>
                </c:pt>
                <c:pt idx="33">
                  <c:v>1.7916044114674134</c:v>
                </c:pt>
                <c:pt idx="34">
                  <c:v>1.8162789519679716</c:v>
                </c:pt>
                <c:pt idx="35">
                  <c:v>1.8406572221545692</c:v>
                </c:pt>
                <c:pt idx="36">
                  <c:v>1.873401377010822</c:v>
                </c:pt>
                <c:pt idx="37">
                  <c:v>1.9199361355044466</c:v>
                </c:pt>
                <c:pt idx="38">
                  <c:v>1.9665389517749612</c:v>
                </c:pt>
                <c:pt idx="39">
                  <c:v>2.0131667470987109</c:v>
                </c:pt>
                <c:pt idx="40">
                  <c:v>2.0600864513062072</c:v>
                </c:pt>
                <c:pt idx="41">
                  <c:v>2.1078461023383483</c:v>
                </c:pt>
                <c:pt idx="42">
                  <c:v>2.1557136756112096</c:v>
                </c:pt>
                <c:pt idx="43">
                  <c:v>2.2028427712569689</c:v>
                </c:pt>
                <c:pt idx="44">
                  <c:v>2.2500119252082054</c:v>
                </c:pt>
                <c:pt idx="45">
                  <c:v>2.2972211461230891</c:v>
                </c:pt>
                <c:pt idx="46">
                  <c:v>2.3444704426632743</c:v>
                </c:pt>
                <c:pt idx="47">
                  <c:v>2.3917598234937891</c:v>
                </c:pt>
                <c:pt idx="48">
                  <c:v>2.4390892972829454</c:v>
                </c:pt>
                <c:pt idx="49">
                  <c:v>2.4864588727022543</c:v>
                </c:pt>
                <c:pt idx="50">
                  <c:v>2.5338685584263585</c:v>
                </c:pt>
                <c:pt idx="51">
                  <c:v>2.5813183631329704</c:v>
                </c:pt>
                <c:pt idx="52">
                  <c:v>2.6288082955028127</c:v>
                </c:pt>
                <c:pt idx="53">
                  <c:v>2.6763383642195766</c:v>
                </c:pt>
                <c:pt idx="54">
                  <c:v>2.7239085779698708</c:v>
                </c:pt>
                <c:pt idx="55">
                  <c:v>2.7715189454431961</c:v>
                </c:pt>
                <c:pt idx="56">
                  <c:v>2.8191694753318997</c:v>
                </c:pt>
                <c:pt idx="57">
                  <c:v>2.8668601763311479</c:v>
                </c:pt>
                <c:pt idx="58">
                  <c:v>2.9145910571389075</c:v>
                </c:pt>
                <c:pt idx="59">
                  <c:v>2.9623621264559166</c:v>
                </c:pt>
                <c:pt idx="60">
                  <c:v>3.0101733929856569</c:v>
                </c:pt>
                <c:pt idx="61">
                  <c:v>3.0580248654343487</c:v>
                </c:pt>
                <c:pt idx="62">
                  <c:v>3.1059165525109216</c:v>
                </c:pt>
                <c:pt idx="63">
                  <c:v>3.1538484629270078</c:v>
                </c:pt>
                <c:pt idx="64">
                  <c:v>3.2018206053969234</c:v>
                </c:pt>
                <c:pt idx="65">
                  <c:v>3.2498329886376567</c:v>
                </c:pt>
                <c:pt idx="66">
                  <c:v>3.2978856213688603</c:v>
                </c:pt>
                <c:pt idx="67">
                  <c:v>3.3459785123128372</c:v>
                </c:pt>
                <c:pt idx="68">
                  <c:v>3.3941116701945333</c:v>
                </c:pt>
                <c:pt idx="69">
                  <c:v>3.442285103741531</c:v>
                </c:pt>
                <c:pt idx="70">
                  <c:v>3.4904988216840422</c:v>
                </c:pt>
                <c:pt idx="71">
                  <c:v>3.5387528327548949</c:v>
                </c:pt>
                <c:pt idx="72">
                  <c:v>3.587047145689537</c:v>
                </c:pt>
                <c:pt idx="73">
                  <c:v>3.6353817692260249</c:v>
                </c:pt>
                <c:pt idx="74">
                  <c:v>3.6837567121050165</c:v>
                </c:pt>
                <c:pt idx="75">
                  <c:v>3.7321719830697759</c:v>
                </c:pt>
                <c:pt idx="76">
                  <c:v>3.7806275908661631</c:v>
                </c:pt>
                <c:pt idx="77">
                  <c:v>3.8291235442426244</c:v>
                </c:pt>
                <c:pt idx="78">
                  <c:v>3.8776598519502032</c:v>
                </c:pt>
                <c:pt idx="79">
                  <c:v>3.9262365227425304</c:v>
                </c:pt>
                <c:pt idx="80">
                  <c:v>3.974853565375815</c:v>
                </c:pt>
                <c:pt idx="81">
                  <c:v>4.0235109886088516</c:v>
                </c:pt>
                <c:pt idx="82">
                  <c:v>4.0722088012030149</c:v>
                </c:pt>
                <c:pt idx="83">
                  <c:v>4.1209470119222598</c:v>
                </c:pt>
                <c:pt idx="84">
                  <c:v>4.1697256295331124</c:v>
                </c:pt>
                <c:pt idx="85">
                  <c:v>4.2185446628046757</c:v>
                </c:pt>
                <c:pt idx="86">
                  <c:v>4.2674041205086288</c:v>
                </c:pt>
                <c:pt idx="87">
                  <c:v>4.316304011419219</c:v>
                </c:pt>
                <c:pt idx="88">
                  <c:v>4.36524434431327</c:v>
                </c:pt>
                <c:pt idx="89">
                  <c:v>4.4142251279701696</c:v>
                </c:pt>
                <c:pt idx="90">
                  <c:v>4.4632463711718833</c:v>
                </c:pt>
                <c:pt idx="91">
                  <c:v>4.5123080827029378</c:v>
                </c:pt>
                <c:pt idx="92">
                  <c:v>4.5614102713504332</c:v>
                </c:pt>
                <c:pt idx="93">
                  <c:v>4.6105529459040362</c:v>
                </c:pt>
                <c:pt idx="94">
                  <c:v>4.6597361151559813</c:v>
                </c:pt>
                <c:pt idx="95">
                  <c:v>4.7089597879010689</c:v>
                </c:pt>
                <c:pt idx="96">
                  <c:v>4.7582239729366735</c:v>
                </c:pt>
                <c:pt idx="97">
                  <c:v>4.8075286790627265</c:v>
                </c:pt>
                <c:pt idx="98">
                  <c:v>4.8568739150817333</c:v>
                </c:pt>
                <c:pt idx="99">
                  <c:v>4.9062596897987651</c:v>
                </c:pt>
                <c:pt idx="100">
                  <c:v>4.9556860120214603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Single'!$AK$5:$AK$105</c:f>
              <c:numCache>
                <c:formatCode>0.000</c:formatCode>
                <c:ptCount val="101"/>
                <c:pt idx="0">
                  <c:v>1.0068571428571429</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1.2361656503101914</c:v>
                </c:pt>
                <c:pt idx="15">
                  <c:v>1.2723955309214987</c:v>
                </c:pt>
                <c:pt idx="16">
                  <c:v>1.3074555542325577</c:v>
                </c:pt>
                <c:pt idx="17">
                  <c:v>1.34145383438327</c:v>
                </c:pt>
                <c:pt idx="18">
                  <c:v>1.3744827920297544</c:v>
                </c:pt>
                <c:pt idx="19">
                  <c:v>1.4066221697040173</c:v>
                </c:pt>
                <c:pt idx="20">
                  <c:v>1.4379413407899349</c:v>
                </c:pt>
                <c:pt idx="21">
                  <c:v>1.4685011044182217</c:v>
                </c:pt>
                <c:pt idx="22">
                  <c:v>1.4983550996146462</c:v>
                </c:pt>
                <c:pt idx="23">
                  <c:v>1.5275509329965833</c:v>
                </c:pt>
                <c:pt idx="24">
                  <c:v>1.5561310878971428</c:v>
                </c:pt>
                <c:pt idx="25">
                  <c:v>1.584133664567801</c:v>
                </c:pt>
                <c:pt idx="26">
                  <c:v>1.6115929883072588</c:v>
                </c:pt>
                <c:pt idx="27">
                  <c:v>1.6385401132257704</c:v>
                </c:pt>
                <c:pt idx="28">
                  <c:v>1.6650032427350812</c:v>
                </c:pt>
                <c:pt idx="29">
                  <c:v>1.69100808299504</c:v>
                </c:pt>
                <c:pt idx="30">
                  <c:v>1.7165781419365733</c:v>
                </c:pt>
                <c:pt idx="31">
                  <c:v>1.7417349837659049</c:v>
                </c:pt>
                <c:pt idx="32">
                  <c:v>1.766498446792486</c:v>
                </c:pt>
                <c:pt idx="33">
                  <c:v>1.7908868308408405</c:v>
                </c:pt>
                <c:pt idx="34">
                  <c:v>1.8149170592815955</c:v>
                </c:pt>
                <c:pt idx="35">
                  <c:v>1.8386048197605047</c:v>
                </c:pt>
                <c:pt idx="36">
                  <c:v>1.8619646869515436</c:v>
                </c:pt>
                <c:pt idx="37">
                  <c:v>1.885010230063271</c:v>
                </c:pt>
                <c:pt idx="38">
                  <c:v>1.9077541073510758</c:v>
                </c:pt>
                <c:pt idx="39">
                  <c:v>1.9302081495048513</c:v>
                </c:pt>
                <c:pt idx="40">
                  <c:v>1.9523834334718404</c:v>
                </c:pt>
                <c:pt idx="41">
                  <c:v>1.9742903480223397</c:v>
                </c:pt>
                <c:pt idx="42">
                  <c:v>1.9962900427204704</c:v>
                </c:pt>
                <c:pt idx="43">
                  <c:v>2.0182183911248499</c:v>
                </c:pt>
                <c:pt idx="44">
                  <c:v>2.0399329560288377</c:v>
                </c:pt>
                <c:pt idx="45">
                  <c:v>2.0614422180120444</c:v>
                </c:pt>
                <c:pt idx="46">
                  <c:v>2.0827542159320802</c:v>
                </c:pt>
                <c:pt idx="47">
                  <c:v>2.1029024884622762</c:v>
                </c:pt>
                <c:pt idx="48">
                  <c:v>2.1434727878089701</c:v>
                </c:pt>
                <c:pt idx="49">
                  <c:v>2.1840562258859091</c:v>
                </c:pt>
                <c:pt idx="50">
                  <c:v>2.2246528911663894</c:v>
                </c:pt>
                <c:pt idx="51">
                  <c:v>2.2652628847937462</c:v>
                </c:pt>
                <c:pt idx="52">
                  <c:v>2.3061313567421546</c:v>
                </c:pt>
                <c:pt idx="53">
                  <c:v>2.347521474216645</c:v>
                </c:pt>
                <c:pt idx="54">
                  <c:v>2.3889863727701002</c:v>
                </c:pt>
                <c:pt idx="55">
                  <c:v>2.430529261645419</c:v>
                </c:pt>
                <c:pt idx="56">
                  <c:v>2.4716463331794412</c:v>
                </c:pt>
                <c:pt idx="57">
                  <c:v>2.5127192061677412</c:v>
                </c:pt>
                <c:pt idx="58">
                  <c:v>2.5538177022544826</c:v>
                </c:pt>
                <c:pt idx="59">
                  <c:v>2.5949418250630019</c:v>
                </c:pt>
                <c:pt idx="60">
                  <c:v>2.6360915782174992</c:v>
                </c:pt>
                <c:pt idx="61">
                  <c:v>2.6772669653430228</c:v>
                </c:pt>
                <c:pt idx="62">
                  <c:v>2.7184679900654509</c:v>
                </c:pt>
                <c:pt idx="63">
                  <c:v>2.7596946560114883</c:v>
                </c:pt>
                <c:pt idx="64">
                  <c:v>2.8009469668086471</c:v>
                </c:pt>
                <c:pt idx="65">
                  <c:v>2.8422249260852404</c:v>
                </c:pt>
                <c:pt idx="66">
                  <c:v>2.8835285374703776</c:v>
                </c:pt>
                <c:pt idx="67">
                  <c:v>2.9248578045939491</c:v>
                </c:pt>
                <c:pt idx="68">
                  <c:v>2.9662127310866202</c:v>
                </c:pt>
                <c:pt idx="69">
                  <c:v>3.0075933205798329</c:v>
                </c:pt>
                <c:pt idx="70">
                  <c:v>3.048999576705786</c:v>
                </c:pt>
                <c:pt idx="71">
                  <c:v>3.0904315030974425</c:v>
                </c:pt>
                <c:pt idx="72">
                  <c:v>3.1318891033885174</c:v>
                </c:pt>
                <c:pt idx="73">
                  <c:v>3.1733723812134738</c:v>
                </c:pt>
                <c:pt idx="74">
                  <c:v>3.2148813402075191</c:v>
                </c:pt>
                <c:pt idx="75">
                  <c:v>3.2564159840066065</c:v>
                </c:pt>
                <c:pt idx="76">
                  <c:v>3.2979763162474214</c:v>
                </c:pt>
                <c:pt idx="77">
                  <c:v>3.3395623405673858</c:v>
                </c:pt>
                <c:pt idx="78">
                  <c:v>3.3811740606046534</c:v>
                </c:pt>
                <c:pt idx="79">
                  <c:v>3.4228114799981082</c:v>
                </c:pt>
                <c:pt idx="80">
                  <c:v>3.4644746023873561</c:v>
                </c:pt>
                <c:pt idx="81">
                  <c:v>3.5061634314127303</c:v>
                </c:pt>
                <c:pt idx="82">
                  <c:v>3.5478779707152839</c:v>
                </c:pt>
                <c:pt idx="83">
                  <c:v>3.5896182239367942</c:v>
                </c:pt>
                <c:pt idx="84">
                  <c:v>3.6313841947197503</c:v>
                </c:pt>
                <c:pt idx="85">
                  <c:v>3.6731758867073632</c:v>
                </c:pt>
                <c:pt idx="86">
                  <c:v>3.7149933035435545</c:v>
                </c:pt>
                <c:pt idx="87">
                  <c:v>3.7568364488729644</c:v>
                </c:pt>
                <c:pt idx="88">
                  <c:v>3.79870532634094</c:v>
                </c:pt>
                <c:pt idx="89">
                  <c:v>3.8405999395935417</c:v>
                </c:pt>
                <c:pt idx="90">
                  <c:v>3.882520292277543</c:v>
                </c:pt>
                <c:pt idx="91">
                  <c:v>3.9244663880404227</c:v>
                </c:pt>
                <c:pt idx="92">
                  <c:v>3.9664382305303683</c:v>
                </c:pt>
                <c:pt idx="93">
                  <c:v>4.0084358233962742</c:v>
                </c:pt>
                <c:pt idx="94">
                  <c:v>4.0504591702877404</c:v>
                </c:pt>
                <c:pt idx="95">
                  <c:v>4.0925082748550787</c:v>
                </c:pt>
                <c:pt idx="96">
                  <c:v>4.1345831407492977</c:v>
                </c:pt>
                <c:pt idx="97">
                  <c:v>4.1766837716221152</c:v>
                </c:pt>
                <c:pt idx="98">
                  <c:v>4.2188101711259511</c:v>
                </c:pt>
                <c:pt idx="99">
                  <c:v>4.2609623429139285</c:v>
                </c:pt>
                <c:pt idx="100">
                  <c:v>4.303140290639873</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1.2361656503101914</c:v>
                </c:pt>
                <c:pt idx="15">
                  <c:v>1.2723955309214987</c:v>
                </c:pt>
                <c:pt idx="16">
                  <c:v>1.3074555542325577</c:v>
                </c:pt>
                <c:pt idx="17">
                  <c:v>1.34145383438327</c:v>
                </c:pt>
                <c:pt idx="18">
                  <c:v>1.3744827920297544</c:v>
                </c:pt>
                <c:pt idx="19">
                  <c:v>1.4066221697040173</c:v>
                </c:pt>
                <c:pt idx="20">
                  <c:v>1.4379413407899349</c:v>
                </c:pt>
                <c:pt idx="21">
                  <c:v>1.4685011044182217</c:v>
                </c:pt>
                <c:pt idx="22">
                  <c:v>1.4983550996146462</c:v>
                </c:pt>
                <c:pt idx="23">
                  <c:v>1.5275509329965833</c:v>
                </c:pt>
                <c:pt idx="24">
                  <c:v>1.5561310878971428</c:v>
                </c:pt>
                <c:pt idx="25">
                  <c:v>1.584133664567801</c:v>
                </c:pt>
                <c:pt idx="26">
                  <c:v>1.6115929883072588</c:v>
                </c:pt>
                <c:pt idx="27">
                  <c:v>1.6385401132257704</c:v>
                </c:pt>
                <c:pt idx="28">
                  <c:v>1.6650032427350812</c:v>
                </c:pt>
                <c:pt idx="29">
                  <c:v>1.69100808299504</c:v>
                </c:pt>
                <c:pt idx="30">
                  <c:v>1.7165781419365733</c:v>
                </c:pt>
                <c:pt idx="31">
                  <c:v>1.7417349837659049</c:v>
                </c:pt>
                <c:pt idx="32">
                  <c:v>1.766498446792486</c:v>
                </c:pt>
                <c:pt idx="33">
                  <c:v>1.7908868308408405</c:v>
                </c:pt>
                <c:pt idx="34">
                  <c:v>1.8149170592815955</c:v>
                </c:pt>
                <c:pt idx="35">
                  <c:v>1.8386048197605047</c:v>
                </c:pt>
                <c:pt idx="36">
                  <c:v>1.8619646869515436</c:v>
                </c:pt>
                <c:pt idx="37">
                  <c:v>1.885010230063271</c:v>
                </c:pt>
                <c:pt idx="38">
                  <c:v>1.9077541073510758</c:v>
                </c:pt>
                <c:pt idx="39">
                  <c:v>1.9302081495048513</c:v>
                </c:pt>
                <c:pt idx="40">
                  <c:v>1.9523834334718404</c:v>
                </c:pt>
                <c:pt idx="41">
                  <c:v>1.9742903480223397</c:v>
                </c:pt>
                <c:pt idx="42">
                  <c:v>1.9959386521597784</c:v>
                </c:pt>
                <c:pt idx="43">
                  <c:v>2.017337527307121</c:v>
                </c:pt>
                <c:pt idx="44">
                  <c:v>2.0384956240614085</c:v>
                </c:pt>
                <c:pt idx="45">
                  <c:v>2.0594211041918822</c:v>
                </c:pt>
                <c:pt idx="46">
                  <c:v>2.0801216784600554</c:v>
                </c:pt>
                <c:pt idx="47">
                  <c:v>2.1006046407587835</c:v>
                </c:pt>
                <c:pt idx="48">
                  <c:v>2.1208768989989752</c:v>
                </c:pt>
                <c:pt idx="49">
                  <c:v>2.1409450031148083</c:v>
                </c:pt>
                <c:pt idx="50">
                  <c:v>2.1608151705093595</c:v>
                </c:pt>
                <c:pt idx="51">
                  <c:v>2.1804933092208945</c:v>
                </c:pt>
                <c:pt idx="52">
                  <c:v>2.1999850390545057</c:v>
                </c:pt>
                <c:pt idx="53">
                  <c:v>2.2192957108933435</c:v>
                </c:pt>
                <c:pt idx="54">
                  <c:v>2.2384304243775137</c:v>
                </c:pt>
                <c:pt idx="55">
                  <c:v>2.2573940441161811</c:v>
                </c:pt>
                <c:pt idx="56">
                  <c:v>2.2762647328585626</c:v>
                </c:pt>
                <c:pt idx="57">
                  <c:v>2.2953370725818436</c:v>
                </c:pt>
                <c:pt idx="58">
                  <c:v>2.3142666384404134</c:v>
                </c:pt>
                <c:pt idx="59">
                  <c:v>2.3330575275949088</c:v>
                </c:pt>
                <c:pt idx="60">
                  <c:v>2.351713667372374</c:v>
                </c:pt>
                <c:pt idx="61">
                  <c:v>2.3702388251852931</c:v>
                </c:pt>
                <c:pt idx="62">
                  <c:v>2.3886366177215486</c:v>
                </c:pt>
                <c:pt idx="63">
                  <c:v>2.4069105194697906</c:v>
                </c:pt>
                <c:pt idx="64">
                  <c:v>2.4250638706380405</c:v>
                </c:pt>
                <c:pt idx="65">
                  <c:v>2.4400547626788973</c:v>
                </c:pt>
                <c:pt idx="66">
                  <c:v>2.4753999436884842</c:v>
                </c:pt>
                <c:pt idx="67">
                  <c:v>2.5099422258601223</c:v>
                </c:pt>
                <c:pt idx="68">
                  <c:v>2.5444908230405527</c:v>
                </c:pt>
                <c:pt idx="69">
                  <c:v>2.5790457262297557</c:v>
                </c:pt>
                <c:pt idx="70">
                  <c:v>2.6137163121340947</c:v>
                </c:pt>
                <c:pt idx="71">
                  <c:v>2.6487384643932614</c:v>
                </c:pt>
                <c:pt idx="72">
                  <c:v>2.6837906684388688</c:v>
                </c:pt>
                <c:pt idx="73">
                  <c:v>2.7188735398048482</c:v>
                </c:pt>
                <c:pt idx="74">
                  <c:v>2.7539877109540427</c:v>
                </c:pt>
                <c:pt idx="75">
                  <c:v>2.7891338318643424</c:v>
                </c:pt>
                <c:pt idx="76">
                  <c:v>2.8242156852931029</c:v>
                </c:pt>
                <c:pt idx="77">
                  <c:v>2.859129503050494</c:v>
                </c:pt>
                <c:pt idx="78">
                  <c:v>2.8940575615832209</c:v>
                </c:pt>
                <c:pt idx="79">
                  <c:v>2.9289998620367936</c:v>
                </c:pt>
                <c:pt idx="80">
                  <c:v>2.9639564055568668</c:v>
                </c:pt>
                <c:pt idx="81">
                  <c:v>2.998927193289239</c:v>
                </c:pt>
                <c:pt idx="82">
                  <c:v>3.033912226379857</c:v>
                </c:pt>
                <c:pt idx="83">
                  <c:v>3.0689115059748069</c:v>
                </c:pt>
                <c:pt idx="84">
                  <c:v>3.1039250332203201</c:v>
                </c:pt>
                <c:pt idx="85">
                  <c:v>3.1389528092627641</c:v>
                </c:pt>
                <c:pt idx="86">
                  <c:v>3.173994835248652</c:v>
                </c:pt>
                <c:pt idx="87">
                  <c:v>3.2090511123246275</c:v>
                </c:pt>
                <c:pt idx="88">
                  <c:v>3.2441216416374798</c:v>
                </c:pt>
                <c:pt idx="89">
                  <c:v>3.2792064243341308</c:v>
                </c:pt>
                <c:pt idx="90">
                  <c:v>3.3143054615616396</c:v>
                </c:pt>
                <c:pt idx="91">
                  <c:v>3.3494187544671998</c:v>
                </c:pt>
                <c:pt idx="92">
                  <c:v>3.3845463041981416</c:v>
                </c:pt>
                <c:pt idx="93">
                  <c:v>3.4196881119019267</c:v>
                </c:pt>
                <c:pt idx="94">
                  <c:v>3.4548441787261543</c:v>
                </c:pt>
                <c:pt idx="95">
                  <c:v>3.4900145058185519</c:v>
                </c:pt>
                <c:pt idx="96">
                  <c:v>3.5251990943269842</c:v>
                </c:pt>
                <c:pt idx="97">
                  <c:v>3.5603979453994441</c:v>
                </c:pt>
                <c:pt idx="98">
                  <c:v>3.5956110601840567</c:v>
                </c:pt>
                <c:pt idx="99">
                  <c:v>3.6308384398290814</c:v>
                </c:pt>
                <c:pt idx="100">
                  <c:v>3.6660800854829061</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Single'!$CB$5:$CB$105</c:f>
              <c:numCache>
                <c:formatCode>0.00</c:formatCode>
                <c:ptCount val="101"/>
                <c:pt idx="0">
                  <c:v>1.02092934192264E-6</c:v>
                </c:pt>
                <c:pt idx="1">
                  <c:v>34.391939417191026</c:v>
                </c:pt>
                <c:pt idx="2">
                  <c:v>46.87648875062925</c:v>
                </c:pt>
                <c:pt idx="3">
                  <c:v>53.329339993624167</c:v>
                </c:pt>
                <c:pt idx="4">
                  <c:v>57.271077404644785</c:v>
                </c:pt>
                <c:pt idx="5">
                  <c:v>59.928669851585525</c:v>
                </c:pt>
                <c:pt idx="6">
                  <c:v>61.841689315355609</c:v>
                </c:pt>
                <c:pt idx="7">
                  <c:v>63.284555286474934</c:v>
                </c:pt>
                <c:pt idx="8">
                  <c:v>64.411588554571992</c:v>
                </c:pt>
                <c:pt idx="9">
                  <c:v>65.316232650149459</c:v>
                </c:pt>
                <c:pt idx="10">
                  <c:v>66.058378062997107</c:v>
                </c:pt>
                <c:pt idx="11">
                  <c:v>66.678181680739229</c:v>
                </c:pt>
                <c:pt idx="12">
                  <c:v>67.203575884848206</c:v>
                </c:pt>
                <c:pt idx="13">
                  <c:v>67.654591280522453</c:v>
                </c:pt>
                <c:pt idx="14">
                  <c:v>68.186005158202221</c:v>
                </c:pt>
                <c:pt idx="15">
                  <c:v>68.666763347852083</c:v>
                </c:pt>
                <c:pt idx="16">
                  <c:v>69.101779737374201</c:v>
                </c:pt>
                <c:pt idx="17">
                  <c:v>69.497988735159495</c:v>
                </c:pt>
                <c:pt idx="18">
                  <c:v>69.860954079071277</c:v>
                </c:pt>
                <c:pt idx="19">
                  <c:v>70.195196066684431</c:v>
                </c:pt>
                <c:pt idx="20">
                  <c:v>70.504428568753468</c:v>
                </c:pt>
                <c:pt idx="21">
                  <c:v>70.791733719831967</c:v>
                </c:pt>
                <c:pt idx="22">
                  <c:v>71.059692704442782</c:v>
                </c:pt>
                <c:pt idx="23">
                  <c:v>71.310485065086453</c:v>
                </c:pt>
                <c:pt idx="24">
                  <c:v>71.545965079721086</c:v>
                </c:pt>
                <c:pt idx="25">
                  <c:v>71.767721192380918</c:v>
                </c:pt>
                <c:pt idx="26">
                  <c:v>71.977122753092715</c:v>
                </c:pt>
                <c:pt idx="27">
                  <c:v>72.175357138933535</c:v>
                </c:pt>
                <c:pt idx="28">
                  <c:v>72.363459503151745</c:v>
                </c:pt>
                <c:pt idx="29">
                  <c:v>72.542336816238802</c:v>
                </c:pt>
                <c:pt idx="30">
                  <c:v>72.71278744518861</c:v>
                </c:pt>
                <c:pt idx="31">
                  <c:v>72.875517214254813</c:v>
                </c:pt>
                <c:pt idx="32">
                  <c:v>73.031152668252744</c:v>
                </c:pt>
                <c:pt idx="33">
                  <c:v>73.18025209461409</c:v>
                </c:pt>
                <c:pt idx="34">
                  <c:v>73.323314736920537</c:v>
                </c:pt>
                <c:pt idx="35">
                  <c:v>73.460788539274063</c:v>
                </c:pt>
                <c:pt idx="36">
                  <c:v>73.593076689639474</c:v>
                </c:pt>
                <c:pt idx="37">
                  <c:v>73.720543175517491</c:v>
                </c:pt>
                <c:pt idx="38">
                  <c:v>73.843517522849893</c:v>
                </c:pt>
                <c:pt idx="39">
                  <c:v>73.962298855909197</c:v>
                </c:pt>
                <c:pt idx="40">
                  <c:v>74.077159389865372</c:v>
                </c:pt>
                <c:pt idx="41">
                  <c:v>74.188347447099318</c:v>
                </c:pt>
                <c:pt idx="42">
                  <c:v>74.293398605328292</c:v>
                </c:pt>
                <c:pt idx="43">
                  <c:v>74.393997785286444</c:v>
                </c:pt>
                <c:pt idx="44">
                  <c:v>74.509216399157893</c:v>
                </c:pt>
                <c:pt idx="45">
                  <c:v>74.65483201307454</c:v>
                </c:pt>
                <c:pt idx="46">
                  <c:v>74.791544819883654</c:v>
                </c:pt>
                <c:pt idx="47">
                  <c:v>74.933848814112451</c:v>
                </c:pt>
                <c:pt idx="48">
                  <c:v>74.950219384081691</c:v>
                </c:pt>
                <c:pt idx="49">
                  <c:v>74.960492747891607</c:v>
                </c:pt>
                <c:pt idx="50">
                  <c:v>74.965017436067725</c:v>
                </c:pt>
                <c:pt idx="51">
                  <c:v>74.964112940958003</c:v>
                </c:pt>
                <c:pt idx="52">
                  <c:v>74.956973592775228</c:v>
                </c:pt>
                <c:pt idx="53">
                  <c:v>74.942650285461951</c:v>
                </c:pt>
                <c:pt idx="54">
                  <c:v>74.923373710915882</c:v>
                </c:pt>
                <c:pt idx="55">
                  <c:v>74.89935446499409</c:v>
                </c:pt>
                <c:pt idx="56">
                  <c:v>74.873890828198526</c:v>
                </c:pt>
                <c:pt idx="57">
                  <c:v>74.844720586280687</c:v>
                </c:pt>
                <c:pt idx="58">
                  <c:v>74.811581630084305</c:v>
                </c:pt>
                <c:pt idx="59">
                  <c:v>74.774633530419806</c:v>
                </c:pt>
                <c:pt idx="60">
                  <c:v>74.734023205916884</c:v>
                </c:pt>
                <c:pt idx="61">
                  <c:v>74.689885947416599</c:v>
                </c:pt>
                <c:pt idx="62">
                  <c:v>74.642346340896808</c:v>
                </c:pt>
                <c:pt idx="63">
                  <c:v>74.591519100130341</c:v>
                </c:pt>
                <c:pt idx="64">
                  <c:v>74.537509818890285</c:v>
                </c:pt>
                <c:pt idx="65">
                  <c:v>74.480415651318353</c:v>
                </c:pt>
                <c:pt idx="66">
                  <c:v>74.42032592803497</c:v>
                </c:pt>
                <c:pt idx="67">
                  <c:v>74.357322714668555</c:v>
                </c:pt>
                <c:pt idx="68">
                  <c:v>74.291481318698089</c:v>
                </c:pt>
                <c:pt idx="69">
                  <c:v>74.222870749819677</c:v>
                </c:pt>
                <c:pt idx="70">
                  <c:v>74.151554138451687</c:v>
                </c:pt>
                <c:pt idx="71">
                  <c:v>74.077589116470648</c:v>
                </c:pt>
                <c:pt idx="72">
                  <c:v>74.001028163813217</c:v>
                </c:pt>
                <c:pt idx="73">
                  <c:v>73.921918924177049</c:v>
                </c:pt>
                <c:pt idx="74">
                  <c:v>73.840304492700398</c:v>
                </c:pt>
                <c:pt idx="75">
                  <c:v>73.756223678188604</c:v>
                </c:pt>
                <c:pt idx="76">
                  <c:v>73.669711242180682</c:v>
                </c:pt>
                <c:pt idx="77">
                  <c:v>73.580798116905626</c:v>
                </c:pt>
                <c:pt idx="78">
                  <c:v>73.489511603963237</c:v>
                </c:pt>
                <c:pt idx="79">
                  <c:v>73.395875555372257</c:v>
                </c:pt>
                <c:pt idx="80">
                  <c:v>73.299910538459102</c:v>
                </c:pt>
                <c:pt idx="81">
                  <c:v>73.201633985909226</c:v>
                </c:pt>
                <c:pt idx="82">
                  <c:v>73.101060332167421</c:v>
                </c:pt>
                <c:pt idx="83">
                  <c:v>72.998201137253673</c:v>
                </c:pt>
                <c:pt idx="84">
                  <c:v>72.893065198952229</c:v>
                </c:pt>
                <c:pt idx="85">
                  <c:v>72.785658654235391</c:v>
                </c:pt>
                <c:pt idx="86">
                  <c:v>72.675985070696242</c:v>
                </c:pt>
                <c:pt idx="87">
                  <c:v>72.564045528686137</c:v>
                </c:pt>
                <c:pt idx="88">
                  <c:v>72.449838694782088</c:v>
                </c:pt>
                <c:pt idx="89">
                  <c:v>72.333360887145631</c:v>
                </c:pt>
                <c:pt idx="90">
                  <c:v>72.214606133276348</c:v>
                </c:pt>
                <c:pt idx="91">
                  <c:v>72.093566220611521</c:v>
                </c:pt>
                <c:pt idx="92">
                  <c:v>71.970230740374092</c:v>
                </c:pt>
                <c:pt idx="93">
                  <c:v>71.844587125029364</c:v>
                </c:pt>
                <c:pt idx="94">
                  <c:v>71.716620679669262</c:v>
                </c:pt>
                <c:pt idx="95">
                  <c:v>71.586314607606866</c:v>
                </c:pt>
                <c:pt idx="96">
                  <c:v>71.453650030430509</c:v>
                </c:pt>
                <c:pt idx="97">
                  <c:v>71.318606002734541</c:v>
                </c:pt>
                <c:pt idx="98">
                  <c:v>71.181159521715571</c:v>
                </c:pt>
                <c:pt idx="99">
                  <c:v>71.041285531795566</c:v>
                </c:pt>
                <c:pt idx="100">
                  <c:v>70.898956924407628</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37.274999999999999</c:v>
                </c:pt>
                <c:pt idx="2">
                  <c:v>74.55</c:v>
                </c:pt>
                <c:pt idx="3">
                  <c:v>111.82499999999999</c:v>
                </c:pt>
                <c:pt idx="4">
                  <c:v>149.1</c:v>
                </c:pt>
                <c:pt idx="5">
                  <c:v>186.375</c:v>
                </c:pt>
                <c:pt idx="6">
                  <c:v>223.64999999999998</c:v>
                </c:pt>
                <c:pt idx="7">
                  <c:v>260.92499999999995</c:v>
                </c:pt>
                <c:pt idx="8">
                  <c:v>298.2</c:v>
                </c:pt>
                <c:pt idx="9">
                  <c:v>335.47499999999997</c:v>
                </c:pt>
                <c:pt idx="10">
                  <c:v>372.75</c:v>
                </c:pt>
                <c:pt idx="11">
                  <c:v>410.02499999999998</c:v>
                </c:pt>
                <c:pt idx="12">
                  <c:v>447.29999999999995</c:v>
                </c:pt>
                <c:pt idx="13">
                  <c:v>484.57499999999993</c:v>
                </c:pt>
                <c:pt idx="14">
                  <c:v>521.84999999999991</c:v>
                </c:pt>
                <c:pt idx="15">
                  <c:v>559.12499999999989</c:v>
                </c:pt>
                <c:pt idx="16">
                  <c:v>596.4</c:v>
                </c:pt>
                <c:pt idx="17">
                  <c:v>633.67499999999995</c:v>
                </c:pt>
                <c:pt idx="18">
                  <c:v>670.94999999999993</c:v>
                </c:pt>
                <c:pt idx="19">
                  <c:v>708.22500000000002</c:v>
                </c:pt>
                <c:pt idx="20">
                  <c:v>745.5</c:v>
                </c:pt>
                <c:pt idx="21">
                  <c:v>782.77499999999986</c:v>
                </c:pt>
                <c:pt idx="22">
                  <c:v>820.05</c:v>
                </c:pt>
                <c:pt idx="23">
                  <c:v>857.32499999999993</c:v>
                </c:pt>
                <c:pt idx="24">
                  <c:v>894.59999999999991</c:v>
                </c:pt>
                <c:pt idx="25">
                  <c:v>931.87499999999977</c:v>
                </c:pt>
                <c:pt idx="26">
                  <c:v>969.14999999999986</c:v>
                </c:pt>
                <c:pt idx="27">
                  <c:v>1006.425</c:v>
                </c:pt>
                <c:pt idx="28">
                  <c:v>1043.6999999999998</c:v>
                </c:pt>
                <c:pt idx="29">
                  <c:v>1080.9749999999999</c:v>
                </c:pt>
                <c:pt idx="30">
                  <c:v>1118.2499999999998</c:v>
                </c:pt>
                <c:pt idx="31">
                  <c:v>1155.5249999999996</c:v>
                </c:pt>
                <c:pt idx="32">
                  <c:v>1192.8</c:v>
                </c:pt>
                <c:pt idx="33">
                  <c:v>1230.0749999999998</c:v>
                </c:pt>
                <c:pt idx="34">
                  <c:v>1267.3499999999999</c:v>
                </c:pt>
                <c:pt idx="35">
                  <c:v>1304.6249999999998</c:v>
                </c:pt>
                <c:pt idx="36">
                  <c:v>1341.8999999999999</c:v>
                </c:pt>
                <c:pt idx="37">
                  <c:v>1379.1749999999997</c:v>
                </c:pt>
                <c:pt idx="38">
                  <c:v>1416.45</c:v>
                </c:pt>
                <c:pt idx="39">
                  <c:v>1453.7249999999999</c:v>
                </c:pt>
                <c:pt idx="40">
                  <c:v>1491</c:v>
                </c:pt>
                <c:pt idx="41">
                  <c:v>1528.2749999999999</c:v>
                </c:pt>
                <c:pt idx="42">
                  <c:v>1565.5499999999997</c:v>
                </c:pt>
                <c:pt idx="43">
                  <c:v>1602.8249999999998</c:v>
                </c:pt>
                <c:pt idx="44">
                  <c:v>1640.1</c:v>
                </c:pt>
                <c:pt idx="45">
                  <c:v>1677.3749999999998</c:v>
                </c:pt>
                <c:pt idx="46">
                  <c:v>1714.6499999999999</c:v>
                </c:pt>
                <c:pt idx="47">
                  <c:v>1751.9249999999997</c:v>
                </c:pt>
                <c:pt idx="48">
                  <c:v>1789.1999999999998</c:v>
                </c:pt>
                <c:pt idx="49">
                  <c:v>1826.4749999999999</c:v>
                </c:pt>
                <c:pt idx="50">
                  <c:v>1863.7499999999995</c:v>
                </c:pt>
                <c:pt idx="51">
                  <c:v>1901.0249999999996</c:v>
                </c:pt>
                <c:pt idx="52">
                  <c:v>1938.2999999999997</c:v>
                </c:pt>
                <c:pt idx="53">
                  <c:v>1975.5749999999998</c:v>
                </c:pt>
                <c:pt idx="54">
                  <c:v>2012.85</c:v>
                </c:pt>
                <c:pt idx="55">
                  <c:v>2050.125</c:v>
                </c:pt>
                <c:pt idx="56">
                  <c:v>2087.3999999999996</c:v>
                </c:pt>
                <c:pt idx="57">
                  <c:v>2124.6749999999993</c:v>
                </c:pt>
                <c:pt idx="58">
                  <c:v>2161.9499999999998</c:v>
                </c:pt>
                <c:pt idx="59">
                  <c:v>2199.2249999999999</c:v>
                </c:pt>
                <c:pt idx="60">
                  <c:v>2236.4999999999995</c:v>
                </c:pt>
                <c:pt idx="61">
                  <c:v>2273.7749999999996</c:v>
                </c:pt>
                <c:pt idx="62">
                  <c:v>2311.0499999999993</c:v>
                </c:pt>
                <c:pt idx="63">
                  <c:v>2348.3249999999998</c:v>
                </c:pt>
                <c:pt idx="64">
                  <c:v>2385.6</c:v>
                </c:pt>
                <c:pt idx="65">
                  <c:v>2422.875</c:v>
                </c:pt>
                <c:pt idx="66">
                  <c:v>2460.1499999999996</c:v>
                </c:pt>
                <c:pt idx="67">
                  <c:v>2497.4249999999997</c:v>
                </c:pt>
                <c:pt idx="68">
                  <c:v>2534.6999999999998</c:v>
                </c:pt>
                <c:pt idx="69">
                  <c:v>2571.9749999999995</c:v>
                </c:pt>
                <c:pt idx="70">
                  <c:v>2609.2499999999995</c:v>
                </c:pt>
                <c:pt idx="71">
                  <c:v>2646.5249999999996</c:v>
                </c:pt>
                <c:pt idx="72">
                  <c:v>2683.7999999999997</c:v>
                </c:pt>
                <c:pt idx="73">
                  <c:v>2721.0749999999998</c:v>
                </c:pt>
                <c:pt idx="74">
                  <c:v>2758.3499999999995</c:v>
                </c:pt>
                <c:pt idx="75">
                  <c:v>2795.625</c:v>
                </c:pt>
                <c:pt idx="76">
                  <c:v>2832.9</c:v>
                </c:pt>
                <c:pt idx="77">
                  <c:v>2870.1749999999997</c:v>
                </c:pt>
                <c:pt idx="78">
                  <c:v>2907.45</c:v>
                </c:pt>
                <c:pt idx="79">
                  <c:v>2944.7249999999999</c:v>
                </c:pt>
                <c:pt idx="80">
                  <c:v>2982</c:v>
                </c:pt>
                <c:pt idx="81">
                  <c:v>3019.2750000000001</c:v>
                </c:pt>
                <c:pt idx="82">
                  <c:v>3056.5499999999997</c:v>
                </c:pt>
                <c:pt idx="83">
                  <c:v>3093.8249999999994</c:v>
                </c:pt>
                <c:pt idx="84">
                  <c:v>3131.0999999999995</c:v>
                </c:pt>
                <c:pt idx="85">
                  <c:v>3168.3749999999991</c:v>
                </c:pt>
                <c:pt idx="86">
                  <c:v>3205.6499999999996</c:v>
                </c:pt>
                <c:pt idx="87">
                  <c:v>3242.9249999999993</c:v>
                </c:pt>
                <c:pt idx="88">
                  <c:v>3280.2</c:v>
                </c:pt>
                <c:pt idx="89">
                  <c:v>3317.4749999999995</c:v>
                </c:pt>
                <c:pt idx="90">
                  <c:v>3354.7499999999995</c:v>
                </c:pt>
                <c:pt idx="91">
                  <c:v>3392.0249999999992</c:v>
                </c:pt>
                <c:pt idx="92">
                  <c:v>3429.2999999999997</c:v>
                </c:pt>
                <c:pt idx="93">
                  <c:v>3466.5749999999998</c:v>
                </c:pt>
                <c:pt idx="94">
                  <c:v>3503.8499999999995</c:v>
                </c:pt>
                <c:pt idx="95">
                  <c:v>3541.1249999999991</c:v>
                </c:pt>
                <c:pt idx="96">
                  <c:v>3578.3999999999996</c:v>
                </c:pt>
                <c:pt idx="97">
                  <c:v>3615.6749999999997</c:v>
                </c:pt>
                <c:pt idx="98">
                  <c:v>3652.95</c:v>
                </c:pt>
                <c:pt idx="99">
                  <c:v>3690.2249999999995</c:v>
                </c:pt>
                <c:pt idx="100">
                  <c:v>3727.4999999999991</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1.5111891502410379E-2</c:v>
                </c:pt>
                <c:pt idx="1">
                  <c:v>3.4083161845514645E-2</c:v>
                </c:pt>
                <c:pt idx="2">
                  <c:v>6.8168422267106663E-2</c:v>
                </c:pt>
                <c:pt idx="3">
                  <c:v>0.10225578145860299</c:v>
                </c:pt>
                <c:pt idx="4">
                  <c:v>0.13634523961385456</c:v>
                </c:pt>
                <c:pt idx="5">
                  <c:v>0.17043679692673594</c:v>
                </c:pt>
                <c:pt idx="6">
                  <c:v>0.20453045359114574</c:v>
                </c:pt>
                <c:pt idx="7">
                  <c:v>0.23862620980100657</c:v>
                </c:pt>
                <c:pt idx="8">
                  <c:v>0.2727240657502647</c:v>
                </c:pt>
                <c:pt idx="9">
                  <c:v>0.30682402163289019</c:v>
                </c:pt>
                <c:pt idx="10">
                  <c:v>0.34092607764287741</c:v>
                </c:pt>
                <c:pt idx="11">
                  <c:v>0.37503023397424429</c:v>
                </c:pt>
                <c:pt idx="12">
                  <c:v>0.40913649082103271</c:v>
                </c:pt>
                <c:pt idx="13">
                  <c:v>0.44324484837730865</c:v>
                </c:pt>
                <c:pt idx="14">
                  <c:v>0.45858814767722772</c:v>
                </c:pt>
                <c:pt idx="15">
                  <c:v>0.4728479368699951</c:v>
                </c:pt>
                <c:pt idx="16">
                  <c:v>0.48667440021695624</c:v>
                </c:pt>
                <c:pt idx="17">
                  <c:v>0.50010835742267201</c:v>
                </c:pt>
                <c:pt idx="18">
                  <c:v>0.5131846884451311</c:v>
                </c:pt>
                <c:pt idx="19">
                  <c:v>0.52593347603175045</c:v>
                </c:pt>
                <c:pt idx="20">
                  <c:v>0.53838088043720922</c:v>
                </c:pt>
                <c:pt idx="21">
                  <c:v>0.5505498192615077</c:v>
                </c:pt>
                <c:pt idx="22">
                  <c:v>0.56246050297441152</c:v>
                </c:pt>
                <c:pt idx="23">
                  <c:v>0.57413086188275042</c:v>
                </c:pt>
                <c:pt idx="24">
                  <c:v>0.58557689027710302</c:v>
                </c:pt>
                <c:pt idx="25">
                  <c:v>0.59681292658082563</c:v>
                </c:pt>
                <c:pt idx="26">
                  <c:v>0.60785188346892649</c:v>
                </c:pt>
                <c:pt idx="27">
                  <c:v>0.61870543845899073</c:v>
                </c:pt>
                <c:pt idx="28">
                  <c:v>0.62938419296665282</c:v>
                </c:pt>
                <c:pt idx="29">
                  <c:v>0.63989780597594381</c:v>
                </c:pt>
                <c:pt idx="30">
                  <c:v>0.65025510710582646</c:v>
                </c:pt>
                <c:pt idx="31">
                  <c:v>0.66046419282520208</c:v>
                </c:pt>
                <c:pt idx="32">
                  <c:v>0.67053250878700632</c:v>
                </c:pt>
                <c:pt idx="33">
                  <c:v>0.68046692065239078</c:v>
                </c:pt>
                <c:pt idx="34">
                  <c:v>0.69027377531181577</c:v>
                </c:pt>
                <c:pt idx="35">
                  <c:v>0.69995895404750141</c:v>
                </c:pt>
                <c:pt idx="36">
                  <c:v>0.7095279188964978</c:v>
                </c:pt>
                <c:pt idx="37">
                  <c:v>0.71898575324753522</c:v>
                </c:pt>
                <c:pt idx="38">
                  <c:v>0.72833719752430548</c:v>
                </c:pt>
                <c:pt idx="39">
                  <c:v>0.73758668066272837</c:v>
                </c:pt>
                <c:pt idx="40">
                  <c:v>0.74673834797244965</c:v>
                </c:pt>
                <c:pt idx="41">
                  <c:v>0.75579608587736902</c:v>
                </c:pt>
                <c:pt idx="42">
                  <c:v>0.76505151036984653</c:v>
                </c:pt>
                <c:pt idx="43">
                  <c:v>0.77436630825970498</c:v>
                </c:pt>
                <c:pt idx="44">
                  <c:v>0.77837509259497573</c:v>
                </c:pt>
                <c:pt idx="45">
                  <c:v>0.77137608625545573</c:v>
                </c:pt>
                <c:pt idx="46">
                  <c:v>0.76461796389924741</c:v>
                </c:pt>
                <c:pt idx="47">
                  <c:v>0.75527764589683144</c:v>
                </c:pt>
                <c:pt idx="48">
                  <c:v>0.75645180997605099</c:v>
                </c:pt>
                <c:pt idx="49">
                  <c:v>0.75767279489181627</c:v>
                </c:pt>
                <c:pt idx="50">
                  <c:v>0.75894091882628079</c:v>
                </c:pt>
                <c:pt idx="51">
                  <c:v>0.76025659088689457</c:v>
                </c:pt>
                <c:pt idx="52">
                  <c:v>0.76162370119952505</c:v>
                </c:pt>
                <c:pt idx="53">
                  <c:v>0.76304709509026991</c:v>
                </c:pt>
                <c:pt idx="54">
                  <c:v>0.7645216421517409</c:v>
                </c:pt>
                <c:pt idx="55">
                  <c:v>0.7660482576826495</c:v>
                </c:pt>
                <c:pt idx="56">
                  <c:v>0.7672420822299244</c:v>
                </c:pt>
                <c:pt idx="57">
                  <c:v>0.76840642764730938</c:v>
                </c:pt>
                <c:pt idx="58">
                  <c:v>0.76959508218319872</c:v>
                </c:pt>
                <c:pt idx="59">
                  <c:v>0.770807810302503</c:v>
                </c:pt>
                <c:pt idx="60">
                  <c:v>0.77204439622800058</c:v>
                </c:pt>
                <c:pt idx="61">
                  <c:v>0.77330464244229191</c:v>
                </c:pt>
                <c:pt idx="62">
                  <c:v>0.77458836832787104</c:v>
                </c:pt>
                <c:pt idx="63">
                  <c:v>0.77589540893073383</c:v>
                </c:pt>
                <c:pt idx="64">
                  <c:v>0.77722561383466848</c:v>
                </c:pt>
                <c:pt idx="65">
                  <c:v>0.7785788461348796</c:v>
                </c:pt>
                <c:pt idx="66">
                  <c:v>0.77995498150092168</c:v>
                </c:pt>
                <c:pt idx="67">
                  <c:v>0.78135390732003263</c:v>
                </c:pt>
                <c:pt idx="68">
                  <c:v>0.78277552191299082</c:v>
                </c:pt>
                <c:pt idx="69">
                  <c:v>0.78421973381546461</c:v>
                </c:pt>
                <c:pt idx="70">
                  <c:v>0.7856864611186033</c:v>
                </c:pt>
                <c:pt idx="71">
                  <c:v>0.78717563086329245</c:v>
                </c:pt>
                <c:pt idx="72">
                  <c:v>0.78868717848308323</c:v>
                </c:pt>
                <c:pt idx="73">
                  <c:v>0.79022104729133691</c:v>
                </c:pt>
                <c:pt idx="74">
                  <c:v>0.79177718800857799</c:v>
                </c:pt>
                <c:pt idx="75">
                  <c:v>0.79335555832646953</c:v>
                </c:pt>
                <c:pt idx="76">
                  <c:v>0.79495612250517489</c:v>
                </c:pt>
                <c:pt idx="77">
                  <c:v>0.7965788510012044</c:v>
                </c:pt>
                <c:pt idx="78">
                  <c:v>0.79822372012312248</c:v>
                </c:pt>
                <c:pt idx="79">
                  <c:v>0.79989071171274728</c:v>
                </c:pt>
                <c:pt idx="80">
                  <c:v>0.80157981284970825</c:v>
                </c:pt>
                <c:pt idx="81">
                  <c:v>0.80329101557742388</c:v>
                </c:pt>
                <c:pt idx="82">
                  <c:v>0.80502431664874285</c:v>
                </c:pt>
                <c:pt idx="83">
                  <c:v>0.80677971728966102</c:v>
                </c:pt>
                <c:pt idx="84">
                  <c:v>0.80855722297966959</c:v>
                </c:pt>
                <c:pt idx="85">
                  <c:v>0.81035684324741342</c:v>
                </c:pt>
                <c:pt idx="86">
                  <c:v>0.81217859148047233</c:v>
                </c:pt>
                <c:pt idx="87">
                  <c:v>0.81402248474816508</c:v>
                </c:pt>
                <c:pt idx="88">
                  <c:v>0.81588854363639352</c:v>
                </c:pt>
                <c:pt idx="89">
                  <c:v>0.81777679209360321</c:v>
                </c:pt>
                <c:pt idx="90">
                  <c:v>0.81968725728704495</c:v>
                </c:pt>
                <c:pt idx="91">
                  <c:v>0.82161996946856786</c:v>
                </c:pt>
                <c:pt idx="92">
                  <c:v>0.82357496184924839</c:v>
                </c:pt>
                <c:pt idx="93">
                  <c:v>0.82555227048222457</c:v>
                </c:pt>
                <c:pt idx="94">
                  <c:v>0.82755193415314177</c:v>
                </c:pt>
                <c:pt idx="95">
                  <c:v>0.82957399427767398</c:v>
                </c:pt>
                <c:pt idx="96">
                  <c:v>0.83161849480562955</c:v>
                </c:pt>
                <c:pt idx="97">
                  <c:v>0.83368548213118598</c:v>
                </c:pt>
                <c:pt idx="98">
                  <c:v>0.83577500500882662</c:v>
                </c:pt>
                <c:pt idx="99">
                  <c:v>0.83788711447460773</c:v>
                </c:pt>
                <c:pt idx="100">
                  <c:v>0.84002186377238519</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358.68799382245908</c:v>
                </c:pt>
                <c:pt idx="1">
                  <c:v>359.59729270501231</c:v>
                </c:pt>
                <c:pt idx="2">
                  <c:v>358.27241541064643</c:v>
                </c:pt>
                <c:pt idx="3">
                  <c:v>356.94950624722543</c:v>
                </c:pt>
                <c:pt idx="4">
                  <c:v>355.62856290844172</c:v>
                </c:pt>
                <c:pt idx="5">
                  <c:v>354.3095830915891</c:v>
                </c:pt>
                <c:pt idx="6">
                  <c:v>352.99256449755717</c:v>
                </c:pt>
                <c:pt idx="7">
                  <c:v>351.67750483082267</c:v>
                </c:pt>
                <c:pt idx="8">
                  <c:v>350.36440179944401</c:v>
                </c:pt>
                <c:pt idx="9">
                  <c:v>349.05325311505334</c:v>
                </c:pt>
                <c:pt idx="10">
                  <c:v>347.74405649285001</c:v>
                </c:pt>
                <c:pt idx="11">
                  <c:v>346.43680965159336</c:v>
                </c:pt>
                <c:pt idx="12">
                  <c:v>345.13151031359604</c:v>
                </c:pt>
                <c:pt idx="13">
                  <c:v>343.82815620471695</c:v>
                </c:pt>
                <c:pt idx="14">
                  <c:v>366.70479195342159</c:v>
                </c:pt>
                <c:pt idx="15">
                  <c:v>390.19229084897711</c:v>
                </c:pt>
                <c:pt idx="16">
                  <c:v>413.40850260911088</c:v>
                </c:pt>
                <c:pt idx="17">
                  <c:v>436.36070838640609</c:v>
                </c:pt>
                <c:pt idx="18">
                  <c:v>459.05544560021093</c:v>
                </c:pt>
                <c:pt idx="19">
                  <c:v>481.49861703895789</c:v>
                </c:pt>
                <c:pt idx="20">
                  <c:v>503.69557923882758</c:v>
                </c:pt>
                <c:pt idx="21">
                  <c:v>525.65121491656998</c:v>
                </c:pt>
                <c:pt idx="22">
                  <c:v>547.36999295622502</c:v>
                </c:pt>
                <c:pt idx="23">
                  <c:v>568.85601855636617</c:v>
                </c:pt>
                <c:pt idx="24">
                  <c:v>590.11307550850836</c:v>
                </c:pt>
                <c:pt idx="25">
                  <c:v>611.14466211671288</c:v>
                </c:pt>
                <c:pt idx="26">
                  <c:v>631.95402192970812</c:v>
                </c:pt>
                <c:pt idx="27">
                  <c:v>652.54417020426661</c:v>
                </c:pt>
                <c:pt idx="28">
                  <c:v>672.91791682785367</c:v>
                </c:pt>
                <c:pt idx="29">
                  <c:v>693.0778862828364</c:v>
                </c:pt>
                <c:pt idx="30">
                  <c:v>713.0265351220321</c:v>
                </c:pt>
                <c:pt idx="31">
                  <c:v>732.76616733762478</c:v>
                </c:pt>
                <c:pt idx="32">
                  <c:v>752.29894793643768</c:v>
                </c:pt>
                <c:pt idx="33">
                  <c:v>771.62691497974276</c:v>
                </c:pt>
                <c:pt idx="34">
                  <c:v>790.7519903019504</c:v>
                </c:pt>
                <c:pt idx="35">
                  <c:v>809.67598908721152</c:v>
                </c:pt>
                <c:pt idx="36">
                  <c:v>828.40062845429088</c:v>
                </c:pt>
                <c:pt idx="37">
                  <c:v>846.92753517667143</c:v>
                </c:pt>
                <c:pt idx="38">
                  <c:v>865.25825264562343</c:v>
                </c:pt>
                <c:pt idx="39">
                  <c:v>883.39424716807241</c:v>
                </c:pt>
                <c:pt idx="40">
                  <c:v>901.33691367791687</c:v>
                </c:pt>
                <c:pt idx="41">
                  <c:v>919.08758092840844</c:v>
                </c:pt>
                <c:pt idx="42">
                  <c:v>936.85722067915992</c:v>
                </c:pt>
                <c:pt idx="43">
                  <c:v>954.54115749685354</c:v>
                </c:pt>
                <c:pt idx="44">
                  <c:v>975.32727415629222</c:v>
                </c:pt>
                <c:pt idx="45">
                  <c:v>1003.1543023233362</c:v>
                </c:pt>
                <c:pt idx="46">
                  <c:v>1031.1787770498586</c:v>
                </c:pt>
                <c:pt idx="47">
                  <c:v>1059.6810286811703</c:v>
                </c:pt>
                <c:pt idx="48">
                  <c:v>1101.9236036165462</c:v>
                </c:pt>
                <c:pt idx="49">
                  <c:v>1145.1106089145023</c:v>
                </c:pt>
                <c:pt idx="50">
                  <c:v>1189.2526220081493</c:v>
                </c:pt>
                <c:pt idx="51">
                  <c:v>1234.360445385174</c:v>
                </c:pt>
                <c:pt idx="52">
                  <c:v>1280.7054221056515</c:v>
                </c:pt>
                <c:pt idx="53">
                  <c:v>1328.6030923572921</c:v>
                </c:pt>
                <c:pt idx="54">
                  <c:v>1377.6063374042199</c:v>
                </c:pt>
                <c:pt idx="55">
                  <c:v>1427.7357826256784</c:v>
                </c:pt>
                <c:pt idx="56">
                  <c:v>1478.6539179503202</c:v>
                </c:pt>
                <c:pt idx="57">
                  <c:v>1530.6342164112846</c:v>
                </c:pt>
                <c:pt idx="58">
                  <c:v>1583.7427368283954</c:v>
                </c:pt>
                <c:pt idx="59">
                  <c:v>1637.9976600203167</c:v>
                </c:pt>
                <c:pt idx="60">
                  <c:v>1693.4177302962064</c:v>
                </c:pt>
                <c:pt idx="61">
                  <c:v>1750.0222735779976</c:v>
                </c:pt>
                <c:pt idx="62">
                  <c:v>1807.8312163054309</c:v>
                </c:pt>
                <c:pt idx="63">
                  <c:v>1866.8651051607578</c:v>
                </c:pt>
                <c:pt idx="64">
                  <c:v>1927.1451276521957</c:v>
                </c:pt>
                <c:pt idx="65">
                  <c:v>1988.69313359753</c:v>
                </c:pt>
                <c:pt idx="66">
                  <c:v>2051.5316575516713</c:v>
                </c:pt>
                <c:pt idx="67">
                  <c:v>2115.6839422245507</c:v>
                </c:pt>
                <c:pt idx="68">
                  <c:v>2181.1739629384965</c:v>
                </c:pt>
                <c:pt idx="69">
                  <c:v>2248.026453177134</c:v>
                </c:pt>
                <c:pt idx="70">
                  <c:v>2316.2669312809317</c:v>
                </c:pt>
                <c:pt idx="71">
                  <c:v>2385.9217283478588</c:v>
                </c:pt>
                <c:pt idx="72">
                  <c:v>2457.0180174010934</c:v>
                </c:pt>
                <c:pt idx="73">
                  <c:v>2529.583843889498</c:v>
                </c:pt>
                <c:pt idx="74">
                  <c:v>2603.6481575905536</c:v>
                </c:pt>
                <c:pt idx="75">
                  <c:v>2679.2408459897592</c:v>
                </c:pt>
                <c:pt idx="76">
                  <c:v>2756.3927692149937</c:v>
                </c:pt>
                <c:pt idx="77">
                  <c:v>2835.1357966093083</c:v>
                </c:pt>
                <c:pt idx="78">
                  <c:v>2915.5028450307395</c:v>
                </c:pt>
                <c:pt idx="79">
                  <c:v>2997.5279189733919</c:v>
                </c:pt>
                <c:pt idx="80">
                  <c:v>3081.2461526099692</c:v>
                </c:pt>
                <c:pt idx="81">
                  <c:v>3166.6938538623704</c:v>
                </c:pt>
                <c:pt idx="82">
                  <c:v>3253.9085506138049</c:v>
                </c:pt>
                <c:pt idx="83">
                  <c:v>3342.9290391832733</c:v>
                </c:pt>
                <c:pt idx="84">
                  <c:v>3433.7954351911362</c:v>
                </c:pt>
                <c:pt idx="85">
                  <c:v>3526.5492269530323</c:v>
                </c:pt>
                <c:pt idx="86">
                  <c:v>3621.2333315484502</c:v>
                </c:pt>
                <c:pt idx="87">
                  <c:v>3717.8921537201663</c:v>
                </c:pt>
                <c:pt idx="88">
                  <c:v>3816.5716477712176</c:v>
                </c:pt>
                <c:pt idx="89">
                  <c:v>3917.3193826374813</c:v>
                </c:pt>
                <c:pt idx="90">
                  <c:v>4020.184610326236</c:v>
                </c:pt>
                <c:pt idx="91">
                  <c:v>4125.2183379240323</c:v>
                </c:pt>
                <c:pt idx="92">
                  <c:v>4232.4734033918248</c:v>
                </c:pt>
                <c:pt idx="93">
                  <c:v>4342.0045553801856</c:v>
                </c:pt>
                <c:pt idx="94">
                  <c:v>4453.8685373144172</c:v>
                </c:pt>
                <c:pt idx="95">
                  <c:v>4568.1241760170333</c:v>
                </c:pt>
                <c:pt idx="96">
                  <c:v>4684.8324751545251</c:v>
                </c:pt>
                <c:pt idx="97">
                  <c:v>4804.0567138163442</c:v>
                </c:pt>
                <c:pt idx="98">
                  <c:v>4925.862550556627</c:v>
                </c:pt>
                <c:pt idx="99">
                  <c:v>5050.3181332539016</c:v>
                </c:pt>
                <c:pt idx="100">
                  <c:v>5177.4942151705645</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86.227382334484659</c:v>
                </c:pt>
                <c:pt idx="1">
                  <c:v>85.439860579611718</c:v>
                </c:pt>
                <c:pt idx="2">
                  <c:v>84.650325606392556</c:v>
                </c:pt>
                <c:pt idx="3">
                  <c:v>83.859090785312148</c:v>
                </c:pt>
                <c:pt idx="4">
                  <c:v>83.066937638399224</c:v>
                </c:pt>
                <c:pt idx="5">
                  <c:v>82.272767866508786</c:v>
                </c:pt>
                <c:pt idx="6">
                  <c:v>81.4778928314132</c:v>
                </c:pt>
                <c:pt idx="7">
                  <c:v>80.681943498941479</c:v>
                </c:pt>
                <c:pt idx="8">
                  <c:v>79.885629579009532</c:v>
                </c:pt>
                <c:pt idx="9">
                  <c:v>79.088456493691424</c:v>
                </c:pt>
                <c:pt idx="10">
                  <c:v>78.290972994685589</c:v>
                </c:pt>
                <c:pt idx="11">
                  <c:v>77.493141368863149</c:v>
                </c:pt>
                <c:pt idx="12">
                  <c:v>76.69460254743862</c:v>
                </c:pt>
                <c:pt idx="13">
                  <c:v>75.896176540718358</c:v>
                </c:pt>
                <c:pt idx="14">
                  <c:v>75.097270265099553</c:v>
                </c:pt>
                <c:pt idx="15">
                  <c:v>74.298227801668986</c:v>
                </c:pt>
                <c:pt idx="16">
                  <c:v>73.499015475253103</c:v>
                </c:pt>
                <c:pt idx="17">
                  <c:v>72.699772443020194</c:v>
                </c:pt>
                <c:pt idx="18">
                  <c:v>71.900287599491676</c:v>
                </c:pt>
                <c:pt idx="19">
                  <c:v>71.100792874445645</c:v>
                </c:pt>
                <c:pt idx="20">
                  <c:v>70.301142634808485</c:v>
                </c:pt>
                <c:pt idx="21">
                  <c:v>69.501510952046132</c:v>
                </c:pt>
                <c:pt idx="22">
                  <c:v>68.701735697838856</c:v>
                </c:pt>
                <c:pt idx="23">
                  <c:v>67.90202161154582</c:v>
                </c:pt>
                <c:pt idx="24">
                  <c:v>67.10217055134035</c:v>
                </c:pt>
                <c:pt idx="25">
                  <c:v>66.302310542711325</c:v>
                </c:pt>
                <c:pt idx="26">
                  <c:v>65.502258527307816</c:v>
                </c:pt>
                <c:pt idx="27">
                  <c:v>64.702271793632192</c:v>
                </c:pt>
                <c:pt idx="28">
                  <c:v>63.90232129234051</c:v>
                </c:pt>
                <c:pt idx="29">
                  <c:v>63.10290564538483</c:v>
                </c:pt>
                <c:pt idx="30">
                  <c:v>62.30267453243485</c:v>
                </c:pt>
                <c:pt idx="31">
                  <c:v>61.502747498487849</c:v>
                </c:pt>
                <c:pt idx="32">
                  <c:v>60.702583234349646</c:v>
                </c:pt>
                <c:pt idx="33">
                  <c:v>59.902753209617401</c:v>
                </c:pt>
                <c:pt idx="34">
                  <c:v>59.102641952186339</c:v>
                </c:pt>
                <c:pt idx="35">
                  <c:v>58.302701124557458</c:v>
                </c:pt>
                <c:pt idx="36">
                  <c:v>57.502809594970159</c:v>
                </c:pt>
                <c:pt idx="37">
                  <c:v>56.70253782192372</c:v>
                </c:pt>
                <c:pt idx="38">
                  <c:v>55.902648881933565</c:v>
                </c:pt>
                <c:pt idx="39">
                  <c:v>55.10249890015406</c:v>
                </c:pt>
                <c:pt idx="40">
                  <c:v>54.302390367445497</c:v>
                </c:pt>
                <c:pt idx="41">
                  <c:v>53.502253346963606</c:v>
                </c:pt>
                <c:pt idx="42">
                  <c:v>52.702195726956987</c:v>
                </c:pt>
                <c:pt idx="43">
                  <c:v>51.901978509125385</c:v>
                </c:pt>
                <c:pt idx="44">
                  <c:v>51.101808954551487</c:v>
                </c:pt>
                <c:pt idx="45">
                  <c:v>50.301518365192791</c:v>
                </c:pt>
                <c:pt idx="46">
                  <c:v>49.50125918749098</c:v>
                </c:pt>
                <c:pt idx="47">
                  <c:v>48.700847836275145</c:v>
                </c:pt>
                <c:pt idx="48">
                  <c:v>47.900467604312666</c:v>
                </c:pt>
                <c:pt idx="49">
                  <c:v>47.099897557871387</c:v>
                </c:pt>
                <c:pt idx="50">
                  <c:v>46.299241424948001</c:v>
                </c:pt>
                <c:pt idx="51">
                  <c:v>45.4982889294496</c:v>
                </c:pt>
                <c:pt idx="52">
                  <c:v>44.697267113468357</c:v>
                </c:pt>
                <c:pt idx="53">
                  <c:v>43.8961118828324</c:v>
                </c:pt>
                <c:pt idx="54">
                  <c:v>43.095282122298393</c:v>
                </c:pt>
                <c:pt idx="55">
                  <c:v>42.293377251139646</c:v>
                </c:pt>
                <c:pt idx="56">
                  <c:v>41.491462541250073</c:v>
                </c:pt>
                <c:pt idx="57">
                  <c:v>40.688928521362755</c:v>
                </c:pt>
                <c:pt idx="58">
                  <c:v>39.88626899455528</c:v>
                </c:pt>
                <c:pt idx="59">
                  <c:v>39.082771732671333</c:v>
                </c:pt>
                <c:pt idx="60">
                  <c:v>38.278777439990108</c:v>
                </c:pt>
                <c:pt idx="61">
                  <c:v>37.474030256303543</c:v>
                </c:pt>
                <c:pt idx="62">
                  <c:v>36.667937263541049</c:v>
                </c:pt>
                <c:pt idx="63">
                  <c:v>35.861076360513053</c:v>
                </c:pt>
                <c:pt idx="64">
                  <c:v>35.052571438553606</c:v>
                </c:pt>
                <c:pt idx="65">
                  <c:v>34.24245825727791</c:v>
                </c:pt>
                <c:pt idx="66">
                  <c:v>33.43034704518319</c:v>
                </c:pt>
                <c:pt idx="67">
                  <c:v>32.615970834250263</c:v>
                </c:pt>
                <c:pt idx="68">
                  <c:v>31.798642603338799</c:v>
                </c:pt>
                <c:pt idx="69">
                  <c:v>30.978053872852321</c:v>
                </c:pt>
                <c:pt idx="70">
                  <c:v>30.153425293522901</c:v>
                </c:pt>
                <c:pt idx="71">
                  <c:v>29.324211375373885</c:v>
                </c:pt>
                <c:pt idx="72">
                  <c:v>28.489413617236295</c:v>
                </c:pt>
                <c:pt idx="73">
                  <c:v>27.648302487405076</c:v>
                </c:pt>
                <c:pt idx="74">
                  <c:v>26.799608051056062</c:v>
                </c:pt>
                <c:pt idx="75">
                  <c:v>25.942285739062243</c:v>
                </c:pt>
                <c:pt idx="76">
                  <c:v>25.074847338651544</c:v>
                </c:pt>
                <c:pt idx="77">
                  <c:v>24.196189013261797</c:v>
                </c:pt>
                <c:pt idx="78">
                  <c:v>23.304840493598867</c:v>
                </c:pt>
                <c:pt idx="79">
                  <c:v>22.399919703054106</c:v>
                </c:pt>
                <c:pt idx="80">
                  <c:v>21.478490444412799</c:v>
                </c:pt>
                <c:pt idx="81">
                  <c:v>20.540564037416019</c:v>
                </c:pt>
                <c:pt idx="82">
                  <c:v>19.584482793360905</c:v>
                </c:pt>
                <c:pt idx="83">
                  <c:v>18.610259295910222</c:v>
                </c:pt>
                <c:pt idx="84">
                  <c:v>17.616938378487962</c:v>
                </c:pt>
                <c:pt idx="85">
                  <c:v>16.605441358713652</c:v>
                </c:pt>
                <c:pt idx="86">
                  <c:v>15.576639414001026</c:v>
                </c:pt>
                <c:pt idx="87">
                  <c:v>14.531680582231727</c:v>
                </c:pt>
                <c:pt idx="88">
                  <c:v>13.473953252712585</c:v>
                </c:pt>
                <c:pt idx="89">
                  <c:v>12.405611685890793</c:v>
                </c:pt>
                <c:pt idx="90">
                  <c:v>11.330536445016667</c:v>
                </c:pt>
                <c:pt idx="91">
                  <c:v>10.252410546192849</c:v>
                </c:pt>
                <c:pt idx="92">
                  <c:v>9.1752339333827564</c:v>
                </c:pt>
                <c:pt idx="93">
                  <c:v>8.1023884089849911</c:v>
                </c:pt>
                <c:pt idx="94">
                  <c:v>7.8353909903693459</c:v>
                </c:pt>
                <c:pt idx="95">
                  <c:v>7.701266641460113</c:v>
                </c:pt>
                <c:pt idx="96">
                  <c:v>7.5688174237789285</c:v>
                </c:pt>
                <c:pt idx="97">
                  <c:v>7.4349960463275142</c:v>
                </c:pt>
                <c:pt idx="98">
                  <c:v>7.3028569483572774</c:v>
                </c:pt>
                <c:pt idx="99">
                  <c:v>7.1693264715481604</c:v>
                </c:pt>
                <c:pt idx="100">
                  <c:v>7.0374853768782888</c:v>
                </c:pt>
                <c:pt idx="101">
                  <c:v>6.9043360330358201</c:v>
                </c:pt>
                <c:pt idx="102">
                  <c:v>6.7728805064027924</c:v>
                </c:pt>
                <c:pt idx="103">
                  <c:v>6.6400032531590378</c:v>
                </c:pt>
                <c:pt idx="104">
                  <c:v>6.5088265790235047</c:v>
                </c:pt>
                <c:pt idx="105">
                  <c:v>6.3763128570823397</c:v>
                </c:pt>
                <c:pt idx="106">
                  <c:v>6.2455036901574008</c:v>
                </c:pt>
                <c:pt idx="107">
                  <c:v>6.1134377946815555</c:v>
                </c:pt>
                <c:pt idx="108">
                  <c:v>5.9830777518061407</c:v>
                </c:pt>
                <c:pt idx="109">
                  <c:v>5.8514479858268507</c:v>
                </c:pt>
                <c:pt idx="110">
                  <c:v>5.7215251061043997</c:v>
                </c:pt>
                <c:pt idx="111">
                  <c:v>5.5902354651914941</c:v>
                </c:pt>
                <c:pt idx="112">
                  <c:v>5.4606556428818207</c:v>
                </c:pt>
                <c:pt idx="113">
                  <c:v>5.3297901632933931</c:v>
                </c:pt>
                <c:pt idx="114">
                  <c:v>5.2006346601656066</c:v>
                </c:pt>
                <c:pt idx="115">
                  <c:v>5.0701878182937925</c:v>
                </c:pt>
                <c:pt idx="116">
                  <c:v>4.9414506188943248</c:v>
                </c:pt>
                <c:pt idx="117">
                  <c:v>4.8114184257078874</c:v>
                </c:pt>
                <c:pt idx="118">
                  <c:v>4.6830949887666611</c:v>
                </c:pt>
                <c:pt idx="119">
                  <c:v>4.5535527668622473</c:v>
                </c:pt>
                <c:pt idx="120">
                  <c:v>4.4257157659992226</c:v>
                </c:pt>
                <c:pt idx="121">
                  <c:v>4.2966557051565415</c:v>
                </c:pt>
                <c:pt idx="122">
                  <c:v>4.169296830314142</c:v>
                </c:pt>
                <c:pt idx="123">
                  <c:v>4.0406382296965413</c:v>
                </c:pt>
                <c:pt idx="124">
                  <c:v>3.9136781823000106</c:v>
                </c:pt>
                <c:pt idx="125">
                  <c:v>3.7854931281610926</c:v>
                </c:pt>
                <c:pt idx="126">
                  <c:v>3.6590013808350905</c:v>
                </c:pt>
                <c:pt idx="127">
                  <c:v>3.5312846304194241</c:v>
                </c:pt>
                <c:pt idx="128">
                  <c:v>3.4052553422357699</c:v>
                </c:pt>
                <c:pt idx="129">
                  <c:v>3.2780021822089163</c:v>
                </c:pt>
                <c:pt idx="130">
                  <c:v>3.1524300219053396</c:v>
                </c:pt>
                <c:pt idx="131">
                  <c:v>3.0256361064889092</c:v>
                </c:pt>
                <c:pt idx="132">
                  <c:v>2.9628694884112603</c:v>
                </c:pt>
                <c:pt idx="133">
                  <c:v>2.9005160969288681</c:v>
                </c:pt>
                <c:pt idx="134">
                  <c:v>2.8371031613660422</c:v>
                </c:pt>
                <c:pt idx="135">
                  <c:v>2.7741125119345007</c:v>
                </c:pt>
                <c:pt idx="136">
                  <c:v>2.7115388086501606</c:v>
                </c:pt>
                <c:pt idx="137">
                  <c:v>2.649376799183909</c:v>
                </c:pt>
                <c:pt idx="138">
                  <c:v>2.5862239116328634</c:v>
                </c:pt>
                <c:pt idx="139">
                  <c:v>2.5234907858015774</c:v>
                </c:pt>
                <c:pt idx="140">
                  <c:v>2.4611720770594907</c:v>
                </c:pt>
                <c:pt idx="141">
                  <c:v>2.3992625294659771</c:v>
                </c:pt>
                <c:pt idx="142">
                  <c:v>2.3363033287422388</c:v>
                </c:pt>
                <c:pt idx="143">
                  <c:v>2.2737620548640622</c:v>
                </c:pt>
                <c:pt idx="144">
                  <c:v>2.2116333467011753</c:v>
                </c:pt>
                <c:pt idx="145">
                  <c:v>2.1499119331108769</c:v>
                </c:pt>
                <c:pt idx="146">
                  <c:v>2.0871769477442923</c:v>
                </c:pt>
                <c:pt idx="147">
                  <c:v>2.0248574614236099</c:v>
                </c:pt>
                <c:pt idx="148">
                  <c:v>1.962948109175958</c:v>
                </c:pt>
                <c:pt idx="149">
                  <c:v>1.9014436170307689</c:v>
                </c:pt>
                <c:pt idx="150">
                  <c:v>1.8389306585926701</c:v>
                </c:pt>
                <c:pt idx="151">
                  <c:v>1.7768306134414411</c:v>
                </c:pt>
                <c:pt idx="152">
                  <c:v>1.7151381172499149</c:v>
                </c:pt>
                <c:pt idx="153">
                  <c:v>1.6538478976002589</c:v>
                </c:pt>
                <c:pt idx="154">
                  <c:v>1.5915260604826942</c:v>
                </c:pt>
                <c:pt idx="155">
                  <c:v>1.5296147721829616</c:v>
                </c:pt>
                <c:pt idx="156">
                  <c:v>1.4681086661767635</c:v>
                </c:pt>
                <c:pt idx="157">
                  <c:v>1.4070024688129403</c:v>
                </c:pt>
                <c:pt idx="158">
                  <c:v>1.3448714604016403</c:v>
                </c:pt>
                <c:pt idx="159">
                  <c:v>1.2831484559033079</c:v>
                </c:pt>
                <c:pt idx="160">
                  <c:v>1.2218280915886146</c:v>
                </c:pt>
                <c:pt idx="161">
                  <c:v>1.1609050974408377</c:v>
                </c:pt>
                <c:pt idx="162">
                  <c:v>1.0989914050164464</c:v>
                </c:pt>
                <c:pt idx="163">
                  <c:v>1.0374826447510013</c:v>
                </c:pt>
                <c:pt idx="164">
                  <c:v>0.9763734676373319</c:v>
                </c:pt>
                <c:pt idx="165">
                  <c:v>0.91565861892897393</c:v>
                </c:pt>
                <c:pt idx="166">
                  <c:v>0.85390634341594329</c:v>
                </c:pt>
                <c:pt idx="167">
                  <c:v>0.79255647918614169</c:v>
                </c:pt>
                <c:pt idx="168">
                  <c:v>0.73160368265902442</c:v>
                </c:pt>
                <c:pt idx="169">
                  <c:v>0.67104270526497756</c:v>
                </c:pt>
                <c:pt idx="170">
                  <c:v>0.60958129734463362</c:v>
                </c:pt>
                <c:pt idx="171">
                  <c:v>0.54851792971847635</c:v>
                </c:pt>
                <c:pt idx="172">
                  <c:v>0.4878473026557355</c:v>
                </c:pt>
                <c:pt idx="173">
                  <c:v>0.42756421125639404</c:v>
                </c:pt>
                <c:pt idx="174">
                  <c:v>0.36615834053177654</c:v>
                </c:pt>
                <c:pt idx="175">
                  <c:v>0.30514900914333931</c:v>
                </c:pt>
                <c:pt idx="176">
                  <c:v>0.24453090566264596</c:v>
                </c:pt>
                <c:pt idx="177">
                  <c:v>0.18429881461508257</c:v>
                </c:pt>
                <c:pt idx="178">
                  <c:v>0.12298061885356912</c:v>
                </c:pt>
                <c:pt idx="179">
                  <c:v>6.2056868103029406E-2</c:v>
                </c:pt>
                <c:pt idx="180">
                  <c:v>1.5222524457911986E-3</c:v>
                </c:pt>
                <c:pt idx="181">
                  <c:v>-5.8628441286143515E-2</c:v>
                </c:pt>
                <c:pt idx="182">
                  <c:v>-0.11959194033203596</c:v>
                </c:pt>
                <c:pt idx="183">
                  <c:v>-0.18016666472129542</c:v>
                </c:pt>
                <c:pt idx="184">
                  <c:v>-0.24035784922956324</c:v>
                </c:pt>
                <c:pt idx="185">
                  <c:v>-0.30017063289630158</c:v>
                </c:pt>
                <c:pt idx="186">
                  <c:v>-0.36123651399667894</c:v>
                </c:pt>
                <c:pt idx="187">
                  <c:v>-0.42191363178389307</c:v>
                </c:pt>
                <c:pt idx="188">
                  <c:v>-0.48220725839724787</c:v>
                </c:pt>
                <c:pt idx="189">
                  <c:v>-0.54212256853479401</c:v>
                </c:pt>
                <c:pt idx="190">
                  <c:v>-0.60279734414614183</c:v>
                </c:pt>
                <c:pt idx="191">
                  <c:v>-0.66308977718721029</c:v>
                </c:pt>
                <c:pt idx="192">
                  <c:v>-0.7230050459091184</c:v>
                </c:pt>
                <c:pt idx="193">
                  <c:v>-0.7825482326584654</c:v>
                </c:pt>
                <c:pt idx="194">
                  <c:v>-0.84327086565605047</c:v>
                </c:pt>
                <c:pt idx="195">
                  <c:v>-0.90361219527456615</c:v>
                </c:pt>
                <c:pt idx="196">
                  <c:v>-0.96357741331195623</c:v>
                </c:pt>
                <c:pt idx="197">
                  <c:v>-1.0231716145771224</c:v>
                </c:pt>
                <c:pt idx="198">
                  <c:v>-1.0836927085913424</c:v>
                </c:pt>
                <c:pt idx="199">
                  <c:v>-1.1438368159493888</c:v>
                </c:pt>
                <c:pt idx="200">
                  <c:v>-1.2036090738789966</c:v>
                </c:pt>
                <c:pt idx="201">
                  <c:v>-1.2630145232444763</c:v>
                </c:pt>
                <c:pt idx="202">
                  <c:v>-1.3233194062912566</c:v>
                </c:pt>
                <c:pt idx="203">
                  <c:v>-1.3832519251635422</c:v>
                </c:pt>
                <c:pt idx="204">
                  <c:v>-1.4428171546169108</c:v>
                </c:pt>
                <c:pt idx="205">
                  <c:v>-1.5020200738976477</c:v>
                </c:pt>
                <c:pt idx="206">
                  <c:v>-1.5623014029322118</c:v>
                </c:pt>
                <c:pt idx="207">
                  <c:v>-1.6222127513350522</c:v>
                </c:pt>
                <c:pt idx="208">
                  <c:v>-1.681759175464455</c:v>
                </c:pt>
                <c:pt idx="209">
                  <c:v>-1.7409456359457938</c:v>
                </c:pt>
                <c:pt idx="210">
                  <c:v>-1.8013783823880387</c:v>
                </c:pt>
                <c:pt idx="211">
                  <c:v>-1.8614415526706294</c:v>
                </c:pt>
                <c:pt idx="212">
                  <c:v>-1.921140223968101</c:v>
                </c:pt>
                <c:pt idx="213">
                  <c:v>-1.9804793765222426</c:v>
                </c:pt>
                <c:pt idx="214">
                  <c:v>-2.0406360950365086</c:v>
                </c:pt>
                <c:pt idx="215">
                  <c:v>-2.1004289855866478</c:v>
                </c:pt>
                <c:pt idx="216">
                  <c:v>-2.1598630351660981</c:v>
                </c:pt>
                <c:pt idx="217">
                  <c:v>-2.2189431354696598</c:v>
                </c:pt>
                <c:pt idx="218">
                  <c:v>-2.2790091932065741</c:v>
                </c:pt>
                <c:pt idx="219">
                  <c:v>-2.3387150324116783</c:v>
                </c:pt>
                <c:pt idx="220">
                  <c:v>-2.3980655922102412</c:v>
                </c:pt>
                <c:pt idx="221">
                  <c:v>-2.4570657170166417</c:v>
                </c:pt>
                <c:pt idx="222">
                  <c:v>-2.5170238388090516</c:v>
                </c:pt>
                <c:pt idx="223">
                  <c:v>-2.5766256722177534</c:v>
                </c:pt>
                <c:pt idx="224">
                  <c:v>-2.6358761004566893</c:v>
                </c:pt>
                <c:pt idx="225">
                  <c:v>-2.6947799128461778</c:v>
                </c:pt>
                <c:pt idx="226">
                  <c:v>-2.7547969665825258</c:v>
                </c:pt>
                <c:pt idx="227">
                  <c:v>-2.8144598069623772</c:v>
                </c:pt>
                <c:pt idx="228">
                  <c:v>-2.8737732978978787</c:v>
                </c:pt>
                <c:pt idx="229">
                  <c:v>-2.9327422093088567</c:v>
                </c:pt>
                <c:pt idx="230">
                  <c:v>-3.0524913973561558</c:v>
                </c:pt>
                <c:pt idx="231">
                  <c:v>-3.1118432721105025</c:v>
                </c:pt>
                <c:pt idx="232">
                  <c:v>-3.1708530192895186</c:v>
                </c:pt>
                <c:pt idx="233">
                  <c:v>-3.2309140381324823</c:v>
                </c:pt>
                <c:pt idx="234">
                  <c:v>-3.290626256095984</c:v>
                </c:pt>
                <c:pt idx="235">
                  <c:v>-3.3499944684827989</c:v>
                </c:pt>
                <c:pt idx="236">
                  <c:v>-3.4090233772261431</c:v>
                </c:pt>
                <c:pt idx="237">
                  <c:v>-3.4689050576404377</c:v>
                </c:pt>
                <c:pt idx="238">
                  <c:v>-3.5284431272936785</c:v>
                </c:pt>
                <c:pt idx="239">
                  <c:v>-3.5876422941135093</c:v>
                </c:pt>
                <c:pt idx="240">
                  <c:v>-3.6465071743713242</c:v>
                </c:pt>
                <c:pt idx="241">
                  <c:v>-3.7065346475417575</c:v>
                </c:pt>
                <c:pt idx="242">
                  <c:v>-3.7662200700558541</c:v>
                </c:pt>
                <c:pt idx="243">
                  <c:v>-3.8255681355169981</c:v>
                </c:pt>
                <c:pt idx="244">
                  <c:v>-3.884583445710954</c:v>
                </c:pt>
                <c:pt idx="245">
                  <c:v>-3.944567373580854</c:v>
                </c:pt>
                <c:pt idx="246">
                  <c:v>-4.0042130732638324</c:v>
                </c:pt>
                <c:pt idx="247">
                  <c:v>-4.0635251763070972</c:v>
                </c:pt>
                <c:pt idx="248">
                  <c:v>-4.1225082235333792</c:v>
                </c:pt>
                <c:pt idx="249">
                  <c:v>-4.1825933428702289</c:v>
                </c:pt>
                <c:pt idx="250">
                  <c:v>-4.2423425231389436</c:v>
                </c:pt>
                <c:pt idx="251">
                  <c:v>-4.3017603638538411</c:v>
                </c:pt>
                <c:pt idx="252">
                  <c:v>-4.360851374130835</c:v>
                </c:pt>
                <c:pt idx="253">
                  <c:v>-4.4208603025929341</c:v>
                </c:pt>
                <c:pt idx="254">
                  <c:v>-4.4805376449737153</c:v>
                </c:pt>
                <c:pt idx="255">
                  <c:v>-4.5398879251913158</c:v>
                </c:pt>
                <c:pt idx="256">
                  <c:v>-4.5989155782433135</c:v>
                </c:pt>
                <c:pt idx="257">
                  <c:v>-4.6591417294988409</c:v>
                </c:pt>
                <c:pt idx="258">
                  <c:v>-4.7190374992835098</c:v>
                </c:pt>
                <c:pt idx="259">
                  <c:v>-4.7786073988029152</c:v>
                </c:pt>
                <c:pt idx="260">
                  <c:v>-4.8378558501876441</c:v>
                </c:pt>
                <c:pt idx="261">
                  <c:v>-4.8981228853205465</c:v>
                </c:pt>
                <c:pt idx="262">
                  <c:v>-4.9580627752208617</c:v>
                </c:pt>
                <c:pt idx="263">
                  <c:v>-5.0176799755259873</c:v>
                </c:pt>
                <c:pt idx="264">
                  <c:v>-5.0769788537770797</c:v>
                </c:pt>
                <c:pt idx="265">
                  <c:v>-5.1372709311999998</c:v>
                </c:pt>
                <c:pt idx="266">
                  <c:v>-5.1972393384561153</c:v>
                </c:pt>
                <c:pt idx="267">
                  <c:v>-5.2568884693825648</c:v>
                </c:pt>
                <c:pt idx="268">
                  <c:v>-5.3162226308747664</c:v>
                </c:pt>
                <c:pt idx="269">
                  <c:v>-5.3766679224582914</c:v>
                </c:pt>
                <c:pt idx="270">
                  <c:v>-5.4367917187855017</c:v>
                </c:pt>
                <c:pt idx="271">
                  <c:v>-5.4965983768586106</c:v>
                </c:pt>
                <c:pt idx="272">
                  <c:v>-5.5560921672459518</c:v>
                </c:pt>
                <c:pt idx="273">
                  <c:v>-5.6166694590679231</c:v>
                </c:pt>
                <c:pt idx="274">
                  <c:v>-5.6769277373997138</c:v>
                </c:pt>
                <c:pt idx="275">
                  <c:v>-5.7368713147031691</c:v>
                </c:pt>
                <c:pt idx="276">
                  <c:v>-5.796504417725636</c:v>
                </c:pt>
                <c:pt idx="277">
                  <c:v>-5.8570582553115695</c:v>
                </c:pt>
                <c:pt idx="278">
                  <c:v>-5.917297243569049</c:v>
                </c:pt>
                <c:pt idx="279">
                  <c:v>-5.9772256150565406</c:v>
                </c:pt>
                <c:pt idx="280">
                  <c:v>-6.0368475182806236</c:v>
                </c:pt>
                <c:pt idx="281">
                  <c:v>-6.0977696995723605</c:v>
                </c:pt>
                <c:pt idx="282">
                  <c:v>-6.1583771922804402</c:v>
                </c:pt>
                <c:pt idx="283">
                  <c:v>-6.2186742280762841</c:v>
                </c:pt>
                <c:pt idx="284">
                  <c:v>-6.2786649541607975</c:v>
                </c:pt>
                <c:pt idx="285">
                  <c:v>-6.3395310654928592</c:v>
                </c:pt>
                <c:pt idx="286">
                  <c:v>-6.4000870814043083</c:v>
                </c:pt>
                <c:pt idx="287">
                  <c:v>-6.46033714218024</c:v>
                </c:pt>
                <c:pt idx="288">
                  <c:v>-6.5202853056207024</c:v>
                </c:pt>
                <c:pt idx="289">
                  <c:v>-6.5814743108753424</c:v>
                </c:pt>
                <c:pt idx="290">
                  <c:v>-6.6423539952228072</c:v>
                </c:pt>
                <c:pt idx="291">
                  <c:v>-6.7029284823591251</c:v>
                </c:pt>
                <c:pt idx="292">
                  <c:v>-6.7632018135061607</c:v>
                </c:pt>
                <c:pt idx="293">
                  <c:v>-6.8245604704024547</c:v>
                </c:pt>
                <c:pt idx="294">
                  <c:v>-6.8856121941313759</c:v>
                </c:pt>
                <c:pt idx="295">
                  <c:v>-6.946361057946417</c:v>
                </c:pt>
                <c:pt idx="296">
                  <c:v>-7.0068110535429318</c:v>
                </c:pt>
                <c:pt idx="297">
                  <c:v>-7.0683214548149786</c:v>
                </c:pt>
                <c:pt idx="298">
                  <c:v>-7.1295275243192027</c:v>
                </c:pt>
                <c:pt idx="299">
                  <c:v>-7.1904332790238072</c:v>
                </c:pt>
                <c:pt idx="300">
                  <c:v>-7.2510426554190897</c:v>
                </c:pt>
                <c:pt idx="301">
                  <c:v>-7.3126885384947817</c:v>
                </c:pt>
                <c:pt idx="302">
                  <c:v>-7.3740328725716155</c:v>
                </c:pt>
                <c:pt idx="303">
                  <c:v>-7.4350796131914354</c:v>
                </c:pt>
                <c:pt idx="304">
                  <c:v>-7.4958326366447645</c:v>
                </c:pt>
                <c:pt idx="305">
                  <c:v>-7.5578362225509359</c:v>
                </c:pt>
                <c:pt idx="306">
                  <c:v>-7.6195389070981809</c:v>
                </c:pt>
                <c:pt idx="307">
                  <c:v>-7.6809446245263544</c:v>
                </c:pt>
                <c:pt idx="308">
                  <c:v>-7.7420572299902668</c:v>
                </c:pt>
                <c:pt idx="309">
                  <c:v>-7.8041591322106996</c:v>
                </c:pt>
                <c:pt idx="310">
                  <c:v>-7.8659633188272764</c:v>
                </c:pt>
                <c:pt idx="311">
                  <c:v>-7.927473651460919</c:v>
                </c:pt>
                <c:pt idx="312">
                  <c:v>-7.9886939141936999</c:v>
                </c:pt>
                <c:pt idx="313">
                  <c:v>-8.0511104616558775</c:v>
                </c:pt>
                <c:pt idx="314">
                  <c:v>-8.1132304146246188</c:v>
                </c:pt>
                <c:pt idx="315">
                  <c:v>-8.1750576004851645</c:v>
                </c:pt>
                <c:pt idx="316">
                  <c:v>-8.2365957696170824</c:v>
                </c:pt>
                <c:pt idx="317">
                  <c:v>-8.2993035499776848</c:v>
                </c:pt>
                <c:pt idx="318">
                  <c:v>-8.3617161039479413</c:v>
                </c:pt>
                <c:pt idx="319">
                  <c:v>-8.4238372179924692</c:v>
                </c:pt>
                <c:pt idx="320">
                  <c:v>-8.4856706022946149</c:v>
                </c:pt>
                <c:pt idx="321">
                  <c:v>-8.5486479200433667</c:v>
                </c:pt>
                <c:pt idx="322">
                  <c:v>-8.6113315932441807</c:v>
                </c:pt>
                <c:pt idx="323">
                  <c:v>-8.6737253614844168</c:v>
                </c:pt>
                <c:pt idx="324">
                  <c:v>-8.7358328889685986</c:v>
                </c:pt>
                <c:pt idx="325">
                  <c:v>-8.7990596200792819</c:v>
                </c:pt>
                <c:pt idx="326">
                  <c:v>-8.8619944709273195</c:v>
                </c:pt>
                <c:pt idx="327">
                  <c:v>-8.9246411289761305</c:v>
                </c:pt>
                <c:pt idx="328">
                  <c:v>-8.9870032073625765</c:v>
                </c:pt>
                <c:pt idx="329">
                  <c:v>-9.0505665323766049</c:v>
                </c:pt>
                <c:pt idx="330">
                  <c:v>-9.1138389301543459</c:v>
                </c:pt>
                <c:pt idx="331">
                  <c:v>-9.1768240495352416</c:v>
                </c:pt>
                <c:pt idx="332">
                  <c:v>-9.2395254657462651</c:v>
                </c:pt>
                <c:pt idx="333">
                  <c:v>-9.3032983190752514</c:v>
                </c:pt>
                <c:pt idx="334">
                  <c:v>-9.3667823395166376</c:v>
                </c:pt>
                <c:pt idx="335">
                  <c:v>-9.4299811141715359</c:v>
                </c:pt>
                <c:pt idx="336">
                  <c:v>-9.4928981578835927</c:v>
                </c:pt>
                <c:pt idx="337">
                  <c:v>-9.5570687135361183</c:v>
                </c:pt>
                <c:pt idx="338">
                  <c:v>-9.6209508030494977</c:v>
                </c:pt>
                <c:pt idx="339">
                  <c:v>-9.6845479821485174</c:v>
                </c:pt>
                <c:pt idx="340">
                  <c:v>-9.7478637348671722</c:v>
                </c:pt>
                <c:pt idx="341">
                  <c:v>-9.8124061780392573</c:v>
                </c:pt>
                <c:pt idx="342">
                  <c:v>-9.8766607388496936</c:v>
                </c:pt>
                <c:pt idx="343">
                  <c:v>-9.9406309357084996</c:v>
                </c:pt>
                <c:pt idx="344">
                  <c:v>-10.004320216087867</c:v>
                </c:pt>
                <c:pt idx="345">
                  <c:v>-10.069111701816183</c:v>
                </c:pt>
                <c:pt idx="346">
                  <c:v>-10.133616944397396</c:v>
                </c:pt>
                <c:pt idx="347">
                  <c:v>-10.19783940403542</c:v>
                </c:pt>
                <c:pt idx="348">
                  <c:v>-10.261782471339609</c:v>
                </c:pt>
                <c:pt idx="349">
                  <c:v>-10.326998901508848</c:v>
                </c:pt>
                <c:pt idx="350">
                  <c:v>-10.391929130950734</c:v>
                </c:pt>
                <c:pt idx="351">
                  <c:v>-10.456576588966906</c:v>
                </c:pt>
                <c:pt idx="352">
                  <c:v>-10.520944635911778</c:v>
                </c:pt>
                <c:pt idx="353">
                  <c:v>-10.586559224589196</c:v>
                </c:pt>
                <c:pt idx="354">
                  <c:v>-10.651887853203361</c:v>
                </c:pt>
                <c:pt idx="355">
                  <c:v>-10.716933914870044</c:v>
                </c:pt>
                <c:pt idx="356">
                  <c:v>-10.781700734585218</c:v>
                </c:pt>
                <c:pt idx="357">
                  <c:v>-10.847594571183702</c:v>
                </c:pt>
                <c:pt idx="358">
                  <c:v>-10.91320366572476</c:v>
                </c:pt>
                <c:pt idx="359">
                  <c:v>-10.978531356469796</c:v>
                </c:pt>
                <c:pt idx="360">
                  <c:v>-11.043580914926789</c:v>
                </c:pt>
                <c:pt idx="361">
                  <c:v>-11.109918554612728</c:v>
                </c:pt>
                <c:pt idx="362">
                  <c:v>-11.175971186915149</c:v>
                </c:pt>
                <c:pt idx="363">
                  <c:v>-11.241742120027148</c:v>
                </c:pt>
                <c:pt idx="364">
                  <c:v>-11.307234596141509</c:v>
                </c:pt>
                <c:pt idx="365">
                  <c:v>-11.37389796157785</c:v>
                </c:pt>
                <c:pt idx="366">
                  <c:v>-11.440277004118975</c:v>
                </c:pt>
                <c:pt idx="367">
                  <c:v>-11.506374984246294</c:v>
                </c:pt>
                <c:pt idx="368">
                  <c:v>-11.572195097711489</c:v>
                </c:pt>
                <c:pt idx="369">
                  <c:v>-11.639340073657571</c:v>
                </c:pt>
                <c:pt idx="370">
                  <c:v>-11.706200014508337</c:v>
                </c:pt>
                <c:pt idx="371">
                  <c:v>-11.772778155989689</c:v>
                </c:pt>
                <c:pt idx="372">
                  <c:v>-11.83907766981676</c:v>
                </c:pt>
                <c:pt idx="373">
                  <c:v>-11.906587117875391</c:v>
                </c:pt>
                <c:pt idx="374">
                  <c:v>-11.973811742427845</c:v>
                </c:pt>
                <c:pt idx="375">
                  <c:v>-12.040754737883965</c:v>
                </c:pt>
                <c:pt idx="376">
                  <c:v>-12.107419235856259</c:v>
                </c:pt>
                <c:pt idx="377">
                  <c:v>-12.175440902408582</c:v>
                </c:pt>
                <c:pt idx="378">
                  <c:v>-12.243176637936768</c:v>
                </c:pt>
                <c:pt idx="379">
                  <c:v>-12.310629617001219</c:v>
                </c:pt>
                <c:pt idx="380">
                  <c:v>-12.377802952081314</c:v>
                </c:pt>
                <c:pt idx="381">
                  <c:v>-12.446136227656574</c:v>
                </c:pt>
                <c:pt idx="382">
                  <c:v>-12.514184069091209</c:v>
                </c:pt>
                <c:pt idx="383">
                  <c:v>-12.581949604137836</c:v>
                </c:pt>
                <c:pt idx="384">
                  <c:v>-12.649435899950685</c:v>
                </c:pt>
                <c:pt idx="385">
                  <c:v>-12.718308159304231</c:v>
                </c:pt>
                <c:pt idx="386">
                  <c:v>-12.786893500882126</c:v>
                </c:pt>
                <c:pt idx="387">
                  <c:v>-12.855195038060911</c:v>
                </c:pt>
                <c:pt idx="388">
                  <c:v>-12.92321582433682</c:v>
                </c:pt>
                <c:pt idx="389">
                  <c:v>-12.992511983881156</c:v>
                </c:pt>
                <c:pt idx="390">
                  <c:v>-13.061520623371683</c:v>
                </c:pt>
                <c:pt idx="391">
                  <c:v>-13.130244827539887</c:v>
                </c:pt>
                <c:pt idx="392">
                  <c:v>-13.198687622398026</c:v>
                </c:pt>
                <c:pt idx="393">
                  <c:v>-13.268379680511783</c:v>
                </c:pt>
                <c:pt idx="394">
                  <c:v>-13.337783764165502</c:v>
                </c:pt>
                <c:pt idx="395">
                  <c:v>-13.406902927700202</c:v>
                </c:pt>
                <c:pt idx="396">
                  <c:v>-13.475740168019257</c:v>
                </c:pt>
                <c:pt idx="397">
                  <c:v>-13.545959401921907</c:v>
                </c:pt>
                <c:pt idx="398">
                  <c:v>-13.615889044415697</c:v>
                </c:pt>
                <c:pt idx="399">
                  <c:v>-13.685532138730551</c:v>
                </c:pt>
                <c:pt idx="400">
                  <c:v>-13.754891671542778</c:v>
                </c:pt>
                <c:pt idx="401">
                  <c:v>-13.82552670132997</c:v>
                </c:pt>
                <c:pt idx="402">
                  <c:v>-13.89587136546467</c:v>
                </c:pt>
                <c:pt idx="403">
                  <c:v>-13.96592868398673</c:v>
                </c:pt>
                <c:pt idx="404">
                  <c:v>-14.035701621652469</c:v>
                </c:pt>
                <c:pt idx="405">
                  <c:v>-14.106800504129954</c:v>
                </c:pt>
                <c:pt idx="406">
                  <c:v>-14.177607778559269</c:v>
                </c:pt>
                <c:pt idx="407">
                  <c:v>-14.248126450761502</c:v>
                </c:pt>
                <c:pt idx="408">
                  <c:v>-14.318359472413906</c:v>
                </c:pt>
                <c:pt idx="409">
                  <c:v>-14.389966423877203</c:v>
                </c:pt>
                <c:pt idx="410">
                  <c:v>-14.461280098394946</c:v>
                </c:pt>
                <c:pt idx="411">
                  <c:v>-14.532303496145602</c:v>
                </c:pt>
                <c:pt idx="412">
                  <c:v>-14.603039564194402</c:v>
                </c:pt>
                <c:pt idx="413">
                  <c:v>-14.675121078185569</c:v>
                </c:pt>
                <c:pt idx="414">
                  <c:v>-14.746907864286465</c:v>
                </c:pt>
                <c:pt idx="415">
                  <c:v>-14.818402916155261</c:v>
                </c:pt>
                <c:pt idx="416">
                  <c:v>-14.889609175487228</c:v>
                </c:pt>
                <c:pt idx="417">
                  <c:v>-14.962205975437644</c:v>
                </c:pt>
                <c:pt idx="418">
                  <c:v>-15.034506217436723</c:v>
                </c:pt>
                <c:pt idx="419">
                  <c:v>-15.106512897353653</c:v>
                </c:pt>
                <c:pt idx="420">
                  <c:v>-15.178228960145649</c:v>
                </c:pt>
                <c:pt idx="421">
                  <c:v>-15.251234977532391</c:v>
                </c:pt>
                <c:pt idx="422">
                  <c:v>-15.323943436077911</c:v>
                </c:pt>
                <c:pt idx="423">
                  <c:v>-15.39635732488706</c:v>
                </c:pt>
                <c:pt idx="424">
                  <c:v>-15.468479583507897</c:v>
                </c:pt>
                <c:pt idx="425">
                  <c:v>-15.542077044899003</c:v>
                </c:pt>
                <c:pt idx="426">
                  <c:v>-15.615374442051873</c:v>
                </c:pt>
                <c:pt idx="427">
                  <c:v>-15.688374784030612</c:v>
                </c:pt>
                <c:pt idx="428">
                  <c:v>-15.761081031217381</c:v>
                </c:pt>
                <c:pt idx="429">
                  <c:v>-15.835162197232043</c:v>
                </c:pt>
                <c:pt idx="430">
                  <c:v>-15.908941669806232</c:v>
                </c:pt>
                <c:pt idx="431">
                  <c:v>-15.982422469506394</c:v>
                </c:pt>
                <c:pt idx="432">
                  <c:v>-16.055607569392002</c:v>
                </c:pt>
                <c:pt idx="433">
                  <c:v>-16.130139189636303</c:v>
                </c:pt>
                <c:pt idx="434">
                  <c:v>-16.204367773515195</c:v>
                </c:pt>
                <c:pt idx="435">
                  <c:v>-16.278296354217577</c:v>
                </c:pt>
                <c:pt idx="436">
                  <c:v>-16.351927918686524</c:v>
                </c:pt>
                <c:pt idx="437">
                  <c:v>-16.427012779582526</c:v>
                </c:pt>
                <c:pt idx="438">
                  <c:v>-16.501792466764996</c:v>
                </c:pt>
                <c:pt idx="439">
                  <c:v>-16.576270044083536</c:v>
                </c:pt>
                <c:pt idx="440">
                  <c:v>-16.650448530158489</c:v>
                </c:pt>
                <c:pt idx="441">
                  <c:v>-16.72605020795498</c:v>
                </c:pt>
                <c:pt idx="442">
                  <c:v>-16.801344939520064</c:v>
                </c:pt>
                <c:pt idx="443">
                  <c:v>-16.876335820853576</c:v>
                </c:pt>
                <c:pt idx="444">
                  <c:v>-16.951025903843263</c:v>
                </c:pt>
                <c:pt idx="445">
                  <c:v>-17.027109930102625</c:v>
                </c:pt>
                <c:pt idx="446">
                  <c:v>-17.102885615279106</c:v>
                </c:pt>
                <c:pt idx="447">
                  <c:v>-17.178356089649483</c:v>
                </c:pt>
                <c:pt idx="448">
                  <c:v>-17.253524440586951</c:v>
                </c:pt>
                <c:pt idx="449">
                  <c:v>-17.330186414118216</c:v>
                </c:pt>
                <c:pt idx="450">
                  <c:v>-17.406538012273156</c:v>
                </c:pt>
                <c:pt idx="451">
                  <c:v>-17.482582418202856</c:v>
                </c:pt>
                <c:pt idx="452">
                  <c:v>-17.558322773168701</c:v>
                </c:pt>
                <c:pt idx="453">
                  <c:v>-17.635463213651256</c:v>
                </c:pt>
                <c:pt idx="454">
                  <c:v>-17.712292223426928</c:v>
                </c:pt>
                <c:pt idx="455">
                  <c:v>-17.788813033496346</c:v>
                </c:pt>
                <c:pt idx="456">
                  <c:v>-17.865028834225612</c:v>
                </c:pt>
                <c:pt idx="457">
                  <c:v>-17.942740693708657</c:v>
                </c:pt>
                <c:pt idx="458">
                  <c:v>-18.020139536563711</c:v>
                </c:pt>
                <c:pt idx="459">
                  <c:v>-18.097228661125307</c:v>
                </c:pt>
                <c:pt idx="460">
                  <c:v>-18.17401132618722</c:v>
                </c:pt>
                <c:pt idx="461">
                  <c:v>-18.252260085840568</c:v>
                </c:pt>
                <c:pt idx="462">
                  <c:v>-18.330194793614009</c:v>
                </c:pt>
                <c:pt idx="463">
                  <c:v>-18.407818819307813</c:v>
                </c:pt>
                <c:pt idx="464">
                  <c:v>-18.48513549439685</c:v>
                </c:pt>
                <c:pt idx="465">
                  <c:v>-18.563949476207643</c:v>
                </c:pt>
                <c:pt idx="466">
                  <c:v>-18.64244847428456</c:v>
                </c:pt>
                <c:pt idx="467">
                  <c:v>-18.720635942699058</c:v>
                </c:pt>
                <c:pt idx="468">
                  <c:v>-18.798515298423414</c:v>
                </c:pt>
                <c:pt idx="469">
                  <c:v>-18.877862897886342</c:v>
                </c:pt>
                <c:pt idx="470">
                  <c:v>-18.956895229544756</c:v>
                </c:pt>
                <c:pt idx="471">
                  <c:v>-19.035615837479213</c:v>
                </c:pt>
                <c:pt idx="472">
                  <c:v>-19.114028230042003</c:v>
                </c:pt>
                <c:pt idx="473">
                  <c:v>-19.193997441177761</c:v>
                </c:pt>
                <c:pt idx="474">
                  <c:v>-19.273650874238601</c:v>
                </c:pt>
                <c:pt idx="475">
                  <c:v>-19.352992185931903</c:v>
                </c:pt>
                <c:pt idx="476">
                  <c:v>-19.432024998567876</c:v>
                </c:pt>
                <c:pt idx="477">
                  <c:v>-19.512585510461612</c:v>
                </c:pt>
                <c:pt idx="478">
                  <c:v>-19.592830534405209</c:v>
                </c:pt>
                <c:pt idx="479">
                  <c:v>-19.672763847620903</c:v>
                </c:pt>
                <c:pt idx="480">
                  <c:v>-19.752389194473722</c:v>
                </c:pt>
                <c:pt idx="481">
                  <c:v>-19.833514658470712</c:v>
                </c:pt>
                <c:pt idx="482">
                  <c:v>-19.914325780714243</c:v>
                </c:pt>
                <c:pt idx="483">
                  <c:v>-19.994826468183444</c:v>
                </c:pt>
                <c:pt idx="484">
                  <c:v>-20.075020596774724</c:v>
                </c:pt>
                <c:pt idx="485">
                  <c:v>-20.156744429375987</c:v>
                </c:pt>
                <c:pt idx="486">
                  <c:v>-20.238155562174462</c:v>
                </c:pt>
                <c:pt idx="487">
                  <c:v>-20.319258050931662</c:v>
                </c:pt>
                <c:pt idx="488">
                  <c:v>-20.400055922292882</c:v>
                </c:pt>
                <c:pt idx="489">
                  <c:v>-20.482467447088773</c:v>
                </c:pt>
                <c:pt idx="490">
                  <c:v>-20.564568119796924</c:v>
                </c:pt>
                <c:pt idx="491">
                  <c:v>-20.646362174522285</c:v>
                </c:pt>
                <c:pt idx="492">
                  <c:v>-20.727853818415326</c:v>
                </c:pt>
                <c:pt idx="493">
                  <c:v>-20.810933189867022</c:v>
                </c:pt>
                <c:pt idx="494">
                  <c:v>-20.893704743477155</c:v>
                </c:pt>
                <c:pt idx="495">
                  <c:v>-20.976172907168099</c:v>
                </c:pt>
                <c:pt idx="496">
                  <c:v>-21.058342084504268</c:v>
                </c:pt>
                <c:pt idx="497">
                  <c:v>-21.142128359544479</c:v>
                </c:pt>
                <c:pt idx="498">
                  <c:v>-21.225610756070779</c:v>
                </c:pt>
                <c:pt idx="499">
                  <c:v>-21.308793922854434</c:v>
                </c:pt>
                <c:pt idx="500">
                  <c:v>-21.391682487371181</c:v>
                </c:pt>
                <c:pt idx="501">
                  <c:v>-21.476218018901374</c:v>
                </c:pt>
                <c:pt idx="502">
                  <c:v>-21.560454690055927</c:v>
                </c:pt>
                <c:pt idx="503">
                  <c:v>-21.644397401443317</c:v>
                </c:pt>
                <c:pt idx="504">
                  <c:v>-21.72805103604081</c:v>
                </c:pt>
                <c:pt idx="505">
                  <c:v>-21.813330728653753</c:v>
                </c:pt>
                <c:pt idx="506">
                  <c:v>-21.898318208157104</c:v>
                </c:pt>
                <c:pt idx="507">
                  <c:v>-21.983018653436531</c:v>
                </c:pt>
                <c:pt idx="508">
                  <c:v>-22.06743723021464</c:v>
                </c:pt>
                <c:pt idx="509">
                  <c:v>-22.153514859396672</c:v>
                </c:pt>
                <c:pt idx="510">
                  <c:v>-22.239308381523543</c:v>
                </c:pt>
                <c:pt idx="511">
                  <c:v>-22.324823294897161</c:v>
                </c:pt>
                <c:pt idx="512">
                  <c:v>-22.410065090081265</c:v>
                </c:pt>
                <c:pt idx="513">
                  <c:v>-22.497050847641358</c:v>
                </c:pt>
                <c:pt idx="514">
                  <c:v>-22.583762008633819</c:v>
                </c:pt>
                <c:pt idx="515">
                  <c:v>-22.670204449282675</c:v>
                </c:pt>
                <c:pt idx="516">
                  <c:v>-22.756384044718931</c:v>
                </c:pt>
                <c:pt idx="517">
                  <c:v>-22.8442937743458</c:v>
                </c:pt>
                <c:pt idx="518">
                  <c:v>-22.931940789830961</c:v>
                </c:pt>
                <c:pt idx="519">
                  <c:v>-23.019331392808073</c:v>
                </c:pt>
                <c:pt idx="520">
                  <c:v>-23.106471892038201</c:v>
                </c:pt>
                <c:pt idx="521">
                  <c:v>-23.19538204140223</c:v>
                </c:pt>
                <c:pt idx="522">
                  <c:v>-23.284043741084929</c:v>
                </c:pt>
                <c:pt idx="523">
                  <c:v>-23.3724637864422</c:v>
                </c:pt>
                <c:pt idx="524">
                  <c:v>-23.460648990156862</c:v>
                </c:pt>
                <c:pt idx="525">
                  <c:v>-23.550646783142035</c:v>
                </c:pt>
                <c:pt idx="526">
                  <c:v>-23.640413194565568</c:v>
                </c:pt>
                <c:pt idx="527">
                  <c:v>-23.729955595547409</c:v>
                </c:pt>
                <c:pt idx="528">
                  <c:v>-23.819281387250989</c:v>
                </c:pt>
                <c:pt idx="529">
                  <c:v>-23.910466935330135</c:v>
                </c:pt>
                <c:pt idx="530">
                  <c:v>-24.001441475009155</c:v>
                </c:pt>
                <c:pt idx="531">
                  <c:v>-24.092213052362624</c:v>
                </c:pt>
                <c:pt idx="532">
                  <c:v>-24.182789759432019</c:v>
                </c:pt>
                <c:pt idx="533">
                  <c:v>-24.275326264256783</c:v>
                </c:pt>
                <c:pt idx="534">
                  <c:v>-24.367675850575537</c:v>
                </c:pt>
                <c:pt idx="535">
                  <c:v>-24.459847373857965</c:v>
                </c:pt>
                <c:pt idx="536">
                  <c:v>-24.551849755701447</c:v>
                </c:pt>
                <c:pt idx="537">
                  <c:v>-24.645775368875302</c:v>
                </c:pt>
                <c:pt idx="538">
                  <c:v>-24.739543177181925</c:v>
                </c:pt>
                <c:pt idx="539">
                  <c:v>-24.833162965919861</c:v>
                </c:pt>
                <c:pt idx="540">
                  <c:v>-24.926644611653757</c:v>
                </c:pt>
                <c:pt idx="541">
                  <c:v>-25.022210344081568</c:v>
                </c:pt>
                <c:pt idx="542">
                  <c:v>-25.117652565593012</c:v>
                </c:pt>
                <c:pt idx="543">
                  <c:v>-25.212982203170494</c:v>
                </c:pt>
                <c:pt idx="544">
                  <c:v>-25.308210307333017</c:v>
                </c:pt>
                <c:pt idx="545">
                  <c:v>-25.405550860164126</c:v>
                </c:pt>
                <c:pt idx="546">
                  <c:v>-25.50280894920235</c:v>
                </c:pt>
                <c:pt idx="547">
                  <c:v>-25.599996854303964</c:v>
                </c:pt>
                <c:pt idx="548">
                  <c:v>-25.69712701969372</c:v>
                </c:pt>
                <c:pt idx="549">
                  <c:v>-25.796456370671351</c:v>
                </c:pt>
                <c:pt idx="550">
                  <c:v>-25.895752195780503</c:v>
                </c:pt>
                <c:pt idx="551">
                  <c:v>-25.995028409345238</c:v>
                </c:pt>
                <c:pt idx="552">
                  <c:v>-26.094299142239667</c:v>
                </c:pt>
                <c:pt idx="553">
                  <c:v>-26.195916067503791</c:v>
                </c:pt>
                <c:pt idx="554">
                  <c:v>-26.297557945651132</c:v>
                </c:pt>
                <c:pt idx="555">
                  <c:v>-26.39924070080983</c:v>
                </c:pt>
                <c:pt idx="556">
                  <c:v>-26.50098054120005</c:v>
                </c:pt>
                <c:pt idx="557">
                  <c:v>-26.709481450907212</c:v>
                </c:pt>
                <c:pt idx="558">
                  <c:v>-26.918436737773447</c:v>
                </c:pt>
                <c:pt idx="559">
                  <c:v>-27.132809816897865</c:v>
                </c:pt>
                <c:pt idx="560">
                  <c:v>-27.347986389938825</c:v>
                </c:pt>
                <c:pt idx="561">
                  <c:v>-27.569285476310608</c:v>
                </c:pt>
                <c:pt idx="562">
                  <c:v>-27.791811473644728</c:v>
                </c:pt>
                <c:pt idx="563">
                  <c:v>-28.020597139167215</c:v>
                </c:pt>
                <c:pt idx="564">
                  <c:v>-28.251116490483547</c:v>
                </c:pt>
                <c:pt idx="565">
                  <c:v>-28.489507064021097</c:v>
                </c:pt>
                <c:pt idx="566">
                  <c:v>-28.730264195424049</c:v>
                </c:pt>
                <c:pt idx="567">
                  <c:v>-28.979710861471002</c:v>
                </c:pt>
                <c:pt idx="568">
                  <c:v>-29.232302356921764</c:v>
                </c:pt>
                <c:pt idx="569">
                  <c:v>-29.49356711617769</c:v>
                </c:pt>
                <c:pt idx="570">
                  <c:v>-29.758904513869993</c:v>
                </c:pt>
                <c:pt idx="571">
                  <c:v>-30.036239384583268</c:v>
                </c:pt>
                <c:pt idx="572">
                  <c:v>-30.318871452247976</c:v>
                </c:pt>
                <c:pt idx="573">
                  <c:v>-30.612933509774855</c:v>
                </c:pt>
                <c:pt idx="574">
                  <c:v>-30.913734474124798</c:v>
                </c:pt>
                <c:pt idx="575">
                  <c:v>-31.230168708275443</c:v>
                </c:pt>
                <c:pt idx="576">
                  <c:v>-31.555276289059385</c:v>
                </c:pt>
                <c:pt idx="577">
                  <c:v>-33.050510406877308</c:v>
                </c:pt>
                <c:pt idx="578">
                  <c:v>-34.811726590157328</c:v>
                </c:pt>
                <c:pt idx="579">
                  <c:v>-40.513379844629434</c:v>
                </c:pt>
                <c:pt idx="580">
                  <c:v>-64.975270313866261</c:v>
                </c:pt>
                <c:pt idx="581">
                  <c:v>-43.463246938479287</c:v>
                </c:pt>
                <c:pt idx="582">
                  <c:v>-39.340457874827401</c:v>
                </c:pt>
                <c:pt idx="583">
                  <c:v>-38.466578390231717</c:v>
                </c:pt>
                <c:pt idx="584">
                  <c:v>-38.93270743417623</c:v>
                </c:pt>
                <c:pt idx="585">
                  <c:v>-40.26489414183488</c:v>
                </c:pt>
                <c:pt idx="586">
                  <c:v>-42.841381223737606</c:v>
                </c:pt>
                <c:pt idx="587">
                  <c:v>-49.930047778441875</c:v>
                </c:pt>
                <c:pt idx="588">
                  <c:v>-53.82727394963748</c:v>
                </c:pt>
                <c:pt idx="589">
                  <c:v>-46.688487253347979</c:v>
                </c:pt>
                <c:pt idx="590">
                  <c:v>-46.638350491762885</c:v>
                </c:pt>
                <c:pt idx="591">
                  <c:v>-49.49687742379443</c:v>
                </c:pt>
                <c:pt idx="592">
                  <c:v>-94.210508205259885</c:v>
                </c:pt>
                <c:pt idx="593">
                  <c:v>-51.632160091477218</c:v>
                </c:pt>
                <c:pt idx="594">
                  <c:v>-52.001473853166907</c:v>
                </c:pt>
                <c:pt idx="595">
                  <c:v>-67.426248127760303</c:v>
                </c:pt>
                <c:pt idx="596">
                  <c:v>-54.808818736375898</c:v>
                </c:pt>
                <c:pt idx="597">
                  <c:v>-57.268683267425772</c:v>
                </c:pt>
                <c:pt idx="598">
                  <c:v>-59.028888785319474</c:v>
                </c:pt>
                <c:pt idx="599">
                  <c:v>-58.910374608010123</c:v>
                </c:pt>
                <c:pt idx="600">
                  <c:v>-60.162002798929279</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97.542819526936611</c:v>
                </c:pt>
                <c:pt idx="1">
                  <c:v>96.883457560495415</c:v>
                </c:pt>
                <c:pt idx="2">
                  <c:v>96.280367856694824</c:v>
                </c:pt>
                <c:pt idx="3">
                  <c:v>95.728926190293265</c:v>
                </c:pt>
                <c:pt idx="4">
                  <c:v>95.225148379909157</c:v>
                </c:pt>
                <c:pt idx="5">
                  <c:v>94.764236501373134</c:v>
                </c:pt>
                <c:pt idx="6">
                  <c:v>94.343200371093005</c:v>
                </c:pt>
                <c:pt idx="7">
                  <c:v>93.958352645056578</c:v>
                </c:pt>
                <c:pt idx="8">
                  <c:v>93.606831814188268</c:v>
                </c:pt>
                <c:pt idx="9">
                  <c:v>93.285482232807269</c:v>
                </c:pt>
                <c:pt idx="10">
                  <c:v>92.991842803038296</c:v>
                </c:pt>
                <c:pt idx="11">
                  <c:v>92.72342508721357</c:v>
                </c:pt>
                <c:pt idx="12">
                  <c:v>92.477865962949807</c:v>
                </c:pt>
                <c:pt idx="13">
                  <c:v>92.253350106882763</c:v>
                </c:pt>
                <c:pt idx="14">
                  <c:v>92.0478113606666</c:v>
                </c:pt>
                <c:pt idx="15">
                  <c:v>91.859610058480243</c:v>
                </c:pt>
                <c:pt idx="16">
                  <c:v>91.687146249667066</c:v>
                </c:pt>
                <c:pt idx="17">
                  <c:v>91.528988932381083</c:v>
                </c:pt>
                <c:pt idx="18">
                  <c:v>91.383758465552305</c:v>
                </c:pt>
                <c:pt idx="19">
                  <c:v>91.250268589337225</c:v>
                </c:pt>
                <c:pt idx="20">
                  <c:v>91.127363932963632</c:v>
                </c:pt>
                <c:pt idx="21">
                  <c:v>91.0140297410193</c:v>
                </c:pt>
                <c:pt idx="22">
                  <c:v>90.909282290198163</c:v>
                </c:pt>
                <c:pt idx="23">
                  <c:v>90.812260100093084</c:v>
                </c:pt>
                <c:pt idx="24">
                  <c:v>90.722116084826098</c:v>
                </c:pt>
                <c:pt idx="25">
                  <c:v>90.638101016817444</c:v>
                </c:pt>
                <c:pt idx="26">
                  <c:v>90.559484248490762</c:v>
                </c:pt>
                <c:pt idx="27">
                  <c:v>90.485624695883118</c:v>
                </c:pt>
                <c:pt idx="28">
                  <c:v>90.415891587176532</c:v>
                </c:pt>
                <c:pt idx="29">
                  <c:v>90.349732625610116</c:v>
                </c:pt>
                <c:pt idx="30">
                  <c:v>90.286475840064199</c:v>
                </c:pt>
                <c:pt idx="31">
                  <c:v>90.225675794335245</c:v>
                </c:pt>
                <c:pt idx="32">
                  <c:v>90.166774666822263</c:v>
                </c:pt>
                <c:pt idx="33">
                  <c:v>90.109314457215035</c:v>
                </c:pt>
                <c:pt idx="34">
                  <c:v>90.052762981319191</c:v>
                </c:pt>
                <c:pt idx="35">
                  <c:v>89.996672599022389</c:v>
                </c:pt>
                <c:pt idx="36">
                  <c:v>89.940558855787742</c:v>
                </c:pt>
                <c:pt idx="37">
                  <c:v>89.883915349734664</c:v>
                </c:pt>
                <c:pt idx="38">
                  <c:v>89.826315950850613</c:v>
                </c:pt>
                <c:pt idx="39">
                  <c:v>89.767226034983949</c:v>
                </c:pt>
                <c:pt idx="40">
                  <c:v>89.706166580065315</c:v>
                </c:pt>
                <c:pt idx="41">
                  <c:v>89.642615033584789</c:v>
                </c:pt>
                <c:pt idx="42">
                  <c:v>89.576042290579622</c:v>
                </c:pt>
                <c:pt idx="43">
                  <c:v>89.505864753502706</c:v>
                </c:pt>
                <c:pt idx="44">
                  <c:v>89.431506774979937</c:v>
                </c:pt>
                <c:pt idx="45">
                  <c:v>89.352324229278622</c:v>
                </c:pt>
                <c:pt idx="46">
                  <c:v>89.267663822243492</c:v>
                </c:pt>
                <c:pt idx="47">
                  <c:v>89.176792097772136</c:v>
                </c:pt>
                <c:pt idx="48">
                  <c:v>89.078965075566131</c:v>
                </c:pt>
                <c:pt idx="49">
                  <c:v>88.973333551347821</c:v>
                </c:pt>
                <c:pt idx="50">
                  <c:v>88.859024226493602</c:v>
                </c:pt>
                <c:pt idx="51">
                  <c:v>88.735048213558755</c:v>
                </c:pt>
                <c:pt idx="52">
                  <c:v>88.600405338825837</c:v>
                </c:pt>
                <c:pt idx="53">
                  <c:v>88.453969128010471</c:v>
                </c:pt>
                <c:pt idx="54">
                  <c:v>88.294627448009606</c:v>
                </c:pt>
                <c:pt idx="55">
                  <c:v>88.120784276239164</c:v>
                </c:pt>
                <c:pt idx="56">
                  <c:v>87.931238086017103</c:v>
                </c:pt>
                <c:pt idx="57">
                  <c:v>87.724310836701278</c:v>
                </c:pt>
                <c:pt idx="58">
                  <c:v>87.498474036501037</c:v>
                </c:pt>
                <c:pt idx="59">
                  <c:v>87.251738446527696</c:v>
                </c:pt>
                <c:pt idx="60">
                  <c:v>86.982276963434543</c:v>
                </c:pt>
                <c:pt idx="61">
                  <c:v>86.687944482782839</c:v>
                </c:pt>
                <c:pt idx="62">
                  <c:v>86.366294958793247</c:v>
                </c:pt>
                <c:pt idx="63">
                  <c:v>86.015203982935674</c:v>
                </c:pt>
                <c:pt idx="64">
                  <c:v>85.631804622045379</c:v>
                </c:pt>
                <c:pt idx="65">
                  <c:v>85.213484377759912</c:v>
                </c:pt>
                <c:pt idx="66">
                  <c:v>84.757322592322836</c:v>
                </c:pt>
                <c:pt idx="67">
                  <c:v>84.260381193575313</c:v>
                </c:pt>
                <c:pt idx="68">
                  <c:v>83.719416078650013</c:v>
                </c:pt>
                <c:pt idx="69">
                  <c:v>83.131431389872233</c:v>
                </c:pt>
                <c:pt idx="70">
                  <c:v>82.493198863789019</c:v>
                </c:pt>
                <c:pt idx="71">
                  <c:v>81.801853553533306</c:v>
                </c:pt>
                <c:pt idx="72">
                  <c:v>81.054482970293947</c:v>
                </c:pt>
                <c:pt idx="73">
                  <c:v>80.248889983247182</c:v>
                </c:pt>
                <c:pt idx="74">
                  <c:v>79.383049084243495</c:v>
                </c:pt>
                <c:pt idx="75">
                  <c:v>78.456046816419175</c:v>
                </c:pt>
                <c:pt idx="76">
                  <c:v>77.467648650485515</c:v>
                </c:pt>
                <c:pt idx="77">
                  <c:v>76.419477364108147</c:v>
                </c:pt>
                <c:pt idx="78">
                  <c:v>75.314439809095688</c:v>
                </c:pt>
                <c:pt idx="79">
                  <c:v>74.158112523966622</c:v>
                </c:pt>
                <c:pt idx="80">
                  <c:v>72.955489639237413</c:v>
                </c:pt>
                <c:pt idx="81">
                  <c:v>71.717480205135004</c:v>
                </c:pt>
                <c:pt idx="82">
                  <c:v>70.454837461995808</c:v>
                </c:pt>
                <c:pt idx="83">
                  <c:v>69.182178133311027</c:v>
                </c:pt>
                <c:pt idx="84">
                  <c:v>67.913954374286462</c:v>
                </c:pt>
                <c:pt idx="85">
                  <c:v>66.667341377883773</c:v>
                </c:pt>
                <c:pt idx="86">
                  <c:v>65.458686888382346</c:v>
                </c:pt>
                <c:pt idx="87">
                  <c:v>64.30285793162588</c:v>
                </c:pt>
                <c:pt idx="88">
                  <c:v>63.214097799441433</c:v>
                </c:pt>
                <c:pt idx="89">
                  <c:v>62.20103609906279</c:v>
                </c:pt>
                <c:pt idx="90">
                  <c:v>61.268842479366569</c:v>
                </c:pt>
                <c:pt idx="91">
                  <c:v>60.41655878672789</c:v>
                </c:pt>
                <c:pt idx="92">
                  <c:v>59.637308314169331</c:v>
                </c:pt>
                <c:pt idx="93">
                  <c:v>58.917736995643409</c:v>
                </c:pt>
                <c:pt idx="94">
                  <c:v>58.745164510002354</c:v>
                </c:pt>
                <c:pt idx="95">
                  <c:v>58.659211385727929</c:v>
                </c:pt>
                <c:pt idx="96">
                  <c:v>58.574753486060445</c:v>
                </c:pt>
                <c:pt idx="97">
                  <c:v>58.489797472182914</c:v>
                </c:pt>
                <c:pt idx="98">
                  <c:v>58.406232057515822</c:v>
                </c:pt>
                <c:pt idx="99">
                  <c:v>58.322061449955996</c:v>
                </c:pt>
                <c:pt idx="100">
                  <c:v>58.239175477976545</c:v>
                </c:pt>
                <c:pt idx="101">
                  <c:v>58.155635630601722</c:v>
                </c:pt>
                <c:pt idx="102">
                  <c:v>58.073271531472386</c:v>
                </c:pt>
                <c:pt idx="103">
                  <c:v>57.990075709330767</c:v>
                </c:pt>
                <c:pt idx="104">
                  <c:v>57.907947672940523</c:v>
                </c:pt>
                <c:pt idx="105">
                  <c:v>57.824928551442824</c:v>
                </c:pt>
                <c:pt idx="106">
                  <c:v>57.742867024286184</c:v>
                </c:pt>
                <c:pt idx="107">
                  <c:v>57.659847101127895</c:v>
                </c:pt>
                <c:pt idx="108">
                  <c:v>57.577673215756661</c:v>
                </c:pt>
                <c:pt idx="109">
                  <c:v>57.494410311673306</c:v>
                </c:pt>
                <c:pt idx="110">
                  <c:v>57.411882300447431</c:v>
                </c:pt>
                <c:pt idx="111">
                  <c:v>57.328075956646614</c:v>
                </c:pt>
                <c:pt idx="112">
                  <c:v>57.244894743290544</c:v>
                </c:pt>
                <c:pt idx="113">
                  <c:v>57.160354335249878</c:v>
                </c:pt>
                <c:pt idx="114">
                  <c:v>57.076329069017461</c:v>
                </c:pt>
                <c:pt idx="115">
                  <c:v>56.990804097749418</c:v>
                </c:pt>
                <c:pt idx="116">
                  <c:v>56.905685329208893</c:v>
                </c:pt>
                <c:pt idx="117">
                  <c:v>56.818923169943744</c:v>
                </c:pt>
                <c:pt idx="118">
                  <c:v>56.732459563980598</c:v>
                </c:pt>
                <c:pt idx="119">
                  <c:v>56.64425922766506</c:v>
                </c:pt>
                <c:pt idx="120">
                  <c:v>56.556251137446495</c:v>
                </c:pt>
                <c:pt idx="121">
                  <c:v>56.466356345735079</c:v>
                </c:pt>
                <c:pt idx="122">
                  <c:v>56.376549609322609</c:v>
                </c:pt>
                <c:pt idx="123">
                  <c:v>56.28465066165684</c:v>
                </c:pt>
                <c:pt idx="124">
                  <c:v>56.192737873164717</c:v>
                </c:pt>
                <c:pt idx="125">
                  <c:v>56.098631505630152</c:v>
                </c:pt>
                <c:pt idx="126">
                  <c:v>56.004411848479521</c:v>
                </c:pt>
                <c:pt idx="127">
                  <c:v>55.907842055043204</c:v>
                </c:pt>
                <c:pt idx="128">
                  <c:v>55.811062331357107</c:v>
                </c:pt>
                <c:pt idx="129">
                  <c:v>55.711774210849327</c:v>
                </c:pt>
                <c:pt idx="130">
                  <c:v>55.612182548464304</c:v>
                </c:pt>
                <c:pt idx="131">
                  <c:v>55.509922778296229</c:v>
                </c:pt>
                <c:pt idx="132">
                  <c:v>55.458647358278171</c:v>
                </c:pt>
                <c:pt idx="133">
                  <c:v>55.407269098424578</c:v>
                </c:pt>
                <c:pt idx="134">
                  <c:v>55.354558641708294</c:v>
                </c:pt>
                <c:pt idx="135">
                  <c:v>55.301731842063759</c:v>
                </c:pt>
                <c:pt idx="136">
                  <c:v>55.248784660863407</c:v>
                </c:pt>
                <c:pt idx="137">
                  <c:v>55.195713245653451</c:v>
                </c:pt>
                <c:pt idx="138">
                  <c:v>55.141304583561322</c:v>
                </c:pt>
                <c:pt idx="139">
                  <c:v>55.086758401617189</c:v>
                </c:pt>
                <c:pt idx="140">
                  <c:v>55.032071143439111</c:v>
                </c:pt>
                <c:pt idx="141">
                  <c:v>54.977239430169348</c:v>
                </c:pt>
                <c:pt idx="142">
                  <c:v>54.920954487770203</c:v>
                </c:pt>
                <c:pt idx="143">
                  <c:v>54.864511535914318</c:v>
                </c:pt>
                <c:pt idx="144">
                  <c:v>54.807907488563174</c:v>
                </c:pt>
                <c:pt idx="145">
                  <c:v>54.751139428868896</c:v>
                </c:pt>
                <c:pt idx="146">
                  <c:v>54.692883760744593</c:v>
                </c:pt>
                <c:pt idx="147">
                  <c:v>54.634450732799976</c:v>
                </c:pt>
                <c:pt idx="148">
                  <c:v>54.575837732236295</c:v>
                </c:pt>
                <c:pt idx="149">
                  <c:v>54.51704230639244</c:v>
                </c:pt>
                <c:pt idx="150">
                  <c:v>54.45669625165894</c:v>
                </c:pt>
                <c:pt idx="151">
                  <c:v>54.396154532367134</c:v>
                </c:pt>
                <c:pt idx="152">
                  <c:v>54.335415004608862</c:v>
                </c:pt>
                <c:pt idx="153">
                  <c:v>54.274475675252063</c:v>
                </c:pt>
                <c:pt idx="154">
                  <c:v>54.2118929641492</c:v>
                </c:pt>
                <c:pt idx="155">
                  <c:v>54.149097167990632</c:v>
                </c:pt>
                <c:pt idx="156">
                  <c:v>54.08608660359603</c:v>
                </c:pt>
                <c:pt idx="157">
                  <c:v>54.022859729195432</c:v>
                </c:pt>
                <c:pt idx="158">
                  <c:v>53.95792416412219</c:v>
                </c:pt>
                <c:pt idx="159">
                  <c:v>53.892759183287012</c:v>
                </c:pt>
                <c:pt idx="160">
                  <c:v>53.827363558320442</c:v>
                </c:pt>
                <c:pt idx="161">
                  <c:v>53.761736192632455</c:v>
                </c:pt>
                <c:pt idx="162">
                  <c:v>53.694363779176044</c:v>
                </c:pt>
                <c:pt idx="163">
                  <c:v>53.62674695763873</c:v>
                </c:pt>
                <c:pt idx="164">
                  <c:v>53.558884947840099</c:v>
                </c:pt>
                <c:pt idx="165">
                  <c:v>53.490777091328368</c:v>
                </c:pt>
                <c:pt idx="166">
                  <c:v>53.420798088691839</c:v>
                </c:pt>
                <c:pt idx="167">
                  <c:v>53.350560407304357</c:v>
                </c:pt>
                <c:pt idx="168">
                  <c:v>53.28006370394975</c:v>
                </c:pt>
                <c:pt idx="169">
                  <c:v>53.209307747361763</c:v>
                </c:pt>
                <c:pt idx="170">
                  <c:v>53.136765635944116</c:v>
                </c:pt>
                <c:pt idx="171">
                  <c:v>53.063952873376977</c:v>
                </c:pt>
                <c:pt idx="172">
                  <c:v>52.990869543293641</c:v>
                </c:pt>
                <c:pt idx="173">
                  <c:v>52.917515830513778</c:v>
                </c:pt>
                <c:pt idx="174">
                  <c:v>52.84203246637054</c:v>
                </c:pt>
                <c:pt idx="175">
                  <c:v>52.766265614336433</c:v>
                </c:pt>
                <c:pt idx="176">
                  <c:v>52.690215774364901</c:v>
                </c:pt>
                <c:pt idx="177">
                  <c:v>52.613883538293422</c:v>
                </c:pt>
                <c:pt idx="178">
                  <c:v>52.535382093047488</c:v>
                </c:pt>
                <c:pt idx="179">
                  <c:v>52.456585726801066</c:v>
                </c:pt>
                <c:pt idx="180">
                  <c:v>52.37749534713295</c:v>
                </c:pt>
                <c:pt idx="181">
                  <c:v>52.298111943851197</c:v>
                </c:pt>
                <c:pt idx="182">
                  <c:v>52.21684010725015</c:v>
                </c:pt>
                <c:pt idx="183">
                  <c:v>52.135265732054009</c:v>
                </c:pt>
                <c:pt idx="184">
                  <c:v>52.053390105785255</c:v>
                </c:pt>
                <c:pt idx="185">
                  <c:v>51.971214587223415</c:v>
                </c:pt>
                <c:pt idx="186">
                  <c:v>51.886472415650957</c:v>
                </c:pt>
                <c:pt idx="187">
                  <c:v>51.80141678318796</c:v>
                </c:pt>
                <c:pt idx="188">
                  <c:v>51.716049372648143</c:v>
                </c:pt>
                <c:pt idx="189">
                  <c:v>51.630371929273366</c:v>
                </c:pt>
                <c:pt idx="190">
                  <c:v>51.542742323781624</c:v>
                </c:pt>
                <c:pt idx="191">
                  <c:v>51.454794580468587</c:v>
                </c:pt>
                <c:pt idx="192">
                  <c:v>51.366530722437773</c:v>
                </c:pt>
                <c:pt idx="193">
                  <c:v>51.277952824495344</c:v>
                </c:pt>
                <c:pt idx="194">
                  <c:v>51.18672838866334</c:v>
                </c:pt>
                <c:pt idx="195">
                  <c:v>51.095177809991554</c:v>
                </c:pt>
                <c:pt idx="196">
                  <c:v>51.003303478036372</c:v>
                </c:pt>
                <c:pt idx="197">
                  <c:v>50.911107824999931</c:v>
                </c:pt>
                <c:pt idx="198">
                  <c:v>50.816563908760656</c:v>
                </c:pt>
                <c:pt idx="199">
                  <c:v>50.721689702548133</c:v>
                </c:pt>
                <c:pt idx="200">
                  <c:v>50.62648791904175</c:v>
                </c:pt>
                <c:pt idx="201">
                  <c:v>50.530961303909834</c:v>
                </c:pt>
                <c:pt idx="202">
                  <c:v>50.433055228781541</c:v>
                </c:pt>
                <c:pt idx="203">
                  <c:v>50.334816134591506</c:v>
                </c:pt>
                <c:pt idx="204">
                  <c:v>50.236247034927658</c:v>
                </c:pt>
                <c:pt idx="205">
                  <c:v>50.137350966994546</c:v>
                </c:pt>
                <c:pt idx="206">
                  <c:v>50.035698492924155</c:v>
                </c:pt>
                <c:pt idx="207">
                  <c:v>49.933709367052103</c:v>
                </c:pt>
                <c:pt idx="208">
                  <c:v>49.831386914853027</c:v>
                </c:pt>
                <c:pt idx="209">
                  <c:v>49.728734476581991</c:v>
                </c:pt>
                <c:pt idx="210">
                  <c:v>49.622939140460971</c:v>
                </c:pt>
                <c:pt idx="211">
                  <c:v>49.516802736368675</c:v>
                </c:pt>
                <c:pt idx="212">
                  <c:v>49.410328918496759</c:v>
                </c:pt>
                <c:pt idx="213">
                  <c:v>49.303521347189985</c:v>
                </c:pt>
                <c:pt idx="214">
                  <c:v>49.194244721841216</c:v>
                </c:pt>
                <c:pt idx="215">
                  <c:v>49.08462860605465</c:v>
                </c:pt>
                <c:pt idx="216">
                  <c:v>48.974676889130222</c:v>
                </c:pt>
                <c:pt idx="217">
                  <c:v>48.864393457959665</c:v>
                </c:pt>
                <c:pt idx="218">
                  <c:v>48.751256321924188</c:v>
                </c:pt>
                <c:pt idx="219">
                  <c:v>48.637780381159388</c:v>
                </c:pt>
                <c:pt idx="220">
                  <c:v>48.52396977435788</c:v>
                </c:pt>
                <c:pt idx="221">
                  <c:v>48.409828629639094</c:v>
                </c:pt>
                <c:pt idx="222">
                  <c:v>48.292805550066817</c:v>
                </c:pt>
                <c:pt idx="223">
                  <c:v>48.175445714561732</c:v>
                </c:pt>
                <c:pt idx="224">
                  <c:v>48.057753488574889</c:v>
                </c:pt>
                <c:pt idx="225">
                  <c:v>47.939733219177725</c:v>
                </c:pt>
                <c:pt idx="226">
                  <c:v>47.818435753583316</c:v>
                </c:pt>
                <c:pt idx="227">
                  <c:v>47.696802871080479</c:v>
                </c:pt>
                <c:pt idx="228">
                  <c:v>47.574839182684116</c:v>
                </c:pt>
                <c:pt idx="229">
                  <c:v>47.452549273309984</c:v>
                </c:pt>
                <c:pt idx="230">
                  <c:v>47.201022689791074</c:v>
                </c:pt>
                <c:pt idx="231">
                  <c:v>47.074765288397685</c:v>
                </c:pt>
                <c:pt idx="232">
                  <c:v>46.948184893443198</c:v>
                </c:pt>
                <c:pt idx="233">
                  <c:v>46.81827001349555</c:v>
                </c:pt>
                <c:pt idx="234">
                  <c:v>46.688026694436616</c:v>
                </c:pt>
                <c:pt idx="235">
                  <c:v>46.557459972335607</c:v>
                </c:pt>
                <c:pt idx="236">
                  <c:v>46.42657484262412</c:v>
                </c:pt>
                <c:pt idx="237">
                  <c:v>46.292711048938372</c:v>
                </c:pt>
                <c:pt idx="238">
                  <c:v>46.158526169284045</c:v>
                </c:pt>
                <c:pt idx="239">
                  <c:v>46.024025374074967</c:v>
                </c:pt>
                <c:pt idx="240">
                  <c:v>45.88921378691964</c:v>
                </c:pt>
                <c:pt idx="241">
                  <c:v>45.750637816740436</c:v>
                </c:pt>
                <c:pt idx="242">
                  <c:v>45.611745721182984</c:v>
                </c:pt>
                <c:pt idx="243">
                  <c:v>45.472542870525132</c:v>
                </c:pt>
                <c:pt idx="244">
                  <c:v>45.333034581430667</c:v>
                </c:pt>
                <c:pt idx="245">
                  <c:v>45.190124508241297</c:v>
                </c:pt>
                <c:pt idx="246">
                  <c:v>45.046906369545155</c:v>
                </c:pt>
                <c:pt idx="247">
                  <c:v>44.903385668030268</c:v>
                </c:pt>
                <c:pt idx="248">
                  <c:v>44.759567846953075</c:v>
                </c:pt>
                <c:pt idx="249">
                  <c:v>44.611939823294051</c:v>
                </c:pt>
                <c:pt idx="250">
                  <c:v>44.464011381577365</c:v>
                </c:pt>
                <c:pt idx="251">
                  <c:v>44.315788178846304</c:v>
                </c:pt>
                <c:pt idx="252">
                  <c:v>44.167275806683421</c:v>
                </c:pt>
                <c:pt idx="253">
                  <c:v>44.01532764415154</c:v>
                </c:pt>
                <c:pt idx="254">
                  <c:v>43.86308951955715</c:v>
                </c:pt>
                <c:pt idx="255">
                  <c:v>43.710567176750828</c:v>
                </c:pt>
                <c:pt idx="256">
                  <c:v>43.557766289237776</c:v>
                </c:pt>
                <c:pt idx="257">
                  <c:v>43.400723239976486</c:v>
                </c:pt>
                <c:pt idx="258">
                  <c:v>43.243398898114123</c:v>
                </c:pt>
                <c:pt idx="259">
                  <c:v>43.085799161085987</c:v>
                </c:pt>
                <c:pt idx="260">
                  <c:v>42.927929850074577</c:v>
                </c:pt>
                <c:pt idx="261">
                  <c:v>42.76619975391759</c:v>
                </c:pt>
                <c:pt idx="262">
                  <c:v>42.604199765233659</c:v>
                </c:pt>
                <c:pt idx="263">
                  <c:v>42.441935867186686</c:v>
                </c:pt>
                <c:pt idx="264">
                  <c:v>42.279413961973802</c:v>
                </c:pt>
                <c:pt idx="265">
                  <c:v>42.113019849291561</c:v>
                </c:pt>
                <c:pt idx="266">
                  <c:v>41.946368351100801</c:v>
                </c:pt>
                <c:pt idx="267">
                  <c:v>41.779465514165054</c:v>
                </c:pt>
                <c:pt idx="268">
                  <c:v>41.61231730003442</c:v>
                </c:pt>
                <c:pt idx="269">
                  <c:v>41.440883490545104</c:v>
                </c:pt>
                <c:pt idx="270">
                  <c:v>41.269204693617212</c:v>
                </c:pt>
                <c:pt idx="271">
                  <c:v>41.097287041108672</c:v>
                </c:pt>
                <c:pt idx="272">
                  <c:v>40.925136575049379</c:v>
                </c:pt>
                <c:pt idx="273">
                  <c:v>40.748691055279693</c:v>
                </c:pt>
                <c:pt idx="274">
                  <c:v>40.572014136906461</c:v>
                </c:pt>
                <c:pt idx="275">
                  <c:v>40.395112013990143</c:v>
                </c:pt>
                <c:pt idx="276">
                  <c:v>40.217990786593333</c:v>
                </c:pt>
                <c:pt idx="277">
                  <c:v>40.03697680902917</c:v>
                </c:pt>
                <c:pt idx="278">
                  <c:v>39.855747094450777</c:v>
                </c:pt>
                <c:pt idx="279">
                  <c:v>39.674307835027435</c:v>
                </c:pt>
                <c:pt idx="280">
                  <c:v>39.492665126086166</c:v>
                </c:pt>
                <c:pt idx="281">
                  <c:v>39.305896583658949</c:v>
                </c:pt>
                <c:pt idx="282">
                  <c:v>39.118926146366704</c:v>
                </c:pt>
                <c:pt idx="283">
                  <c:v>38.93176010809114</c:v>
                </c:pt>
                <c:pt idx="284">
                  <c:v>38.744404660838484</c:v>
                </c:pt>
                <c:pt idx="285">
                  <c:v>38.553154530198526</c:v>
                </c:pt>
                <c:pt idx="286">
                  <c:v>38.361720112350525</c:v>
                </c:pt>
                <c:pt idx="287">
                  <c:v>38.17010765625227</c:v>
                </c:pt>
                <c:pt idx="288">
                  <c:v>37.978323307071093</c:v>
                </c:pt>
                <c:pt idx="289">
                  <c:v>37.781406731842907</c:v>
                </c:pt>
                <c:pt idx="290">
                  <c:v>37.584322030644273</c:v>
                </c:pt>
                <c:pt idx="291">
                  <c:v>37.387075507774767</c:v>
                </c:pt>
                <c:pt idx="292">
                  <c:v>37.189673359576972</c:v>
                </c:pt>
                <c:pt idx="293">
                  <c:v>36.98755468633621</c:v>
                </c:pt>
                <c:pt idx="294">
                  <c:v>36.785285895249103</c:v>
                </c:pt>
                <c:pt idx="295">
                  <c:v>36.582873282622529</c:v>
                </c:pt>
                <c:pt idx="296">
                  <c:v>36.380323033989583</c:v>
                </c:pt>
                <c:pt idx="297">
                  <c:v>36.173061724769184</c:v>
                </c:pt>
                <c:pt idx="298">
                  <c:v>35.965669227381312</c:v>
                </c:pt>
                <c:pt idx="299">
                  <c:v>35.75815180861963</c:v>
                </c:pt>
                <c:pt idx="300">
                  <c:v>35.550515622124607</c:v>
                </c:pt>
                <c:pt idx="301">
                  <c:v>35.338176651827922</c:v>
                </c:pt>
                <c:pt idx="302">
                  <c:v>35.125726254749225</c:v>
                </c:pt>
                <c:pt idx="303">
                  <c:v>34.913170647490034</c:v>
                </c:pt>
                <c:pt idx="304">
                  <c:v>34.700515931544516</c:v>
                </c:pt>
                <c:pt idx="305">
                  <c:v>34.482333289758202</c:v>
                </c:pt>
                <c:pt idx="306">
                  <c:v>34.264059047601478</c:v>
                </c:pt>
                <c:pt idx="307">
                  <c:v>34.04569942221994</c:v>
                </c:pt>
                <c:pt idx="308">
                  <c:v>33.82726051232126</c:v>
                </c:pt>
                <c:pt idx="309">
                  <c:v>33.604142890976931</c:v>
                </c:pt>
                <c:pt idx="310">
                  <c:v>33.380955091062958</c:v>
                </c:pt>
                <c:pt idx="311">
                  <c:v>33.157703236641424</c:v>
                </c:pt>
                <c:pt idx="312">
                  <c:v>32.934393332244923</c:v>
                </c:pt>
                <c:pt idx="313">
                  <c:v>32.705582807047364</c:v>
                </c:pt>
                <c:pt idx="314">
                  <c:v>32.476723746394242</c:v>
                </c:pt>
                <c:pt idx="315">
                  <c:v>32.24782222926666</c:v>
                </c:pt>
                <c:pt idx="316">
                  <c:v>32.018884212643087</c:v>
                </c:pt>
                <c:pt idx="317">
                  <c:v>31.78446357215438</c:v>
                </c:pt>
                <c:pt idx="318">
                  <c:v>31.550016928266018</c:v>
                </c:pt>
                <c:pt idx="319">
                  <c:v>31.31555029126821</c:v>
                </c:pt>
                <c:pt idx="320">
                  <c:v>31.081069547413676</c:v>
                </c:pt>
                <c:pt idx="321">
                  <c:v>30.841127173036227</c:v>
                </c:pt>
                <c:pt idx="322">
                  <c:v>30.601182110390823</c:v>
                </c:pt>
                <c:pt idx="323">
                  <c:v>30.36124027828086</c:v>
                </c:pt>
                <c:pt idx="324">
                  <c:v>30.12130746986719</c:v>
                </c:pt>
                <c:pt idx="325">
                  <c:v>29.875936885203856</c:v>
                </c:pt>
                <c:pt idx="326">
                  <c:v>29.630587604085861</c:v>
                </c:pt>
                <c:pt idx="327">
                  <c:v>29.385265431931629</c:v>
                </c:pt>
                <c:pt idx="328">
                  <c:v>29.139976047329327</c:v>
                </c:pt>
                <c:pt idx="329">
                  <c:v>28.888856263777114</c:v>
                </c:pt>
                <c:pt idx="330">
                  <c:v>28.637782509100361</c:v>
                </c:pt>
                <c:pt idx="331">
                  <c:v>28.386760482572043</c:v>
                </c:pt>
                <c:pt idx="332">
                  <c:v>28.135795755004835</c:v>
                </c:pt>
                <c:pt idx="333">
                  <c:v>27.879449221875262</c:v>
                </c:pt>
                <c:pt idx="334">
                  <c:v>27.623173859574251</c:v>
                </c:pt>
                <c:pt idx="335">
                  <c:v>27.36697521092421</c:v>
                </c:pt>
                <c:pt idx="336">
                  <c:v>27.110858689931803</c:v>
                </c:pt>
                <c:pt idx="337">
                  <c:v>26.848555502811166</c:v>
                </c:pt>
                <c:pt idx="338">
                  <c:v>26.586349620076447</c:v>
                </c:pt>
                <c:pt idx="339">
                  <c:v>26.324246460307734</c:v>
                </c:pt>
                <c:pt idx="340">
                  <c:v>26.062251311648254</c:v>
                </c:pt>
                <c:pt idx="341">
                  <c:v>25.794105643442776</c:v>
                </c:pt>
                <c:pt idx="342">
                  <c:v>25.526084029907082</c:v>
                </c:pt>
                <c:pt idx="343">
                  <c:v>25.258191740530009</c:v>
                </c:pt>
                <c:pt idx="344">
                  <c:v>24.990433913197961</c:v>
                </c:pt>
                <c:pt idx="345">
                  <c:v>24.716981233461695</c:v>
                </c:pt>
                <c:pt idx="346">
                  <c:v>24.443679381627618</c:v>
                </c:pt>
                <c:pt idx="347">
                  <c:v>24.170533431334519</c:v>
                </c:pt>
                <c:pt idx="348">
                  <c:v>23.897548324697908</c:v>
                </c:pt>
                <c:pt idx="349">
                  <c:v>23.618076851488127</c:v>
                </c:pt>
                <c:pt idx="350">
                  <c:v>23.338784251541284</c:v>
                </c:pt>
                <c:pt idx="351">
                  <c:v>23.05967542659846</c:v>
                </c:pt>
                <c:pt idx="352">
                  <c:v>22.780755145788618</c:v>
                </c:pt>
                <c:pt idx="353">
                  <c:v>22.495394080993663</c:v>
                </c:pt>
                <c:pt idx="354">
                  <c:v>22.210240348990226</c:v>
                </c:pt>
                <c:pt idx="355">
                  <c:v>21.92529865454631</c:v>
                </c:pt>
                <c:pt idx="356">
                  <c:v>21.640573569200143</c:v>
                </c:pt>
                <c:pt idx="357">
                  <c:v>21.349869179487399</c:v>
                </c:pt>
                <c:pt idx="358">
                  <c:v>21.059400184378973</c:v>
                </c:pt>
                <c:pt idx="359">
                  <c:v>20.769171048994622</c:v>
                </c:pt>
                <c:pt idx="360">
                  <c:v>20.479186105824851</c:v>
                </c:pt>
                <c:pt idx="361">
                  <c:v>20.182446236555904</c:v>
                </c:pt>
                <c:pt idx="362">
                  <c:v>19.88597129792953</c:v>
                </c:pt>
                <c:pt idx="363">
                  <c:v>19.589765531172958</c:v>
                </c:pt>
                <c:pt idx="364">
                  <c:v>19.293833044425497</c:v>
                </c:pt>
                <c:pt idx="365">
                  <c:v>18.991610878421454</c:v>
                </c:pt>
                <c:pt idx="366">
                  <c:v>18.689682541587075</c:v>
                </c:pt>
                <c:pt idx="367">
                  <c:v>18.388052010480209</c:v>
                </c:pt>
                <c:pt idx="368">
                  <c:v>18.086723129320745</c:v>
                </c:pt>
                <c:pt idx="369">
                  <c:v>17.778341480899485</c:v>
                </c:pt>
                <c:pt idx="370">
                  <c:v>17.470284172692345</c:v>
                </c:pt>
                <c:pt idx="371">
                  <c:v>17.162554925814788</c:v>
                </c:pt>
                <c:pt idx="372">
                  <c:v>16.855157328839198</c:v>
                </c:pt>
                <c:pt idx="373">
                  <c:v>16.541175570459586</c:v>
                </c:pt>
                <c:pt idx="374">
                  <c:v>16.227547763904766</c:v>
                </c:pt>
                <c:pt idx="375">
                  <c:v>15.914277336267588</c:v>
                </c:pt>
                <c:pt idx="376">
                  <c:v>15.601367583093719</c:v>
                </c:pt>
                <c:pt idx="377">
                  <c:v>15.281124122311297</c:v>
                </c:pt>
                <c:pt idx="378">
                  <c:v>14.961265926830123</c:v>
                </c:pt>
                <c:pt idx="379">
                  <c:v>14.641796132667679</c:v>
                </c:pt>
                <c:pt idx="380">
                  <c:v>14.322717744440524</c:v>
                </c:pt>
                <c:pt idx="381">
                  <c:v>13.997180233519543</c:v>
                </c:pt>
                <c:pt idx="382">
                  <c:v>13.672057087680372</c:v>
                </c:pt>
                <c:pt idx="383">
                  <c:v>13.34735110566308</c:v>
                </c:pt>
                <c:pt idx="384">
                  <c:v>13.023064956783713</c:v>
                </c:pt>
                <c:pt idx="385">
                  <c:v>12.691180205145145</c:v>
                </c:pt>
                <c:pt idx="386">
                  <c:v>12.359741627182444</c:v>
                </c:pt>
                <c:pt idx="387">
                  <c:v>12.028751693561958</c:v>
                </c:pt>
                <c:pt idx="388">
                  <c:v>11.698212746085488</c:v>
                </c:pt>
                <c:pt idx="389">
                  <c:v>11.36054875320778</c:v>
                </c:pt>
                <c:pt idx="390">
                  <c:v>11.023361265748235</c:v>
                </c:pt>
                <c:pt idx="391">
                  <c:v>10.686652393220186</c:v>
                </c:pt>
                <c:pt idx="392">
                  <c:v>10.35042411801146</c:v>
                </c:pt>
                <c:pt idx="393">
                  <c:v>10.007143460950601</c:v>
                </c:pt>
                <c:pt idx="394">
                  <c:v>9.6643690295609019</c:v>
                </c:pt>
                <c:pt idx="395">
                  <c:v>9.3221025518649583</c:v>
                </c:pt>
                <c:pt idx="396">
                  <c:v>8.9803456310043828</c:v>
                </c:pt>
                <c:pt idx="397">
                  <c:v>8.6308215320765669</c:v>
                </c:pt>
                <c:pt idx="398">
                  <c:v>8.2818350491544095</c:v>
                </c:pt>
                <c:pt idx="399">
                  <c:v>7.9333875190080221</c:v>
                </c:pt>
                <c:pt idx="400">
                  <c:v>7.5854801551573132</c:v>
                </c:pt>
                <c:pt idx="401">
                  <c:v>7.2302790846723042</c:v>
                </c:pt>
                <c:pt idx="402">
                  <c:v>6.8756450288616122</c:v>
                </c:pt>
                <c:pt idx="403">
                  <c:v>6.5215789070569201</c:v>
                </c:pt>
                <c:pt idx="404">
                  <c:v>6.1680815180772868</c:v>
                </c:pt>
                <c:pt idx="405">
                  <c:v>5.8069798507422945</c:v>
                </c:pt>
                <c:pt idx="406">
                  <c:v>5.4464749068631022</c:v>
                </c:pt>
                <c:pt idx="407">
                  <c:v>5.0865671719976433</c:v>
                </c:pt>
                <c:pt idx="408">
                  <c:v>4.7272570139143397</c:v>
                </c:pt>
                <c:pt idx="409">
                  <c:v>4.3600388200155464</c:v>
                </c:pt>
                <c:pt idx="410">
                  <c:v>3.9934473196647389</c:v>
                </c:pt>
                <c:pt idx="411">
                  <c:v>3.62748254555774</c:v>
                </c:pt>
                <c:pt idx="412">
                  <c:v>3.2621444153655261</c:v>
                </c:pt>
                <c:pt idx="413">
                  <c:v>2.8889853079660668</c:v>
                </c:pt>
                <c:pt idx="414">
                  <c:v>2.5164817066749947</c:v>
                </c:pt>
                <c:pt idx="415">
                  <c:v>2.1446331711497351</c:v>
                </c:pt>
                <c:pt idx="416">
                  <c:v>1.7734391493352746</c:v>
                </c:pt>
                <c:pt idx="417">
                  <c:v>1.3941299465105885</c:v>
                </c:pt>
                <c:pt idx="418">
                  <c:v>1.0155051165209557</c:v>
                </c:pt>
                <c:pt idx="419">
                  <c:v>0.63756372512474968</c:v>
                </c:pt>
                <c:pt idx="420">
                  <c:v>0.26030472975116936</c:v>
                </c:pt>
                <c:pt idx="421">
                  <c:v>-0.12460003938545583</c:v>
                </c:pt>
                <c:pt idx="422">
                  <c:v>-0.50879440601593728</c:v>
                </c:pt>
                <c:pt idx="423">
                  <c:v>-0.89227981277005597</c:v>
                </c:pt>
                <c:pt idx="424">
                  <c:v>-1.2750578062992588</c:v>
                </c:pt>
                <c:pt idx="425">
                  <c:v>-1.6665225353378617</c:v>
                </c:pt>
                <c:pt idx="426">
                  <c:v>-2.0572482170598505</c:v>
                </c:pt>
                <c:pt idx="427">
                  <c:v>-2.4472368333741485</c:v>
                </c:pt>
                <c:pt idx="428">
                  <c:v>-2.8364904666319433</c:v>
                </c:pt>
                <c:pt idx="429">
                  <c:v>-3.2339599247060846</c:v>
                </c:pt>
                <c:pt idx="430">
                  <c:v>-3.630664836232711</c:v>
                </c:pt>
                <c:pt idx="431">
                  <c:v>-4.0266077359452197</c:v>
                </c:pt>
                <c:pt idx="432">
                  <c:v>-4.4217912545506408</c:v>
                </c:pt>
                <c:pt idx="433">
                  <c:v>-4.8250979119200679</c:v>
                </c:pt>
                <c:pt idx="434">
                  <c:v>-5.2276164332332939</c:v>
                </c:pt>
                <c:pt idx="435">
                  <c:v>-5.6293499213484495</c:v>
                </c:pt>
                <c:pt idx="436">
                  <c:v>-6.0303015702158405</c:v>
                </c:pt>
                <c:pt idx="437">
                  <c:v>-6.4400193517730315</c:v>
                </c:pt>
                <c:pt idx="438">
                  <c:v>-6.8489245707355053</c:v>
                </c:pt>
                <c:pt idx="439">
                  <c:v>-7.2570209314208398</c:v>
                </c:pt>
                <c:pt idx="440">
                  <c:v>-7.6643122246245809</c:v>
                </c:pt>
                <c:pt idx="441">
                  <c:v>-8.0802714899377008</c:v>
                </c:pt>
                <c:pt idx="442">
                  <c:v>-8.4953959999325264</c:v>
                </c:pt>
                <c:pt idx="443">
                  <c:v>-8.9096900777356325</c:v>
                </c:pt>
                <c:pt idx="444">
                  <c:v>-9.323158127947238</c:v>
                </c:pt>
                <c:pt idx="445">
                  <c:v>-9.7451980835078587</c:v>
                </c:pt>
                <c:pt idx="446">
                  <c:v>-10.16638350507921</c:v>
                </c:pt>
                <c:pt idx="447">
                  <c:v>-10.586719349962976</c:v>
                </c:pt>
                <c:pt idx="448">
                  <c:v>-11.006210651627953</c:v>
                </c:pt>
                <c:pt idx="449">
                  <c:v>-11.434897022317529</c:v>
                </c:pt>
                <c:pt idx="450">
                  <c:v>-11.862708751447627</c:v>
                </c:pt>
                <c:pt idx="451">
                  <c:v>-12.289651472559655</c:v>
                </c:pt>
                <c:pt idx="452">
                  <c:v>-12.715730890299568</c:v>
                </c:pt>
                <c:pt idx="453">
                  <c:v>-13.150550440201812</c:v>
                </c:pt>
                <c:pt idx="454">
                  <c:v>-13.584479515461794</c:v>
                </c:pt>
                <c:pt idx="455">
                  <c:v>-14.017524428304341</c:v>
                </c:pt>
                <c:pt idx="456">
                  <c:v>-14.449691556553603</c:v>
                </c:pt>
                <c:pt idx="457">
                  <c:v>-14.891212143118992</c:v>
                </c:pt>
                <c:pt idx="458">
                  <c:v>-15.331826513907174</c:v>
                </c:pt>
                <c:pt idx="459">
                  <c:v>-15.771541707492105</c:v>
                </c:pt>
                <c:pt idx="460">
                  <c:v>-16.210364822846287</c:v>
                </c:pt>
                <c:pt idx="461">
                  <c:v>-16.658444624065169</c:v>
                </c:pt>
                <c:pt idx="462">
                  <c:v>-17.10560572673711</c:v>
                </c:pt>
                <c:pt idx="463">
                  <c:v>-17.55185591443535</c:v>
                </c:pt>
                <c:pt idx="464">
                  <c:v>-17.9972030258632</c:v>
                </c:pt>
                <c:pt idx="465">
                  <c:v>-18.452061122199126</c:v>
                </c:pt>
                <c:pt idx="466">
                  <c:v>-18.905990093991107</c:v>
                </c:pt>
                <c:pt idx="467">
                  <c:v>-19.358998507491407</c:v>
                </c:pt>
                <c:pt idx="468">
                  <c:v>-19.811094979019032</c:v>
                </c:pt>
                <c:pt idx="469">
                  <c:v>-20.272610330134569</c:v>
                </c:pt>
                <c:pt idx="470">
                  <c:v>-20.733189880502096</c:v>
                </c:pt>
                <c:pt idx="471">
                  <c:v>-21.192842999761496</c:v>
                </c:pt>
                <c:pt idx="472">
                  <c:v>-21.651579102695194</c:v>
                </c:pt>
                <c:pt idx="473">
                  <c:v>-22.120329848998892</c:v>
                </c:pt>
                <c:pt idx="474">
                  <c:v>-22.588139369353485</c:v>
                </c:pt>
                <c:pt idx="475">
                  <c:v>-23.05501790264114</c:v>
                </c:pt>
                <c:pt idx="476">
                  <c:v>-23.520975728468215</c:v>
                </c:pt>
                <c:pt idx="477">
                  <c:v>-23.996858971520567</c:v>
                </c:pt>
                <c:pt idx="478">
                  <c:v>-24.471799960574032</c:v>
                </c:pt>
                <c:pt idx="479">
                  <c:v>-24.945809831451129</c:v>
                </c:pt>
                <c:pt idx="480">
                  <c:v>-25.418899756633351</c:v>
                </c:pt>
                <c:pt idx="481">
                  <c:v>-25.901832404145608</c:v>
                </c:pt>
                <c:pt idx="482">
                  <c:v>-26.383826444771472</c:v>
                </c:pt>
                <c:pt idx="483">
                  <c:v>-26.864893940530976</c:v>
                </c:pt>
                <c:pt idx="484">
                  <c:v>-27.345046986547771</c:v>
                </c:pt>
                <c:pt idx="485">
                  <c:v>-27.835300621587606</c:v>
                </c:pt>
                <c:pt idx="486">
                  <c:v>-28.324623000383838</c:v>
                </c:pt>
                <c:pt idx="487">
                  <c:v>-28.813027169416642</c:v>
                </c:pt>
                <c:pt idx="488">
                  <c:v>-29.300526205476956</c:v>
                </c:pt>
                <c:pt idx="489">
                  <c:v>-29.798716210743237</c:v>
                </c:pt>
                <c:pt idx="490">
                  <c:v>-30.295985271734253</c:v>
                </c:pt>
                <c:pt idx="491">
                  <c:v>-30.792347513480593</c:v>
                </c:pt>
                <c:pt idx="492">
                  <c:v>-31.287817089513027</c:v>
                </c:pt>
                <c:pt idx="493">
                  <c:v>-31.793907601437496</c:v>
                </c:pt>
                <c:pt idx="494">
                  <c:v>-32.299093489444488</c:v>
                </c:pt>
                <c:pt idx="495">
                  <c:v>-32.803390005233808</c:v>
                </c:pt>
                <c:pt idx="496">
                  <c:v>-33.306812428195883</c:v>
                </c:pt>
                <c:pt idx="497">
                  <c:v>-33.821121783804102</c:v>
                </c:pt>
                <c:pt idx="498">
                  <c:v>-34.334548140725758</c:v>
                </c:pt>
                <c:pt idx="499">
                  <c:v>-34.84710796217135</c:v>
                </c:pt>
                <c:pt idx="500">
                  <c:v>-35.358817739520333</c:v>
                </c:pt>
                <c:pt idx="501">
                  <c:v>-35.881685642884605</c:v>
                </c:pt>
                <c:pt idx="502">
                  <c:v>-36.403698140077495</c:v>
                </c:pt>
                <c:pt idx="503">
                  <c:v>-36.924873002311926</c:v>
                </c:pt>
                <c:pt idx="504">
                  <c:v>-37.445228030964074</c:v>
                </c:pt>
                <c:pt idx="505">
                  <c:v>-37.976697008148875</c:v>
                </c:pt>
                <c:pt idx="506">
                  <c:v>-38.507345865199767</c:v>
                </c:pt>
                <c:pt idx="507">
                  <c:v>-39.037193756341566</c:v>
                </c:pt>
                <c:pt idx="508">
                  <c:v>-39.566259869651475</c:v>
                </c:pt>
                <c:pt idx="509">
                  <c:v>-40.106728961200702</c:v>
                </c:pt>
                <c:pt idx="510">
                  <c:v>-40.646420567256655</c:v>
                </c:pt>
                <c:pt idx="511">
                  <c:v>-41.185355346478786</c:v>
                </c:pt>
                <c:pt idx="512">
                  <c:v>-41.723553997113299</c:v>
                </c:pt>
                <c:pt idx="513">
                  <c:v>-42.273772865575609</c:v>
                </c:pt>
                <c:pt idx="514">
                  <c:v>-42.823264311334924</c:v>
                </c:pt>
                <c:pt idx="515">
                  <c:v>-43.37205067501182</c:v>
                </c:pt>
                <c:pt idx="516">
                  <c:v>-43.920154345014339</c:v>
                </c:pt>
                <c:pt idx="517">
                  <c:v>-44.480269754049885</c:v>
                </c:pt>
                <c:pt idx="518">
                  <c:v>-45.039718055414625</c:v>
                </c:pt>
                <c:pt idx="519">
                  <c:v>-45.598523393635759</c:v>
                </c:pt>
                <c:pt idx="520">
                  <c:v>-46.15670997183534</c:v>
                </c:pt>
                <c:pt idx="521">
                  <c:v>-46.727233094396752</c:v>
                </c:pt>
                <c:pt idx="522">
                  <c:v>-47.297159871539975</c:v>
                </c:pt>
                <c:pt idx="523">
                  <c:v>-47.866516432892695</c:v>
                </c:pt>
                <c:pt idx="524">
                  <c:v>-48.435328980547837</c:v>
                </c:pt>
                <c:pt idx="525">
                  <c:v>-49.016819387906395</c:v>
                </c:pt>
                <c:pt idx="526">
                  <c:v>-49.597795959570306</c:v>
                </c:pt>
                <c:pt idx="527">
                  <c:v>-50.178287017033341</c:v>
                </c:pt>
                <c:pt idx="528">
                  <c:v>-50.758320971568338</c:v>
                </c:pt>
                <c:pt idx="529">
                  <c:v>-51.35139336762154</c:v>
                </c:pt>
                <c:pt idx="530">
                  <c:v>-51.94404765059673</c:v>
                </c:pt>
                <c:pt idx="531">
                  <c:v>-52.536314569453651</c:v>
                </c:pt>
                <c:pt idx="532">
                  <c:v>-53.128224984059784</c:v>
                </c:pt>
                <c:pt idx="533">
                  <c:v>-53.733869194349978</c:v>
                </c:pt>
                <c:pt idx="534">
                  <c:v>-54.339205577536234</c:v>
                </c:pt>
                <c:pt idx="535">
                  <c:v>-54.94426762981081</c:v>
                </c:pt>
                <c:pt idx="536">
                  <c:v>-55.549088983846474</c:v>
                </c:pt>
                <c:pt idx="537">
                  <c:v>-56.167428331602167</c:v>
                </c:pt>
                <c:pt idx="538">
                  <c:v>-56.785587533612784</c:v>
                </c:pt>
                <c:pt idx="539">
                  <c:v>-57.403603033262243</c:v>
                </c:pt>
                <c:pt idx="540">
                  <c:v>-58.02151143984446</c:v>
                </c:pt>
                <c:pt idx="541">
                  <c:v>-58.654000036170345</c:v>
                </c:pt>
                <c:pt idx="542">
                  <c:v>-59.28645459283689</c:v>
                </c:pt>
                <c:pt idx="543">
                  <c:v>-59.918914953412809</c:v>
                </c:pt>
                <c:pt idx="544">
                  <c:v>-60.551421162005909</c:v>
                </c:pt>
                <c:pt idx="545">
                  <c:v>-61.198668255215239</c:v>
                </c:pt>
                <c:pt idx="546">
                  <c:v>-61.846048819859732</c:v>
                </c:pt>
                <c:pt idx="547">
                  <c:v>-62.49360642886208</c:v>
                </c:pt>
                <c:pt idx="548">
                  <c:v>-63.141384894347652</c:v>
                </c:pt>
                <c:pt idx="549">
                  <c:v>-63.804415420483309</c:v>
                </c:pt>
                <c:pt idx="550">
                  <c:v>-64.467770704141742</c:v>
                </c:pt>
                <c:pt idx="551">
                  <c:v>-65.131498474440718</c:v>
                </c:pt>
                <c:pt idx="552">
                  <c:v>-65.795646742120596</c:v>
                </c:pt>
                <c:pt idx="553">
                  <c:v>-66.475915257003606</c:v>
                </c:pt>
                <c:pt idx="554">
                  <c:v>-67.156727001837538</c:v>
                </c:pt>
                <c:pt idx="555">
                  <c:v>-67.838134403107745</c:v>
                </c:pt>
                <c:pt idx="556">
                  <c:v>-68.520190214399264</c:v>
                </c:pt>
                <c:pt idx="557">
                  <c:v>-69.918548289418908</c:v>
                </c:pt>
                <c:pt idx="558">
                  <c:v>-71.320305565725079</c:v>
                </c:pt>
                <c:pt idx="559">
                  <c:v>-72.758195438469812</c:v>
                </c:pt>
                <c:pt idx="560">
                  <c:v>-74.200634250666951</c:v>
                </c:pt>
                <c:pt idx="561">
                  <c:v>-75.682542328114863</c:v>
                </c:pt>
                <c:pt idx="562">
                  <c:v>-77.170309796619563</c:v>
                </c:pt>
                <c:pt idx="563">
                  <c:v>-78.696638474009774</c:v>
                </c:pt>
                <c:pt idx="564">
                  <c:v>-80.23027582285556</c:v>
                </c:pt>
                <c:pt idx="565">
                  <c:v>-81.810807371180886</c:v>
                </c:pt>
                <c:pt idx="566">
                  <c:v>-83.400336993646818</c:v>
                </c:pt>
                <c:pt idx="567">
                  <c:v>-85.03899398769795</c:v>
                </c:pt>
                <c:pt idx="568">
                  <c:v>-86.688542435615432</c:v>
                </c:pt>
                <c:pt idx="569">
                  <c:v>-88.383070114798727</c:v>
                </c:pt>
                <c:pt idx="570">
                  <c:v>-90.090489931083255</c:v>
                </c:pt>
                <c:pt idx="571">
                  <c:v>-91.85904164053261</c:v>
                </c:pt>
                <c:pt idx="572">
                  <c:v>-93.642901369643653</c:v>
                </c:pt>
                <c:pt idx="573">
                  <c:v>-95.477442533045803</c:v>
                </c:pt>
                <c:pt idx="574">
                  <c:v>-97.329676811604202</c:v>
                </c:pt>
                <c:pt idx="575">
                  <c:v>-99.249803039137248</c:v>
                </c:pt>
                <c:pt idx="576">
                  <c:v>-101.19045130929436</c:v>
                </c:pt>
                <c:pt idx="577">
                  <c:v>-109.65435946979142</c:v>
                </c:pt>
                <c:pt idx="578">
                  <c:v>-118.56327141039446</c:v>
                </c:pt>
                <c:pt idx="579">
                  <c:v>-139.76754761032686</c:v>
                </c:pt>
                <c:pt idx="580">
                  <c:v>-165.08007419891499</c:v>
                </c:pt>
                <c:pt idx="581">
                  <c:v>-12.52394456229348</c:v>
                </c:pt>
                <c:pt idx="582">
                  <c:v>-38.699709348049879</c:v>
                </c:pt>
                <c:pt idx="583">
                  <c:v>-61.908130951153879</c:v>
                </c:pt>
                <c:pt idx="584">
                  <c:v>-82.992496990040934</c:v>
                </c:pt>
                <c:pt idx="585">
                  <c:v>-104.16430119365361</c:v>
                </c:pt>
                <c:pt idx="586">
                  <c:v>-129.10872905781792</c:v>
                </c:pt>
                <c:pt idx="587">
                  <c:v>-164.19190985944886</c:v>
                </c:pt>
                <c:pt idx="588">
                  <c:v>-31.41374082856413</c:v>
                </c:pt>
                <c:pt idx="589">
                  <c:v>-73.501713469567875</c:v>
                </c:pt>
                <c:pt idx="590">
                  <c:v>-105.92453202507841</c:v>
                </c:pt>
                <c:pt idx="591">
                  <c:v>-141.23683718301277</c:v>
                </c:pt>
                <c:pt idx="592">
                  <c:v>-19.300882266252614</c:v>
                </c:pt>
                <c:pt idx="593">
                  <c:v>-80.941723363238793</c:v>
                </c:pt>
                <c:pt idx="594">
                  <c:v>-124.50873757242863</c:v>
                </c:pt>
                <c:pt idx="595">
                  <c:v>-189.64869394416831</c:v>
                </c:pt>
                <c:pt idx="596">
                  <c:v>-88.831038091778112</c:v>
                </c:pt>
                <c:pt idx="597">
                  <c:v>-146.98601414748083</c:v>
                </c:pt>
                <c:pt idx="598">
                  <c:v>-68.251254523321251</c:v>
                </c:pt>
                <c:pt idx="599">
                  <c:v>-139.65213959308056</c:v>
                </c:pt>
                <c:pt idx="600">
                  <c:v>-76.428032040141488</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Single'!$AN$110:$AN$210</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341.19996701038207</c:v>
                </c:pt>
                <c:pt idx="35">
                  <c:v>332.17721232048342</c:v>
                </c:pt>
                <c:pt idx="36">
                  <c:v>323.23537981342434</c:v>
                </c:pt>
                <c:pt idx="37">
                  <c:v>315.07489404756603</c:v>
                </c:pt>
                <c:pt idx="38">
                  <c:v>307.3841642389832</c:v>
                </c:pt>
                <c:pt idx="39">
                  <c:v>300.07165912005559</c:v>
                </c:pt>
                <c:pt idx="40">
                  <c:v>293.07134516897264</c:v>
                </c:pt>
                <c:pt idx="41">
                  <c:v>286.28690671498555</c:v>
                </c:pt>
                <c:pt idx="42">
                  <c:v>279.80612247679039</c:v>
                </c:pt>
                <c:pt idx="43">
                  <c:v>273.62769789235898</c:v>
                </c:pt>
                <c:pt idx="44">
                  <c:v>267.71492912959576</c:v>
                </c:pt>
                <c:pt idx="45">
                  <c:v>262.05103803733306</c:v>
                </c:pt>
                <c:pt idx="46">
                  <c:v>256.62063023751739</c:v>
                </c:pt>
                <c:pt idx="47">
                  <c:v>251.40955534920479</c:v>
                </c:pt>
                <c:pt idx="48">
                  <c:v>246.40478381972719</c:v>
                </c:pt>
                <c:pt idx="49">
                  <c:v>241.59429810572948</c:v>
                </c:pt>
                <c:pt idx="50">
                  <c:v>236.96699629074348</c:v>
                </c:pt>
                <c:pt idx="51">
                  <c:v>232.51260651207804</c:v>
                </c:pt>
                <c:pt idx="52">
                  <c:v>228.22161080866272</c:v>
                </c:pt>
                <c:pt idx="53">
                  <c:v>224.08517720160768</c:v>
                </c:pt>
                <c:pt idx="54">
                  <c:v>220.09509898749036</c:v>
                </c:pt>
                <c:pt idx="55">
                  <c:v>216.24374036629294</c:v>
                </c:pt>
                <c:pt idx="56">
                  <c:v>212.5239876459938</c:v>
                </c:pt>
                <c:pt idx="57">
                  <c:v>208.92920536772999</c:v>
                </c:pt>
                <c:pt idx="58">
                  <c:v>205.45319678220679</c:v>
                </c:pt>
                <c:pt idx="59">
                  <c:v>202.09016818208795</c:v>
                </c:pt>
                <c:pt idx="60">
                  <c:v>198.83469665849324</c:v>
                </c:pt>
                <c:pt idx="61">
                  <c:v>195.68170090414023</c:v>
                </c:pt>
                <c:pt idx="62">
                  <c:v>192.62641473248769</c:v>
                </c:pt>
                <c:pt idx="63">
                  <c:v>189.66436302261533</c:v>
                </c:pt>
                <c:pt idx="64">
                  <c:v>186.79133983450225</c:v>
                </c:pt>
                <c:pt idx="65">
                  <c:v>184.003388469621</c:v>
                </c:pt>
                <c:pt idx="66">
                  <c:v>181.29678327805729</c:v>
                </c:pt>
                <c:pt idx="67">
                  <c:v>178.6680130362445</c:v>
                </c:pt>
                <c:pt idx="68">
                  <c:v>176.11376573936465</c:v>
                </c:pt>
                <c:pt idx="69">
                  <c:v>173.63091466991705</c:v>
                </c:pt>
                <c:pt idx="70">
                  <c:v>171.21650561923701</c:v>
                </c:pt>
                <c:pt idx="71">
                  <c:v>168.86774515216089</c:v>
                </c:pt>
                <c:pt idx="72">
                  <c:v>166.5819898168206</c:v>
                </c:pt>
                <c:pt idx="73">
                  <c:v>164.35673621194306</c:v>
                </c:pt>
                <c:pt idx="74">
                  <c:v>162.18961183318621</c:v>
                </c:pt>
                <c:pt idx="75">
                  <c:v>160.07836662814898</c:v>
                </c:pt>
                <c:pt idx="76">
                  <c:v>158.02086519686063</c:v>
                </c:pt>
                <c:pt idx="77">
                  <c:v>156.01507958091381</c:v>
                </c:pt>
                <c:pt idx="78">
                  <c:v>154.05908259005574</c:v>
                </c:pt>
                <c:pt idx="79">
                  <c:v>152.15104162007464</c:v>
                </c:pt>
                <c:pt idx="80">
                  <c:v>150.28921292029628</c:v>
                </c:pt>
                <c:pt idx="81">
                  <c:v>148.47193627299765</c:v>
                </c:pt>
                <c:pt idx="82">
                  <c:v>146.69763005061552</c:v>
                </c:pt>
                <c:pt idx="83">
                  <c:v>144.96478661981774</c:v>
                </c:pt>
                <c:pt idx="84">
                  <c:v>143.27196806436959</c:v>
                </c:pt>
                <c:pt idx="85">
                  <c:v>141.61780220128878</c:v>
                </c:pt>
                <c:pt idx="86">
                  <c:v>140.00097886709295</c:v>
                </c:pt>
                <c:pt idx="87">
                  <c:v>138.4202464530149</c:v>
                </c:pt>
                <c:pt idx="88">
                  <c:v>136.87440866992733</c:v>
                </c:pt>
                <c:pt idx="89">
                  <c:v>135.36232152540461</c:v>
                </c:pt>
                <c:pt idx="90">
                  <c:v>133.88289049686736</c:v>
                </c:pt>
                <c:pt idx="91">
                  <c:v>132.4350678861303</c:v>
                </c:pt>
                <c:pt idx="92">
                  <c:v>131.01785034191516</c:v>
                </c:pt>
                <c:pt idx="93">
                  <c:v>129.63027653801851</c:v>
                </c:pt>
                <c:pt idx="94">
                  <c:v>128.27142499584147</c:v>
                </c:pt>
                <c:pt idx="95">
                  <c:v>126.94041204091924</c:v>
                </c:pt>
                <c:pt idx="96">
                  <c:v>125.63638988392481</c:v>
                </c:pt>
                <c:pt idx="97">
                  <c:v>124.35854481739277</c:v>
                </c:pt>
                <c:pt idx="98">
                  <c:v>123.10609552010054</c:v>
                </c:pt>
                <c:pt idx="99">
                  <c:v>121.87829146168403</c:v>
                </c:pt>
                <c:pt idx="100">
                  <c:v>120.67441140064166</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Single'!$AN$5:$AN$105</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347.66330326496347</c:v>
                </c:pt>
                <c:pt idx="45">
                  <c:v>340.55931015097519</c:v>
                </c:pt>
                <c:pt idx="46">
                  <c:v>333.74620214384856</c:v>
                </c:pt>
                <c:pt idx="47">
                  <c:v>326.69203433110465</c:v>
                </c:pt>
                <c:pt idx="48">
                  <c:v>320.42475146740026</c:v>
                </c:pt>
                <c:pt idx="49">
                  <c:v>314.40157442794577</c:v>
                </c:pt>
                <c:pt idx="50">
                  <c:v>308.60888682019475</c:v>
                </c:pt>
                <c:pt idx="51">
                  <c:v>303.03408398803276</c:v>
                </c:pt>
                <c:pt idx="52">
                  <c:v>297.63271981452345</c:v>
                </c:pt>
                <c:pt idx="53">
                  <c:v>292.36349774218758</c:v>
                </c:pt>
                <c:pt idx="54">
                  <c:v>287.27863903344956</c:v>
                </c:pt>
                <c:pt idx="55">
                  <c:v>282.36866544043266</c:v>
                </c:pt>
                <c:pt idx="56">
                  <c:v>277.61404678115326</c:v>
                </c:pt>
                <c:pt idx="57">
                  <c:v>273.01559640379708</c:v>
                </c:pt>
                <c:pt idx="58">
                  <c:v>268.5671369804906</c:v>
                </c:pt>
                <c:pt idx="59">
                  <c:v>264.26144415393429</c:v>
                </c:pt>
                <c:pt idx="60">
                  <c:v>260.09175019452078</c:v>
                </c:pt>
                <c:pt idx="61">
                  <c:v>256.05170848410688</c:v>
                </c:pt>
                <c:pt idx="62">
                  <c:v>252.13536126392751</c:v>
                </c:pt>
                <c:pt idx="63">
                  <c:v>248.33711030194053</c:v>
                </c:pt>
                <c:pt idx="64">
                  <c:v>244.65169017587641</c:v>
                </c:pt>
                <c:pt idx="65">
                  <c:v>241.07414390384915</c:v>
                </c:pt>
                <c:pt idx="66">
                  <c:v>237.5998006853479</c:v>
                </c:pt>
                <c:pt idx="67">
                  <c:v>234.2242555424248</c:v>
                </c:pt>
                <c:pt idx="68">
                  <c:v>230.94335067448264</c:v>
                </c:pt>
                <c:pt idx="69">
                  <c:v>227.75315836071772</c:v>
                </c:pt>
                <c:pt idx="70">
                  <c:v>224.64996526238895</c:v>
                </c:pt>
                <c:pt idx="71">
                  <c:v>221.63025799300297</c:v>
                </c:pt>
                <c:pt idx="72">
                  <c:v>218.69070983852433</c:v>
                </c:pt>
                <c:pt idx="73">
                  <c:v>215.82816852208171</c:v>
                </c:pt>
                <c:pt idx="74">
                  <c:v>213.03964491856547</c:v>
                </c:pt>
                <c:pt idx="75">
                  <c:v>210.32230263417952</c:v>
                </c:pt>
                <c:pt idx="76">
                  <c:v>207.67344837458063</c:v>
                </c:pt>
                <c:pt idx="77">
                  <c:v>205.09052303284869</c:v>
                </c:pt>
                <c:pt idx="78">
                  <c:v>202.57109343529737</c:v>
                </c:pt>
                <c:pt idx="79">
                  <c:v>200.1128446891621</c:v>
                </c:pt>
                <c:pt idx="80">
                  <c:v>197.71357308157911</c:v>
                </c:pt>
                <c:pt idx="81">
                  <c:v>195.37117948406774</c:v>
                </c:pt>
                <c:pt idx="82">
                  <c:v>193.08366322102654</c:v>
                </c:pt>
                <c:pt idx="83">
                  <c:v>190.84911636459867</c:v>
                </c:pt>
                <c:pt idx="84">
                  <c:v>188.665718421713</c:v>
                </c:pt>
                <c:pt idx="85">
                  <c:v>186.53173138220478</c:v>
                </c:pt>
                <c:pt idx="86">
                  <c:v>184.44549509970815</c:v>
                </c:pt>
                <c:pt idx="87">
                  <c:v>182.40542297951816</c:v>
                </c:pt>
                <c:pt idx="88">
                  <c:v>180.409997949885</c:v>
                </c:pt>
                <c:pt idx="89">
                  <c:v>178.4577686952388</c:v>
                </c:pt>
                <c:pt idx="90">
                  <c:v>176.54734613169154</c:v>
                </c:pt>
                <c:pt idx="91">
                  <c:v>174.67740010682937</c:v>
                </c:pt>
                <c:pt idx="92">
                  <c:v>172.84665630731507</c:v>
                </c:pt>
                <c:pt idx="93">
                  <c:v>171.05389335919594</c:v>
                </c:pt>
                <c:pt idx="94">
                  <c:v>169.29794010704876</c:v>
                </c:pt>
                <c:pt idx="95">
                  <c:v>167.57767305922579</c:v>
                </c:pt>
                <c:pt idx="96">
                  <c:v>165.89201398749125</c:v>
                </c:pt>
                <c:pt idx="97">
                  <c:v>164.23992767027067</c:v>
                </c:pt>
                <c:pt idx="98">
                  <c:v>162.62041976958793</c:v>
                </c:pt>
                <c:pt idx="99">
                  <c:v>161.03253483254144</c:v>
                </c:pt>
                <c:pt idx="100">
                  <c:v>159.47535440887859</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Single'!$AN$216:$AN$316</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347.09082652202289</c:v>
                </c:pt>
                <c:pt idx="62">
                  <c:v>341.98395049687286</c:v>
                </c:pt>
                <c:pt idx="63">
                  <c:v>337.0295896010839</c:v>
                </c:pt>
                <c:pt idx="64">
                  <c:v>332.22105826031043</c:v>
                </c:pt>
                <c:pt idx="65">
                  <c:v>327.03848099648962</c:v>
                </c:pt>
                <c:pt idx="66">
                  <c:v>322.51658389644467</c:v>
                </c:pt>
                <c:pt idx="67">
                  <c:v>318.12328877596747</c:v>
                </c:pt>
                <c:pt idx="68">
                  <c:v>313.85330312229485</c:v>
                </c:pt>
                <c:pt idx="69">
                  <c:v>309.7016235562441</c:v>
                </c:pt>
                <c:pt idx="70">
                  <c:v>305.65044437869921</c:v>
                </c:pt>
                <c:pt idx="71">
                  <c:v>301.66886094028393</c:v>
                </c:pt>
                <c:pt idx="72">
                  <c:v>297.79215268116826</c:v>
                </c:pt>
                <c:pt idx="73">
                  <c:v>294.0162741763836</c:v>
                </c:pt>
                <c:pt idx="74">
                  <c:v>290.33738645271148</c:v>
                </c:pt>
                <c:pt idx="75">
                  <c:v>286.75184401474047</c:v>
                </c:pt>
                <c:pt idx="76">
                  <c:v>283.24753111949281</c:v>
                </c:pt>
                <c:pt idx="77">
                  <c:v>279.81280698348456</c:v>
                </c:pt>
                <c:pt idx="78">
                  <c:v>276.46128035470485</c:v>
                </c:pt>
                <c:pt idx="79">
                  <c:v>273.18996236625179</c:v>
                </c:pt>
                <c:pt idx="80">
                  <c:v>269.99600562646924</c:v>
                </c:pt>
                <c:pt idx="81">
                  <c:v>266.87669594608525</c:v>
                </c:pt>
                <c:pt idx="82">
                  <c:v>263.829444639153</c:v>
                </c:pt>
                <c:pt idx="83">
                  <c:v>260.85178135189494</c:v>
                </c:pt>
                <c:pt idx="84">
                  <c:v>257.94134737769537</c:v>
                </c:pt>
                <c:pt idx="85">
                  <c:v>255.09588942022236</c:v>
                </c:pt>
                <c:pt idx="86">
                  <c:v>252.31325377001829</c:v>
                </c:pt>
                <c:pt idx="87">
                  <c:v>249.59138086293152</c:v>
                </c:pt>
                <c:pt idx="88">
                  <c:v>246.92830019149039</c:v>
                </c:pt>
                <c:pt idx="89">
                  <c:v>244.32212554280423</c:v>
                </c:pt>
                <c:pt idx="90">
                  <c:v>241.77105053879831</c:v>
                </c:pt>
                <c:pt idx="91">
                  <c:v>239.27334445662993</c:v>
                </c:pt>
                <c:pt idx="92">
                  <c:v>236.82734830895751</c:v>
                </c:pt>
                <c:pt idx="93">
                  <c:v>234.43147116541209</c:v>
                </c:pt>
                <c:pt idx="94">
                  <c:v>232.08418669812698</c:v>
                </c:pt>
                <c:pt idx="95">
                  <c:v>229.78402993556682</c:v>
                </c:pt>
                <c:pt idx="96">
                  <c:v>227.52959421014609</c:v>
                </c:pt>
                <c:pt idx="97">
                  <c:v>225.3195282862747</c:v>
                </c:pt>
                <c:pt idx="98">
                  <c:v>223.15253365650787</c:v>
                </c:pt>
                <c:pt idx="99">
                  <c:v>221.02736199443322</c:v>
                </c:pt>
                <c:pt idx="100">
                  <c:v>218.94281275379512</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2.0982658897037267</c:v>
                </c:pt>
                <c:pt idx="33">
                  <c:v>2.1319992888143418</c:v>
                </c:pt>
                <c:pt idx="34">
                  <c:v>2.1653099184900952</c:v>
                </c:pt>
                <c:pt idx="35">
                  <c:v>2.1982205832420019</c:v>
                </c:pt>
                <c:pt idx="36">
                  <c:v>2.2424251922979432</c:v>
                </c:pt>
                <c:pt idx="37">
                  <c:v>2.3052471162643364</c:v>
                </c:pt>
                <c:pt idx="38">
                  <c:v>2.3681609182295311</c:v>
                </c:pt>
                <c:pt idx="39">
                  <c:v>2.4311084419165931</c:v>
                </c:pt>
                <c:pt idx="40">
                  <c:v>2.4944500425967133</c:v>
                </c:pt>
                <c:pt idx="41">
                  <c:v>2.558925571490104</c:v>
                </c:pt>
                <c:pt idx="42">
                  <c:v>2.6235467954084664</c:v>
                </c:pt>
                <c:pt idx="43">
                  <c:v>2.6871710745302413</c:v>
                </c:pt>
                <c:pt idx="44">
                  <c:v>2.7508494323644106</c:v>
                </c:pt>
                <c:pt idx="45">
                  <c:v>2.814581880599504</c:v>
                </c:pt>
                <c:pt idx="46">
                  <c:v>2.8783684309287541</c:v>
                </c:pt>
                <c:pt idx="47">
                  <c:v>2.9422090950499489</c:v>
                </c:pt>
                <c:pt idx="48">
                  <c:v>3.0061038846653099</c:v>
                </c:pt>
                <c:pt idx="49">
                  <c:v>3.0700528114813768</c:v>
                </c:pt>
                <c:pt idx="50">
                  <c:v>3.1340558872089175</c:v>
                </c:pt>
                <c:pt idx="51">
                  <c:v>3.1981131235628433</c:v>
                </c:pt>
                <c:pt idx="52">
                  <c:v>3.262224532262131</c:v>
                </c:pt>
                <c:pt idx="53">
                  <c:v>3.3263901250297616</c:v>
                </c:pt>
                <c:pt idx="54">
                  <c:v>3.3906099135926593</c:v>
                </c:pt>
                <c:pt idx="55">
                  <c:v>3.4548839096816484</c:v>
                </c:pt>
                <c:pt idx="56">
                  <c:v>3.5192121250313981</c:v>
                </c:pt>
                <c:pt idx="57">
                  <c:v>3.5835945713803827</c:v>
                </c:pt>
                <c:pt idx="58">
                  <c:v>3.6480312604708591</c:v>
                </c:pt>
                <c:pt idx="59">
                  <c:v>3.7125222040488208</c:v>
                </c:pt>
                <c:pt idx="60">
                  <c:v>3.7770674138639704</c:v>
                </c:pt>
                <c:pt idx="61">
                  <c:v>3.8416669016697047</c:v>
                </c:pt>
                <c:pt idx="62">
                  <c:v>3.9063206792230778</c:v>
                </c:pt>
                <c:pt idx="63">
                  <c:v>3.9710287582847945</c:v>
                </c:pt>
                <c:pt idx="64">
                  <c:v>4.0357911506191808</c:v>
                </c:pt>
                <c:pt idx="65">
                  <c:v>4.1006078679941709</c:v>
                </c:pt>
                <c:pt idx="66">
                  <c:v>4.1654789221812951</c:v>
                </c:pt>
                <c:pt idx="67">
                  <c:v>4.2304043249556642</c:v>
                </c:pt>
                <c:pt idx="68">
                  <c:v>4.2953840880959531</c:v>
                </c:pt>
                <c:pt idx="69">
                  <c:v>4.3604182233844009</c:v>
                </c:pt>
                <c:pt idx="70">
                  <c:v>4.4255067426067907</c:v>
                </c:pt>
                <c:pt idx="71">
                  <c:v>4.4906496575524422</c:v>
                </c:pt>
                <c:pt idx="72">
                  <c:v>4.5558469800142092</c:v>
                </c:pt>
                <c:pt idx="73">
                  <c:v>4.6210987217884671</c:v>
                </c:pt>
                <c:pt idx="74">
                  <c:v>4.6864048946751051</c:v>
                </c:pt>
                <c:pt idx="75">
                  <c:v>4.7517655104775312</c:v>
                </c:pt>
                <c:pt idx="76">
                  <c:v>4.8171805810026536</c:v>
                </c:pt>
                <c:pt idx="77">
                  <c:v>4.8826501180608757</c:v>
                </c:pt>
                <c:pt idx="78">
                  <c:v>4.9481741334661082</c:v>
                </c:pt>
                <c:pt idx="79">
                  <c:v>5.013752639035749</c:v>
                </c:pt>
                <c:pt idx="80">
                  <c:v>5.0793856465906835</c:v>
                </c:pt>
                <c:pt idx="81">
                  <c:v>5.1450731679552835</c:v>
                </c:pt>
                <c:pt idx="82">
                  <c:v>5.2108152149574032</c:v>
                </c:pt>
                <c:pt idx="83">
                  <c:v>5.2766117994283839</c:v>
                </c:pt>
                <c:pt idx="84">
                  <c:v>5.3424629332030351</c:v>
                </c:pt>
                <c:pt idx="85">
                  <c:v>5.4083686281196455</c:v>
                </c:pt>
                <c:pt idx="86">
                  <c:v>5.4743288960199825</c:v>
                </c:pt>
                <c:pt idx="87">
                  <c:v>5.5403437487492795</c:v>
                </c:pt>
                <c:pt idx="88">
                  <c:v>5.6064131981562477</c:v>
                </c:pt>
                <c:pt idx="89">
                  <c:v>5.6725372560930625</c:v>
                </c:pt>
                <c:pt idx="90">
                  <c:v>5.7387159344153762</c:v>
                </c:pt>
                <c:pt idx="91">
                  <c:v>5.804949244982299</c:v>
                </c:pt>
                <c:pt idx="92">
                  <c:v>5.8712371996564183</c:v>
                </c:pt>
                <c:pt idx="93">
                  <c:v>5.9375798103037818</c:v>
                </c:pt>
                <c:pt idx="94">
                  <c:v>6.0039770887939081</c:v>
                </c:pt>
                <c:pt idx="95">
                  <c:v>6.0704290469997773</c:v>
                </c:pt>
                <c:pt idx="96">
                  <c:v>6.1369356967978428</c:v>
                </c:pt>
                <c:pt idx="97">
                  <c:v>6.2034970500680142</c:v>
                </c:pt>
                <c:pt idx="98">
                  <c:v>6.2701131186936738</c:v>
                </c:pt>
                <c:pt idx="99">
                  <c:v>6.3367839145616669</c:v>
                </c:pt>
                <c:pt idx="100">
                  <c:v>6.4035094495623044</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2.4083248910059685</c:v>
                </c:pt>
                <c:pt idx="43">
                  <c:v>2.4379281613518806</c:v>
                </c:pt>
                <c:pt idx="44">
                  <c:v>2.4672428239722648</c:v>
                </c:pt>
                <c:pt idx="45">
                  <c:v>2.4962803276495933</c:v>
                </c:pt>
                <c:pt idx="46">
                  <c:v>2.5250515248416421</c:v>
                </c:pt>
                <c:pt idx="47">
                  <c:v>2.5522516927574062</c:v>
                </c:pt>
                <c:pt idx="48">
                  <c:v>2.6070215968754433</c:v>
                </c:pt>
                <c:pt idx="49">
                  <c:v>2.6618092382793108</c:v>
                </c:pt>
                <c:pt idx="50">
                  <c:v>2.7166147364079594</c:v>
                </c:pt>
                <c:pt idx="51">
                  <c:v>2.7714382278048908</c:v>
                </c:pt>
                <c:pt idx="52">
                  <c:v>2.826610664935242</c:v>
                </c:pt>
                <c:pt idx="53">
                  <c:v>2.8824873235258046</c:v>
                </c:pt>
                <c:pt idx="54">
                  <c:v>2.9384649365729691</c:v>
                </c:pt>
                <c:pt idx="55">
                  <c:v>2.9945478365546494</c:v>
                </c:pt>
                <c:pt idx="56">
                  <c:v>3.0500558831255788</c:v>
                </c:pt>
                <c:pt idx="57">
                  <c:v>3.1055042616597839</c:v>
                </c:pt>
                <c:pt idx="58">
                  <c:v>3.1609872313768848</c:v>
                </c:pt>
                <c:pt idx="59">
                  <c:v>3.216504797168386</c:v>
                </c:pt>
                <c:pt idx="60">
                  <c:v>3.2720569639269574</c:v>
                </c:pt>
                <c:pt idx="61">
                  <c:v>3.3276437365464138</c:v>
                </c:pt>
                <c:pt idx="62">
                  <c:v>3.3832651199216923</c:v>
                </c:pt>
                <c:pt idx="63">
                  <c:v>3.4389211189488424</c:v>
                </c:pt>
                <c:pt idx="64">
                  <c:v>3.4946117385250068</c:v>
                </c:pt>
                <c:pt idx="65">
                  <c:v>3.5503369835484078</c:v>
                </c:pt>
                <c:pt idx="66">
                  <c:v>3.6060968589183435</c:v>
                </c:pt>
                <c:pt idx="67">
                  <c:v>3.6618913695351645</c:v>
                </c:pt>
                <c:pt idx="68">
                  <c:v>3.7177205203002712</c:v>
                </c:pt>
                <c:pt idx="69">
                  <c:v>3.7735843161161076</c:v>
                </c:pt>
                <c:pt idx="70">
                  <c:v>3.8294827618861449</c:v>
                </c:pt>
                <c:pt idx="71">
                  <c:v>3.8854158625148814</c:v>
                </c:pt>
                <c:pt idx="72">
                  <c:v>3.9413836229078325</c:v>
                </c:pt>
                <c:pt idx="73">
                  <c:v>3.9973860479715229</c:v>
                </c:pt>
                <c:pt idx="74">
                  <c:v>4.053423142613485</c:v>
                </c:pt>
                <c:pt idx="75">
                  <c:v>4.1094949117422521</c:v>
                </c:pt>
                <c:pt idx="76">
                  <c:v>4.1656013602673525</c:v>
                </c:pt>
                <c:pt idx="77">
                  <c:v>4.2217424930993044</c:v>
                </c:pt>
                <c:pt idx="78">
                  <c:v>4.2779183151496163</c:v>
                </c:pt>
                <c:pt idx="79">
                  <c:v>4.33412883133078</c:v>
                </c:pt>
                <c:pt idx="80">
                  <c:v>4.3903740465562642</c:v>
                </c:pt>
                <c:pt idx="81">
                  <c:v>4.44665396574052</c:v>
                </c:pt>
                <c:pt idx="82">
                  <c:v>4.5029685937989674</c:v>
                </c:pt>
                <c:pt idx="83">
                  <c:v>4.5593179356480054</c:v>
                </c:pt>
                <c:pt idx="84">
                  <c:v>4.6157019962049963</c:v>
                </c:pt>
                <c:pt idx="85">
                  <c:v>4.6721207803882736</c:v>
                </c:pt>
                <c:pt idx="86">
                  <c:v>4.7285742931171324</c:v>
                </c:pt>
                <c:pt idx="87">
                  <c:v>4.7850625393118351</c:v>
                </c:pt>
                <c:pt idx="88">
                  <c:v>4.8415855238936025</c:v>
                </c:pt>
                <c:pt idx="89">
                  <c:v>4.8981432517846146</c:v>
                </c:pt>
                <c:pt idx="90">
                  <c:v>4.9547357279080169</c:v>
                </c:pt>
                <c:pt idx="91">
                  <c:v>5.0113629571879041</c:v>
                </c:pt>
                <c:pt idx="92">
                  <c:v>5.0680249445493306</c:v>
                </c:pt>
                <c:pt idx="93">
                  <c:v>5.1247216949183034</c:v>
                </c:pt>
                <c:pt idx="94">
                  <c:v>5.1814532132217836</c:v>
                </c:pt>
                <c:pt idx="95">
                  <c:v>5.2382195043876898</c:v>
                </c:pt>
                <c:pt idx="96">
                  <c:v>5.2950205733448854</c:v>
                </c:pt>
                <c:pt idx="97">
                  <c:v>5.3518564250231897</c:v>
                </c:pt>
                <c:pt idx="98">
                  <c:v>5.4087270643533669</c:v>
                </c:pt>
                <c:pt idx="99">
                  <c:v>5.4656324962671361</c:v>
                </c:pt>
                <c:pt idx="100">
                  <c:v>5.5225727256971631</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1.3821569612520919</c:v>
                </c:pt>
                <c:pt idx="15">
                  <c:v>1.4310673000773568</c:v>
                </c:pt>
                <c:pt idx="16">
                  <c:v>1.4783983315472864</c:v>
                </c:pt>
                <c:pt idx="17">
                  <c:v>1.5242960097507481</c:v>
                </c:pt>
                <c:pt idx="18">
                  <c:v>1.568885102573502</c:v>
                </c:pt>
                <c:pt idx="19">
                  <c:v>1.612273262433757</c:v>
                </c:pt>
                <c:pt idx="20">
                  <c:v>1.6545541433997455</c:v>
                </c:pt>
                <c:pt idx="21">
                  <c:v>1.6958098242979329</c:v>
                </c:pt>
                <c:pt idx="22">
                  <c:v>1.7361127178131059</c:v>
                </c:pt>
                <c:pt idx="23">
                  <c:v>1.775527092878721</c:v>
                </c:pt>
                <c:pt idx="24">
                  <c:v>1.8141103019944764</c:v>
                </c:pt>
                <c:pt idx="25">
                  <c:v>1.8519137804998649</c:v>
                </c:pt>
                <c:pt idx="26">
                  <c:v>1.888983867548133</c:v>
                </c:pt>
                <c:pt idx="27">
                  <c:v>1.9253624861881236</c:v>
                </c:pt>
                <c:pt idx="28">
                  <c:v>1.961087711025693</c:v>
                </c:pt>
                <c:pt idx="29">
                  <c:v>1.9961942453766375</c:v>
                </c:pt>
                <c:pt idx="30">
                  <c:v>2.0307138249477075</c:v>
                </c:pt>
                <c:pt idx="31">
                  <c:v>2.0646755614173053</c:v>
                </c:pt>
                <c:pt idx="32">
                  <c:v>2.0981062365031895</c:v>
                </c:pt>
                <c:pt idx="33">
                  <c:v>2.1310305549684685</c:v>
                </c:pt>
                <c:pt idx="34">
                  <c:v>2.1634713633634877</c:v>
                </c:pt>
                <c:pt idx="35">
                  <c:v>2.1954498400100149</c:v>
                </c:pt>
                <c:pt idx="36">
                  <c:v>2.2269856607179173</c:v>
                </c:pt>
                <c:pt idx="37">
                  <c:v>2.2580971439187492</c:v>
                </c:pt>
                <c:pt idx="38">
                  <c:v>2.2888013782572858</c:v>
                </c:pt>
                <c:pt idx="39">
                  <c:v>2.3191143351648829</c:v>
                </c:pt>
                <c:pt idx="40">
                  <c:v>2.3490509685203182</c:v>
                </c:pt>
                <c:pt idx="41">
                  <c:v>2.3786253031634921</c:v>
                </c:pt>
                <c:pt idx="42">
                  <c:v>2.4078505137490342</c:v>
                </c:pt>
                <c:pt idx="43">
                  <c:v>2.4367389951979468</c:v>
                </c:pt>
                <c:pt idx="44">
                  <c:v>2.465302425816235</c:v>
                </c:pt>
                <c:pt idx="45">
                  <c:v>2.4935518239923748</c:v>
                </c:pt>
                <c:pt idx="46">
                  <c:v>2.5214975992544084</c:v>
                </c:pt>
                <c:pt idx="47">
                  <c:v>2.5491495983576913</c:v>
                </c:pt>
                <c:pt idx="48">
                  <c:v>2.5765171469819501</c:v>
                </c:pt>
                <c:pt idx="49">
                  <c:v>2.6036090875383247</c:v>
                </c:pt>
                <c:pt idx="50">
                  <c:v>2.6304338135209688</c:v>
                </c:pt>
                <c:pt idx="51">
                  <c:v>2.6569993007815409</c:v>
                </c:pt>
                <c:pt idx="52">
                  <c:v>2.6833131360569165</c:v>
                </c:pt>
                <c:pt idx="53">
                  <c:v>2.7093825430393474</c:v>
                </c:pt>
                <c:pt idx="54">
                  <c:v>2.7352144062429771</c:v>
                </c:pt>
                <c:pt idx="55">
                  <c:v>2.7608152928901779</c:v>
                </c:pt>
                <c:pt idx="56">
                  <c:v>2.7862907226923928</c:v>
                </c:pt>
                <c:pt idx="57">
                  <c:v>2.8120383813188226</c:v>
                </c:pt>
                <c:pt idx="58">
                  <c:v>2.8375932952278915</c:v>
                </c:pt>
                <c:pt idx="59">
                  <c:v>2.8629609955864606</c:v>
                </c:pt>
                <c:pt idx="60">
                  <c:v>2.8881467842860387</c:v>
                </c:pt>
                <c:pt idx="61">
                  <c:v>2.9131557473334793</c:v>
                </c:pt>
                <c:pt idx="62">
                  <c:v>2.9379927672574242</c:v>
                </c:pt>
                <c:pt idx="63">
                  <c:v>2.962662534617551</c:v>
                </c:pt>
                <c:pt idx="64">
                  <c:v>2.987169558694688</c:v>
                </c:pt>
                <c:pt idx="65">
                  <c:v>3.0074072629498447</c:v>
                </c:pt>
                <c:pt idx="66">
                  <c:v>3.0551232573127871</c:v>
                </c:pt>
                <c:pt idx="67">
                  <c:v>3.1017553382444984</c:v>
                </c:pt>
                <c:pt idx="68">
                  <c:v>3.14839594443808</c:v>
                </c:pt>
                <c:pt idx="69">
                  <c:v>3.1950450637435037</c:v>
                </c:pt>
                <c:pt idx="70">
                  <c:v>3.2418503547143618</c:v>
                </c:pt>
                <c:pt idx="71">
                  <c:v>3.289130260264236</c:v>
                </c:pt>
                <c:pt idx="72">
                  <c:v>3.3364507357258062</c:v>
                </c:pt>
                <c:pt idx="73">
                  <c:v>3.3838126120698786</c:v>
                </c:pt>
                <c:pt idx="74">
                  <c:v>3.4312167431212912</c:v>
                </c:pt>
                <c:pt idx="75">
                  <c:v>3.4786640063501957</c:v>
                </c:pt>
                <c:pt idx="76">
                  <c:v>3.526024508479022</c:v>
                </c:pt>
                <c:pt idx="77">
                  <c:v>3.5731581624515001</c:v>
                </c:pt>
                <c:pt idx="78">
                  <c:v>3.6203110414706816</c:v>
                </c:pt>
                <c:pt idx="79">
                  <c:v>3.6674831470830047</c:v>
                </c:pt>
                <c:pt idx="80">
                  <c:v>3.7146744808351038</c:v>
                </c:pt>
                <c:pt idx="81">
                  <c:v>3.7618850442738063</c:v>
                </c:pt>
                <c:pt idx="82">
                  <c:v>3.8091148389461407</c:v>
                </c:pt>
                <c:pt idx="83">
                  <c:v>3.8563638663993229</c:v>
                </c:pt>
                <c:pt idx="84">
                  <c:v>3.903632128180766</c:v>
                </c:pt>
                <c:pt idx="85">
                  <c:v>3.9509196258380657</c:v>
                </c:pt>
                <c:pt idx="86">
                  <c:v>3.9982263609190141</c:v>
                </c:pt>
                <c:pt idx="87">
                  <c:v>4.045552334971581</c:v>
                </c:pt>
                <c:pt idx="88">
                  <c:v>4.0928975495439319</c:v>
                </c:pt>
                <c:pt idx="89">
                  <c:v>4.1402620061844102</c:v>
                </c:pt>
                <c:pt idx="90">
                  <c:v>4.1876457064415478</c:v>
                </c:pt>
                <c:pt idx="91">
                  <c:v>4.2350486518640533</c:v>
                </c:pt>
                <c:pt idx="92">
                  <c:v>4.2824708440008248</c:v>
                </c:pt>
                <c:pt idx="93">
                  <c:v>4.329912284400935</c:v>
                </c:pt>
                <c:pt idx="94">
                  <c:v>4.3773729746136416</c:v>
                </c:pt>
                <c:pt idx="95">
                  <c:v>4.4248529161883781</c:v>
                </c:pt>
                <c:pt idx="96">
                  <c:v>4.4723521106747617</c:v>
                </c:pt>
                <c:pt idx="97">
                  <c:v>4.519870559622583</c:v>
                </c:pt>
                <c:pt idx="98">
                  <c:v>4.5674082645818102</c:v>
                </c:pt>
                <c:pt idx="99">
                  <c:v>4.6149652271025934</c:v>
                </c:pt>
                <c:pt idx="100">
                  <c:v>4.6625414487352561</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6.6666715616278197E-3</c:v>
                </c:pt>
                <c:pt idx="1">
                  <c:v>1.7951432840309714E-2</c:v>
                </c:pt>
                <c:pt idx="2">
                  <c:v>3.5902865680619428E-2</c:v>
                </c:pt>
                <c:pt idx="3">
                  <c:v>5.3854298520929121E-2</c:v>
                </c:pt>
                <c:pt idx="4">
                  <c:v>7.1805731361238856E-2</c:v>
                </c:pt>
                <c:pt idx="5">
                  <c:v>8.975716420154857E-2</c:v>
                </c:pt>
                <c:pt idx="6">
                  <c:v>0.10770859704185824</c:v>
                </c:pt>
                <c:pt idx="7">
                  <c:v>0.12566002988216801</c:v>
                </c:pt>
                <c:pt idx="8">
                  <c:v>0.14361146272247771</c:v>
                </c:pt>
                <c:pt idx="9">
                  <c:v>0.16156289556278744</c:v>
                </c:pt>
                <c:pt idx="10">
                  <c:v>0.17951432840309714</c:v>
                </c:pt>
                <c:pt idx="11">
                  <c:v>0.19746576124340684</c:v>
                </c:pt>
                <c:pt idx="12">
                  <c:v>0.21541719408371648</c:v>
                </c:pt>
                <c:pt idx="13">
                  <c:v>0.2333686269240263</c:v>
                </c:pt>
                <c:pt idx="14">
                  <c:v>0.23368718381940617</c:v>
                </c:pt>
                <c:pt idx="15">
                  <c:v>0.23793871405846179</c:v>
                </c:pt>
                <c:pt idx="16">
                  <c:v>0.24575469934909955</c:v>
                </c:pt>
                <c:pt idx="17">
                  <c:v>0.25333078711141072</c:v>
                </c:pt>
                <c:pt idx="18">
                  <c:v>0.26068786108915198</c:v>
                </c:pt>
                <c:pt idx="19">
                  <c:v>0.26784394018112601</c:v>
                </c:pt>
                <c:pt idx="20">
                  <c:v>0.27481470019839871</c:v>
                </c:pt>
                <c:pt idx="21">
                  <c:v>0.28161387945465982</c:v>
                </c:pt>
                <c:pt idx="22">
                  <c:v>0.28825359831933084</c:v>
                </c:pt>
                <c:pt idx="23">
                  <c:v>0.29474461404131719</c:v>
                </c:pt>
                <c:pt idx="24">
                  <c:v>0.30109652618208393</c:v>
                </c:pt>
                <c:pt idx="25">
                  <c:v>0.30731794387767941</c:v>
                </c:pt>
                <c:pt idx="26">
                  <c:v>0.31341662325617947</c:v>
                </c:pt>
                <c:pt idx="27">
                  <c:v>0.31939958127200346</c:v>
                </c:pt>
                <c:pt idx="28">
                  <c:v>0.32527319072283045</c:v>
                </c:pt>
                <c:pt idx="29">
                  <c:v>0.3310432601168411</c:v>
                </c:pt>
                <c:pt idx="30">
                  <c:v>0.33671510124194415</c:v>
                </c:pt>
                <c:pt idx="31">
                  <c:v>0.34229358667518783</c:v>
                </c:pt>
                <c:pt idx="32">
                  <c:v>0.34778319900450677</c:v>
                </c:pt>
                <c:pt idx="33">
                  <c:v>0.35318807317741807</c:v>
                </c:pt>
                <c:pt idx="34">
                  <c:v>0.35851203311447793</c:v>
                </c:pt>
                <c:pt idx="35">
                  <c:v>0.36375862350918076</c:v>
                </c:pt>
                <c:pt idx="36">
                  <c:v>0.36893113756588991</c:v>
                </c:pt>
                <c:pt idx="37">
                  <c:v>0.37403264129251107</c:v>
                </c:pt>
                <c:pt idx="38">
                  <c:v>0.37906599485692705</c:v>
                </c:pt>
                <c:pt idx="39">
                  <c:v>0.3840338714296524</c:v>
                </c:pt>
                <c:pt idx="40">
                  <c:v>0.38893877386515818</c:v>
                </c:pt>
                <c:pt idx="41">
                  <c:v>0.39378304951736071</c:v>
                </c:pt>
                <c:pt idx="42">
                  <c:v>0.39856890343818485</c:v>
                </c:pt>
                <c:pt idx="43">
                  <c:v>0.40329841016978679</c:v>
                </c:pt>
                <c:pt idx="44">
                  <c:v>0.40797352430936495</c:v>
                </c:pt>
                <c:pt idx="45">
                  <c:v>0.41259608999918351</c:v>
                </c:pt>
                <c:pt idx="46">
                  <c:v>0.41716784947250246</c:v>
                </c:pt>
                <c:pt idx="47">
                  <c:v>0.39716626110111108</c:v>
                </c:pt>
                <c:pt idx="48">
                  <c:v>0.40556025430619536</c:v>
                </c:pt>
                <c:pt idx="49">
                  <c:v>0.41395254128711834</c:v>
                </c:pt>
                <c:pt idx="50">
                  <c:v>0.41711414814378417</c:v>
                </c:pt>
                <c:pt idx="51">
                  <c:v>0.41793211200313501</c:v>
                </c:pt>
                <c:pt idx="52">
                  <c:v>0.41865693441740892</c:v>
                </c:pt>
                <c:pt idx="53">
                  <c:v>0.41933259843659049</c:v>
                </c:pt>
                <c:pt idx="54">
                  <c:v>0.41999086891910886</c:v>
                </c:pt>
                <c:pt idx="55">
                  <c:v>0.42063263191883227</c:v>
                </c:pt>
                <c:pt idx="56">
                  <c:v>0.42125871400826076</c:v>
                </c:pt>
                <c:pt idx="57">
                  <c:v>0.4218698871878086</c:v>
                </c:pt>
                <c:pt idx="58">
                  <c:v>0.4224668733167572</c:v>
                </c:pt>
                <c:pt idx="59">
                  <c:v>0.42305034811938391</c:v>
                </c:pt>
                <c:pt idx="60">
                  <c:v>0.42362094481303719</c:v>
                </c:pt>
                <c:pt idx="61">
                  <c:v>0.42417925739913748</c:v>
                </c:pt>
                <c:pt idx="62">
                  <c:v>0.42472584365308141</c:v>
                </c:pt>
                <c:pt idx="63">
                  <c:v>0.42526122784470716</c:v>
                </c:pt>
                <c:pt idx="64">
                  <c:v>0.42578590321722737</c:v>
                </c:pt>
                <c:pt idx="65">
                  <c:v>0.42630033424928493</c:v>
                </c:pt>
                <c:pt idx="66">
                  <c:v>0.42680495872194807</c:v>
                </c:pt>
                <c:pt idx="67">
                  <c:v>0.42730018960999305</c:v>
                </c:pt>
                <c:pt idx="68">
                  <c:v>0.42778641681465435</c:v>
                </c:pt>
                <c:pt idx="69">
                  <c:v>0.42826400875313514</c:v>
                </c:pt>
                <c:pt idx="70">
                  <c:v>0.42873331381850288</c:v>
                </c:pt>
                <c:pt idx="71">
                  <c:v>0.42919466172213711</c:v>
                </c:pt>
                <c:pt idx="72">
                  <c:v>0.42964836472960466</c:v>
                </c:pt>
                <c:pt idx="73">
                  <c:v>0.43009471879970723</c:v>
                </c:pt>
                <c:pt idx="74">
                  <c:v>0.43053400463543506</c:v>
                </c:pt>
                <c:pt idx="75">
                  <c:v>0.43096648865467424</c:v>
                </c:pt>
                <c:pt idx="76">
                  <c:v>0.43139242388772925</c:v>
                </c:pt>
                <c:pt idx="77">
                  <c:v>0.43181205080801488</c:v>
                </c:pt>
                <c:pt idx="78">
                  <c:v>0.43222559810165284</c:v>
                </c:pt>
                <c:pt idx="79">
                  <c:v>0.43263328338115348</c:v>
                </c:pt>
                <c:pt idx="80">
                  <c:v>0.43303531384786331</c:v>
                </c:pt>
                <c:pt idx="81">
                  <c:v>0.43343188690742052</c:v>
                </c:pt>
                <c:pt idx="82">
                  <c:v>0.43382319074205994</c:v>
                </c:pt>
                <c:pt idx="83">
                  <c:v>0.43420940484325871</c:v>
                </c:pt>
                <c:pt idx="84">
                  <c:v>0.43459070050789045</c:v>
                </c:pt>
                <c:pt idx="85">
                  <c:v>0.43496724130077269</c:v>
                </c:pt>
                <c:pt idx="86">
                  <c:v>0.43533918348623357</c:v>
                </c:pt>
                <c:pt idx="87">
                  <c:v>0.43570667643109157</c:v>
                </c:pt>
                <c:pt idx="88">
                  <c:v>0.4360698629812329</c:v>
                </c:pt>
                <c:pt idx="89">
                  <c:v>0.43642887981378531</c:v>
                </c:pt>
                <c:pt idx="90">
                  <c:v>0.43678385776670992</c:v>
                </c:pt>
                <c:pt idx="91">
                  <c:v>0.43713492214748539</c:v>
                </c:pt>
                <c:pt idx="92">
                  <c:v>0.43748219302241492</c:v>
                </c:pt>
                <c:pt idx="93">
                  <c:v>0.43782578548795897</c:v>
                </c:pt>
                <c:pt idx="94">
                  <c:v>0.4381658099253864</c:v>
                </c:pt>
                <c:pt idx="95">
                  <c:v>0.43850237223992444</c:v>
                </c:pt>
                <c:pt idx="96">
                  <c:v>0.4388355740855005</c:v>
                </c:pt>
                <c:pt idx="97">
                  <c:v>0.43916551307607649</c:v>
                </c:pt>
                <c:pt idx="98">
                  <c:v>0.43949228298450149</c:v>
                </c:pt>
                <c:pt idx="99">
                  <c:v>0.43981597392973171</c:v>
                </c:pt>
                <c:pt idx="100">
                  <c:v>0.44013667255320776</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8.8907218315768099E-3</c:v>
                </c:pt>
                <c:pt idx="1">
                  <c:v>2.3947014826015744E-2</c:v>
                </c:pt>
                <c:pt idx="2">
                  <c:v>7.184104447804722E-2</c:v>
                </c:pt>
                <c:pt idx="3">
                  <c:v>7.184104447804722E-2</c:v>
                </c:pt>
                <c:pt idx="4">
                  <c:v>9.5788059304062978E-2</c:v>
                </c:pt>
                <c:pt idx="5">
                  <c:v>0.11973507413007875</c:v>
                </c:pt>
                <c:pt idx="6">
                  <c:v>0.14368208895609444</c:v>
                </c:pt>
                <c:pt idx="7">
                  <c:v>0.16762910378211024</c:v>
                </c:pt>
                <c:pt idx="8">
                  <c:v>0.19157611860812596</c:v>
                </c:pt>
                <c:pt idx="9">
                  <c:v>0.21552313343414176</c:v>
                </c:pt>
                <c:pt idx="10">
                  <c:v>0.2394701482601575</c:v>
                </c:pt>
                <c:pt idx="11">
                  <c:v>0.26341716308617324</c:v>
                </c:pt>
                <c:pt idx="12">
                  <c:v>0.28736417791218888</c:v>
                </c:pt>
                <c:pt idx="13">
                  <c:v>0.31131119273820473</c:v>
                </c:pt>
                <c:pt idx="14">
                  <c:v>0.31174049679680838</c:v>
                </c:pt>
                <c:pt idx="15">
                  <c:v>0.31741771415984293</c:v>
                </c:pt>
                <c:pt idx="16">
                  <c:v>0.32785012219933529</c:v>
                </c:pt>
                <c:pt idx="17">
                  <c:v>0.33796266883646009</c:v>
                </c:pt>
                <c:pt idx="18">
                  <c:v>0.34778319900450666</c:v>
                </c:pt>
                <c:pt idx="19">
                  <c:v>0.35733573784843459</c:v>
                </c:pt>
                <c:pt idx="20">
                  <c:v>0.36664118640050375</c:v>
                </c:pt>
                <c:pt idx="21">
                  <c:v>0.37571786236687782</c:v>
                </c:pt>
                <c:pt idx="22">
                  <c:v>0.38458192619798409</c:v>
                </c:pt>
                <c:pt idx="23">
                  <c:v>0.39324772085313786</c:v>
                </c:pt>
                <c:pt idx="24">
                  <c:v>0.40172804571098969</c:v>
                </c:pt>
                <c:pt idx="25">
                  <c:v>0.41003437958528349</c:v>
                </c:pt>
                <c:pt idx="26">
                  <c:v>0.41817706394788245</c:v>
                </c:pt>
                <c:pt idx="27">
                  <c:v>0.42616545470765355</c:v>
                </c:pt>
                <c:pt idx="28">
                  <c:v>0.43400804889951383</c:v>
                </c:pt>
                <c:pt idx="29">
                  <c:v>0.44171259117393274</c:v>
                </c:pt>
                <c:pt idx="30">
                  <c:v>0.44928616388909864</c:v>
                </c:pt>
                <c:pt idx="31">
                  <c:v>0.45673526379001533</c:v>
                </c:pt>
                <c:pt idx="32">
                  <c:v>0.46406586763739305</c:v>
                </c:pt>
                <c:pt idx="33">
                  <c:v>0.47128348867248154</c:v>
                </c:pt>
                <c:pt idx="34">
                  <c:v>0.44149190247995118</c:v>
                </c:pt>
                <c:pt idx="35">
                  <c:v>0.45442393332150305</c:v>
                </c:pt>
                <c:pt idx="36">
                  <c:v>0.467353770144813</c:v>
                </c:pt>
                <c:pt idx="37">
                  <c:v>0.48028144698627911</c:v>
                </c:pt>
                <c:pt idx="38">
                  <c:v>0.48324952104532054</c:v>
                </c:pt>
                <c:pt idx="39">
                  <c:v>0.48444663714662428</c:v>
                </c:pt>
                <c:pt idx="40">
                  <c:v>0.48544092546272016</c:v>
                </c:pt>
                <c:pt idx="41">
                  <c:v>0.48639622663296911</c:v>
                </c:pt>
                <c:pt idx="42">
                  <c:v>0.48731814434127135</c:v>
                </c:pt>
                <c:pt idx="43">
                  <c:v>0.48820885923000001</c:v>
                </c:pt>
                <c:pt idx="44">
                  <c:v>0.48907036528074016</c:v>
                </c:pt>
                <c:pt idx="45">
                  <c:v>0.48990448936962933</c:v>
                </c:pt>
                <c:pt idx="46">
                  <c:v>0.49071290841471382</c:v>
                </c:pt>
                <c:pt idx="47">
                  <c:v>0.49149716445429364</c:v>
                </c:pt>
                <c:pt idx="48">
                  <c:v>0.49225867794177114</c:v>
                </c:pt>
                <c:pt idx="49">
                  <c:v>0.49299875949835997</c:v>
                </c:pt>
                <c:pt idx="50">
                  <c:v>0.49371862032838937</c:v>
                </c:pt>
                <c:pt idx="51">
                  <c:v>0.49441938147145847</c:v>
                </c:pt>
                <c:pt idx="52">
                  <c:v>0.4951020820402125</c:v>
                </c:pt>
                <c:pt idx="53">
                  <c:v>0.49576768657116677</c:v>
                </c:pt>
                <c:pt idx="54">
                  <c:v>0.49641709159802377</c:v>
                </c:pt>
                <c:pt idx="55">
                  <c:v>0.49705113154176794</c:v>
                </c:pt>
                <c:pt idx="56">
                  <c:v>0.49767058399897579</c:v>
                </c:pt>
                <c:pt idx="57">
                  <c:v>0.49827617449887013</c:v>
                </c:pt>
                <c:pt idx="58">
                  <c:v>0.49886858079035912</c:v>
                </c:pt>
                <c:pt idx="59">
                  <c:v>0.49944843671235956</c:v>
                </c:pt>
                <c:pt idx="60">
                  <c:v>0.50001633569391002</c:v>
                </c:pt>
                <c:pt idx="61">
                  <c:v>0.50057283392473872</c:v>
                </c:pt>
                <c:pt idx="62">
                  <c:v>0.50111845323192472</c:v>
                </c:pt>
                <c:pt idx="63">
                  <c:v>0.50165368369395702</c:v>
                </c:pt>
                <c:pt idx="64">
                  <c:v>0.50217898601973732</c:v>
                </c:pt>
                <c:pt idx="65">
                  <c:v>0.5026947937168218</c:v>
                </c:pt>
                <c:pt idx="66">
                  <c:v>0.50320151507037059</c:v>
                </c:pt>
                <c:pt idx="67">
                  <c:v>0.50369953495180586</c:v>
                </c:pt>
                <c:pt idx="68">
                  <c:v>0.50418921647403447</c:v>
                </c:pt>
                <c:pt idx="69">
                  <c:v>0.5046709025082089</c:v>
                </c:pt>
                <c:pt idx="70">
                  <c:v>0.50514491707535336</c:v>
                </c:pt>
                <c:pt idx="71">
                  <c:v>0.5056115666247375</c:v>
                </c:pt>
                <c:pt idx="72">
                  <c:v>0.50607114120960328</c:v>
                </c:pt>
                <c:pt idx="73">
                  <c:v>0.50652391556973886</c:v>
                </c:pt>
                <c:pt idx="74">
                  <c:v>0.50697015012939251</c:v>
                </c:pt>
                <c:pt idx="75">
                  <c:v>0.50741009191815467</c:v>
                </c:pt>
                <c:pt idx="76">
                  <c:v>0.50784397542165649</c:v>
                </c:pt>
                <c:pt idx="77">
                  <c:v>0.50827202336824673</c:v>
                </c:pt>
                <c:pt idx="78">
                  <c:v>0.50869444745719894</c:v>
                </c:pt>
                <c:pt idx="79">
                  <c:v>0.50911144903345562</c:v>
                </c:pt>
                <c:pt idx="80">
                  <c:v>0.50952321971343684</c:v>
                </c:pt>
                <c:pt idx="81">
                  <c:v>0.50992994196599839</c:v>
                </c:pt>
                <c:pt idx="82">
                  <c:v>0.51033178965225257</c:v>
                </c:pt>
                <c:pt idx="83">
                  <c:v>0.5107289285276041</c:v>
                </c:pt>
                <c:pt idx="84">
                  <c:v>0.51112151670905404</c:v>
                </c:pt>
                <c:pt idx="85">
                  <c:v>0.51150970511054406</c:v>
                </c:pt>
                <c:pt idx="86">
                  <c:v>0.51189363784885977</c:v>
                </c:pt>
                <c:pt idx="87">
                  <c:v>0.5122734526223911</c:v>
                </c:pt>
                <c:pt idx="88">
                  <c:v>0.51264928106484575</c:v>
                </c:pt>
                <c:pt idx="89">
                  <c:v>0.51302124907582403</c:v>
                </c:pt>
                <c:pt idx="90">
                  <c:v>0.51338947713000327</c:v>
                </c:pt>
                <c:pt idx="91">
                  <c:v>0.51375408056653094</c:v>
                </c:pt>
                <c:pt idx="92">
                  <c:v>0.5141151698600861</c:v>
                </c:pt>
                <c:pt idx="93">
                  <c:v>0.51447285087495109</c:v>
                </c:pt>
                <c:pt idx="94">
                  <c:v>0.51482722510332468</c:v>
                </c:pt>
                <c:pt idx="95">
                  <c:v>0.515178389889001</c:v>
                </c:pt>
                <c:pt idx="96">
                  <c:v>0.51552643863745751</c:v>
                </c:pt>
                <c:pt idx="97">
                  <c:v>0.5158714610133005</c:v>
                </c:pt>
                <c:pt idx="98">
                  <c:v>0.51621354312595147</c:v>
                </c:pt>
                <c:pt idx="99">
                  <c:v>0.51655276770437997</c:v>
                </c:pt>
                <c:pt idx="100">
                  <c:v>0.51688921426163148</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4.4448963515251452E-3</c:v>
                </c:pt>
                <c:pt idx="1">
                  <c:v>1.1945476715305084E-2</c:v>
                </c:pt>
                <c:pt idx="2">
                  <c:v>2.3890953430610169E-2</c:v>
                </c:pt>
                <c:pt idx="3">
                  <c:v>3.5836430145915248E-2</c:v>
                </c:pt>
                <c:pt idx="4">
                  <c:v>4.7781906861220337E-2</c:v>
                </c:pt>
                <c:pt idx="5">
                  <c:v>5.9727383576525427E-2</c:v>
                </c:pt>
                <c:pt idx="6">
                  <c:v>7.1672860291830495E-2</c:v>
                </c:pt>
                <c:pt idx="7">
                  <c:v>8.3618337007135626E-2</c:v>
                </c:pt>
                <c:pt idx="8">
                  <c:v>9.5563813722440674E-2</c:v>
                </c:pt>
                <c:pt idx="9">
                  <c:v>0.10750929043774576</c:v>
                </c:pt>
                <c:pt idx="10">
                  <c:v>0.11945476715305085</c:v>
                </c:pt>
                <c:pt idx="11">
                  <c:v>0.13140024386835594</c:v>
                </c:pt>
                <c:pt idx="12">
                  <c:v>0.14334572058366099</c:v>
                </c:pt>
                <c:pt idx="13">
                  <c:v>0.15529119729896612</c:v>
                </c:pt>
                <c:pt idx="14">
                  <c:v>0.1557026031607586</c:v>
                </c:pt>
                <c:pt idx="15">
                  <c:v>0.15853216170627724</c:v>
                </c:pt>
                <c:pt idx="16">
                  <c:v>0.16373656704016784</c:v>
                </c:pt>
                <c:pt idx="17">
                  <c:v>0.16878103991696583</c:v>
                </c:pt>
                <c:pt idx="18">
                  <c:v>0.17367950285544273</c:v>
                </c:pt>
                <c:pt idx="19">
                  <c:v>0.17844396847579239</c:v>
                </c:pt>
                <c:pt idx="20">
                  <c:v>0.18308488733803585</c:v>
                </c:pt>
                <c:pt idx="21">
                  <c:v>0.18761141833580766</c:v>
                </c:pt>
                <c:pt idx="22">
                  <c:v>0.19203164173193898</c:v>
                </c:pt>
                <c:pt idx="23">
                  <c:v>0.19635272904110768</c:v>
                </c:pt>
                <c:pt idx="24">
                  <c:v>0.20058107998534752</c:v>
                </c:pt>
                <c:pt idx="25">
                  <c:v>0.20472243400217149</c:v>
                </c:pt>
                <c:pt idx="26">
                  <c:v>0.20878196185629322</c:v>
                </c:pt>
                <c:pt idx="27">
                  <c:v>0.21276434152925025</c:v>
                </c:pt>
                <c:pt idx="28">
                  <c:v>0.21667382156408421</c:v>
                </c:pt>
                <c:pt idx="29">
                  <c:v>0.22051427431022894</c:v>
                </c:pt>
                <c:pt idx="30">
                  <c:v>0.22428924096971439</c:v>
                </c:pt>
                <c:pt idx="31">
                  <c:v>0.22800196993682106</c:v>
                </c:pt>
                <c:pt idx="32">
                  <c:v>0.23165544961261955</c:v>
                </c:pt>
                <c:pt idx="33">
                  <c:v>0.23525243663747125</c:v>
                </c:pt>
                <c:pt idx="34">
                  <c:v>0.23879548030003203</c:v>
                </c:pt>
                <c:pt idx="35">
                  <c:v>0.24228694373721529</c:v>
                </c:pt>
                <c:pt idx="36">
                  <c:v>0.24572902242617156</c:v>
                </c:pt>
                <c:pt idx="37">
                  <c:v>0.24912376037942829</c:v>
                </c:pt>
                <c:pt idx="38">
                  <c:v>0.2524730643825347</c:v>
                </c:pt>
                <c:pt idx="39">
                  <c:v>0.25577871655585144</c:v>
                </c:pt>
                <c:pt idx="40">
                  <c:v>0.25904238547545072</c:v>
                </c:pt>
                <c:pt idx="41">
                  <c:v>0.26226563605012626</c:v>
                </c:pt>
                <c:pt idx="42">
                  <c:v>0.2654499383204495</c:v>
                </c:pt>
                <c:pt idx="43">
                  <c:v>0.26859667532026554</c:v>
                </c:pt>
                <c:pt idx="44">
                  <c:v>0.27170715011991287</c:v>
                </c:pt>
                <c:pt idx="45">
                  <c:v>0.27478259215291695</c:v>
                </c:pt>
                <c:pt idx="46">
                  <c:v>0.27782416291328782</c:v>
                </c:pt>
                <c:pt idx="47">
                  <c:v>0.28083296109829819</c:v>
                </c:pt>
                <c:pt idx="48">
                  <c:v>0.28381002726131332</c:v>
                </c:pt>
                <c:pt idx="49">
                  <c:v>0.28675634803054573</c:v>
                </c:pt>
                <c:pt idx="50">
                  <c:v>0.28967285994222242</c:v>
                </c:pt>
                <c:pt idx="51">
                  <c:v>0.29256045293038774</c:v>
                </c:pt>
                <c:pt idx="52">
                  <c:v>0.29541997351019911</c:v>
                </c:pt>
                <c:pt idx="53">
                  <c:v>0.29825222768699111</c:v>
                </c:pt>
                <c:pt idx="54">
                  <c:v>0.30105798361944153</c:v>
                </c:pt>
                <c:pt idx="55">
                  <c:v>0.30383797406177426</c:v>
                </c:pt>
                <c:pt idx="56">
                  <c:v>0.306592898607005</c:v>
                </c:pt>
                <c:pt idx="57">
                  <c:v>0.30932342575068422</c:v>
                </c:pt>
                <c:pt idx="58">
                  <c:v>0.3120301947923908</c:v>
                </c:pt>
                <c:pt idx="59">
                  <c:v>0.31471381759029771</c:v>
                </c:pt>
                <c:pt idx="60">
                  <c:v>0.31737488018245119</c:v>
                </c:pt>
                <c:pt idx="61">
                  <c:v>0.29174274545643464</c:v>
                </c:pt>
                <c:pt idx="62">
                  <c:v>0.29647283626785959</c:v>
                </c:pt>
                <c:pt idx="63">
                  <c:v>0.30112125311024907</c:v>
                </c:pt>
                <c:pt idx="64">
                  <c:v>0.30576371021264093</c:v>
                </c:pt>
                <c:pt idx="65">
                  <c:v>0.31040009418910203</c:v>
                </c:pt>
                <c:pt idx="66">
                  <c:v>0.31503028879894213</c:v>
                </c:pt>
                <c:pt idx="67">
                  <c:v>0.31965417485559078</c:v>
                </c:pt>
                <c:pt idx="68">
                  <c:v>0.32427163013200427</c:v>
                </c:pt>
                <c:pt idx="69">
                  <c:v>0.32784598678128013</c:v>
                </c:pt>
                <c:pt idx="70">
                  <c:v>0.32833738530128265</c:v>
                </c:pt>
                <c:pt idx="71">
                  <c:v>0.32878824851004962</c:v>
                </c:pt>
                <c:pt idx="72">
                  <c:v>0.32921017595924246</c:v>
                </c:pt>
                <c:pt idx="73">
                  <c:v>0.3296246927725594</c:v>
                </c:pt>
                <c:pt idx="74">
                  <c:v>0.33003207891706171</c:v>
                </c:pt>
                <c:pt idx="75">
                  <c:v>0.33043260034670724</c:v>
                </c:pt>
                <c:pt idx="76">
                  <c:v>0.33082650986833229</c:v>
                </c:pt>
                <c:pt idx="77">
                  <c:v>0.33121404794419673</c:v>
                </c:pt>
                <c:pt idx="78">
                  <c:v>0.33159544343645059</c:v>
                </c:pt>
                <c:pt idx="79">
                  <c:v>0.33197091429836723</c:v>
                </c:pt>
                <c:pt idx="80">
                  <c:v>0.33234066821672981</c:v>
                </c:pt>
                <c:pt idx="81">
                  <c:v>0.33270490320935364</c:v>
                </c:pt>
                <c:pt idx="82">
                  <c:v>0.33306380818135634</c:v>
                </c:pt>
                <c:pt idx="83">
                  <c:v>0.33341756344346124</c:v>
                </c:pt>
                <c:pt idx="84">
                  <c:v>0.33376634119532272</c:v>
                </c:pt>
                <c:pt idx="85">
                  <c:v>0.33411030597659841</c:v>
                </c:pt>
                <c:pt idx="86">
                  <c:v>0.33444961508824828</c:v>
                </c:pt>
                <c:pt idx="87">
                  <c:v>0.33478441898633327</c:v>
                </c:pt>
                <c:pt idx="88">
                  <c:v>0.33511486165037974</c:v>
                </c:pt>
                <c:pt idx="89">
                  <c:v>0.33544108092821084</c:v>
                </c:pt>
                <c:pt idx="90">
                  <c:v>0.33576320885897643</c:v>
                </c:pt>
                <c:pt idx="91">
                  <c:v>0.33608137197597576</c:v>
                </c:pt>
                <c:pt idx="92">
                  <c:v>0.33639569159072957</c:v>
                </c:pt>
                <c:pt idx="93">
                  <c:v>0.33670628405964564</c:v>
                </c:pt>
                <c:pt idx="94">
                  <c:v>0.33701326103450657</c:v>
                </c:pt>
                <c:pt idx="95">
                  <c:v>0.33731672969791526</c:v>
                </c:pt>
                <c:pt idx="96">
                  <c:v>0.33761679298474084</c:v>
                </c:pt>
                <c:pt idx="97">
                  <c:v>0.33791354979052557</c:v>
                </c:pt>
                <c:pt idx="98">
                  <c:v>0.33820709516774289</c:v>
                </c:pt>
                <c:pt idx="99">
                  <c:v>0.33849752051072113</c:v>
                </c:pt>
                <c:pt idx="100">
                  <c:v>0.33878491372999164</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6.6666715616278197E-3</c:v>
                </c:pt>
                <c:pt idx="1">
                  <c:v>1.7951432840309714E-2</c:v>
                </c:pt>
                <c:pt idx="2">
                  <c:v>3.5902865680619428E-2</c:v>
                </c:pt>
                <c:pt idx="3">
                  <c:v>5.3854298520929121E-2</c:v>
                </c:pt>
                <c:pt idx="4">
                  <c:v>7.1805731361238856E-2</c:v>
                </c:pt>
                <c:pt idx="5">
                  <c:v>8.975716420154857E-2</c:v>
                </c:pt>
                <c:pt idx="6">
                  <c:v>0.10770859704185824</c:v>
                </c:pt>
                <c:pt idx="7">
                  <c:v>0.12566002988216801</c:v>
                </c:pt>
                <c:pt idx="8">
                  <c:v>0.14361146272247771</c:v>
                </c:pt>
                <c:pt idx="9">
                  <c:v>0.16156289556278744</c:v>
                </c:pt>
                <c:pt idx="10">
                  <c:v>0.17951432840309714</c:v>
                </c:pt>
                <c:pt idx="11">
                  <c:v>0.19746576124340684</c:v>
                </c:pt>
                <c:pt idx="12">
                  <c:v>0.21541719408371648</c:v>
                </c:pt>
                <c:pt idx="13">
                  <c:v>0.2333686269240263</c:v>
                </c:pt>
                <c:pt idx="14">
                  <c:v>0.23368718381940617</c:v>
                </c:pt>
                <c:pt idx="15">
                  <c:v>0.23793871405846179</c:v>
                </c:pt>
                <c:pt idx="16">
                  <c:v>0.24575469934909955</c:v>
                </c:pt>
                <c:pt idx="17">
                  <c:v>0.25333078711141072</c:v>
                </c:pt>
                <c:pt idx="18">
                  <c:v>0.26068786108915198</c:v>
                </c:pt>
                <c:pt idx="19">
                  <c:v>0.26784394018112601</c:v>
                </c:pt>
                <c:pt idx="20">
                  <c:v>0.27481470019839871</c:v>
                </c:pt>
                <c:pt idx="21">
                  <c:v>0.28161387945465982</c:v>
                </c:pt>
                <c:pt idx="22">
                  <c:v>0.28825359831933084</c:v>
                </c:pt>
                <c:pt idx="23">
                  <c:v>0.29474461404131719</c:v>
                </c:pt>
                <c:pt idx="24">
                  <c:v>0.30109652618208393</c:v>
                </c:pt>
                <c:pt idx="25">
                  <c:v>0.30731794387767941</c:v>
                </c:pt>
                <c:pt idx="26">
                  <c:v>0.31341662325617947</c:v>
                </c:pt>
                <c:pt idx="27">
                  <c:v>0.31939958127200346</c:v>
                </c:pt>
                <c:pt idx="28">
                  <c:v>0.32527319072283045</c:v>
                </c:pt>
                <c:pt idx="29">
                  <c:v>0.3310432601168411</c:v>
                </c:pt>
                <c:pt idx="30">
                  <c:v>0.33671510124194415</c:v>
                </c:pt>
                <c:pt idx="31">
                  <c:v>0.34229358667518783</c:v>
                </c:pt>
                <c:pt idx="32">
                  <c:v>0.34778319900450677</c:v>
                </c:pt>
                <c:pt idx="33">
                  <c:v>0.35318807317741807</c:v>
                </c:pt>
                <c:pt idx="34">
                  <c:v>0.35851203311447793</c:v>
                </c:pt>
                <c:pt idx="35">
                  <c:v>0.36375862350918076</c:v>
                </c:pt>
                <c:pt idx="36">
                  <c:v>0.36893113756588991</c:v>
                </c:pt>
                <c:pt idx="37">
                  <c:v>0.37403264129251107</c:v>
                </c:pt>
                <c:pt idx="38">
                  <c:v>0.37906599485692705</c:v>
                </c:pt>
                <c:pt idx="39">
                  <c:v>0.3840338714296524</c:v>
                </c:pt>
                <c:pt idx="40">
                  <c:v>0.38893877386515818</c:v>
                </c:pt>
                <c:pt idx="41">
                  <c:v>0.39378304951736071</c:v>
                </c:pt>
                <c:pt idx="42">
                  <c:v>0.39856890343818485</c:v>
                </c:pt>
                <c:pt idx="43">
                  <c:v>0.40329841016978679</c:v>
                </c:pt>
                <c:pt idx="44">
                  <c:v>0.40797352430936495</c:v>
                </c:pt>
                <c:pt idx="45">
                  <c:v>0.41259608999918351</c:v>
                </c:pt>
                <c:pt idx="46">
                  <c:v>0.41716784947250246</c:v>
                </c:pt>
                <c:pt idx="47">
                  <c:v>0.39716626110111108</c:v>
                </c:pt>
                <c:pt idx="48">
                  <c:v>0.40556025430619536</c:v>
                </c:pt>
                <c:pt idx="49">
                  <c:v>0.41395254128711834</c:v>
                </c:pt>
                <c:pt idx="50">
                  <c:v>0.41711414814378417</c:v>
                </c:pt>
                <c:pt idx="51">
                  <c:v>0.41793211200313501</c:v>
                </c:pt>
                <c:pt idx="52">
                  <c:v>0.41865693441740892</c:v>
                </c:pt>
                <c:pt idx="53">
                  <c:v>0.41933259843659049</c:v>
                </c:pt>
                <c:pt idx="54">
                  <c:v>0.41999086891910886</c:v>
                </c:pt>
                <c:pt idx="55">
                  <c:v>0.42063263191883227</c:v>
                </c:pt>
                <c:pt idx="56">
                  <c:v>0.42125871400826076</c:v>
                </c:pt>
                <c:pt idx="57">
                  <c:v>0.4218698871878086</c:v>
                </c:pt>
                <c:pt idx="58">
                  <c:v>0.4224668733167572</c:v>
                </c:pt>
                <c:pt idx="59">
                  <c:v>0.42305034811938391</c:v>
                </c:pt>
                <c:pt idx="60">
                  <c:v>0.42362094481303719</c:v>
                </c:pt>
                <c:pt idx="61">
                  <c:v>0.42417925739913748</c:v>
                </c:pt>
                <c:pt idx="62">
                  <c:v>0.42472584365308141</c:v>
                </c:pt>
                <c:pt idx="63">
                  <c:v>0.42526122784470716</c:v>
                </c:pt>
                <c:pt idx="64">
                  <c:v>0.42578590321722737</c:v>
                </c:pt>
                <c:pt idx="65">
                  <c:v>0.42630033424928493</c:v>
                </c:pt>
                <c:pt idx="66">
                  <c:v>0.42680495872194807</c:v>
                </c:pt>
                <c:pt idx="67">
                  <c:v>0.42730018960999305</c:v>
                </c:pt>
                <c:pt idx="68">
                  <c:v>0.42778641681465435</c:v>
                </c:pt>
                <c:pt idx="69">
                  <c:v>0.42826400875313514</c:v>
                </c:pt>
                <c:pt idx="70">
                  <c:v>0.42873331381850288</c:v>
                </c:pt>
                <c:pt idx="71">
                  <c:v>0.42919466172213711</c:v>
                </c:pt>
                <c:pt idx="72">
                  <c:v>0.42964836472960466</c:v>
                </c:pt>
                <c:pt idx="73">
                  <c:v>0.43009471879970723</c:v>
                </c:pt>
                <c:pt idx="74">
                  <c:v>0.43053400463543506</c:v>
                </c:pt>
                <c:pt idx="75">
                  <c:v>0.43096648865467424</c:v>
                </c:pt>
                <c:pt idx="76">
                  <c:v>0.43139242388772925</c:v>
                </c:pt>
                <c:pt idx="77">
                  <c:v>0.43181205080801488</c:v>
                </c:pt>
                <c:pt idx="78">
                  <c:v>0.43222559810165284</c:v>
                </c:pt>
                <c:pt idx="79">
                  <c:v>0.43263328338115348</c:v>
                </c:pt>
                <c:pt idx="80">
                  <c:v>0.43303531384786331</c:v>
                </c:pt>
                <c:pt idx="81">
                  <c:v>0.43343188690742052</c:v>
                </c:pt>
                <c:pt idx="82">
                  <c:v>0.43382319074205994</c:v>
                </c:pt>
                <c:pt idx="83">
                  <c:v>0.43420940484325871</c:v>
                </c:pt>
                <c:pt idx="84">
                  <c:v>0.43459070050789045</c:v>
                </c:pt>
                <c:pt idx="85">
                  <c:v>0.43496724130077269</c:v>
                </c:pt>
                <c:pt idx="86">
                  <c:v>0.43533918348623357</c:v>
                </c:pt>
                <c:pt idx="87">
                  <c:v>0.43570667643109157</c:v>
                </c:pt>
                <c:pt idx="88">
                  <c:v>0.4360698629812329</c:v>
                </c:pt>
                <c:pt idx="89">
                  <c:v>0.43642887981378531</c:v>
                </c:pt>
                <c:pt idx="90">
                  <c:v>0.43678385776670992</c:v>
                </c:pt>
                <c:pt idx="91">
                  <c:v>0.43713492214748539</c:v>
                </c:pt>
                <c:pt idx="92">
                  <c:v>0.43748219302241492</c:v>
                </c:pt>
                <c:pt idx="93">
                  <c:v>0.43782578548795897</c:v>
                </c:pt>
                <c:pt idx="94">
                  <c:v>0.4381658099253864</c:v>
                </c:pt>
                <c:pt idx="95">
                  <c:v>0.43850237223992444</c:v>
                </c:pt>
                <c:pt idx="96">
                  <c:v>0.4388355740855005</c:v>
                </c:pt>
                <c:pt idx="97">
                  <c:v>0.43916551307607649</c:v>
                </c:pt>
                <c:pt idx="98">
                  <c:v>0.43949228298450149</c:v>
                </c:pt>
                <c:pt idx="99">
                  <c:v>0.43981597392973171</c:v>
                </c:pt>
                <c:pt idx="100">
                  <c:v>0.44013667255320776</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8.8907218315768099E-3</c:v>
                </c:pt>
                <c:pt idx="1">
                  <c:v>2.3947014826015744E-2</c:v>
                </c:pt>
                <c:pt idx="2">
                  <c:v>7.184104447804722E-2</c:v>
                </c:pt>
                <c:pt idx="3">
                  <c:v>7.184104447804722E-2</c:v>
                </c:pt>
                <c:pt idx="4">
                  <c:v>9.5788059304062978E-2</c:v>
                </c:pt>
                <c:pt idx="5">
                  <c:v>0.11973507413007875</c:v>
                </c:pt>
                <c:pt idx="6">
                  <c:v>0.14368208895609444</c:v>
                </c:pt>
                <c:pt idx="7">
                  <c:v>0.16762910378211024</c:v>
                </c:pt>
                <c:pt idx="8">
                  <c:v>0.19157611860812596</c:v>
                </c:pt>
                <c:pt idx="9">
                  <c:v>0.21552313343414176</c:v>
                </c:pt>
                <c:pt idx="10">
                  <c:v>0.2394701482601575</c:v>
                </c:pt>
                <c:pt idx="11">
                  <c:v>0.26341716308617324</c:v>
                </c:pt>
                <c:pt idx="12">
                  <c:v>0.28736417791218888</c:v>
                </c:pt>
                <c:pt idx="13">
                  <c:v>0.31131119273820473</c:v>
                </c:pt>
                <c:pt idx="14">
                  <c:v>0.31174049679680838</c:v>
                </c:pt>
                <c:pt idx="15">
                  <c:v>0.31741771415984293</c:v>
                </c:pt>
                <c:pt idx="16">
                  <c:v>0.32785012219933529</c:v>
                </c:pt>
                <c:pt idx="17">
                  <c:v>0.33796266883646009</c:v>
                </c:pt>
                <c:pt idx="18">
                  <c:v>0.34778319900450666</c:v>
                </c:pt>
                <c:pt idx="19">
                  <c:v>0.35733573784843459</c:v>
                </c:pt>
                <c:pt idx="20">
                  <c:v>0.36664118640050375</c:v>
                </c:pt>
                <c:pt idx="21">
                  <c:v>0.37571786236687782</c:v>
                </c:pt>
                <c:pt idx="22">
                  <c:v>0.38458192619798409</c:v>
                </c:pt>
                <c:pt idx="23">
                  <c:v>0.39324772085313786</c:v>
                </c:pt>
                <c:pt idx="24">
                  <c:v>0.40172804571098969</c:v>
                </c:pt>
                <c:pt idx="25">
                  <c:v>0.41003437958528349</c:v>
                </c:pt>
                <c:pt idx="26">
                  <c:v>0.41817706394788245</c:v>
                </c:pt>
                <c:pt idx="27">
                  <c:v>0.42616545470765355</c:v>
                </c:pt>
                <c:pt idx="28">
                  <c:v>0.43400804889951383</c:v>
                </c:pt>
                <c:pt idx="29">
                  <c:v>0.44171259117393274</c:v>
                </c:pt>
                <c:pt idx="30">
                  <c:v>0.44928616388909864</c:v>
                </c:pt>
                <c:pt idx="31">
                  <c:v>0.45673526379001533</c:v>
                </c:pt>
                <c:pt idx="32">
                  <c:v>0.46406586763739305</c:v>
                </c:pt>
                <c:pt idx="33">
                  <c:v>0.47128348867248154</c:v>
                </c:pt>
                <c:pt idx="34">
                  <c:v>0.44149190247995118</c:v>
                </c:pt>
                <c:pt idx="35">
                  <c:v>0.45442393332150305</c:v>
                </c:pt>
                <c:pt idx="36">
                  <c:v>0.467353770144813</c:v>
                </c:pt>
                <c:pt idx="37">
                  <c:v>0.48028144698627911</c:v>
                </c:pt>
                <c:pt idx="38">
                  <c:v>0.48324952104532054</c:v>
                </c:pt>
                <c:pt idx="39">
                  <c:v>0.48444663714662428</c:v>
                </c:pt>
                <c:pt idx="40">
                  <c:v>0.48544092546272016</c:v>
                </c:pt>
                <c:pt idx="41">
                  <c:v>0.48639622663296911</c:v>
                </c:pt>
                <c:pt idx="42">
                  <c:v>0.48731814434127135</c:v>
                </c:pt>
                <c:pt idx="43">
                  <c:v>0.48820885923000001</c:v>
                </c:pt>
                <c:pt idx="44">
                  <c:v>0.48907036528074016</c:v>
                </c:pt>
                <c:pt idx="45">
                  <c:v>0.48990448936962933</c:v>
                </c:pt>
                <c:pt idx="46">
                  <c:v>0.49071290841471382</c:v>
                </c:pt>
                <c:pt idx="47">
                  <c:v>0.49149716445429364</c:v>
                </c:pt>
                <c:pt idx="48">
                  <c:v>0.49225867794177114</c:v>
                </c:pt>
                <c:pt idx="49">
                  <c:v>0.49299875949835997</c:v>
                </c:pt>
                <c:pt idx="50">
                  <c:v>0.49371862032838937</c:v>
                </c:pt>
                <c:pt idx="51">
                  <c:v>0.49441938147145847</c:v>
                </c:pt>
                <c:pt idx="52">
                  <c:v>0.4951020820402125</c:v>
                </c:pt>
                <c:pt idx="53">
                  <c:v>0.49576768657116677</c:v>
                </c:pt>
                <c:pt idx="54">
                  <c:v>0.49641709159802377</c:v>
                </c:pt>
                <c:pt idx="55">
                  <c:v>0.49705113154176794</c:v>
                </c:pt>
                <c:pt idx="56">
                  <c:v>0.49767058399897579</c:v>
                </c:pt>
                <c:pt idx="57">
                  <c:v>0.49827617449887013</c:v>
                </c:pt>
                <c:pt idx="58">
                  <c:v>0.49886858079035912</c:v>
                </c:pt>
                <c:pt idx="59">
                  <c:v>0.49944843671235956</c:v>
                </c:pt>
                <c:pt idx="60">
                  <c:v>0.50001633569391002</c:v>
                </c:pt>
                <c:pt idx="61">
                  <c:v>0.50057283392473872</c:v>
                </c:pt>
                <c:pt idx="62">
                  <c:v>0.50111845323192472</c:v>
                </c:pt>
                <c:pt idx="63">
                  <c:v>0.50165368369395702</c:v>
                </c:pt>
                <c:pt idx="64">
                  <c:v>0.50217898601973732</c:v>
                </c:pt>
                <c:pt idx="65">
                  <c:v>0.5026947937168218</c:v>
                </c:pt>
                <c:pt idx="66">
                  <c:v>0.50320151507037059</c:v>
                </c:pt>
                <c:pt idx="67">
                  <c:v>0.50369953495180586</c:v>
                </c:pt>
                <c:pt idx="68">
                  <c:v>0.50418921647403447</c:v>
                </c:pt>
                <c:pt idx="69">
                  <c:v>0.5046709025082089</c:v>
                </c:pt>
                <c:pt idx="70">
                  <c:v>0.50514491707535336</c:v>
                </c:pt>
                <c:pt idx="71">
                  <c:v>0.5056115666247375</c:v>
                </c:pt>
                <c:pt idx="72">
                  <c:v>0.50607114120960328</c:v>
                </c:pt>
                <c:pt idx="73">
                  <c:v>0.50652391556973886</c:v>
                </c:pt>
                <c:pt idx="74">
                  <c:v>0.50697015012939251</c:v>
                </c:pt>
                <c:pt idx="75">
                  <c:v>0.50741009191815467</c:v>
                </c:pt>
                <c:pt idx="76">
                  <c:v>0.50784397542165649</c:v>
                </c:pt>
                <c:pt idx="77">
                  <c:v>0.50827202336824673</c:v>
                </c:pt>
                <c:pt idx="78">
                  <c:v>0.50869444745719894</c:v>
                </c:pt>
                <c:pt idx="79">
                  <c:v>0.50911144903345562</c:v>
                </c:pt>
                <c:pt idx="80">
                  <c:v>0.50952321971343684</c:v>
                </c:pt>
                <c:pt idx="81">
                  <c:v>0.50992994196599839</c:v>
                </c:pt>
                <c:pt idx="82">
                  <c:v>0.51033178965225257</c:v>
                </c:pt>
                <c:pt idx="83">
                  <c:v>0.5107289285276041</c:v>
                </c:pt>
                <c:pt idx="84">
                  <c:v>0.51112151670905404</c:v>
                </c:pt>
                <c:pt idx="85">
                  <c:v>0.51150970511054406</c:v>
                </c:pt>
                <c:pt idx="86">
                  <c:v>0.51189363784885977</c:v>
                </c:pt>
                <c:pt idx="87">
                  <c:v>0.5122734526223911</c:v>
                </c:pt>
                <c:pt idx="88">
                  <c:v>0.51264928106484575</c:v>
                </c:pt>
                <c:pt idx="89">
                  <c:v>0.51302124907582403</c:v>
                </c:pt>
                <c:pt idx="90">
                  <c:v>0.51338947713000327</c:v>
                </c:pt>
                <c:pt idx="91">
                  <c:v>0.51375408056653094</c:v>
                </c:pt>
                <c:pt idx="92">
                  <c:v>0.5141151698600861</c:v>
                </c:pt>
                <c:pt idx="93">
                  <c:v>0.51447285087495109</c:v>
                </c:pt>
                <c:pt idx="94">
                  <c:v>0.51482722510332468</c:v>
                </c:pt>
                <c:pt idx="95">
                  <c:v>0.515178389889001</c:v>
                </c:pt>
                <c:pt idx="96">
                  <c:v>0.51552643863745751</c:v>
                </c:pt>
                <c:pt idx="97">
                  <c:v>0.5158714610133005</c:v>
                </c:pt>
                <c:pt idx="98">
                  <c:v>0.51621354312595147</c:v>
                </c:pt>
                <c:pt idx="99">
                  <c:v>0.51655276770437997</c:v>
                </c:pt>
                <c:pt idx="100">
                  <c:v>0.51688921426163148</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4.4448963515251452E-3</c:v>
                </c:pt>
                <c:pt idx="1">
                  <c:v>1.1945476715305084E-2</c:v>
                </c:pt>
                <c:pt idx="2">
                  <c:v>2.3890953430610169E-2</c:v>
                </c:pt>
                <c:pt idx="3">
                  <c:v>3.5836430145915248E-2</c:v>
                </c:pt>
                <c:pt idx="4">
                  <c:v>4.7781906861220337E-2</c:v>
                </c:pt>
                <c:pt idx="5">
                  <c:v>5.9727383576525427E-2</c:v>
                </c:pt>
                <c:pt idx="6">
                  <c:v>7.1672860291830495E-2</c:v>
                </c:pt>
                <c:pt idx="7">
                  <c:v>8.3618337007135626E-2</c:v>
                </c:pt>
                <c:pt idx="8">
                  <c:v>9.5563813722440674E-2</c:v>
                </c:pt>
                <c:pt idx="9">
                  <c:v>0.10750929043774576</c:v>
                </c:pt>
                <c:pt idx="10">
                  <c:v>0.11945476715305085</c:v>
                </c:pt>
                <c:pt idx="11">
                  <c:v>0.13140024386835594</c:v>
                </c:pt>
                <c:pt idx="12">
                  <c:v>0.14334572058366099</c:v>
                </c:pt>
                <c:pt idx="13">
                  <c:v>0.15529119729896612</c:v>
                </c:pt>
                <c:pt idx="14">
                  <c:v>0.1557026031607586</c:v>
                </c:pt>
                <c:pt idx="15">
                  <c:v>0.15853216170627724</c:v>
                </c:pt>
                <c:pt idx="16">
                  <c:v>0.16373656704016784</c:v>
                </c:pt>
                <c:pt idx="17">
                  <c:v>0.16878103991696583</c:v>
                </c:pt>
                <c:pt idx="18">
                  <c:v>0.17367950285544273</c:v>
                </c:pt>
                <c:pt idx="19">
                  <c:v>0.17844396847579239</c:v>
                </c:pt>
                <c:pt idx="20">
                  <c:v>0.18308488733803585</c:v>
                </c:pt>
                <c:pt idx="21">
                  <c:v>0.18761141833580766</c:v>
                </c:pt>
                <c:pt idx="22">
                  <c:v>0.19203164173193898</c:v>
                </c:pt>
                <c:pt idx="23">
                  <c:v>0.19635272904110768</c:v>
                </c:pt>
                <c:pt idx="24">
                  <c:v>0.20058107998534752</c:v>
                </c:pt>
                <c:pt idx="25">
                  <c:v>0.20472243400217149</c:v>
                </c:pt>
                <c:pt idx="26">
                  <c:v>0.20878196185629322</c:v>
                </c:pt>
                <c:pt idx="27">
                  <c:v>0.21276434152925025</c:v>
                </c:pt>
                <c:pt idx="28">
                  <c:v>0.21667382156408421</c:v>
                </c:pt>
                <c:pt idx="29">
                  <c:v>0.22051427431022894</c:v>
                </c:pt>
                <c:pt idx="30">
                  <c:v>0.22428924096971439</c:v>
                </c:pt>
                <c:pt idx="31">
                  <c:v>0.22800196993682106</c:v>
                </c:pt>
                <c:pt idx="32">
                  <c:v>0.23165544961261955</c:v>
                </c:pt>
                <c:pt idx="33">
                  <c:v>0.23525243663747125</c:v>
                </c:pt>
                <c:pt idx="34">
                  <c:v>0.23879548030003203</c:v>
                </c:pt>
                <c:pt idx="35">
                  <c:v>0.24228694373721529</c:v>
                </c:pt>
                <c:pt idx="36">
                  <c:v>0.24572902242617156</c:v>
                </c:pt>
                <c:pt idx="37">
                  <c:v>0.24912376037942829</c:v>
                </c:pt>
                <c:pt idx="38">
                  <c:v>0.2524730643825347</c:v>
                </c:pt>
                <c:pt idx="39">
                  <c:v>0.25577871655585144</c:v>
                </c:pt>
                <c:pt idx="40">
                  <c:v>0.25904238547545072</c:v>
                </c:pt>
                <c:pt idx="41">
                  <c:v>0.26226563605012626</c:v>
                </c:pt>
                <c:pt idx="42">
                  <c:v>0.2654499383204495</c:v>
                </c:pt>
                <c:pt idx="43">
                  <c:v>0.26859667532026554</c:v>
                </c:pt>
                <c:pt idx="44">
                  <c:v>0.27170715011991287</c:v>
                </c:pt>
                <c:pt idx="45">
                  <c:v>0.27478259215291695</c:v>
                </c:pt>
                <c:pt idx="46">
                  <c:v>0.27782416291328782</c:v>
                </c:pt>
                <c:pt idx="47">
                  <c:v>0.28083296109829819</c:v>
                </c:pt>
                <c:pt idx="48">
                  <c:v>0.28381002726131332</c:v>
                </c:pt>
                <c:pt idx="49">
                  <c:v>0.28675634803054573</c:v>
                </c:pt>
                <c:pt idx="50">
                  <c:v>0.28967285994222242</c:v>
                </c:pt>
                <c:pt idx="51">
                  <c:v>0.29256045293038774</c:v>
                </c:pt>
                <c:pt idx="52">
                  <c:v>0.29541997351019911</c:v>
                </c:pt>
                <c:pt idx="53">
                  <c:v>0.29825222768699111</c:v>
                </c:pt>
                <c:pt idx="54">
                  <c:v>0.30105798361944153</c:v>
                </c:pt>
                <c:pt idx="55">
                  <c:v>0.30383797406177426</c:v>
                </c:pt>
                <c:pt idx="56">
                  <c:v>0.306592898607005</c:v>
                </c:pt>
                <c:pt idx="57">
                  <c:v>0.30932342575068422</c:v>
                </c:pt>
                <c:pt idx="58">
                  <c:v>0.3120301947923908</c:v>
                </c:pt>
                <c:pt idx="59">
                  <c:v>0.31471381759029771</c:v>
                </c:pt>
                <c:pt idx="60">
                  <c:v>0.31737488018245119</c:v>
                </c:pt>
                <c:pt idx="61">
                  <c:v>0.29174274545643464</c:v>
                </c:pt>
                <c:pt idx="62">
                  <c:v>0.29647283626785959</c:v>
                </c:pt>
                <c:pt idx="63">
                  <c:v>0.30112125311024907</c:v>
                </c:pt>
                <c:pt idx="64">
                  <c:v>0.30576371021264093</c:v>
                </c:pt>
                <c:pt idx="65">
                  <c:v>0.31040009418910203</c:v>
                </c:pt>
                <c:pt idx="66">
                  <c:v>0.31503028879894213</c:v>
                </c:pt>
                <c:pt idx="67">
                  <c:v>0.31965417485559078</c:v>
                </c:pt>
                <c:pt idx="68">
                  <c:v>0.32427163013200427</c:v>
                </c:pt>
                <c:pt idx="69">
                  <c:v>0.32784598678128013</c:v>
                </c:pt>
                <c:pt idx="70">
                  <c:v>0.32833738530128265</c:v>
                </c:pt>
                <c:pt idx="71">
                  <c:v>0.32878824851004962</c:v>
                </c:pt>
                <c:pt idx="72">
                  <c:v>0.32921017595924246</c:v>
                </c:pt>
                <c:pt idx="73">
                  <c:v>0.3296246927725594</c:v>
                </c:pt>
                <c:pt idx="74">
                  <c:v>0.33003207891706171</c:v>
                </c:pt>
                <c:pt idx="75">
                  <c:v>0.33043260034670724</c:v>
                </c:pt>
                <c:pt idx="76">
                  <c:v>0.33082650986833229</c:v>
                </c:pt>
                <c:pt idx="77">
                  <c:v>0.33121404794419673</c:v>
                </c:pt>
                <c:pt idx="78">
                  <c:v>0.33159544343645059</c:v>
                </c:pt>
                <c:pt idx="79">
                  <c:v>0.33197091429836723</c:v>
                </c:pt>
                <c:pt idx="80">
                  <c:v>0.33234066821672981</c:v>
                </c:pt>
                <c:pt idx="81">
                  <c:v>0.33270490320935364</c:v>
                </c:pt>
                <c:pt idx="82">
                  <c:v>0.33306380818135634</c:v>
                </c:pt>
                <c:pt idx="83">
                  <c:v>0.33341756344346124</c:v>
                </c:pt>
                <c:pt idx="84">
                  <c:v>0.33376634119532272</c:v>
                </c:pt>
                <c:pt idx="85">
                  <c:v>0.33411030597659841</c:v>
                </c:pt>
                <c:pt idx="86">
                  <c:v>0.33444961508824828</c:v>
                </c:pt>
                <c:pt idx="87">
                  <c:v>0.33478441898633327</c:v>
                </c:pt>
                <c:pt idx="88">
                  <c:v>0.33511486165037974</c:v>
                </c:pt>
                <c:pt idx="89">
                  <c:v>0.33544108092821084</c:v>
                </c:pt>
                <c:pt idx="90">
                  <c:v>0.33576320885897643</c:v>
                </c:pt>
                <c:pt idx="91">
                  <c:v>0.33608137197597576</c:v>
                </c:pt>
                <c:pt idx="92">
                  <c:v>0.33639569159072957</c:v>
                </c:pt>
                <c:pt idx="93">
                  <c:v>0.33670628405964564</c:v>
                </c:pt>
                <c:pt idx="94">
                  <c:v>0.33701326103450657</c:v>
                </c:pt>
                <c:pt idx="95">
                  <c:v>0.33731672969791526</c:v>
                </c:pt>
                <c:pt idx="96">
                  <c:v>0.33761679298474084</c:v>
                </c:pt>
                <c:pt idx="97">
                  <c:v>0.33791354979052557</c:v>
                </c:pt>
                <c:pt idx="98">
                  <c:v>0.33820709516774289</c:v>
                </c:pt>
                <c:pt idx="99">
                  <c:v>0.33849752051072113</c:v>
                </c:pt>
                <c:pt idx="100">
                  <c:v>0.33878491372999164</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1.3575187449376684</c:v>
                </c:pt>
                <c:pt idx="16">
                  <c:v>1.4020393310154626</c:v>
                </c:pt>
                <c:pt idx="17">
                  <c:v>1.4451890632617688</c:v>
                </c:pt>
                <c:pt idx="18">
                  <c:v>1.4870872776769262</c:v>
                </c:pt>
                <c:pt idx="19">
                  <c:v>1.5278369396914431</c:v>
                </c:pt>
                <c:pt idx="20">
                  <c:v>1.5675276256394519</c:v>
                </c:pt>
                <c:pt idx="21">
                  <c:v>1.606237840420901</c:v>
                </c:pt>
                <c:pt idx="22">
                  <c:v>1.6440368435218058</c:v>
                </c:pt>
                <c:pt idx="23">
                  <c:v>1.680986105152058</c:v>
                </c:pt>
                <c:pt idx="24">
                  <c:v>1.7171404801504822</c:v>
                </c:pt>
                <c:pt idx="25">
                  <c:v>1.752549163769328</c:v>
                </c:pt>
                <c:pt idx="26">
                  <c:v>1.7872564769181043</c:v>
                </c:pt>
                <c:pt idx="27">
                  <c:v>1.8213025166464953</c:v>
                </c:pt>
                <c:pt idx="28">
                  <c:v>1.8547236990991409</c:v>
                </c:pt>
                <c:pt idx="29">
                  <c:v>1.887553215900718</c:v>
                </c:pt>
                <c:pt idx="30">
                  <c:v>1.9198214202665531</c:v>
                </c:pt>
                <c:pt idx="31">
                  <c:v>1.9515561556284842</c:v>
                </c:pt>
                <c:pt idx="32">
                  <c:v>1.9827830369025683</c:v>
                </c:pt>
                <c:pt idx="33">
                  <c:v>2.0135256924821481</c:v>
                </c:pt>
                <c:pt idx="34">
                  <c:v>1.8861550280139194</c:v>
                </c:pt>
                <c:pt idx="35">
                  <c:v>1.9413141830839693</c:v>
                </c:pt>
                <c:pt idx="36">
                  <c:v>1.9964601793012358</c:v>
                </c:pt>
                <c:pt idx="37">
                  <c:v>2.051593216148127</c:v>
                </c:pt>
                <c:pt idx="38">
                  <c:v>2.1066018724347302</c:v>
                </c:pt>
                <c:pt idx="39">
                  <c:v>2.1606374311008101</c:v>
                </c:pt>
                <c:pt idx="40">
                  <c:v>2.2153190498219892</c:v>
                </c:pt>
                <c:pt idx="41">
                  <c:v>2.2699802267598717</c:v>
                </c:pt>
                <c:pt idx="42">
                  <c:v>2.3246074990748249</c:v>
                </c:pt>
                <c:pt idx="43">
                  <c:v>2.3792009570026447</c:v>
                </c:pt>
                <c:pt idx="44">
                  <c:v>2.4337606905106655</c:v>
                </c:pt>
                <c:pt idx="45">
                  <c:v>2.488286789298777</c:v>
                </c:pt>
                <c:pt idx="46">
                  <c:v>2.5427793428004404</c:v>
                </c:pt>
                <c:pt idx="47">
                  <c:v>2.5972384401836908</c:v>
                </c:pt>
                <c:pt idx="48">
                  <c:v>2.6516641703521442</c:v>
                </c:pt>
                <c:pt idx="49">
                  <c:v>2.7060566219460003</c:v>
                </c:pt>
                <c:pt idx="50">
                  <c:v>2.7604158833430286</c:v>
                </c:pt>
                <c:pt idx="51">
                  <c:v>2.8147420426595628</c:v>
                </c:pt>
                <c:pt idx="52">
                  <c:v>2.869035187751491</c:v>
                </c:pt>
                <c:pt idx="53">
                  <c:v>2.9232954062152281</c:v>
                </c:pt>
                <c:pt idx="54">
                  <c:v>2.9775227853886967</c:v>
                </c:pt>
                <c:pt idx="55">
                  <c:v>3.0317174123523012</c:v>
                </c:pt>
                <c:pt idx="56">
                  <c:v>3.0858793739298944</c:v>
                </c:pt>
                <c:pt idx="57">
                  <c:v>3.1400087566897366</c:v>
                </c:pt>
                <c:pt idx="58">
                  <c:v>3.1941056469454661</c:v>
                </c:pt>
                <c:pt idx="59">
                  <c:v>3.248170130757039</c:v>
                </c:pt>
                <c:pt idx="60">
                  <c:v>3.3022022939316917</c:v>
                </c:pt>
                <c:pt idx="61">
                  <c:v>3.3562022220248853</c:v>
                </c:pt>
                <c:pt idx="62">
                  <c:v>3.4101700003412416</c:v>
                </c:pt>
                <c:pt idx="63">
                  <c:v>3.4641057139354894</c:v>
                </c:pt>
                <c:pt idx="64">
                  <c:v>3.5180094476133892</c:v>
                </c:pt>
                <c:pt idx="65">
                  <c:v>3.5718812859326738</c:v>
                </c:pt>
                <c:pt idx="66">
                  <c:v>3.6257213132039605</c:v>
                </c:pt>
                <c:pt idx="67">
                  <c:v>3.6795296134916891</c:v>
                </c:pt>
                <c:pt idx="68">
                  <c:v>3.7333062706150186</c:v>
                </c:pt>
                <c:pt idx="69">
                  <c:v>3.787051368148759</c:v>
                </c:pt>
                <c:pt idx="70">
                  <c:v>3.8407649894242701</c:v>
                </c:pt>
                <c:pt idx="71">
                  <c:v>3.8944472175303724</c:v>
                </c:pt>
                <c:pt idx="72">
                  <c:v>3.948098135314237</c:v>
                </c:pt>
                <c:pt idx="73">
                  <c:v>4.0017178253822987</c:v>
                </c:pt>
                <c:pt idx="74">
                  <c:v>4.0553063701011327</c:v>
                </c:pt>
                <c:pt idx="75">
                  <c:v>4.1088638515983575</c:v>
                </c:pt>
                <c:pt idx="76">
                  <c:v>4.1623903517635128</c:v>
                </c:pt>
                <c:pt idx="77">
                  <c:v>4.2158859522489385</c:v>
                </c:pt>
                <c:pt idx="78">
                  <c:v>4.2693507344706605</c:v>
                </c:pt>
                <c:pt idx="79">
                  <c:v>4.3227847796092549</c:v>
                </c:pt>
                <c:pt idx="80">
                  <c:v>4.3761881686107218</c:v>
                </c:pt>
                <c:pt idx="81">
                  <c:v>4.4295609821873496</c:v>
                </c:pt>
                <c:pt idx="82">
                  <c:v>4.4829033008185828</c:v>
                </c:pt>
                <c:pt idx="83">
                  <c:v>4.5362152047518727</c:v>
                </c:pt>
                <c:pt idx="84">
                  <c:v>4.589496774003532</c:v>
                </c:pt>
                <c:pt idx="85">
                  <c:v>4.6427480883595891</c:v>
                </c:pt>
                <c:pt idx="86">
                  <c:v>4.6959692273766356</c:v>
                </c:pt>
                <c:pt idx="87">
                  <c:v>4.7491602703826601</c:v>
                </c:pt>
                <c:pt idx="88">
                  <c:v>4.8023212964779045</c:v>
                </c:pt>
                <c:pt idx="89">
                  <c:v>4.8554523845356821</c:v>
                </c:pt>
                <c:pt idx="90">
                  <c:v>4.9085536132032184</c:v>
                </c:pt>
                <c:pt idx="91">
                  <c:v>4.9616250609024792</c:v>
                </c:pt>
                <c:pt idx="92">
                  <c:v>5.0146668058309958</c:v>
                </c:pt>
                <c:pt idx="93">
                  <c:v>5.0676789259626807</c:v>
                </c:pt>
                <c:pt idx="94">
                  <c:v>5.1206614990486559</c:v>
                </c:pt>
                <c:pt idx="95">
                  <c:v>5.1736146026180503</c:v>
                </c:pt>
                <c:pt idx="96">
                  <c:v>5.2265383139788275</c:v>
                </c:pt>
                <c:pt idx="97">
                  <c:v>5.2794327102185825</c:v>
                </c:pt>
                <c:pt idx="98">
                  <c:v>5.3322978682053481</c:v>
                </c:pt>
                <c:pt idx="99">
                  <c:v>5.3851338645883899</c:v>
                </c:pt>
                <c:pt idx="100">
                  <c:v>5.4379407757990164</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1.3575187449376684</c:v>
                </c:pt>
                <c:pt idx="16">
                  <c:v>1.4020393310154626</c:v>
                </c:pt>
                <c:pt idx="17">
                  <c:v>1.4451890632617688</c:v>
                </c:pt>
                <c:pt idx="18">
                  <c:v>1.4870872776769262</c:v>
                </c:pt>
                <c:pt idx="19">
                  <c:v>1.5278369396914431</c:v>
                </c:pt>
                <c:pt idx="20">
                  <c:v>1.5675276256394519</c:v>
                </c:pt>
                <c:pt idx="21">
                  <c:v>1.606237840420901</c:v>
                </c:pt>
                <c:pt idx="22">
                  <c:v>1.6440368435218058</c:v>
                </c:pt>
                <c:pt idx="23">
                  <c:v>1.680986105152058</c:v>
                </c:pt>
                <c:pt idx="24">
                  <c:v>1.7171404801504822</c:v>
                </c:pt>
                <c:pt idx="25">
                  <c:v>1.752549163769328</c:v>
                </c:pt>
                <c:pt idx="26">
                  <c:v>1.7872564769181043</c:v>
                </c:pt>
                <c:pt idx="27">
                  <c:v>1.8213025166464953</c:v>
                </c:pt>
                <c:pt idx="28">
                  <c:v>1.8547236990991409</c:v>
                </c:pt>
                <c:pt idx="29">
                  <c:v>1.887553215900718</c:v>
                </c:pt>
                <c:pt idx="30">
                  <c:v>1.9198214202665531</c:v>
                </c:pt>
                <c:pt idx="31">
                  <c:v>1.9515561556284842</c:v>
                </c:pt>
                <c:pt idx="32">
                  <c:v>1.9827830369025683</c:v>
                </c:pt>
                <c:pt idx="33">
                  <c:v>2.0135256924821481</c:v>
                </c:pt>
                <c:pt idx="34">
                  <c:v>2.043805973458062</c:v>
                </c:pt>
                <c:pt idx="35">
                  <c:v>2.0736441353327719</c:v>
                </c:pt>
                <c:pt idx="36">
                  <c:v>2.1030589965231936</c:v>
                </c:pt>
                <c:pt idx="37">
                  <c:v>2.1320680771763096</c:v>
                </c:pt>
                <c:pt idx="38">
                  <c:v>2.1606877212062434</c:v>
                </c:pt>
                <c:pt idx="39">
                  <c:v>2.1889332039668479</c:v>
                </c:pt>
                <c:pt idx="40">
                  <c:v>2.2168188275738085</c:v>
                </c:pt>
                <c:pt idx="41">
                  <c:v>2.2443580055648109</c:v>
                </c:pt>
                <c:pt idx="42">
                  <c:v>2.2715633383201093</c:v>
                </c:pt>
                <c:pt idx="43">
                  <c:v>2.2984466804468497</c:v>
                </c:pt>
                <c:pt idx="44">
                  <c:v>2.3250192011495918</c:v>
                </c:pt>
                <c:pt idx="45">
                  <c:v>2.3512914384591777</c:v>
                </c:pt>
                <c:pt idx="46">
                  <c:v>2.3772733480667658</c:v>
                </c:pt>
                <c:pt idx="47">
                  <c:v>2.2632249208942667</c:v>
                </c:pt>
                <c:pt idx="48">
                  <c:v>2.3109894796654307</c:v>
                </c:pt>
                <c:pt idx="49">
                  <c:v>2.3587422194323331</c:v>
                </c:pt>
                <c:pt idx="50">
                  <c:v>2.4059810527762795</c:v>
                </c:pt>
                <c:pt idx="51">
                  <c:v>2.452640328366416</c:v>
                </c:pt>
                <c:pt idx="52">
                  <c:v>2.4996991776033681</c:v>
                </c:pt>
                <c:pt idx="53">
                  <c:v>2.5469115302305663</c:v>
                </c:pt>
                <c:pt idx="54">
                  <c:v>2.5940927267007101</c:v>
                </c:pt>
                <c:pt idx="55">
                  <c:v>2.6412428340066354</c:v>
                </c:pt>
                <c:pt idx="56">
                  <c:v>2.6883619189661827</c:v>
                </c:pt>
                <c:pt idx="57">
                  <c:v>2.7354500482227757</c:v>
                </c:pt>
                <c:pt idx="58">
                  <c:v>2.7825072882459958</c:v>
                </c:pt>
                <c:pt idx="59">
                  <c:v>2.8295337053321514</c:v>
                </c:pt>
                <c:pt idx="60">
                  <c:v>2.8765293656048456</c:v>
                </c:pt>
                <c:pt idx="61">
                  <c:v>2.9234943350155445</c:v>
                </c:pt>
                <c:pt idx="62">
                  <c:v>2.9704286793441397</c:v>
                </c:pt>
                <c:pt idx="63">
                  <c:v>3.0173324641995154</c:v>
                </c:pt>
                <c:pt idx="64">
                  <c:v>3.0642057550201001</c:v>
                </c:pt>
                <c:pt idx="65">
                  <c:v>3.1110486170744323</c:v>
                </c:pt>
                <c:pt idx="66">
                  <c:v>3.15786111546171</c:v>
                </c:pt>
                <c:pt idx="67">
                  <c:v>3.2046433151123495</c:v>
                </c:pt>
                <c:pt idx="68">
                  <c:v>3.2513952807885302</c:v>
                </c:pt>
                <c:pt idx="69">
                  <c:v>3.2981170770847488</c:v>
                </c:pt>
                <c:pt idx="70">
                  <c:v>3.3448087684283649</c:v>
                </c:pt>
                <c:pt idx="71">
                  <c:v>3.3914704190801475</c:v>
                </c:pt>
                <c:pt idx="72">
                  <c:v>3.4381020931348103</c:v>
                </c:pt>
                <c:pt idx="73">
                  <c:v>3.484703854521559</c:v>
                </c:pt>
                <c:pt idx="74">
                  <c:v>3.5312757670046295</c:v>
                </c:pt>
                <c:pt idx="75">
                  <c:v>3.5778178941838226</c:v>
                </c:pt>
                <c:pt idx="76">
                  <c:v>3.6243302994950377</c:v>
                </c:pt>
                <c:pt idx="77">
                  <c:v>3.670813046210804</c:v>
                </c:pt>
                <c:pt idx="78">
                  <c:v>3.7172661974408134</c:v>
                </c:pt>
                <c:pt idx="79">
                  <c:v>3.7636898161324495</c:v>
                </c:pt>
                <c:pt idx="80">
                  <c:v>3.8100839650713061</c:v>
                </c:pt>
                <c:pt idx="81">
                  <c:v>3.8564487068817193</c:v>
                </c:pt>
                <c:pt idx="82">
                  <c:v>3.902784104027285</c:v>
                </c:pt>
                <c:pt idx="83">
                  <c:v>3.9490902188113819</c:v>
                </c:pt>
                <c:pt idx="84">
                  <c:v>3.9953671133776854</c:v>
                </c:pt>
                <c:pt idx="85">
                  <c:v>4.041614849710685</c:v>
                </c:pt>
                <c:pt idx="86">
                  <c:v>4.0878334896362007</c:v>
                </c:pt>
                <c:pt idx="87">
                  <c:v>4.134023094821889</c:v>
                </c:pt>
                <c:pt idx="88">
                  <c:v>4.1801837267777611</c:v>
                </c:pt>
                <c:pt idx="89">
                  <c:v>4.2263154468566828</c:v>
                </c:pt>
                <c:pt idx="90">
                  <c:v>4.2724183162548837</c:v>
                </c:pt>
                <c:pt idx="91">
                  <c:v>4.318492396012461</c:v>
                </c:pt>
                <c:pt idx="92">
                  <c:v>4.3645377470138831</c:v>
                </c:pt>
                <c:pt idx="93">
                  <c:v>4.4105544299884878</c:v>
                </c:pt>
                <c:pt idx="94">
                  <c:v>4.4565425055109795</c:v>
                </c:pt>
                <c:pt idx="95">
                  <c:v>4.5025020340019299</c:v>
                </c:pt>
                <c:pt idx="96">
                  <c:v>4.5484330757282656</c:v>
                </c:pt>
                <c:pt idx="97">
                  <c:v>4.5943356908037671</c:v>
                </c:pt>
                <c:pt idx="98">
                  <c:v>4.6402099391895542</c:v>
                </c:pt>
                <c:pt idx="99">
                  <c:v>4.6860558806945809</c:v>
                </c:pt>
                <c:pt idx="100">
                  <c:v>4.7318735749761114</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1.3575187449376684</c:v>
                </c:pt>
                <c:pt idx="16">
                  <c:v>1.4020393310154626</c:v>
                </c:pt>
                <c:pt idx="17">
                  <c:v>1.4451890632617688</c:v>
                </c:pt>
                <c:pt idx="18">
                  <c:v>1.4870872776769262</c:v>
                </c:pt>
                <c:pt idx="19">
                  <c:v>1.5278369396914431</c:v>
                </c:pt>
                <c:pt idx="20">
                  <c:v>1.5675276256394519</c:v>
                </c:pt>
                <c:pt idx="21">
                  <c:v>1.606237840420901</c:v>
                </c:pt>
                <c:pt idx="22">
                  <c:v>1.6440368435218058</c:v>
                </c:pt>
                <c:pt idx="23">
                  <c:v>1.680986105152058</c:v>
                </c:pt>
                <c:pt idx="24">
                  <c:v>1.7171404801504822</c:v>
                </c:pt>
                <c:pt idx="25">
                  <c:v>1.752549163769328</c:v>
                </c:pt>
                <c:pt idx="26">
                  <c:v>1.7872564769181043</c:v>
                </c:pt>
                <c:pt idx="27">
                  <c:v>1.8213025166464953</c:v>
                </c:pt>
                <c:pt idx="28">
                  <c:v>1.8547236990991409</c:v>
                </c:pt>
                <c:pt idx="29">
                  <c:v>1.887553215900718</c:v>
                </c:pt>
                <c:pt idx="30">
                  <c:v>1.9198214202665531</c:v>
                </c:pt>
                <c:pt idx="31">
                  <c:v>1.9515561556284842</c:v>
                </c:pt>
                <c:pt idx="32">
                  <c:v>1.9827830369025683</c:v>
                </c:pt>
                <c:pt idx="33">
                  <c:v>2.0135256924821481</c:v>
                </c:pt>
                <c:pt idx="34">
                  <c:v>2.043805973458062</c:v>
                </c:pt>
                <c:pt idx="35">
                  <c:v>2.0736441353327719</c:v>
                </c:pt>
                <c:pt idx="36">
                  <c:v>2.1030589965231936</c:v>
                </c:pt>
                <c:pt idx="37">
                  <c:v>2.1320680771763096</c:v>
                </c:pt>
                <c:pt idx="38">
                  <c:v>2.1606877212062434</c:v>
                </c:pt>
                <c:pt idx="39">
                  <c:v>2.1889332039668479</c:v>
                </c:pt>
                <c:pt idx="40">
                  <c:v>2.2168188275738085</c:v>
                </c:pt>
                <c:pt idx="41">
                  <c:v>2.2443580055648109</c:v>
                </c:pt>
                <c:pt idx="42">
                  <c:v>2.2715633383201093</c:v>
                </c:pt>
                <c:pt idx="43">
                  <c:v>2.2984466804468497</c:v>
                </c:pt>
                <c:pt idx="44">
                  <c:v>2.3250192011495918</c:v>
                </c:pt>
                <c:pt idx="45">
                  <c:v>2.3512914384591777</c:v>
                </c:pt>
                <c:pt idx="46">
                  <c:v>2.3772733480667658</c:v>
                </c:pt>
                <c:pt idx="47">
                  <c:v>2.4029743474048395</c:v>
                </c:pt>
                <c:pt idx="48">
                  <c:v>2.4284033555286602</c:v>
                </c:pt>
                <c:pt idx="49">
                  <c:v>2.4535688292770592</c:v>
                </c:pt>
                <c:pt idx="50">
                  <c:v>2.4784787961282104</c:v>
                </c:pt>
                <c:pt idx="51">
                  <c:v>2.5031408841122555</c:v>
                </c:pt>
                <c:pt idx="52">
                  <c:v>2.5275623490967396</c:v>
                </c:pt>
                <c:pt idx="53">
                  <c:v>2.5517500997214779</c:v>
                </c:pt>
                <c:pt idx="54">
                  <c:v>2.5757107202257234</c:v>
                </c:pt>
                <c:pt idx="55">
                  <c:v>2.5994504913813721</c:v>
                </c:pt>
                <c:pt idx="56">
                  <c:v>2.6229754097208002</c:v>
                </c:pt>
                <c:pt idx="57">
                  <c:v>2.646291205226126</c:v>
                </c:pt>
                <c:pt idx="58">
                  <c:v>2.6694033576277461</c:v>
                </c:pt>
                <c:pt idx="59">
                  <c:v>2.6923171114434918</c:v>
                </c:pt>
                <c:pt idx="60">
                  <c:v>2.7150374898753369</c:v>
                </c:pt>
                <c:pt idx="61">
                  <c:v>2.4957224519573158</c:v>
                </c:pt>
                <c:pt idx="62">
                  <c:v>2.5361398203211829</c:v>
                </c:pt>
                <c:pt idx="63">
                  <c:v>2.5758014010785097</c:v>
                </c:pt>
                <c:pt idx="64">
                  <c:v>2.6154075533580352</c:v>
                </c:pt>
                <c:pt idx="65">
                  <c:v>2.6549572242045394</c:v>
                </c:pt>
                <c:pt idx="66">
                  <c:v>2.6944493339141924</c:v>
                </c:pt>
                <c:pt idx="67">
                  <c:v>2.7338827751784063</c:v>
                </c:pt>
                <c:pt idx="68">
                  <c:v>2.7732564121946863</c:v>
                </c:pt>
                <c:pt idx="69">
                  <c:v>2.8125690797429965</c:v>
                </c:pt>
                <c:pt idx="70">
                  <c:v>2.851819582226065</c:v>
                </c:pt>
                <c:pt idx="71">
                  <c:v>2.8913424362264091</c:v>
                </c:pt>
                <c:pt idx="72">
                  <c:v>2.931038319918104</c:v>
                </c:pt>
                <c:pt idx="73">
                  <c:v>2.9707068751058565</c:v>
                </c:pt>
                <c:pt idx="74">
                  <c:v>3.0103481493135522</c:v>
                </c:pt>
                <c:pt idx="75">
                  <c:v>3.04996218995913</c:v>
                </c:pt>
                <c:pt idx="76">
                  <c:v>3.0895490443548681</c:v>
                </c:pt>
                <c:pt idx="77">
                  <c:v>3.1291087597076848</c:v>
                </c:pt>
                <c:pt idx="78">
                  <c:v>3.1686413831194313</c:v>
                </c:pt>
                <c:pt idx="79">
                  <c:v>3.2081469615871834</c:v>
                </c:pt>
                <c:pt idx="80">
                  <c:v>3.2476255420035334</c:v>
                </c:pt>
                <c:pt idx="81">
                  <c:v>3.2870771711568811</c:v>
                </c:pt>
                <c:pt idx="82">
                  <c:v>3.3265018957317247</c:v>
                </c:pt>
                <c:pt idx="83">
                  <c:v>3.3658997623089491</c:v>
                </c:pt>
                <c:pt idx="84">
                  <c:v>3.405270817366115</c:v>
                </c:pt>
                <c:pt idx="85">
                  <c:v>3.4446151072777402</c:v>
                </c:pt>
                <c:pt idx="86">
                  <c:v>3.4839326783155946</c:v>
                </c:pt>
                <c:pt idx="87">
                  <c:v>3.5232235766489786</c:v>
                </c:pt>
                <c:pt idx="88">
                  <c:v>3.562487848345012</c:v>
                </c:pt>
                <c:pt idx="89">
                  <c:v>3.60172553936891</c:v>
                </c:pt>
                <c:pt idx="90">
                  <c:v>3.6409366955842741</c:v>
                </c:pt>
                <c:pt idx="91">
                  <c:v>3.680121362753368</c:v>
                </c:pt>
                <c:pt idx="92">
                  <c:v>3.7192795865373984</c:v>
                </c:pt>
                <c:pt idx="93">
                  <c:v>3.7584114124967987</c:v>
                </c:pt>
                <c:pt idx="94">
                  <c:v>3.7975168860915001</c:v>
                </c:pt>
                <c:pt idx="95">
                  <c:v>3.836596052681216</c:v>
                </c:pt>
                <c:pt idx="96">
                  <c:v>3.8756489575257165</c:v>
                </c:pt>
                <c:pt idx="97">
                  <c:v>3.9146756457851013</c:v>
                </c:pt>
                <c:pt idx="98">
                  <c:v>3.9536761625200794</c:v>
                </c:pt>
                <c:pt idx="99">
                  <c:v>3.9926505526922389</c:v>
                </c:pt>
                <c:pt idx="100">
                  <c:v>4.0315988611643228</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1.0153642857142857</c:v>
                </c:pt>
                <c:pt idx="2">
                  <c:v>1.0460928571428572</c:v>
                </c:pt>
                <c:pt idx="3">
                  <c:v>1.0460928571428572</c:v>
                </c:pt>
                <c:pt idx="4">
                  <c:v>1.0614571428571429</c:v>
                </c:pt>
                <c:pt idx="5">
                  <c:v>1.0768214285714286</c:v>
                </c:pt>
                <c:pt idx="6">
                  <c:v>1.0921857142857143</c:v>
                </c:pt>
                <c:pt idx="7">
                  <c:v>1.10755</c:v>
                </c:pt>
                <c:pt idx="8">
                  <c:v>1.1229142857142858</c:v>
                </c:pt>
                <c:pt idx="9">
                  <c:v>1.1382785714285715</c:v>
                </c:pt>
                <c:pt idx="10">
                  <c:v>1.1536428571428572</c:v>
                </c:pt>
                <c:pt idx="11">
                  <c:v>1.1690071428571429</c:v>
                </c:pt>
                <c:pt idx="12">
                  <c:v>1.1843714285714284</c:v>
                </c:pt>
                <c:pt idx="13">
                  <c:v>1.1997357142857143</c:v>
                </c:pt>
                <c:pt idx="14">
                  <c:v>1.2</c:v>
                </c:pt>
                <c:pt idx="15">
                  <c:v>1.2179151197069147</c:v>
                </c:pt>
                <c:pt idx="16">
                  <c:v>1.2508933316163919</c:v>
                </c:pt>
                <c:pt idx="17">
                  <c:v>1.2828560962432853</c:v>
                </c:pt>
                <c:pt idx="18">
                  <c:v>1.3138918106248834</c:v>
                </c:pt>
                <c:pt idx="19">
                  <c:v>1.3440767454504514</c:v>
                </c:pt>
                <c:pt idx="20">
                  <c:v>1.3734772535600877</c:v>
                </c:pt>
                <c:pt idx="21">
                  <c:v>1.4021514867315314</c:v>
                </c:pt>
                <c:pt idx="22">
                  <c:v>1.4301507482877573</c:v>
                </c:pt>
                <c:pt idx="23">
                  <c:v>1.4575205717175737</c:v>
                </c:pt>
                <c:pt idx="24">
                  <c:v>1.4843015902349248</c:v>
                </c:pt>
                <c:pt idx="25">
                  <c:v>1.5105302447674034</c:v>
                </c:pt>
                <c:pt idx="26">
                  <c:v>1.5362393656183486</c:v>
                </c:pt>
                <c:pt idx="27">
                  <c:v>1.5614586543060458</c:v>
                </c:pt>
                <c:pt idx="28">
                  <c:v>1.58621508575245</c:v>
                </c:pt>
                <c:pt idx="29">
                  <c:v>1.6105332463462108</c:v>
                </c:pt>
                <c:pt idx="30">
                  <c:v>1.634435619950533</c:v>
                </c:pt>
                <c:pt idx="31">
                  <c:v>1.6579428313297413</c:v>
                </c:pt>
                <c:pt idx="32">
                  <c:v>1.6810738544957295</c:v>
                </c:pt>
                <c:pt idx="33">
                  <c:v>1.7038461919620849</c:v>
                </c:pt>
                <c:pt idx="34">
                  <c:v>1.6094975516152488</c:v>
                </c:pt>
                <c:pt idx="35">
                  <c:v>1.6503561850004709</c:v>
                </c:pt>
                <c:pt idx="36">
                  <c:v>1.691205071087335</c:v>
                </c:pt>
                <c:pt idx="37">
                  <c:v>1.7320443576405875</c:v>
                </c:pt>
                <c:pt idx="38">
                  <c:v>1.772791510445479</c:v>
                </c:pt>
                <c:pt idx="39">
                  <c:v>1.8128178501981307</c:v>
                </c:pt>
                <c:pt idx="40">
                  <c:v>1.8533227529545597</c:v>
                </c:pt>
                <c:pt idx="41">
                  <c:v>1.8938125136492876</c:v>
                </c:pt>
                <c:pt idx="42">
                  <c:v>1.934277159808512</c:v>
                </c:pt>
                <c:pt idx="43">
                  <c:v>1.9747167582735639</c:v>
                </c:pt>
                <c:pt idx="44">
                  <c:v>2.0151313756869125</c:v>
                </c:pt>
                <c:pt idx="45">
                  <c:v>2.0555210784929212</c:v>
                </c:pt>
                <c:pt idx="46">
                  <c:v>2.0958859329385975</c:v>
                </c:pt>
                <c:pt idx="47">
                  <c:v>2.1362260050743389</c:v>
                </c:pt>
                <c:pt idx="48">
                  <c:v>2.1765413607546744</c:v>
                </c:pt>
                <c:pt idx="49">
                  <c:v>2.2168320656390126</c:v>
                </c:pt>
                <c:pt idx="50">
                  <c:v>2.2570981851923668</c:v>
                </c:pt>
                <c:pt idx="51">
                  <c:v>2.2973397846860957</c:v>
                </c:pt>
                <c:pt idx="52">
                  <c:v>2.3375569291986351</c:v>
                </c:pt>
                <c:pt idx="53">
                  <c:v>2.3777496836162184</c:v>
                </c:pt>
                <c:pt idx="54">
                  <c:v>2.4179181126336022</c:v>
                </c:pt>
                <c:pt idx="55">
                  <c:v>2.4580622807547909</c:v>
                </c:pt>
                <c:pt idx="56">
                  <c:v>2.4981822522937489</c:v>
                </c:pt>
                <c:pt idx="57">
                  <c:v>2.5382780913751137</c:v>
                </c:pt>
                <c:pt idx="58">
                  <c:v>2.578349861934913</c:v>
                </c:pt>
                <c:pt idx="59">
                  <c:v>2.6183976277212633</c:v>
                </c:pt>
                <c:pt idx="60">
                  <c:v>2.6584214522950802</c:v>
                </c:pt>
                <c:pt idx="61">
                  <c:v>2.6984213990307788</c:v>
                </c:pt>
                <c:pt idx="62">
                  <c:v>2.738397531116969</c:v>
                </c:pt>
                <c:pt idx="63">
                  <c:v>2.7783499115571528</c:v>
                </c:pt>
                <c:pt idx="64">
                  <c:v>2.8182786031704117</c:v>
                </c:pt>
                <c:pt idx="65">
                  <c:v>2.8581836685921038</c:v>
                </c:pt>
                <c:pt idx="66">
                  <c:v>2.8980651702745384</c:v>
                </c:pt>
                <c:pt idx="67">
                  <c:v>2.9379231704876707</c:v>
                </c:pt>
                <c:pt idx="68">
                  <c:v>2.977757731319767</c:v>
                </c:pt>
                <c:pt idx="69">
                  <c:v>3.0175689146780931</c:v>
                </c:pt>
                <c:pt idx="70">
                  <c:v>3.0573567822895829</c:v>
                </c:pt>
                <c:pt idx="71">
                  <c:v>3.0971213957015102</c:v>
                </c:pt>
                <c:pt idx="72">
                  <c:v>3.1368628162821506</c:v>
                </c:pt>
                <c:pt idx="73">
                  <c:v>3.1765811052214556</c:v>
                </c:pt>
                <c:pt idx="74">
                  <c:v>3.2162763235317033</c:v>
                </c:pt>
                <c:pt idx="75">
                  <c:v>3.2559485320481656</c:v>
                </c:pt>
                <c:pt idx="76">
                  <c:v>3.2955977914297625</c:v>
                </c:pt>
                <c:pt idx="77">
                  <c:v>3.3352241621597072</c:v>
                </c:pt>
                <c:pt idx="78">
                  <c:v>3.3748277045461679</c:v>
                </c:pt>
                <c:pt idx="79">
                  <c:v>3.4144084787229048</c:v>
                </c:pt>
                <c:pt idx="80">
                  <c:v>3.4539665446499175</c:v>
                </c:pt>
                <c:pt idx="81">
                  <c:v>3.4935019621140864</c:v>
                </c:pt>
                <c:pt idx="82">
                  <c:v>3.5330147907298137</c:v>
                </c:pt>
                <c:pt idx="83">
                  <c:v>3.5725050899396589</c:v>
                </c:pt>
                <c:pt idx="84">
                  <c:v>3.6119729190149616</c:v>
                </c:pt>
                <c:pt idx="85">
                  <c:v>3.6514183370564854</c:v>
                </c:pt>
                <c:pt idx="86">
                  <c:v>3.6908414029950389</c:v>
                </c:pt>
                <c:pt idx="87">
                  <c:v>3.7302421755920934</c:v>
                </c:pt>
                <c:pt idx="88">
                  <c:v>3.7696207134404229</c:v>
                </c:pt>
                <c:pt idx="89">
                  <c:v>3.8089770749647025</c:v>
                </c:pt>
                <c:pt idx="90">
                  <c:v>3.8483113184221365</c:v>
                </c:pt>
                <c:pt idx="91">
                  <c:v>3.8876235019030707</c:v>
                </c:pt>
                <c:pt idx="92">
                  <c:v>3.9269136833316018</c:v>
                </c:pt>
                <c:pt idx="93">
                  <c:v>3.966181920466183</c:v>
                </c:pt>
                <c:pt idx="94">
                  <c:v>4.0054282709002385</c:v>
                </c:pt>
                <c:pt idx="95">
                  <c:v>4.0446527920627533</c:v>
                </c:pt>
                <c:pt idx="96">
                  <c:v>4.0838555412188846</c:v>
                </c:pt>
                <c:pt idx="97">
                  <c:v>4.1230365754705547</c:v>
                </c:pt>
                <c:pt idx="98">
                  <c:v>4.1621959517570479</c:v>
                </c:pt>
                <c:pt idx="99">
                  <c:v>4.201333726855597</c:v>
                </c:pt>
                <c:pt idx="100">
                  <c:v>4.2404499573819878</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Dual'!$AJ$5:$AJ$105</c:f>
              <c:numCache>
                <c:formatCode>0.000</c:formatCode>
                <c:ptCount val="101"/>
                <c:pt idx="0">
                  <c:v>1.0057142857142858</c:v>
                </c:pt>
                <c:pt idx="1">
                  <c:v>1.0153642857142857</c:v>
                </c:pt>
                <c:pt idx="2">
                  <c:v>1.0307285714285714</c:v>
                </c:pt>
                <c:pt idx="3">
                  <c:v>1.0460928571428572</c:v>
                </c:pt>
                <c:pt idx="4">
                  <c:v>1.0614571428571429</c:v>
                </c:pt>
                <c:pt idx="5">
                  <c:v>1.0768214285714286</c:v>
                </c:pt>
                <c:pt idx="6">
                  <c:v>1.0921857142857143</c:v>
                </c:pt>
                <c:pt idx="7">
                  <c:v>1.10755</c:v>
                </c:pt>
                <c:pt idx="8">
                  <c:v>1.1229142857142858</c:v>
                </c:pt>
                <c:pt idx="9">
                  <c:v>1.1382785714285715</c:v>
                </c:pt>
                <c:pt idx="10">
                  <c:v>1.1536428571428572</c:v>
                </c:pt>
                <c:pt idx="11">
                  <c:v>1.1690071428571429</c:v>
                </c:pt>
                <c:pt idx="12">
                  <c:v>1.1843714285714284</c:v>
                </c:pt>
                <c:pt idx="13">
                  <c:v>1.1997357142857143</c:v>
                </c:pt>
                <c:pt idx="14">
                  <c:v>1.2</c:v>
                </c:pt>
                <c:pt idx="15">
                  <c:v>1.2179151197069147</c:v>
                </c:pt>
                <c:pt idx="16">
                  <c:v>1.2508933316163919</c:v>
                </c:pt>
                <c:pt idx="17">
                  <c:v>1.2828560962432853</c:v>
                </c:pt>
                <c:pt idx="18">
                  <c:v>1.3138918106248834</c:v>
                </c:pt>
                <c:pt idx="19">
                  <c:v>1.3440767454504514</c:v>
                </c:pt>
                <c:pt idx="20">
                  <c:v>1.3734772535600877</c:v>
                </c:pt>
                <c:pt idx="21">
                  <c:v>1.4021514867315314</c:v>
                </c:pt>
                <c:pt idx="22">
                  <c:v>1.4301507482877573</c:v>
                </c:pt>
                <c:pt idx="23">
                  <c:v>1.4575205717175737</c:v>
                </c:pt>
                <c:pt idx="24">
                  <c:v>1.4843015902349248</c:v>
                </c:pt>
                <c:pt idx="25">
                  <c:v>1.5105302447674034</c:v>
                </c:pt>
                <c:pt idx="26">
                  <c:v>1.5362393656183486</c:v>
                </c:pt>
                <c:pt idx="27">
                  <c:v>1.5614586543060458</c:v>
                </c:pt>
                <c:pt idx="28">
                  <c:v>1.58621508575245</c:v>
                </c:pt>
                <c:pt idx="29">
                  <c:v>1.6105332463462108</c:v>
                </c:pt>
                <c:pt idx="30">
                  <c:v>1.634435619950533</c:v>
                </c:pt>
                <c:pt idx="31">
                  <c:v>1.6579428313297413</c:v>
                </c:pt>
                <c:pt idx="32">
                  <c:v>1.6810738544957295</c:v>
                </c:pt>
                <c:pt idx="33">
                  <c:v>1.7038461919620849</c:v>
                </c:pt>
                <c:pt idx="34">
                  <c:v>1.7262760297220212</c:v>
                </c:pt>
                <c:pt idx="35">
                  <c:v>1.7483783718514356</c:v>
                </c:pt>
                <c:pt idx="36">
                  <c:v>1.7701671579184148</c:v>
                </c:pt>
                <c:pt idx="37">
                  <c:v>1.7916553658096119</c:v>
                </c:pt>
                <c:pt idx="38">
                  <c:v>1.8128551021280814</c:v>
                </c:pt>
                <c:pt idx="39">
                  <c:v>1.8337776819507514</c:v>
                </c:pt>
                <c:pt idx="40">
                  <c:v>1.8544336994373889</c:v>
                </c:pt>
                <c:pt idx="41">
                  <c:v>1.8748330905418351</c:v>
                </c:pt>
                <c:pt idx="42">
                  <c:v>1.8949851888790932</c:v>
                </c:pt>
                <c:pt idx="43">
                  <c:v>1.9148987756396416</c:v>
                </c:pt>
                <c:pt idx="44">
                  <c:v>1.9345821243083394</c:v>
                </c:pt>
                <c:pt idx="45">
                  <c:v>1.9540430408339586</c:v>
                </c:pt>
                <c:pt idx="46">
                  <c:v>1.9732888998025424</c:v>
                </c:pt>
                <c:pt idx="47">
                  <c:v>1.8888085833784691</c:v>
                </c:pt>
                <c:pt idx="48">
                  <c:v>1.9241897380237756</c:v>
                </c:pt>
                <c:pt idx="49">
                  <c:v>1.9595621378511108</c:v>
                </c:pt>
                <c:pt idx="50">
                  <c:v>1.9945538662540341</c:v>
                </c:pt>
                <c:pt idx="51">
                  <c:v>2.0291162926170982</c:v>
                </c:pt>
                <c:pt idx="52">
                  <c:v>2.0639746994592847</c:v>
                </c:pt>
                <c:pt idx="53">
                  <c:v>2.0989468125164685</c:v>
                </c:pt>
                <c:pt idx="54">
                  <c:v>2.1338958469387972</c:v>
                </c:pt>
                <c:pt idx="55">
                  <c:v>2.168821852350594</c:v>
                </c:pt>
                <c:pt idx="56">
                  <c:v>2.2037248782465548</c:v>
                </c:pt>
                <c:pt idx="57">
                  <c:v>2.2386049739921794</c:v>
                </c:pt>
                <c:pt idx="58">
                  <c:v>2.2734621888241944</c:v>
                </c:pt>
                <c:pt idx="59">
                  <c:v>2.3082965718509763</c:v>
                </c:pt>
                <c:pt idx="60">
                  <c:v>2.3431081720529718</c:v>
                </c:pt>
                <c:pt idx="61">
                  <c:v>2.3778970382831193</c:v>
                </c:pt>
                <c:pt idx="62">
                  <c:v>2.4126632192672641</c:v>
                </c:pt>
                <c:pt idx="63">
                  <c:v>2.4474067636045795</c:v>
                </c:pt>
                <c:pt idx="64">
                  <c:v>2.4821277197679752</c:v>
                </c:pt>
                <c:pt idx="65">
                  <c:v>2.5168261361045179</c:v>
                </c:pt>
                <c:pt idx="66">
                  <c:v>2.5515020608358343</c:v>
                </c:pt>
                <c:pt idx="67">
                  <c:v>2.5861555420585303</c:v>
                </c:pt>
                <c:pt idx="68">
                  <c:v>2.6207866277445904</c:v>
                </c:pt>
                <c:pt idx="69">
                  <c:v>2.6553953657417892</c:v>
                </c:pt>
                <c:pt idx="70">
                  <c:v>2.6899818037740975</c:v>
                </c:pt>
                <c:pt idx="71">
                  <c:v>2.7245459894420847</c:v>
                </c:pt>
                <c:pt idx="72">
                  <c:v>2.759087970223316</c:v>
                </c:pt>
                <c:pt idx="73">
                  <c:v>2.7936077934727597</c:v>
                </c:pt>
                <c:pt idx="74">
                  <c:v>2.8281055064231824</c:v>
                </c:pt>
                <c:pt idx="75">
                  <c:v>2.8625811561855476</c:v>
                </c:pt>
                <c:pt idx="76">
                  <c:v>2.8970347897494104</c:v>
                </c:pt>
                <c:pt idx="77">
                  <c:v>2.9314664539833117</c:v>
                </c:pt>
                <c:pt idx="78">
                  <c:v>2.9658761956351705</c:v>
                </c:pt>
                <c:pt idx="79">
                  <c:v>3.0002640613326781</c:v>
                </c:pt>
                <c:pt idx="80">
                  <c:v>3.0346300975836833</c:v>
                </c:pt>
                <c:pt idx="81">
                  <c:v>3.0689743507765819</c:v>
                </c:pt>
                <c:pt idx="82">
                  <c:v>3.1032968671807049</c:v>
                </c:pt>
                <c:pt idx="83">
                  <c:v>3.1375976929467027</c:v>
                </c:pt>
                <c:pt idx="84">
                  <c:v>3.1718768741069274</c:v>
                </c:pt>
                <c:pt idx="85">
                  <c:v>3.2061344565758159</c:v>
                </c:pt>
                <c:pt idx="86">
                  <c:v>3.2403704861502716</c:v>
                </c:pt>
                <c:pt idx="87">
                  <c:v>3.2745850085100408</c:v>
                </c:pt>
                <c:pt idx="88">
                  <c:v>3.3087780692180946</c:v>
                </c:pt>
                <c:pt idx="89">
                  <c:v>3.3429497137209996</c:v>
                </c:pt>
                <c:pt idx="90">
                  <c:v>3.377099987349296</c:v>
                </c:pt>
                <c:pt idx="91">
                  <c:v>3.4112289353178724</c:v>
                </c:pt>
                <c:pt idx="92">
                  <c:v>3.445336602726333</c:v>
                </c:pt>
                <c:pt idx="93">
                  <c:v>3.4794230345593737</c:v>
                </c:pt>
                <c:pt idx="94">
                  <c:v>3.5134882756871448</c:v>
                </c:pt>
                <c:pt idx="95">
                  <c:v>3.5475323708656266</c:v>
                </c:pt>
                <c:pt idx="96">
                  <c:v>3.5815553647369871</c:v>
                </c:pt>
                <c:pt idx="97">
                  <c:v>3.6155573018299512</c:v>
                </c:pt>
                <c:pt idx="98">
                  <c:v>3.6495382265601632</c:v>
                </c:pt>
                <c:pt idx="99">
                  <c:v>3.6834981832305536</c:v>
                </c:pt>
                <c:pt idx="100">
                  <c:v>3.7174372160316871</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c:v>
                </c:pt>
                <c:pt idx="15">
                  <c:v>1.2179151197069147</c:v>
                </c:pt>
                <c:pt idx="16">
                  <c:v>1.2508933316163919</c:v>
                </c:pt>
                <c:pt idx="17">
                  <c:v>1.2828560962432853</c:v>
                </c:pt>
                <c:pt idx="18">
                  <c:v>1.3138918106248834</c:v>
                </c:pt>
                <c:pt idx="19">
                  <c:v>1.3440767454504514</c:v>
                </c:pt>
                <c:pt idx="20">
                  <c:v>1.3734772535600877</c:v>
                </c:pt>
                <c:pt idx="21">
                  <c:v>1.4021514867315314</c:v>
                </c:pt>
                <c:pt idx="22">
                  <c:v>1.4301507482877573</c:v>
                </c:pt>
                <c:pt idx="23">
                  <c:v>1.4575205717175737</c:v>
                </c:pt>
                <c:pt idx="24">
                  <c:v>1.4843015902349248</c:v>
                </c:pt>
                <c:pt idx="25">
                  <c:v>1.5105302447674034</c:v>
                </c:pt>
                <c:pt idx="26">
                  <c:v>1.5362393656183486</c:v>
                </c:pt>
                <c:pt idx="27">
                  <c:v>1.5614586543060458</c:v>
                </c:pt>
                <c:pt idx="28">
                  <c:v>1.58621508575245</c:v>
                </c:pt>
                <c:pt idx="29">
                  <c:v>1.6105332463462108</c:v>
                </c:pt>
                <c:pt idx="30">
                  <c:v>1.634435619950533</c:v>
                </c:pt>
                <c:pt idx="31">
                  <c:v>1.6579428313297413</c:v>
                </c:pt>
                <c:pt idx="32">
                  <c:v>1.6810738544957295</c:v>
                </c:pt>
                <c:pt idx="33">
                  <c:v>1.7038461919620849</c:v>
                </c:pt>
                <c:pt idx="34">
                  <c:v>1.7262760297220212</c:v>
                </c:pt>
                <c:pt idx="35">
                  <c:v>1.7483783718514356</c:v>
                </c:pt>
                <c:pt idx="36">
                  <c:v>1.7701671579184148</c:v>
                </c:pt>
                <c:pt idx="37">
                  <c:v>1.7916553658096119</c:v>
                </c:pt>
                <c:pt idx="38">
                  <c:v>1.8128551021280814</c:v>
                </c:pt>
                <c:pt idx="39">
                  <c:v>1.8337776819507514</c:v>
                </c:pt>
                <c:pt idx="40">
                  <c:v>1.8544336994373889</c:v>
                </c:pt>
                <c:pt idx="41">
                  <c:v>1.8748330905418351</c:v>
                </c:pt>
                <c:pt idx="42">
                  <c:v>1.8949851888790932</c:v>
                </c:pt>
                <c:pt idx="43">
                  <c:v>1.9148987756396416</c:v>
                </c:pt>
                <c:pt idx="44">
                  <c:v>1.9345821243083394</c:v>
                </c:pt>
                <c:pt idx="45">
                  <c:v>1.9540430408339586</c:v>
                </c:pt>
                <c:pt idx="46">
                  <c:v>1.9732888998025424</c:v>
                </c:pt>
                <c:pt idx="47">
                  <c:v>1.9923266770900043</c:v>
                </c:pt>
                <c:pt idx="48">
                  <c:v>2.0111629794039456</c:v>
                </c:pt>
                <c:pt idx="49">
                  <c:v>2.0298040710694263</c:v>
                </c:pt>
                <c:pt idx="50">
                  <c:v>2.0482558983665755</c:v>
                </c:pt>
                <c:pt idx="51">
                  <c:v>2.0665241116880901</c:v>
                </c:pt>
                <c:pt idx="52">
                  <c:v>2.0846140857506712</c:v>
                </c:pt>
                <c:pt idx="53">
                  <c:v>2.1025309380652919</c:v>
                </c:pt>
                <c:pt idx="54">
                  <c:v>2.1202795458462145</c:v>
                </c:pt>
                <c:pt idx="55">
                  <c:v>2.1378645615170657</c:v>
                </c:pt>
                <c:pt idx="56">
                  <c:v>2.155290426953679</c:v>
                </c:pt>
                <c:pt idx="57">
                  <c:v>2.1725613865872537</c:v>
                </c:pt>
                <c:pt idx="58">
                  <c:v>2.1896814994773424</c:v>
                </c:pt>
                <c:pt idx="59">
                  <c:v>2.2066546504519691</c:v>
                </c:pt>
                <c:pt idx="60">
                  <c:v>2.2234845604014839</c:v>
                </c:pt>
                <c:pt idx="61">
                  <c:v>2.0610289767585055</c:v>
                </c:pt>
                <c:pt idx="62">
                  <c:v>2.0909677681391479</c:v>
                </c:pt>
                <c:pt idx="63">
                  <c:v>2.1203467168482786</c:v>
                </c:pt>
                <c:pt idx="64">
                  <c:v>2.149684607425705</c:v>
                </c:pt>
                <c:pt idx="65">
                  <c:v>2.1789806599045969</c:v>
                </c:pt>
                <c:pt idx="66">
                  <c:v>2.2082340745043396</c:v>
                </c:pt>
                <c:pt idx="67">
                  <c:v>2.2374440309963504</c:v>
                </c:pt>
                <c:pt idx="68">
                  <c:v>2.2666096880454463</c:v>
                </c:pt>
                <c:pt idx="69">
                  <c:v>2.2957301825256762</c:v>
                </c:pt>
                <c:pt idx="70">
                  <c:v>2.3248046288094306</c:v>
                </c:pt>
                <c:pt idx="71">
                  <c:v>2.3540808169578336</c:v>
                </c:pt>
                <c:pt idx="72">
                  <c:v>2.3834851752479782</c:v>
                </c:pt>
                <c:pt idx="73">
                  <c:v>2.4128692902018689</c:v>
                </c:pt>
                <c:pt idx="74">
                  <c:v>2.4422331970223841</c:v>
                </c:pt>
                <c:pt idx="75">
                  <c:v>2.4715769308339235</c:v>
                </c:pt>
                <c:pt idx="76">
                  <c:v>2.5009005266826181</c:v>
                </c:pt>
                <c:pt idx="77">
                  <c:v>2.5302040195365567</c:v>
                </c:pt>
                <c:pt idx="78">
                  <c:v>2.5594874442859981</c:v>
                </c:pt>
                <c:pt idx="79">
                  <c:v>2.5887508357435927</c:v>
                </c:pt>
                <c:pt idx="80">
                  <c:v>2.6179942286445925</c:v>
                </c:pt>
                <c:pt idx="81">
                  <c:v>2.6472176576470723</c:v>
                </c:pt>
                <c:pt idx="82">
                  <c:v>2.6764211573321415</c:v>
                </c:pt>
                <c:pt idx="83">
                  <c:v>2.7056047622041595</c:v>
                </c:pt>
                <c:pt idx="84">
                  <c:v>2.7347685066909495</c:v>
                </c:pt>
                <c:pt idx="85">
                  <c:v>2.7639124251440048</c:v>
                </c:pt>
                <c:pt idx="86">
                  <c:v>2.7930365518387119</c:v>
                </c:pt>
                <c:pt idx="87">
                  <c:v>2.8221409209745518</c:v>
                </c:pt>
                <c:pt idx="88">
                  <c:v>2.8512255666753177</c:v>
                </c:pt>
                <c:pt idx="89">
                  <c:v>2.8802905229893163</c:v>
                </c:pt>
                <c:pt idx="90">
                  <c:v>2.9093358238895854</c:v>
                </c:pt>
                <c:pt idx="91">
                  <c:v>2.9383615032740993</c:v>
                </c:pt>
                <c:pt idx="92">
                  <c:v>2.9673675949659737</c:v>
                </c:pt>
                <c:pt idx="93">
                  <c:v>2.9963541327136776</c:v>
                </c:pt>
                <c:pt idx="94">
                  <c:v>3.0253211501912345</c:v>
                </c:pt>
                <c:pt idx="95">
                  <c:v>3.0542686809984314</c:v>
                </c:pt>
                <c:pt idx="96">
                  <c:v>3.0831967586610247</c:v>
                </c:pt>
                <c:pt idx="97">
                  <c:v>3.1121054166309392</c:v>
                </c:pt>
                <c:pt idx="98">
                  <c:v>3.1409946882864785</c:v>
                </c:pt>
                <c:pt idx="99">
                  <c:v>3.1698646069325225</c:v>
                </c:pt>
                <c:pt idx="100">
                  <c:v>3.1987152058007329</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Dual'!$CB$5:$CB$105</c:f>
              <c:numCache>
                <c:formatCode>0.00</c:formatCode>
                <c:ptCount val="101"/>
                <c:pt idx="0">
                  <c:v>5.9186043547549764E-6</c:v>
                </c:pt>
                <c:pt idx="1">
                  <c:v>37.600660322498328</c:v>
                </c:pt>
                <c:pt idx="2">
                  <c:v>50.947104813099941</c:v>
                </c:pt>
                <c:pt idx="3">
                  <c:v>57.694370483255057</c:v>
                </c:pt>
                <c:pt idx="4">
                  <c:v>61.691490395631064</c:v>
                </c:pt>
                <c:pt idx="5">
                  <c:v>64.272687225451108</c:v>
                </c:pt>
                <c:pt idx="6">
                  <c:v>66.024133436767372</c:v>
                </c:pt>
                <c:pt idx="7">
                  <c:v>67.244470550571521</c:v>
                </c:pt>
                <c:pt idx="8">
                  <c:v>68.102295389754232</c:v>
                </c:pt>
                <c:pt idx="9">
                  <c:v>68.700293264593611</c:v>
                </c:pt>
                <c:pt idx="10">
                  <c:v>69.10478832538351</c:v>
                </c:pt>
                <c:pt idx="11">
                  <c:v>69.360680883456098</c:v>
                </c:pt>
                <c:pt idx="12">
                  <c:v>69.499564578344021</c:v>
                </c:pt>
                <c:pt idx="13">
                  <c:v>69.544401846211585</c:v>
                </c:pt>
                <c:pt idx="14">
                  <c:v>70.547986420533107</c:v>
                </c:pt>
                <c:pt idx="15">
                  <c:v>71.095298169193782</c:v>
                </c:pt>
                <c:pt idx="16">
                  <c:v>71.280421837184662</c:v>
                </c:pt>
                <c:pt idx="17">
                  <c:v>71.44741080671875</c:v>
                </c:pt>
                <c:pt idx="18">
                  <c:v>71.598919343292195</c:v>
                </c:pt>
                <c:pt idx="19">
                  <c:v>71.73709653401805</c:v>
                </c:pt>
                <c:pt idx="20">
                  <c:v>71.863702773265175</c:v>
                </c:pt>
                <c:pt idx="21">
                  <c:v>71.98019513425686</c:v>
                </c:pt>
                <c:pt idx="22">
                  <c:v>72.087790971880281</c:v>
                </c:pt>
                <c:pt idx="23">
                  <c:v>72.187516011123549</c:v>
                </c:pt>
                <c:pt idx="24">
                  <c:v>72.280241193116709</c:v>
                </c:pt>
                <c:pt idx="25">
                  <c:v>72.366711250799071</c:v>
                </c:pt>
                <c:pt idx="26">
                  <c:v>72.447567116606152</c:v>
                </c:pt>
                <c:pt idx="27">
                  <c:v>72.523363672156037</c:v>
                </c:pt>
                <c:pt idx="28">
                  <c:v>72.594583939610743</c:v>
                </c:pt>
                <c:pt idx="29">
                  <c:v>72.661650525863706</c:v>
                </c:pt>
                <c:pt idx="30">
                  <c:v>72.724934924966419</c:v>
                </c:pt>
                <c:pt idx="31">
                  <c:v>72.784765135596018</c:v>
                </c:pt>
                <c:pt idx="32">
                  <c:v>72.84143194173393</c:v>
                </c:pt>
                <c:pt idx="33">
                  <c:v>72.895194124431256</c:v>
                </c:pt>
                <c:pt idx="34">
                  <c:v>72.946282812573983</c:v>
                </c:pt>
                <c:pt idx="35">
                  <c:v>72.994905135347508</c:v>
                </c:pt>
                <c:pt idx="36">
                  <c:v>73.041247304699894</c:v>
                </c:pt>
                <c:pt idx="37">
                  <c:v>73.085477229707962</c:v>
                </c:pt>
                <c:pt idx="38">
                  <c:v>73.127746744336392</c:v>
                </c:pt>
                <c:pt idx="39">
                  <c:v>73.168193514172359</c:v>
                </c:pt>
                <c:pt idx="40">
                  <c:v>73.206942675236135</c:v>
                </c:pt>
                <c:pt idx="41">
                  <c:v>73.244108248107082</c:v>
                </c:pt>
                <c:pt idx="42">
                  <c:v>73.279794362765386</c:v>
                </c:pt>
                <c:pt idx="43">
                  <c:v>73.314096323281277</c:v>
                </c:pt>
                <c:pt idx="44">
                  <c:v>73.347101536441428</c:v>
                </c:pt>
                <c:pt idx="45">
                  <c:v>73.378890324325781</c:v>
                </c:pt>
                <c:pt idx="46">
                  <c:v>73.409536637533876</c:v>
                </c:pt>
                <c:pt idx="47">
                  <c:v>74.616632867633797</c:v>
                </c:pt>
                <c:pt idx="48">
                  <c:v>74.448436657206869</c:v>
                </c:pt>
                <c:pt idx="49">
                  <c:v>74.280629881681108</c:v>
                </c:pt>
                <c:pt idx="50">
                  <c:v>74.270719709257421</c:v>
                </c:pt>
                <c:pt idx="51">
                  <c:v>74.327814974509948</c:v>
                </c:pt>
                <c:pt idx="52">
                  <c:v>74.381415377761428</c:v>
                </c:pt>
                <c:pt idx="53">
                  <c:v>74.430980979179367</c:v>
                </c:pt>
                <c:pt idx="54">
                  <c:v>74.476276328222696</c:v>
                </c:pt>
                <c:pt idx="55">
                  <c:v>74.517483131044983</c:v>
                </c:pt>
                <c:pt idx="56">
                  <c:v>74.554771573864258</c:v>
                </c:pt>
                <c:pt idx="57">
                  <c:v>74.58830117976612</c:v>
                </c:pt>
                <c:pt idx="58">
                  <c:v>74.61822158900398</c:v>
                </c:pt>
                <c:pt idx="59">
                  <c:v>74.64467327066987</c:v>
                </c:pt>
                <c:pt idx="60">
                  <c:v>74.667788172690436</c:v>
                </c:pt>
                <c:pt idx="61">
                  <c:v>74.68769031630147</c:v>
                </c:pt>
                <c:pt idx="62">
                  <c:v>74.704496340457538</c:v>
                </c:pt>
                <c:pt idx="63">
                  <c:v>74.718316001024576</c:v>
                </c:pt>
                <c:pt idx="64">
                  <c:v>74.729252629069066</c:v>
                </c:pt>
                <c:pt idx="65">
                  <c:v>74.737403552091138</c:v>
                </c:pt>
                <c:pt idx="66">
                  <c:v>74.742860481636868</c:v>
                </c:pt>
                <c:pt idx="67">
                  <c:v>74.74570987036347</c:v>
                </c:pt>
                <c:pt idx="68">
                  <c:v>74.746033241311281</c:v>
                </c:pt>
                <c:pt idx="69">
                  <c:v>74.743907491854713</c:v>
                </c:pt>
                <c:pt idx="70">
                  <c:v>74.739405174553056</c:v>
                </c:pt>
                <c:pt idx="71">
                  <c:v>74.732594756901335</c:v>
                </c:pt>
                <c:pt idx="72">
                  <c:v>74.723540861783533</c:v>
                </c:pt>
                <c:pt idx="73">
                  <c:v>74.712304490255093</c:v>
                </c:pt>
                <c:pt idx="74">
                  <c:v>74.698943228125202</c:v>
                </c:pt>
                <c:pt idx="75">
                  <c:v>74.683511437669921</c:v>
                </c:pt>
                <c:pt idx="76">
                  <c:v>74.66606043568153</c:v>
                </c:pt>
                <c:pt idx="77">
                  <c:v>74.646638658948433</c:v>
                </c:pt>
                <c:pt idx="78">
                  <c:v>74.625291818159241</c:v>
                </c:pt>
                <c:pt idx="79">
                  <c:v>74.602063041134315</c:v>
                </c:pt>
                <c:pt idx="80">
                  <c:v>74.576993006207545</c:v>
                </c:pt>
                <c:pt idx="81">
                  <c:v>74.550120066507759</c:v>
                </c:pt>
                <c:pt idx="82">
                  <c:v>74.521480365823507</c:v>
                </c:pt>
                <c:pt idx="83">
                  <c:v>74.491107946675569</c:v>
                </c:pt>
                <c:pt idx="84">
                  <c:v>74.459034851168028</c:v>
                </c:pt>
                <c:pt idx="85">
                  <c:v>74.425291215139737</c:v>
                </c:pt>
                <c:pt idx="86">
                  <c:v>74.389905356094502</c:v>
                </c:pt>
                <c:pt idx="87">
                  <c:v>74.352903855347932</c:v>
                </c:pt>
                <c:pt idx="88">
                  <c:v>74.314311634793143</c:v>
                </c:pt>
                <c:pt idx="89">
                  <c:v>74.274152028653774</c:v>
                </c:pt>
                <c:pt idx="90">
                  <c:v>74.232446850563818</c:v>
                </c:pt>
                <c:pt idx="91">
                  <c:v>74.189216456285351</c:v>
                </c:pt>
                <c:pt idx="92">
                  <c:v>74.144479802351057</c:v>
                </c:pt>
                <c:pt idx="93">
                  <c:v>74.098254500895294</c:v>
                </c:pt>
                <c:pt idx="94">
                  <c:v>74.050556870916949</c:v>
                </c:pt>
                <c:pt idx="95">
                  <c:v>74.001401986197635</c:v>
                </c:pt>
                <c:pt idx="96">
                  <c:v>73.950803720082334</c:v>
                </c:pt>
                <c:pt idx="97">
                  <c:v>73.898774787312433</c:v>
                </c:pt>
                <c:pt idx="98">
                  <c:v>73.845326783087344</c:v>
                </c:pt>
                <c:pt idx="99">
                  <c:v>73.79047021951699</c:v>
                </c:pt>
                <c:pt idx="100">
                  <c:v>73.480006411789972</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37.718749999999993</c:v>
                </c:pt>
                <c:pt idx="2">
                  <c:v>75.437499999999986</c:v>
                </c:pt>
                <c:pt idx="3">
                  <c:v>113.15625</c:v>
                </c:pt>
                <c:pt idx="4">
                  <c:v>150.87499999999997</c:v>
                </c:pt>
                <c:pt idx="5">
                  <c:v>188.59375</c:v>
                </c:pt>
                <c:pt idx="6">
                  <c:v>226.3125</c:v>
                </c:pt>
                <c:pt idx="7">
                  <c:v>264.03124999999994</c:v>
                </c:pt>
                <c:pt idx="8">
                  <c:v>301.74999999999994</c:v>
                </c:pt>
                <c:pt idx="9">
                  <c:v>339.46875</c:v>
                </c:pt>
                <c:pt idx="10">
                  <c:v>377.1875</c:v>
                </c:pt>
                <c:pt idx="11">
                  <c:v>414.90625</c:v>
                </c:pt>
                <c:pt idx="12">
                  <c:v>452.625</c:v>
                </c:pt>
                <c:pt idx="13">
                  <c:v>490.34374999999989</c:v>
                </c:pt>
                <c:pt idx="14">
                  <c:v>528.06249999999989</c:v>
                </c:pt>
                <c:pt idx="15">
                  <c:v>565.78124999999989</c:v>
                </c:pt>
                <c:pt idx="16">
                  <c:v>603.49999999999989</c:v>
                </c:pt>
                <c:pt idx="17">
                  <c:v>641.21875</c:v>
                </c:pt>
                <c:pt idx="18">
                  <c:v>678.9375</c:v>
                </c:pt>
                <c:pt idx="19">
                  <c:v>716.65625</c:v>
                </c:pt>
                <c:pt idx="20">
                  <c:v>754.375</c:v>
                </c:pt>
                <c:pt idx="21">
                  <c:v>792.09374999999989</c:v>
                </c:pt>
                <c:pt idx="22">
                  <c:v>829.8125</c:v>
                </c:pt>
                <c:pt idx="23">
                  <c:v>867.53124999999989</c:v>
                </c:pt>
                <c:pt idx="24">
                  <c:v>905.25</c:v>
                </c:pt>
                <c:pt idx="25">
                  <c:v>942.96874999999977</c:v>
                </c:pt>
                <c:pt idx="26">
                  <c:v>980.68749999999977</c:v>
                </c:pt>
                <c:pt idx="27">
                  <c:v>1018.40625</c:v>
                </c:pt>
                <c:pt idx="28">
                  <c:v>1056.1249999999998</c:v>
                </c:pt>
                <c:pt idx="29">
                  <c:v>1093.8437499999998</c:v>
                </c:pt>
                <c:pt idx="30">
                  <c:v>1131.5624999999998</c:v>
                </c:pt>
                <c:pt idx="31">
                  <c:v>1169.2812499999995</c:v>
                </c:pt>
                <c:pt idx="32">
                  <c:v>1206.9999999999998</c:v>
                </c:pt>
                <c:pt idx="33">
                  <c:v>1244.7187499999998</c:v>
                </c:pt>
                <c:pt idx="34">
                  <c:v>1282.4375</c:v>
                </c:pt>
                <c:pt idx="35">
                  <c:v>1320.1562499999998</c:v>
                </c:pt>
                <c:pt idx="36">
                  <c:v>1357.875</c:v>
                </c:pt>
                <c:pt idx="37">
                  <c:v>1395.5937499999998</c:v>
                </c:pt>
                <c:pt idx="38">
                  <c:v>1433.3125</c:v>
                </c:pt>
                <c:pt idx="39">
                  <c:v>1471.03125</c:v>
                </c:pt>
                <c:pt idx="40">
                  <c:v>1508.75</c:v>
                </c:pt>
                <c:pt idx="41">
                  <c:v>1546.4687499999998</c:v>
                </c:pt>
                <c:pt idx="42">
                  <c:v>1584.1874999999998</c:v>
                </c:pt>
                <c:pt idx="43">
                  <c:v>1621.9062499999998</c:v>
                </c:pt>
                <c:pt idx="44">
                  <c:v>1659.625</c:v>
                </c:pt>
                <c:pt idx="45">
                  <c:v>1697.34375</c:v>
                </c:pt>
                <c:pt idx="46">
                  <c:v>1735.0624999999998</c:v>
                </c:pt>
                <c:pt idx="47">
                  <c:v>1772.7812499999998</c:v>
                </c:pt>
                <c:pt idx="48">
                  <c:v>1810.5</c:v>
                </c:pt>
                <c:pt idx="49">
                  <c:v>1848.2187499999998</c:v>
                </c:pt>
                <c:pt idx="50">
                  <c:v>1885.9374999999995</c:v>
                </c:pt>
                <c:pt idx="51">
                  <c:v>1923.6562499999998</c:v>
                </c:pt>
                <c:pt idx="52">
                  <c:v>1961.3749999999995</c:v>
                </c:pt>
                <c:pt idx="53">
                  <c:v>1999.09375</c:v>
                </c:pt>
                <c:pt idx="54">
                  <c:v>2036.8125</c:v>
                </c:pt>
                <c:pt idx="55">
                  <c:v>2074.53125</c:v>
                </c:pt>
                <c:pt idx="56">
                  <c:v>2112.2499999999995</c:v>
                </c:pt>
                <c:pt idx="57">
                  <c:v>2149.9687499999991</c:v>
                </c:pt>
                <c:pt idx="58">
                  <c:v>2187.6874999999995</c:v>
                </c:pt>
                <c:pt idx="59">
                  <c:v>2225.40625</c:v>
                </c:pt>
                <c:pt idx="60">
                  <c:v>2263.1249999999995</c:v>
                </c:pt>
                <c:pt idx="61">
                  <c:v>2300.84375</c:v>
                </c:pt>
                <c:pt idx="62">
                  <c:v>2338.5624999999991</c:v>
                </c:pt>
                <c:pt idx="63">
                  <c:v>2376.28125</c:v>
                </c:pt>
                <c:pt idx="64">
                  <c:v>2413.9999999999995</c:v>
                </c:pt>
                <c:pt idx="65">
                  <c:v>2451.71875</c:v>
                </c:pt>
                <c:pt idx="66">
                  <c:v>2489.4374999999995</c:v>
                </c:pt>
                <c:pt idx="67">
                  <c:v>2527.15625</c:v>
                </c:pt>
                <c:pt idx="68">
                  <c:v>2564.875</c:v>
                </c:pt>
                <c:pt idx="69">
                  <c:v>2602.5937499999995</c:v>
                </c:pt>
                <c:pt idx="70">
                  <c:v>2640.3124999999995</c:v>
                </c:pt>
                <c:pt idx="71">
                  <c:v>2678.0312499999995</c:v>
                </c:pt>
                <c:pt idx="72">
                  <c:v>2715.75</c:v>
                </c:pt>
                <c:pt idx="73">
                  <c:v>2753.4687499999995</c:v>
                </c:pt>
                <c:pt idx="74">
                  <c:v>2791.1874999999995</c:v>
                </c:pt>
                <c:pt idx="75">
                  <c:v>2828.9062499999995</c:v>
                </c:pt>
                <c:pt idx="76">
                  <c:v>2866.625</c:v>
                </c:pt>
                <c:pt idx="77">
                  <c:v>2904.34375</c:v>
                </c:pt>
                <c:pt idx="78">
                  <c:v>2942.0625</c:v>
                </c:pt>
                <c:pt idx="79">
                  <c:v>2979.78125</c:v>
                </c:pt>
                <c:pt idx="80">
                  <c:v>3017.5</c:v>
                </c:pt>
                <c:pt idx="81">
                  <c:v>3055.21875</c:v>
                </c:pt>
                <c:pt idx="82">
                  <c:v>3092.9374999999995</c:v>
                </c:pt>
                <c:pt idx="83">
                  <c:v>3130.6562499999995</c:v>
                </c:pt>
                <c:pt idx="84">
                  <c:v>3168.3749999999995</c:v>
                </c:pt>
                <c:pt idx="85">
                  <c:v>3206.0937499999991</c:v>
                </c:pt>
                <c:pt idx="86">
                  <c:v>3243.8124999999995</c:v>
                </c:pt>
                <c:pt idx="87">
                  <c:v>3281.5312499999991</c:v>
                </c:pt>
                <c:pt idx="88">
                  <c:v>3319.25</c:v>
                </c:pt>
                <c:pt idx="89">
                  <c:v>3356.9687499999995</c:v>
                </c:pt>
                <c:pt idx="90">
                  <c:v>3394.6875</c:v>
                </c:pt>
                <c:pt idx="91">
                  <c:v>3432.4062499999991</c:v>
                </c:pt>
                <c:pt idx="92">
                  <c:v>3470.1249999999995</c:v>
                </c:pt>
                <c:pt idx="93">
                  <c:v>3507.8437499999995</c:v>
                </c:pt>
                <c:pt idx="94">
                  <c:v>3545.5624999999995</c:v>
                </c:pt>
                <c:pt idx="95">
                  <c:v>3583.2812499999991</c:v>
                </c:pt>
                <c:pt idx="96">
                  <c:v>3621</c:v>
                </c:pt>
                <c:pt idx="97">
                  <c:v>3658.7187499999995</c:v>
                </c:pt>
                <c:pt idx="98">
                  <c:v>3696.4374999999995</c:v>
                </c:pt>
                <c:pt idx="99">
                  <c:v>3734.1562499999995</c:v>
                </c:pt>
                <c:pt idx="100">
                  <c:v>3771.8749999999991</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12.593211752189859</c:v>
                </c:pt>
                <c:pt idx="1">
                  <c:v>34.117940314318624</c:v>
                </c:pt>
                <c:pt idx="2">
                  <c:v>68.237984897310341</c:v>
                </c:pt>
                <c:pt idx="3">
                  <c:v>102.36013394365641</c:v>
                </c:pt>
                <c:pt idx="4">
                  <c:v>136.48438764806221</c:v>
                </c:pt>
                <c:pt idx="5">
                  <c:v>170.61074620525707</c:v>
                </c:pt>
                <c:pt idx="6">
                  <c:v>204.73920980999412</c:v>
                </c:pt>
                <c:pt idx="7">
                  <c:v>238.86977865705114</c:v>
                </c:pt>
                <c:pt idx="8">
                  <c:v>273.00245294122914</c:v>
                </c:pt>
                <c:pt idx="9">
                  <c:v>307.13723285735392</c:v>
                </c:pt>
                <c:pt idx="10">
                  <c:v>341.27411860027479</c:v>
                </c:pt>
                <c:pt idx="11">
                  <c:v>375.41311036486519</c:v>
                </c:pt>
                <c:pt idx="12">
                  <c:v>409.55420834602262</c:v>
                </c:pt>
                <c:pt idx="13">
                  <c:v>443.6974127386693</c:v>
                </c:pt>
                <c:pt idx="14">
                  <c:v>444.37982288207365</c:v>
                </c:pt>
                <c:pt idx="15">
                  <c:v>451.47379925007812</c:v>
                </c:pt>
                <c:pt idx="16">
                  <c:v>464.44429851369233</c:v>
                </c:pt>
                <c:pt idx="17">
                  <c:v>477.03775335796291</c:v>
                </c:pt>
                <c:pt idx="18">
                  <c:v>489.28754409858834</c:v>
                </c:pt>
                <c:pt idx="19">
                  <c:v>501.2224606960346</c:v>
                </c:pt>
                <c:pt idx="20">
                  <c:v>512.86753967492734</c:v>
                </c:pt>
                <c:pt idx="21">
                  <c:v>524.2447145950772</c:v>
                </c:pt>
                <c:pt idx="22">
                  <c:v>535.37332845083836</c:v>
                </c:pt>
                <c:pt idx="23">
                  <c:v>546.27054220742696</c:v>
                </c:pt>
                <c:pt idx="24">
                  <c:v>556.95166409686874</c:v>
                </c:pt>
                <c:pt idx="25">
                  <c:v>567.43041768209002</c:v>
                </c:pt>
                <c:pt idx="26">
                  <c:v>577.71916205242519</c:v>
                </c:pt>
                <c:pt idx="27">
                  <c:v>587.82907419852529</c:v>
                </c:pt>
                <c:pt idx="28">
                  <c:v>597.77030121357961</c:v>
                </c:pt>
                <c:pt idx="29">
                  <c:v>607.55208820529117</c:v>
                </c:pt>
                <c:pt idx="30">
                  <c:v>617.18288649327098</c:v>
                </c:pt>
                <c:pt idx="31">
                  <c:v>626.67044568199753</c:v>
                </c:pt>
                <c:pt idx="32">
                  <c:v>636.02189245162219</c:v>
                </c:pt>
                <c:pt idx="33">
                  <c:v>645.24379833521255</c:v>
                </c:pt>
                <c:pt idx="34">
                  <c:v>654.34223830691838</c:v>
                </c:pt>
                <c:pt idx="35">
                  <c:v>663.32284165883073</c:v>
                </c:pt>
                <c:pt idx="36">
                  <c:v>672.19083637143751</c:v>
                </c:pt>
                <c:pt idx="37">
                  <c:v>680.95108796626243</c:v>
                </c:pt>
                <c:pt idx="38">
                  <c:v>689.60813365653826</c:v>
                </c:pt>
                <c:pt idx="39">
                  <c:v>698.16621247295939</c:v>
                </c:pt>
                <c:pt idx="40">
                  <c:v>706.62929192930585</c:v>
                </c:pt>
                <c:pt idx="41">
                  <c:v>715.00109170139228</c:v>
                </c:pt>
                <c:pt idx="42">
                  <c:v>723.28510471813195</c:v>
                </c:pt>
                <c:pt idx="43">
                  <c:v>731.48461600205076</c:v>
                </c:pt>
                <c:pt idx="44">
                  <c:v>739.60271954585664</c:v>
                </c:pt>
                <c:pt idx="45">
                  <c:v>747.64233346949879</c:v>
                </c:pt>
                <c:pt idx="46">
                  <c:v>755.60621366701639</c:v>
                </c:pt>
                <c:pt idx="47">
                  <c:v>721.30551216903018</c:v>
                </c:pt>
                <c:pt idx="48">
                  <c:v>735.79454407605431</c:v>
                </c:pt>
                <c:pt idx="49">
                  <c:v>750.31898442487307</c:v>
                </c:pt>
                <c:pt idx="50">
                  <c:v>755.50659707604541</c:v>
                </c:pt>
                <c:pt idx="51">
                  <c:v>756.62134659031153</c:v>
                </c:pt>
                <c:pt idx="52">
                  <c:v>757.51527783287679</c:v>
                </c:pt>
                <c:pt idx="53">
                  <c:v>758.32975177587821</c:v>
                </c:pt>
                <c:pt idx="54">
                  <c:v>759.16455391390969</c:v>
                </c:pt>
                <c:pt idx="55">
                  <c:v>760.01925929136041</c:v>
                </c:pt>
                <c:pt idx="56">
                  <c:v>760.89347168823917</c:v>
                </c:pt>
                <c:pt idx="57">
                  <c:v>761.78682126192973</c:v>
                </c:pt>
                <c:pt idx="58">
                  <c:v>762.6989624187047</c:v>
                </c:pt>
                <c:pt idx="59">
                  <c:v>763.62957188930523</c:v>
                </c:pt>
                <c:pt idx="60">
                  <c:v>764.578346986116</c:v>
                </c:pt>
                <c:pt idx="61">
                  <c:v>765.54500402225847</c:v>
                </c:pt>
                <c:pt idx="62">
                  <c:v>766.52927687531167</c:v>
                </c:pt>
                <c:pt idx="63">
                  <c:v>767.53091568046295</c:v>
                </c:pt>
                <c:pt idx="64">
                  <c:v>768.54968563967964</c:v>
                </c:pt>
                <c:pt idx="65">
                  <c:v>769.58536593505858</c:v>
                </c:pt>
                <c:pt idx="66">
                  <c:v>770.63774873587818</c:v>
                </c:pt>
                <c:pt idx="67">
                  <c:v>771.70663829005639</c:v>
                </c:pt>
                <c:pt idx="68">
                  <c:v>772.79185009175865</c:v>
                </c:pt>
                <c:pt idx="69">
                  <c:v>773.89321011782135</c:v>
                </c:pt>
                <c:pt idx="70">
                  <c:v>775.01055412643461</c:v>
                </c:pt>
                <c:pt idx="71">
                  <c:v>776.14372701224647</c:v>
                </c:pt>
                <c:pt idx="72">
                  <c:v>777.29258221266264</c:v>
                </c:pt>
                <c:pt idx="73">
                  <c:v>778.45698116066205</c:v>
                </c:pt>
                <c:pt idx="74">
                  <c:v>779.63679277993424</c:v>
                </c:pt>
                <c:pt idx="75">
                  <c:v>780.83189301856225</c:v>
                </c:pt>
                <c:pt idx="76">
                  <c:v>782.04216441787082</c:v>
                </c:pt>
                <c:pt idx="77">
                  <c:v>783.26749571337564</c:v>
                </c:pt>
                <c:pt idx="78">
                  <c:v>784.5077814650906</c:v>
                </c:pt>
                <c:pt idx="79">
                  <c:v>785.76292171469038</c:v>
                </c:pt>
                <c:pt idx="80">
                  <c:v>787.03282166729639</c:v>
                </c:pt>
                <c:pt idx="81">
                  <c:v>788.31739139583385</c:v>
                </c:pt>
                <c:pt idx="82">
                  <c:v>789.61654556612496</c:v>
                </c:pt>
                <c:pt idx="83">
                  <c:v>790.93020318103743</c:v>
                </c:pt>
                <c:pt idx="84">
                  <c:v>792.25828734216225</c:v>
                </c:pt>
                <c:pt idx="85">
                  <c:v>793.60072502764524</c:v>
                </c:pt>
                <c:pt idx="86">
                  <c:v>794.95744688490277</c:v>
                </c:pt>
                <c:pt idx="87">
                  <c:v>796.32838703707364</c:v>
                </c:pt>
                <c:pt idx="88">
                  <c:v>797.71348290215917</c:v>
                </c:pt>
                <c:pt idx="89">
                  <c:v>799.11267502389092</c:v>
                </c:pt>
                <c:pt idx="90">
                  <c:v>800.52590691345131</c:v>
                </c:pt>
                <c:pt idx="91">
                  <c:v>801.95312490124115</c:v>
                </c:pt>
                <c:pt idx="92">
                  <c:v>803.39427799796135</c:v>
                </c:pt>
                <c:pt idx="93">
                  <c:v>804.84931776433336</c:v>
                </c:pt>
                <c:pt idx="94">
                  <c:v>806.31819818883798</c:v>
                </c:pt>
                <c:pt idx="95">
                  <c:v>807.80087557290688</c:v>
                </c:pt>
                <c:pt idx="96">
                  <c:v>809.29730842303661</c:v>
                </c:pt>
                <c:pt idx="97">
                  <c:v>810.80745734935192</c:v>
                </c:pt>
                <c:pt idx="98">
                  <c:v>812.33128497016935</c:v>
                </c:pt>
                <c:pt idx="99">
                  <c:v>813.86875582215248</c:v>
                </c:pt>
                <c:pt idx="100">
                  <c:v>815.41983627568163</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359.11601759001513</c:v>
                </c:pt>
                <c:pt idx="1">
                  <c:v>356.32147230078294</c:v>
                </c:pt>
                <c:pt idx="2">
                  <c:v>353.1396728883031</c:v>
                </c:pt>
                <c:pt idx="3">
                  <c:v>352.0356488056085</c:v>
                </c:pt>
                <c:pt idx="4">
                  <c:v>353.4807291682522</c:v>
                </c:pt>
                <c:pt idx="5">
                  <c:v>357.8688901540699</c:v>
                </c:pt>
                <c:pt idx="6">
                  <c:v>365.54551460121343</c:v>
                </c:pt>
                <c:pt idx="7">
                  <c:v>376.82165636548802</c:v>
                </c:pt>
                <c:pt idx="8">
                  <c:v>391.98239701879442</c:v>
                </c:pt>
                <c:pt idx="9">
                  <c:v>411.29225288525788</c:v>
                </c:pt>
                <c:pt idx="10">
                  <c:v>434.9989165104551</c:v>
                </c:pt>
                <c:pt idx="11">
                  <c:v>463.33597498078205</c:v>
                </c:pt>
                <c:pt idx="12">
                  <c:v>496.52495963477975</c:v>
                </c:pt>
                <c:pt idx="13">
                  <c:v>534.77693758367639</c:v>
                </c:pt>
                <c:pt idx="14">
                  <c:v>535.47701608962188</c:v>
                </c:pt>
                <c:pt idx="15">
                  <c:v>556.14289640605955</c:v>
                </c:pt>
                <c:pt idx="16">
                  <c:v>595.2672201680864</c:v>
                </c:pt>
                <c:pt idx="17">
                  <c:v>634.52438523870433</c:v>
                </c:pt>
                <c:pt idx="18">
                  <c:v>673.90637044639459</c:v>
                </c:pt>
                <c:pt idx="19">
                  <c:v>713.40593119834443</c:v>
                </c:pt>
                <c:pt idx="20">
                  <c:v>753.01647965246195</c:v>
                </c:pt>
                <c:pt idx="21">
                  <c:v>792.73198845717047</c:v>
                </c:pt>
                <c:pt idx="22">
                  <c:v>832.54691252616271</c:v>
                </c:pt>
                <c:pt idx="23">
                  <c:v>872.45612480638931</c:v>
                </c:pt>
                <c:pt idx="24">
                  <c:v>912.45486303944176</c:v>
                </c:pt>
                <c:pt idx="25">
                  <c:v>952.53868525755047</c:v>
                </c:pt>
                <c:pt idx="26">
                  <c:v>992.70343229112814</c:v>
                </c:pt>
                <c:pt idx="27">
                  <c:v>1032.9451959577164</c:v>
                </c:pt>
                <c:pt idx="28">
                  <c:v>1073.2602918943442</c:v>
                </c:pt>
                <c:pt idx="29">
                  <c:v>1113.6452362151201</c:v>
                </c:pt>
                <c:pt idx="30">
                  <c:v>1154.0967253432068</c:v>
                </c:pt>
                <c:pt idx="31">
                  <c:v>1194.6116184950083</c:v>
                </c:pt>
                <c:pt idx="32">
                  <c:v>1235.1869223942997</c:v>
                </c:pt>
                <c:pt idx="33">
                  <c:v>1275.81977787233</c:v>
                </c:pt>
                <c:pt idx="34">
                  <c:v>1316.5074480717453</c:v>
                </c:pt>
                <c:pt idx="35">
                  <c:v>1357.2473080214343</c:v>
                </c:pt>
                <c:pt idx="36">
                  <c:v>1398.0368353888744</c:v>
                </c:pt>
                <c:pt idx="37">
                  <c:v>1438.8736022484486</c:v>
                </c:pt>
                <c:pt idx="38">
                  <c:v>1479.7552677301007</c:v>
                </c:pt>
                <c:pt idx="39">
                  <c:v>1520.6795714339046</c:v>
                </c:pt>
                <c:pt idx="40">
                  <c:v>1561.64432751351</c:v>
                </c:pt>
                <c:pt idx="41">
                  <c:v>1602.6474193458489</c:v>
                </c:pt>
                <c:pt idx="42">
                  <c:v>1643.6867947164562</c:v>
                </c:pt>
                <c:pt idx="43">
                  <c:v>1684.7604614597099</c:v>
                </c:pt>
                <c:pt idx="44">
                  <c:v>1725.8664835017241</c:v>
                </c:pt>
                <c:pt idx="45">
                  <c:v>1767.0029772606526</c:v>
                </c:pt>
                <c:pt idx="46">
                  <c:v>1808.168108365124</c:v>
                </c:pt>
                <c:pt idx="47">
                  <c:v>1630.9815773939763</c:v>
                </c:pt>
                <c:pt idx="48">
                  <c:v>1704.0372915558301</c:v>
                </c:pt>
                <c:pt idx="49">
                  <c:v>1778.7040519425507</c:v>
                </c:pt>
                <c:pt idx="50">
                  <c:v>1827.446430037144</c:v>
                </c:pt>
                <c:pt idx="51">
                  <c:v>1864.3819051216867</c:v>
                </c:pt>
                <c:pt idx="52">
                  <c:v>1901.8732495402792</c:v>
                </c:pt>
                <c:pt idx="53">
                  <c:v>1939.9587104578129</c:v>
                </c:pt>
                <c:pt idx="54">
                  <c:v>1978.6509984884428</c:v>
                </c:pt>
                <c:pt idx="55">
                  <c:v>2017.9605951775663</c:v>
                </c:pt>
                <c:pt idx="56">
                  <c:v>2057.8978626223611</c:v>
                </c:pt>
                <c:pt idx="57">
                  <c:v>2098.4730696839229</c:v>
                </c:pt>
                <c:pt idx="58">
                  <c:v>2139.6964161863148</c:v>
                </c:pt>
                <c:pt idx="59">
                  <c:v>2181.578055330489</c:v>
                </c:pt>
                <c:pt idx="60">
                  <c:v>2224.1281145245785</c:v>
                </c:pt>
                <c:pt idx="61">
                  <c:v>2267.3567148090324</c:v>
                </c:pt>
                <c:pt idx="62">
                  <c:v>2311.2739890351991</c:v>
                </c:pt>
                <c:pt idx="63">
                  <c:v>2355.8900989384529</c:v>
                </c:pt>
                <c:pt idx="64">
                  <c:v>2401.2152512318658</c:v>
                </c:pt>
                <c:pt idx="65">
                  <c:v>2447.2597128330858</c:v>
                </c:pt>
                <c:pt idx="66">
                  <c:v>2494.0338253254595</c:v>
                </c:pt>
                <c:pt idx="67">
                  <c:v>2541.548018744314</c:v>
                </c:pt>
                <c:pt idx="68">
                  <c:v>2589.8128247702807</c:v>
                </c:pt>
                <c:pt idx="69">
                  <c:v>2638.8388894037439</c:v>
                </c:pt>
                <c:pt idx="70">
                  <c:v>2688.6369851875888</c:v>
                </c:pt>
                <c:pt idx="71">
                  <c:v>2739.2180230392933</c:v>
                </c:pt>
                <c:pt idx="72">
                  <c:v>2790.5930637481056</c:v>
                </c:pt>
                <c:pt idx="73">
                  <c:v>2842.773329188316</c:v>
                </c:pt>
                <c:pt idx="74">
                  <c:v>2895.7702132954787</c:v>
                </c:pt>
                <c:pt idx="75">
                  <c:v>2949.5952928487459</c:v>
                </c:pt>
                <c:pt idx="76">
                  <c:v>3004.2603380993232</c:v>
                </c:pt>
                <c:pt idx="77">
                  <c:v>3059.777323282176</c:v>
                </c:pt>
                <c:pt idx="78">
                  <c:v>3116.158437045658</c:v>
                </c:pt>
                <c:pt idx="79">
                  <c:v>3173.4160928314946</c:v>
                </c:pt>
                <c:pt idx="80">
                  <c:v>3231.5629392357955</c:v>
                </c:pt>
                <c:pt idx="81">
                  <c:v>3290.6118703799284</c:v>
                </c:pt>
                <c:pt idx="82">
                  <c:v>3350.5760363188438</c:v>
                </c:pt>
                <c:pt idx="83">
                  <c:v>3411.4688535130213</c:v>
                </c:pt>
                <c:pt idx="84">
                  <c:v>3473.3040153893876</c:v>
                </c:pt>
                <c:pt idx="85">
                  <c:v>3536.0955030154064</c:v>
                </c:pt>
                <c:pt idx="86">
                  <c:v>3599.8575959100795</c:v>
                </c:pt>
                <c:pt idx="87">
                  <c:v>3664.6048830148075</c:v>
                </c:pt>
                <c:pt idx="88">
                  <c:v>3730.3522738466913</c:v>
                </c:pt>
                <c:pt idx="89">
                  <c:v>3797.1150098564849</c:v>
                </c:pt>
                <c:pt idx="90">
                  <c:v>3864.9086760131991</c:v>
                </c:pt>
                <c:pt idx="91">
                  <c:v>3933.7492126372003</c:v>
                </c:pt>
                <c:pt idx="92">
                  <c:v>4003.652927503646</c:v>
                </c:pt>
                <c:pt idx="93">
                  <c:v>4074.6365082381494</c:v>
                </c:pt>
                <c:pt idx="94">
                  <c:v>4146.7170350266852</c:v>
                </c:pt>
                <c:pt idx="95">
                  <c:v>4219.91199366213</c:v>
                </c:pt>
                <c:pt idx="96">
                  <c:v>4294.2392889498942</c:v>
                </c:pt>
                <c:pt idx="97">
                  <c:v>4369.7172584958744</c:v>
                </c:pt>
                <c:pt idx="98">
                  <c:v>4446.3646869000477</c:v>
                </c:pt>
                <c:pt idx="99">
                  <c:v>4524.2008203799269</c:v>
                </c:pt>
                <c:pt idx="100">
                  <c:v>4603.2453818485392</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6.6666715616278197E-3</c:v>
                </c:pt>
                <c:pt idx="1">
                  <c:v>1.7951432840309714E-2</c:v>
                </c:pt>
                <c:pt idx="2">
                  <c:v>3.5902865680619428E-2</c:v>
                </c:pt>
                <c:pt idx="3">
                  <c:v>5.3854298520929121E-2</c:v>
                </c:pt>
                <c:pt idx="4">
                  <c:v>7.1805731361238856E-2</c:v>
                </c:pt>
                <c:pt idx="5">
                  <c:v>8.975716420154857E-2</c:v>
                </c:pt>
                <c:pt idx="6">
                  <c:v>0.10770859704185824</c:v>
                </c:pt>
                <c:pt idx="7">
                  <c:v>0.12566002988216801</c:v>
                </c:pt>
                <c:pt idx="8">
                  <c:v>0.14361146272247771</c:v>
                </c:pt>
                <c:pt idx="9">
                  <c:v>0.16156289556278744</c:v>
                </c:pt>
                <c:pt idx="10">
                  <c:v>0.17951432840309714</c:v>
                </c:pt>
                <c:pt idx="11">
                  <c:v>0.19746576124340684</c:v>
                </c:pt>
                <c:pt idx="12">
                  <c:v>0.21541719408371648</c:v>
                </c:pt>
                <c:pt idx="13">
                  <c:v>0.2333686269240263</c:v>
                </c:pt>
                <c:pt idx="14">
                  <c:v>0.23368718381940617</c:v>
                </c:pt>
                <c:pt idx="15">
                  <c:v>0.23793871405846179</c:v>
                </c:pt>
                <c:pt idx="16">
                  <c:v>0.24575469934909955</c:v>
                </c:pt>
                <c:pt idx="17">
                  <c:v>0.25333078711141072</c:v>
                </c:pt>
                <c:pt idx="18">
                  <c:v>0.26068786108915198</c:v>
                </c:pt>
                <c:pt idx="19">
                  <c:v>0.26784394018112601</c:v>
                </c:pt>
                <c:pt idx="20">
                  <c:v>0.27481470019839871</c:v>
                </c:pt>
                <c:pt idx="21">
                  <c:v>0.28161387945465982</c:v>
                </c:pt>
                <c:pt idx="22">
                  <c:v>0.28825359831933084</c:v>
                </c:pt>
                <c:pt idx="23">
                  <c:v>0.29474461404131719</c:v>
                </c:pt>
                <c:pt idx="24">
                  <c:v>0.30109652618208393</c:v>
                </c:pt>
                <c:pt idx="25">
                  <c:v>0.30731794387767941</c:v>
                </c:pt>
                <c:pt idx="26">
                  <c:v>0.31341662325617947</c:v>
                </c:pt>
                <c:pt idx="27">
                  <c:v>0.31939958127200346</c:v>
                </c:pt>
                <c:pt idx="28">
                  <c:v>0.32527319072283045</c:v>
                </c:pt>
                <c:pt idx="29">
                  <c:v>0.3310432601168411</c:v>
                </c:pt>
                <c:pt idx="30">
                  <c:v>0.33671510124194415</c:v>
                </c:pt>
                <c:pt idx="31">
                  <c:v>0.34229358667518783</c:v>
                </c:pt>
                <c:pt idx="32">
                  <c:v>0.34778319900450677</c:v>
                </c:pt>
                <c:pt idx="33">
                  <c:v>0.35318807317741807</c:v>
                </c:pt>
                <c:pt idx="34">
                  <c:v>0.35851203311447793</c:v>
                </c:pt>
                <c:pt idx="35">
                  <c:v>0.36375862350918076</c:v>
                </c:pt>
                <c:pt idx="36">
                  <c:v>0.36893113756588991</c:v>
                </c:pt>
                <c:pt idx="37">
                  <c:v>0.37403264129251107</c:v>
                </c:pt>
                <c:pt idx="38">
                  <c:v>0.37906599485692705</c:v>
                </c:pt>
                <c:pt idx="39">
                  <c:v>0.3840338714296524</c:v>
                </c:pt>
                <c:pt idx="40">
                  <c:v>0.38893877386515818</c:v>
                </c:pt>
                <c:pt idx="41">
                  <c:v>0.39378304951736071</c:v>
                </c:pt>
                <c:pt idx="42">
                  <c:v>0.39856890343818485</c:v>
                </c:pt>
                <c:pt idx="43">
                  <c:v>0.40329841016978679</c:v>
                </c:pt>
                <c:pt idx="44">
                  <c:v>0.40797352430936495</c:v>
                </c:pt>
                <c:pt idx="45">
                  <c:v>0.41259608999918351</c:v>
                </c:pt>
                <c:pt idx="46">
                  <c:v>0.41716784947250246</c:v>
                </c:pt>
                <c:pt idx="47">
                  <c:v>0.39716626110111108</c:v>
                </c:pt>
                <c:pt idx="48">
                  <c:v>0.40556025430619536</c:v>
                </c:pt>
                <c:pt idx="49">
                  <c:v>0.41395254128711834</c:v>
                </c:pt>
                <c:pt idx="50">
                  <c:v>0.41711414814378417</c:v>
                </c:pt>
                <c:pt idx="51">
                  <c:v>0.41793211200313501</c:v>
                </c:pt>
                <c:pt idx="52">
                  <c:v>0.41865693441740892</c:v>
                </c:pt>
                <c:pt idx="53">
                  <c:v>0.41933259843659049</c:v>
                </c:pt>
                <c:pt idx="54">
                  <c:v>0.41999086891910886</c:v>
                </c:pt>
                <c:pt idx="55">
                  <c:v>0.42063263191883227</c:v>
                </c:pt>
                <c:pt idx="56">
                  <c:v>0.42125871400826076</c:v>
                </c:pt>
                <c:pt idx="57">
                  <c:v>0.4218698871878086</c:v>
                </c:pt>
                <c:pt idx="58">
                  <c:v>0.4224668733167572</c:v>
                </c:pt>
                <c:pt idx="59">
                  <c:v>0.42305034811938391</c:v>
                </c:pt>
                <c:pt idx="60">
                  <c:v>0.42362094481303719</c:v>
                </c:pt>
                <c:pt idx="61">
                  <c:v>0.42417925739913748</c:v>
                </c:pt>
                <c:pt idx="62">
                  <c:v>0.42472584365308141</c:v>
                </c:pt>
                <c:pt idx="63">
                  <c:v>0.42526122784470716</c:v>
                </c:pt>
                <c:pt idx="64">
                  <c:v>0.42578590321722737</c:v>
                </c:pt>
                <c:pt idx="65">
                  <c:v>0.42630033424928493</c:v>
                </c:pt>
                <c:pt idx="66">
                  <c:v>0.42680495872194807</c:v>
                </c:pt>
                <c:pt idx="67">
                  <c:v>0.42730018960999305</c:v>
                </c:pt>
                <c:pt idx="68">
                  <c:v>0.42778641681465435</c:v>
                </c:pt>
                <c:pt idx="69">
                  <c:v>0.42826400875313514</c:v>
                </c:pt>
                <c:pt idx="70">
                  <c:v>0.42873331381850288</c:v>
                </c:pt>
                <c:pt idx="71">
                  <c:v>0.42919466172213711</c:v>
                </c:pt>
                <c:pt idx="72">
                  <c:v>0.42964836472960466</c:v>
                </c:pt>
                <c:pt idx="73">
                  <c:v>0.43009471879970723</c:v>
                </c:pt>
                <c:pt idx="74">
                  <c:v>0.43053400463543506</c:v>
                </c:pt>
                <c:pt idx="75">
                  <c:v>0.43096648865467424</c:v>
                </c:pt>
                <c:pt idx="76">
                  <c:v>0.43139242388772925</c:v>
                </c:pt>
                <c:pt idx="77">
                  <c:v>0.43181205080801488</c:v>
                </c:pt>
                <c:pt idx="78">
                  <c:v>0.43222559810165284</c:v>
                </c:pt>
                <c:pt idx="79">
                  <c:v>0.43263328338115348</c:v>
                </c:pt>
                <c:pt idx="80">
                  <c:v>0.43303531384786331</c:v>
                </c:pt>
                <c:pt idx="81">
                  <c:v>0.43343188690742052</c:v>
                </c:pt>
                <c:pt idx="82">
                  <c:v>0.43382319074205994</c:v>
                </c:pt>
                <c:pt idx="83">
                  <c:v>0.43420940484325871</c:v>
                </c:pt>
                <c:pt idx="84">
                  <c:v>0.43459070050789045</c:v>
                </c:pt>
                <c:pt idx="85">
                  <c:v>0.43496724130077269</c:v>
                </c:pt>
                <c:pt idx="86">
                  <c:v>0.43533918348623357</c:v>
                </c:pt>
                <c:pt idx="87">
                  <c:v>0.43570667643109157</c:v>
                </c:pt>
                <c:pt idx="88">
                  <c:v>0.4360698629812329</c:v>
                </c:pt>
                <c:pt idx="89">
                  <c:v>0.43642887981378531</c:v>
                </c:pt>
                <c:pt idx="90">
                  <c:v>0.43678385776670992</c:v>
                </c:pt>
                <c:pt idx="91">
                  <c:v>0.43713492214748539</c:v>
                </c:pt>
                <c:pt idx="92">
                  <c:v>0.43748219302241492</c:v>
                </c:pt>
                <c:pt idx="93">
                  <c:v>0.43782578548795897</c:v>
                </c:pt>
                <c:pt idx="94">
                  <c:v>0.4381658099253864</c:v>
                </c:pt>
                <c:pt idx="95">
                  <c:v>0.43850237223992444</c:v>
                </c:pt>
                <c:pt idx="96">
                  <c:v>0.4388355740855005</c:v>
                </c:pt>
                <c:pt idx="97">
                  <c:v>0.43916551307607649</c:v>
                </c:pt>
                <c:pt idx="98">
                  <c:v>0.43949228298450149</c:v>
                </c:pt>
                <c:pt idx="99">
                  <c:v>0.43981597392973171</c:v>
                </c:pt>
                <c:pt idx="100">
                  <c:v>0.44013667255320776</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8.8907218315768099E-3</c:v>
                </c:pt>
                <c:pt idx="1">
                  <c:v>2.3947014826015744E-2</c:v>
                </c:pt>
                <c:pt idx="2">
                  <c:v>7.184104447804722E-2</c:v>
                </c:pt>
                <c:pt idx="3">
                  <c:v>7.184104447804722E-2</c:v>
                </c:pt>
                <c:pt idx="4">
                  <c:v>9.5788059304062978E-2</c:v>
                </c:pt>
                <c:pt idx="5">
                  <c:v>0.11973507413007875</c:v>
                </c:pt>
                <c:pt idx="6">
                  <c:v>0.14368208895609444</c:v>
                </c:pt>
                <c:pt idx="7">
                  <c:v>0.16762910378211024</c:v>
                </c:pt>
                <c:pt idx="8">
                  <c:v>0.19157611860812596</c:v>
                </c:pt>
                <c:pt idx="9">
                  <c:v>0.21552313343414176</c:v>
                </c:pt>
                <c:pt idx="10">
                  <c:v>0.2394701482601575</c:v>
                </c:pt>
                <c:pt idx="11">
                  <c:v>0.26341716308617324</c:v>
                </c:pt>
                <c:pt idx="12">
                  <c:v>0.28736417791218888</c:v>
                </c:pt>
                <c:pt idx="13">
                  <c:v>0.31131119273820473</c:v>
                </c:pt>
                <c:pt idx="14">
                  <c:v>0.31174049679680838</c:v>
                </c:pt>
                <c:pt idx="15">
                  <c:v>0.31741771415984293</c:v>
                </c:pt>
                <c:pt idx="16">
                  <c:v>0.32785012219933529</c:v>
                </c:pt>
                <c:pt idx="17">
                  <c:v>0.33796266883646009</c:v>
                </c:pt>
                <c:pt idx="18">
                  <c:v>0.34778319900450666</c:v>
                </c:pt>
                <c:pt idx="19">
                  <c:v>0.35733573784843459</c:v>
                </c:pt>
                <c:pt idx="20">
                  <c:v>0.36664118640050375</c:v>
                </c:pt>
                <c:pt idx="21">
                  <c:v>0.37571786236687782</c:v>
                </c:pt>
                <c:pt idx="22">
                  <c:v>0.38458192619798409</c:v>
                </c:pt>
                <c:pt idx="23">
                  <c:v>0.39324772085313786</c:v>
                </c:pt>
                <c:pt idx="24">
                  <c:v>0.40172804571098969</c:v>
                </c:pt>
                <c:pt idx="25">
                  <c:v>0.41003437958528349</c:v>
                </c:pt>
                <c:pt idx="26">
                  <c:v>0.41817706394788245</c:v>
                </c:pt>
                <c:pt idx="27">
                  <c:v>0.42616545470765355</c:v>
                </c:pt>
                <c:pt idx="28">
                  <c:v>0.43400804889951383</c:v>
                </c:pt>
                <c:pt idx="29">
                  <c:v>0.44171259117393274</c:v>
                </c:pt>
                <c:pt idx="30">
                  <c:v>0.44928616388909864</c:v>
                </c:pt>
                <c:pt idx="31">
                  <c:v>0.45673526379001533</c:v>
                </c:pt>
                <c:pt idx="32">
                  <c:v>0.46406586763739305</c:v>
                </c:pt>
                <c:pt idx="33">
                  <c:v>0.47128348867248154</c:v>
                </c:pt>
                <c:pt idx="34">
                  <c:v>0.44149190247995118</c:v>
                </c:pt>
                <c:pt idx="35">
                  <c:v>0.45442393332150305</c:v>
                </c:pt>
                <c:pt idx="36">
                  <c:v>0.467353770144813</c:v>
                </c:pt>
                <c:pt idx="37">
                  <c:v>0.48028144698627911</c:v>
                </c:pt>
                <c:pt idx="38">
                  <c:v>0.48324952104532054</c:v>
                </c:pt>
                <c:pt idx="39">
                  <c:v>0.48444663714662428</c:v>
                </c:pt>
                <c:pt idx="40">
                  <c:v>0.48544092546272016</c:v>
                </c:pt>
                <c:pt idx="41">
                  <c:v>0.48639622663296911</c:v>
                </c:pt>
                <c:pt idx="42">
                  <c:v>0.48731814434127135</c:v>
                </c:pt>
                <c:pt idx="43">
                  <c:v>0.48820885923000001</c:v>
                </c:pt>
                <c:pt idx="44">
                  <c:v>0.48907036528074016</c:v>
                </c:pt>
                <c:pt idx="45">
                  <c:v>0.48990448936962933</c:v>
                </c:pt>
                <c:pt idx="46">
                  <c:v>0.49071290841471382</c:v>
                </c:pt>
                <c:pt idx="47">
                  <c:v>0.49149716445429364</c:v>
                </c:pt>
                <c:pt idx="48">
                  <c:v>0.49225867794177114</c:v>
                </c:pt>
                <c:pt idx="49">
                  <c:v>0.49299875949835997</c:v>
                </c:pt>
                <c:pt idx="50">
                  <c:v>0.49371862032838937</c:v>
                </c:pt>
                <c:pt idx="51">
                  <c:v>0.49441938147145847</c:v>
                </c:pt>
                <c:pt idx="52">
                  <c:v>0.4951020820402125</c:v>
                </c:pt>
                <c:pt idx="53">
                  <c:v>0.49576768657116677</c:v>
                </c:pt>
                <c:pt idx="54">
                  <c:v>0.49641709159802377</c:v>
                </c:pt>
                <c:pt idx="55">
                  <c:v>0.49705113154176794</c:v>
                </c:pt>
                <c:pt idx="56">
                  <c:v>0.49767058399897579</c:v>
                </c:pt>
                <c:pt idx="57">
                  <c:v>0.49827617449887013</c:v>
                </c:pt>
                <c:pt idx="58">
                  <c:v>0.49886858079035912</c:v>
                </c:pt>
                <c:pt idx="59">
                  <c:v>0.49944843671235956</c:v>
                </c:pt>
                <c:pt idx="60">
                  <c:v>0.50001633569391002</c:v>
                </c:pt>
                <c:pt idx="61">
                  <c:v>0.50057283392473872</c:v>
                </c:pt>
                <c:pt idx="62">
                  <c:v>0.50111845323192472</c:v>
                </c:pt>
                <c:pt idx="63">
                  <c:v>0.50165368369395702</c:v>
                </c:pt>
                <c:pt idx="64">
                  <c:v>0.50217898601973732</c:v>
                </c:pt>
                <c:pt idx="65">
                  <c:v>0.5026947937168218</c:v>
                </c:pt>
                <c:pt idx="66">
                  <c:v>0.50320151507037059</c:v>
                </c:pt>
                <c:pt idx="67">
                  <c:v>0.50369953495180586</c:v>
                </c:pt>
                <c:pt idx="68">
                  <c:v>0.50418921647403447</c:v>
                </c:pt>
                <c:pt idx="69">
                  <c:v>0.5046709025082089</c:v>
                </c:pt>
                <c:pt idx="70">
                  <c:v>0.50514491707535336</c:v>
                </c:pt>
                <c:pt idx="71">
                  <c:v>0.5056115666247375</c:v>
                </c:pt>
                <c:pt idx="72">
                  <c:v>0.50607114120960328</c:v>
                </c:pt>
                <c:pt idx="73">
                  <c:v>0.50652391556973886</c:v>
                </c:pt>
                <c:pt idx="74">
                  <c:v>0.50697015012939251</c:v>
                </c:pt>
                <c:pt idx="75">
                  <c:v>0.50741009191815467</c:v>
                </c:pt>
                <c:pt idx="76">
                  <c:v>0.50784397542165649</c:v>
                </c:pt>
                <c:pt idx="77">
                  <c:v>0.50827202336824673</c:v>
                </c:pt>
                <c:pt idx="78">
                  <c:v>0.50869444745719894</c:v>
                </c:pt>
                <c:pt idx="79">
                  <c:v>0.50911144903345562</c:v>
                </c:pt>
                <c:pt idx="80">
                  <c:v>0.50952321971343684</c:v>
                </c:pt>
                <c:pt idx="81">
                  <c:v>0.50992994196599839</c:v>
                </c:pt>
                <c:pt idx="82">
                  <c:v>0.51033178965225257</c:v>
                </c:pt>
                <c:pt idx="83">
                  <c:v>0.5107289285276041</c:v>
                </c:pt>
                <c:pt idx="84">
                  <c:v>0.51112151670905404</c:v>
                </c:pt>
                <c:pt idx="85">
                  <c:v>0.51150970511054406</c:v>
                </c:pt>
                <c:pt idx="86">
                  <c:v>0.51189363784885977</c:v>
                </c:pt>
                <c:pt idx="87">
                  <c:v>0.5122734526223911</c:v>
                </c:pt>
                <c:pt idx="88">
                  <c:v>0.51264928106484575</c:v>
                </c:pt>
                <c:pt idx="89">
                  <c:v>0.51302124907582403</c:v>
                </c:pt>
                <c:pt idx="90">
                  <c:v>0.51338947713000327</c:v>
                </c:pt>
                <c:pt idx="91">
                  <c:v>0.51375408056653094</c:v>
                </c:pt>
                <c:pt idx="92">
                  <c:v>0.5141151698600861</c:v>
                </c:pt>
                <c:pt idx="93">
                  <c:v>0.51447285087495109</c:v>
                </c:pt>
                <c:pt idx="94">
                  <c:v>0.51482722510332468</c:v>
                </c:pt>
                <c:pt idx="95">
                  <c:v>0.515178389889001</c:v>
                </c:pt>
                <c:pt idx="96">
                  <c:v>0.51552643863745751</c:v>
                </c:pt>
                <c:pt idx="97">
                  <c:v>0.5158714610133005</c:v>
                </c:pt>
                <c:pt idx="98">
                  <c:v>0.51621354312595147</c:v>
                </c:pt>
                <c:pt idx="99">
                  <c:v>0.51655276770437997</c:v>
                </c:pt>
                <c:pt idx="100">
                  <c:v>0.51688921426163148</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4.4448963515251452E-3</c:v>
                </c:pt>
                <c:pt idx="1">
                  <c:v>1.1945476715305084E-2</c:v>
                </c:pt>
                <c:pt idx="2">
                  <c:v>2.3890953430610169E-2</c:v>
                </c:pt>
                <c:pt idx="3">
                  <c:v>3.5836430145915248E-2</c:v>
                </c:pt>
                <c:pt idx="4">
                  <c:v>4.7781906861220337E-2</c:v>
                </c:pt>
                <c:pt idx="5">
                  <c:v>5.9727383576525427E-2</c:v>
                </c:pt>
                <c:pt idx="6">
                  <c:v>7.1672860291830495E-2</c:v>
                </c:pt>
                <c:pt idx="7">
                  <c:v>8.3618337007135626E-2</c:v>
                </c:pt>
                <c:pt idx="8">
                  <c:v>9.5563813722440674E-2</c:v>
                </c:pt>
                <c:pt idx="9">
                  <c:v>0.10750929043774576</c:v>
                </c:pt>
                <c:pt idx="10">
                  <c:v>0.11945476715305085</c:v>
                </c:pt>
                <c:pt idx="11">
                  <c:v>0.13140024386835594</c:v>
                </c:pt>
                <c:pt idx="12">
                  <c:v>0.14334572058366099</c:v>
                </c:pt>
                <c:pt idx="13">
                  <c:v>0.15529119729896612</c:v>
                </c:pt>
                <c:pt idx="14">
                  <c:v>0.1557026031607586</c:v>
                </c:pt>
                <c:pt idx="15">
                  <c:v>0.15853216170627724</c:v>
                </c:pt>
                <c:pt idx="16">
                  <c:v>0.16373656704016784</c:v>
                </c:pt>
                <c:pt idx="17">
                  <c:v>0.16878103991696583</c:v>
                </c:pt>
                <c:pt idx="18">
                  <c:v>0.17367950285544273</c:v>
                </c:pt>
                <c:pt idx="19">
                  <c:v>0.17844396847579239</c:v>
                </c:pt>
                <c:pt idx="20">
                  <c:v>0.18308488733803585</c:v>
                </c:pt>
                <c:pt idx="21">
                  <c:v>0.18761141833580766</c:v>
                </c:pt>
                <c:pt idx="22">
                  <c:v>0.19203164173193898</c:v>
                </c:pt>
                <c:pt idx="23">
                  <c:v>0.19635272904110768</c:v>
                </c:pt>
                <c:pt idx="24">
                  <c:v>0.20058107998534752</c:v>
                </c:pt>
                <c:pt idx="25">
                  <c:v>0.20472243400217149</c:v>
                </c:pt>
                <c:pt idx="26">
                  <c:v>0.20878196185629322</c:v>
                </c:pt>
                <c:pt idx="27">
                  <c:v>0.21276434152925025</c:v>
                </c:pt>
                <c:pt idx="28">
                  <c:v>0.21667382156408421</c:v>
                </c:pt>
                <c:pt idx="29">
                  <c:v>0.22051427431022894</c:v>
                </c:pt>
                <c:pt idx="30">
                  <c:v>0.22428924096971439</c:v>
                </c:pt>
                <c:pt idx="31">
                  <c:v>0.22800196993682106</c:v>
                </c:pt>
                <c:pt idx="32">
                  <c:v>0.23165544961261955</c:v>
                </c:pt>
                <c:pt idx="33">
                  <c:v>0.23525243663747125</c:v>
                </c:pt>
                <c:pt idx="34">
                  <c:v>0.23879548030003203</c:v>
                </c:pt>
                <c:pt idx="35">
                  <c:v>0.24228694373721529</c:v>
                </c:pt>
                <c:pt idx="36">
                  <c:v>0.24572902242617156</c:v>
                </c:pt>
                <c:pt idx="37">
                  <c:v>0.24912376037942829</c:v>
                </c:pt>
                <c:pt idx="38">
                  <c:v>0.2524730643825347</c:v>
                </c:pt>
                <c:pt idx="39">
                  <c:v>0.25577871655585144</c:v>
                </c:pt>
                <c:pt idx="40">
                  <c:v>0.25904238547545072</c:v>
                </c:pt>
                <c:pt idx="41">
                  <c:v>0.26226563605012626</c:v>
                </c:pt>
                <c:pt idx="42">
                  <c:v>0.2654499383204495</c:v>
                </c:pt>
                <c:pt idx="43">
                  <c:v>0.26859667532026554</c:v>
                </c:pt>
                <c:pt idx="44">
                  <c:v>0.27170715011991287</c:v>
                </c:pt>
                <c:pt idx="45">
                  <c:v>0.27478259215291695</c:v>
                </c:pt>
                <c:pt idx="46">
                  <c:v>0.27782416291328782</c:v>
                </c:pt>
                <c:pt idx="47">
                  <c:v>0.28083296109829819</c:v>
                </c:pt>
                <c:pt idx="48">
                  <c:v>0.28381002726131332</c:v>
                </c:pt>
                <c:pt idx="49">
                  <c:v>0.28675634803054573</c:v>
                </c:pt>
                <c:pt idx="50">
                  <c:v>0.28967285994222242</c:v>
                </c:pt>
                <c:pt idx="51">
                  <c:v>0.29256045293038774</c:v>
                </c:pt>
                <c:pt idx="52">
                  <c:v>0.29541997351019911</c:v>
                </c:pt>
                <c:pt idx="53">
                  <c:v>0.29825222768699111</c:v>
                </c:pt>
                <c:pt idx="54">
                  <c:v>0.30105798361944153</c:v>
                </c:pt>
                <c:pt idx="55">
                  <c:v>0.30383797406177426</c:v>
                </c:pt>
                <c:pt idx="56">
                  <c:v>0.306592898607005</c:v>
                </c:pt>
                <c:pt idx="57">
                  <c:v>0.30932342575068422</c:v>
                </c:pt>
                <c:pt idx="58">
                  <c:v>0.3120301947923908</c:v>
                </c:pt>
                <c:pt idx="59">
                  <c:v>0.31471381759029771</c:v>
                </c:pt>
                <c:pt idx="60">
                  <c:v>0.31737488018245119</c:v>
                </c:pt>
                <c:pt idx="61">
                  <c:v>0.29174274545643464</c:v>
                </c:pt>
                <c:pt idx="62">
                  <c:v>0.29647283626785959</c:v>
                </c:pt>
                <c:pt idx="63">
                  <c:v>0.30112125311024907</c:v>
                </c:pt>
                <c:pt idx="64">
                  <c:v>0.30576371021264093</c:v>
                </c:pt>
                <c:pt idx="65">
                  <c:v>0.31040009418910203</c:v>
                </c:pt>
                <c:pt idx="66">
                  <c:v>0.31503028879894213</c:v>
                </c:pt>
                <c:pt idx="67">
                  <c:v>0.31965417485559078</c:v>
                </c:pt>
                <c:pt idx="68">
                  <c:v>0.32427163013200427</c:v>
                </c:pt>
                <c:pt idx="69">
                  <c:v>0.32784598678128013</c:v>
                </c:pt>
                <c:pt idx="70">
                  <c:v>0.32833738530128265</c:v>
                </c:pt>
                <c:pt idx="71">
                  <c:v>0.32878824851004962</c:v>
                </c:pt>
                <c:pt idx="72">
                  <c:v>0.32921017595924246</c:v>
                </c:pt>
                <c:pt idx="73">
                  <c:v>0.3296246927725594</c:v>
                </c:pt>
                <c:pt idx="74">
                  <c:v>0.33003207891706171</c:v>
                </c:pt>
                <c:pt idx="75">
                  <c:v>0.33043260034670724</c:v>
                </c:pt>
                <c:pt idx="76">
                  <c:v>0.33082650986833229</c:v>
                </c:pt>
                <c:pt idx="77">
                  <c:v>0.33121404794419673</c:v>
                </c:pt>
                <c:pt idx="78">
                  <c:v>0.33159544343645059</c:v>
                </c:pt>
                <c:pt idx="79">
                  <c:v>0.33197091429836723</c:v>
                </c:pt>
                <c:pt idx="80">
                  <c:v>0.33234066821672981</c:v>
                </c:pt>
                <c:pt idx="81">
                  <c:v>0.33270490320935364</c:v>
                </c:pt>
                <c:pt idx="82">
                  <c:v>0.33306380818135634</c:v>
                </c:pt>
                <c:pt idx="83">
                  <c:v>0.33341756344346124</c:v>
                </c:pt>
                <c:pt idx="84">
                  <c:v>0.33376634119532272</c:v>
                </c:pt>
                <c:pt idx="85">
                  <c:v>0.33411030597659841</c:v>
                </c:pt>
                <c:pt idx="86">
                  <c:v>0.33444961508824828</c:v>
                </c:pt>
                <c:pt idx="87">
                  <c:v>0.33478441898633327</c:v>
                </c:pt>
                <c:pt idx="88">
                  <c:v>0.33511486165037974</c:v>
                </c:pt>
                <c:pt idx="89">
                  <c:v>0.33544108092821084</c:v>
                </c:pt>
                <c:pt idx="90">
                  <c:v>0.33576320885897643</c:v>
                </c:pt>
                <c:pt idx="91">
                  <c:v>0.33608137197597576</c:v>
                </c:pt>
                <c:pt idx="92">
                  <c:v>0.33639569159072957</c:v>
                </c:pt>
                <c:pt idx="93">
                  <c:v>0.33670628405964564</c:v>
                </c:pt>
                <c:pt idx="94">
                  <c:v>0.33701326103450657</c:v>
                </c:pt>
                <c:pt idx="95">
                  <c:v>0.33731672969791526</c:v>
                </c:pt>
                <c:pt idx="96">
                  <c:v>0.33761679298474084</c:v>
                </c:pt>
                <c:pt idx="97">
                  <c:v>0.33791354979052557</c:v>
                </c:pt>
                <c:pt idx="98">
                  <c:v>0.33820709516774289</c:v>
                </c:pt>
                <c:pt idx="99">
                  <c:v>0.33849752051072113</c:v>
                </c:pt>
                <c:pt idx="100">
                  <c:v>0.33878491372999164</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6.6666715616278197E-3</c:v>
                </c:pt>
                <c:pt idx="1">
                  <c:v>1.7951432840309714E-2</c:v>
                </c:pt>
                <c:pt idx="2">
                  <c:v>3.5902865680619428E-2</c:v>
                </c:pt>
                <c:pt idx="3">
                  <c:v>5.3854298520929121E-2</c:v>
                </c:pt>
                <c:pt idx="4">
                  <c:v>7.1805731361238856E-2</c:v>
                </c:pt>
                <c:pt idx="5">
                  <c:v>8.975716420154857E-2</c:v>
                </c:pt>
                <c:pt idx="6">
                  <c:v>0.10770859704185824</c:v>
                </c:pt>
                <c:pt idx="7">
                  <c:v>0.12566002988216801</c:v>
                </c:pt>
                <c:pt idx="8">
                  <c:v>0.14361146272247771</c:v>
                </c:pt>
                <c:pt idx="9">
                  <c:v>0.16156289556278744</c:v>
                </c:pt>
                <c:pt idx="10">
                  <c:v>0.17951432840309714</c:v>
                </c:pt>
                <c:pt idx="11">
                  <c:v>0.19746576124340684</c:v>
                </c:pt>
                <c:pt idx="12">
                  <c:v>0.21541719408371648</c:v>
                </c:pt>
                <c:pt idx="13">
                  <c:v>0.2333686269240263</c:v>
                </c:pt>
                <c:pt idx="14">
                  <c:v>0.23368718381940617</c:v>
                </c:pt>
                <c:pt idx="15">
                  <c:v>0.23793871405846179</c:v>
                </c:pt>
                <c:pt idx="16">
                  <c:v>0.24575469934909955</c:v>
                </c:pt>
                <c:pt idx="17">
                  <c:v>0.25333078711141072</c:v>
                </c:pt>
                <c:pt idx="18">
                  <c:v>0.26068786108915198</c:v>
                </c:pt>
                <c:pt idx="19">
                  <c:v>0.26784394018112601</c:v>
                </c:pt>
                <c:pt idx="20">
                  <c:v>0.27481470019839871</c:v>
                </c:pt>
                <c:pt idx="21">
                  <c:v>0.28161387945465982</c:v>
                </c:pt>
                <c:pt idx="22">
                  <c:v>0.28825359831933084</c:v>
                </c:pt>
                <c:pt idx="23">
                  <c:v>0.29474461404131719</c:v>
                </c:pt>
                <c:pt idx="24">
                  <c:v>0.30109652618208393</c:v>
                </c:pt>
                <c:pt idx="25">
                  <c:v>0.30731794387767941</c:v>
                </c:pt>
                <c:pt idx="26">
                  <c:v>0.31341662325617947</c:v>
                </c:pt>
                <c:pt idx="27">
                  <c:v>0.31939958127200346</c:v>
                </c:pt>
                <c:pt idx="28">
                  <c:v>0.32527319072283045</c:v>
                </c:pt>
                <c:pt idx="29">
                  <c:v>0.3310432601168411</c:v>
                </c:pt>
                <c:pt idx="30">
                  <c:v>0.33671510124194415</c:v>
                </c:pt>
                <c:pt idx="31">
                  <c:v>0.34229358667518783</c:v>
                </c:pt>
                <c:pt idx="32">
                  <c:v>0.34778319900450677</c:v>
                </c:pt>
                <c:pt idx="33">
                  <c:v>0.35318807317741807</c:v>
                </c:pt>
                <c:pt idx="34">
                  <c:v>0.35851203311447793</c:v>
                </c:pt>
                <c:pt idx="35">
                  <c:v>0.36375862350918076</c:v>
                </c:pt>
                <c:pt idx="36">
                  <c:v>0.36893113756588991</c:v>
                </c:pt>
                <c:pt idx="37">
                  <c:v>0.37403264129251107</c:v>
                </c:pt>
                <c:pt idx="38">
                  <c:v>0.37906599485692705</c:v>
                </c:pt>
                <c:pt idx="39">
                  <c:v>0.3840338714296524</c:v>
                </c:pt>
                <c:pt idx="40">
                  <c:v>0.38893877386515818</c:v>
                </c:pt>
                <c:pt idx="41">
                  <c:v>0.39378304951736071</c:v>
                </c:pt>
                <c:pt idx="42">
                  <c:v>0.39856890343818485</c:v>
                </c:pt>
                <c:pt idx="43">
                  <c:v>0.40329841016978679</c:v>
                </c:pt>
                <c:pt idx="44">
                  <c:v>0.40797352430936495</c:v>
                </c:pt>
                <c:pt idx="45">
                  <c:v>0.41259608999918351</c:v>
                </c:pt>
                <c:pt idx="46">
                  <c:v>0.41716784947250246</c:v>
                </c:pt>
                <c:pt idx="47">
                  <c:v>0.39716626110111108</c:v>
                </c:pt>
                <c:pt idx="48">
                  <c:v>0.40556025430619536</c:v>
                </c:pt>
                <c:pt idx="49">
                  <c:v>0.41395254128711834</c:v>
                </c:pt>
                <c:pt idx="50">
                  <c:v>0.41711414814378417</c:v>
                </c:pt>
                <c:pt idx="51">
                  <c:v>0.41793211200313501</c:v>
                </c:pt>
                <c:pt idx="52">
                  <c:v>0.41865693441740892</c:v>
                </c:pt>
                <c:pt idx="53">
                  <c:v>0.41933259843659049</c:v>
                </c:pt>
                <c:pt idx="54">
                  <c:v>0.41999086891910886</c:v>
                </c:pt>
                <c:pt idx="55">
                  <c:v>0.42063263191883227</c:v>
                </c:pt>
                <c:pt idx="56">
                  <c:v>0.42125871400826076</c:v>
                </c:pt>
                <c:pt idx="57">
                  <c:v>0.4218698871878086</c:v>
                </c:pt>
                <c:pt idx="58">
                  <c:v>0.4224668733167572</c:v>
                </c:pt>
                <c:pt idx="59">
                  <c:v>0.42305034811938391</c:v>
                </c:pt>
                <c:pt idx="60">
                  <c:v>0.42362094481303719</c:v>
                </c:pt>
                <c:pt idx="61">
                  <c:v>0.42417925739913748</c:v>
                </c:pt>
                <c:pt idx="62">
                  <c:v>0.42472584365308141</c:v>
                </c:pt>
                <c:pt idx="63">
                  <c:v>0.42526122784470716</c:v>
                </c:pt>
                <c:pt idx="64">
                  <c:v>0.42578590321722737</c:v>
                </c:pt>
                <c:pt idx="65">
                  <c:v>0.42630033424928493</c:v>
                </c:pt>
                <c:pt idx="66">
                  <c:v>0.42680495872194807</c:v>
                </c:pt>
                <c:pt idx="67">
                  <c:v>0.42730018960999305</c:v>
                </c:pt>
                <c:pt idx="68">
                  <c:v>0.42778641681465435</c:v>
                </c:pt>
                <c:pt idx="69">
                  <c:v>0.42826400875313514</c:v>
                </c:pt>
                <c:pt idx="70">
                  <c:v>0.42873331381850288</c:v>
                </c:pt>
                <c:pt idx="71">
                  <c:v>0.42919466172213711</c:v>
                </c:pt>
                <c:pt idx="72">
                  <c:v>0.42964836472960466</c:v>
                </c:pt>
                <c:pt idx="73">
                  <c:v>0.43009471879970723</c:v>
                </c:pt>
                <c:pt idx="74">
                  <c:v>0.43053400463543506</c:v>
                </c:pt>
                <c:pt idx="75">
                  <c:v>0.43096648865467424</c:v>
                </c:pt>
                <c:pt idx="76">
                  <c:v>0.43139242388772925</c:v>
                </c:pt>
                <c:pt idx="77">
                  <c:v>0.43181205080801488</c:v>
                </c:pt>
                <c:pt idx="78">
                  <c:v>0.43222559810165284</c:v>
                </c:pt>
                <c:pt idx="79">
                  <c:v>0.43263328338115348</c:v>
                </c:pt>
                <c:pt idx="80">
                  <c:v>0.43303531384786331</c:v>
                </c:pt>
                <c:pt idx="81">
                  <c:v>0.43343188690742052</c:v>
                </c:pt>
                <c:pt idx="82">
                  <c:v>0.43382319074205994</c:v>
                </c:pt>
                <c:pt idx="83">
                  <c:v>0.43420940484325871</c:v>
                </c:pt>
                <c:pt idx="84">
                  <c:v>0.43459070050789045</c:v>
                </c:pt>
                <c:pt idx="85">
                  <c:v>0.43496724130077269</c:v>
                </c:pt>
                <c:pt idx="86">
                  <c:v>0.43533918348623357</c:v>
                </c:pt>
                <c:pt idx="87">
                  <c:v>0.43570667643109157</c:v>
                </c:pt>
                <c:pt idx="88">
                  <c:v>0.4360698629812329</c:v>
                </c:pt>
                <c:pt idx="89">
                  <c:v>0.43642887981378531</c:v>
                </c:pt>
                <c:pt idx="90">
                  <c:v>0.43678385776670992</c:v>
                </c:pt>
                <c:pt idx="91">
                  <c:v>0.43713492214748539</c:v>
                </c:pt>
                <c:pt idx="92">
                  <c:v>0.43748219302241492</c:v>
                </c:pt>
                <c:pt idx="93">
                  <c:v>0.43782578548795897</c:v>
                </c:pt>
                <c:pt idx="94">
                  <c:v>0.4381658099253864</c:v>
                </c:pt>
                <c:pt idx="95">
                  <c:v>0.43850237223992444</c:v>
                </c:pt>
                <c:pt idx="96">
                  <c:v>0.4388355740855005</c:v>
                </c:pt>
                <c:pt idx="97">
                  <c:v>0.43916551307607649</c:v>
                </c:pt>
                <c:pt idx="98">
                  <c:v>0.43949228298450149</c:v>
                </c:pt>
                <c:pt idx="99">
                  <c:v>0.43981597392973171</c:v>
                </c:pt>
                <c:pt idx="100">
                  <c:v>0.44013667255320776</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8.8907218315768099E-3</c:v>
                </c:pt>
                <c:pt idx="1">
                  <c:v>2.3947014826015744E-2</c:v>
                </c:pt>
                <c:pt idx="2">
                  <c:v>7.184104447804722E-2</c:v>
                </c:pt>
                <c:pt idx="3">
                  <c:v>7.184104447804722E-2</c:v>
                </c:pt>
                <c:pt idx="4">
                  <c:v>9.5788059304062978E-2</c:v>
                </c:pt>
                <c:pt idx="5">
                  <c:v>0.11973507413007875</c:v>
                </c:pt>
                <c:pt idx="6">
                  <c:v>0.14368208895609444</c:v>
                </c:pt>
                <c:pt idx="7">
                  <c:v>0.16762910378211024</c:v>
                </c:pt>
                <c:pt idx="8">
                  <c:v>0.19157611860812596</c:v>
                </c:pt>
                <c:pt idx="9">
                  <c:v>0.21552313343414176</c:v>
                </c:pt>
                <c:pt idx="10">
                  <c:v>0.2394701482601575</c:v>
                </c:pt>
                <c:pt idx="11">
                  <c:v>0.26341716308617324</c:v>
                </c:pt>
                <c:pt idx="12">
                  <c:v>0.28736417791218888</c:v>
                </c:pt>
                <c:pt idx="13">
                  <c:v>0.31131119273820473</c:v>
                </c:pt>
                <c:pt idx="14">
                  <c:v>0.31174049679680838</c:v>
                </c:pt>
                <c:pt idx="15">
                  <c:v>0.31741771415984293</c:v>
                </c:pt>
                <c:pt idx="16">
                  <c:v>0.32785012219933529</c:v>
                </c:pt>
                <c:pt idx="17">
                  <c:v>0.33796266883646009</c:v>
                </c:pt>
                <c:pt idx="18">
                  <c:v>0.34778319900450666</c:v>
                </c:pt>
                <c:pt idx="19">
                  <c:v>0.35733573784843459</c:v>
                </c:pt>
                <c:pt idx="20">
                  <c:v>0.36664118640050375</c:v>
                </c:pt>
                <c:pt idx="21">
                  <c:v>0.37571786236687782</c:v>
                </c:pt>
                <c:pt idx="22">
                  <c:v>0.38458192619798409</c:v>
                </c:pt>
                <c:pt idx="23">
                  <c:v>0.39324772085313786</c:v>
                </c:pt>
                <c:pt idx="24">
                  <c:v>0.40172804571098969</c:v>
                </c:pt>
                <c:pt idx="25">
                  <c:v>0.41003437958528349</c:v>
                </c:pt>
                <c:pt idx="26">
                  <c:v>0.41817706394788245</c:v>
                </c:pt>
                <c:pt idx="27">
                  <c:v>0.42616545470765355</c:v>
                </c:pt>
                <c:pt idx="28">
                  <c:v>0.43400804889951383</c:v>
                </c:pt>
                <c:pt idx="29">
                  <c:v>0.44171259117393274</c:v>
                </c:pt>
                <c:pt idx="30">
                  <c:v>0.44928616388909864</c:v>
                </c:pt>
                <c:pt idx="31">
                  <c:v>0.45673526379001533</c:v>
                </c:pt>
                <c:pt idx="32">
                  <c:v>0.46406586763739305</c:v>
                </c:pt>
                <c:pt idx="33">
                  <c:v>0.47128348867248154</c:v>
                </c:pt>
                <c:pt idx="34">
                  <c:v>0.44149190247995118</c:v>
                </c:pt>
                <c:pt idx="35">
                  <c:v>0.45442393332150305</c:v>
                </c:pt>
                <c:pt idx="36">
                  <c:v>0.467353770144813</c:v>
                </c:pt>
                <c:pt idx="37">
                  <c:v>0.48028144698627911</c:v>
                </c:pt>
                <c:pt idx="38">
                  <c:v>0.48324952104532054</c:v>
                </c:pt>
                <c:pt idx="39">
                  <c:v>0.48444663714662428</c:v>
                </c:pt>
                <c:pt idx="40">
                  <c:v>0.48544092546272016</c:v>
                </c:pt>
                <c:pt idx="41">
                  <c:v>0.48639622663296911</c:v>
                </c:pt>
                <c:pt idx="42">
                  <c:v>0.48731814434127135</c:v>
                </c:pt>
                <c:pt idx="43">
                  <c:v>0.48820885923000001</c:v>
                </c:pt>
                <c:pt idx="44">
                  <c:v>0.48907036528074016</c:v>
                </c:pt>
                <c:pt idx="45">
                  <c:v>0.48990448936962933</c:v>
                </c:pt>
                <c:pt idx="46">
                  <c:v>0.49071290841471382</c:v>
                </c:pt>
                <c:pt idx="47">
                  <c:v>0.49149716445429364</c:v>
                </c:pt>
                <c:pt idx="48">
                  <c:v>0.49225867794177114</c:v>
                </c:pt>
                <c:pt idx="49">
                  <c:v>0.49299875949835997</c:v>
                </c:pt>
                <c:pt idx="50">
                  <c:v>0.49371862032838937</c:v>
                </c:pt>
                <c:pt idx="51">
                  <c:v>0.49441938147145847</c:v>
                </c:pt>
                <c:pt idx="52">
                  <c:v>0.4951020820402125</c:v>
                </c:pt>
                <c:pt idx="53">
                  <c:v>0.49576768657116677</c:v>
                </c:pt>
                <c:pt idx="54">
                  <c:v>0.49641709159802377</c:v>
                </c:pt>
                <c:pt idx="55">
                  <c:v>0.49705113154176794</c:v>
                </c:pt>
                <c:pt idx="56">
                  <c:v>0.49767058399897579</c:v>
                </c:pt>
                <c:pt idx="57">
                  <c:v>0.49827617449887013</c:v>
                </c:pt>
                <c:pt idx="58">
                  <c:v>0.49886858079035912</c:v>
                </c:pt>
                <c:pt idx="59">
                  <c:v>0.49944843671235956</c:v>
                </c:pt>
                <c:pt idx="60">
                  <c:v>0.50001633569391002</c:v>
                </c:pt>
                <c:pt idx="61">
                  <c:v>0.50057283392473872</c:v>
                </c:pt>
                <c:pt idx="62">
                  <c:v>0.50111845323192472</c:v>
                </c:pt>
                <c:pt idx="63">
                  <c:v>0.50165368369395702</c:v>
                </c:pt>
                <c:pt idx="64">
                  <c:v>0.50217898601973732</c:v>
                </c:pt>
                <c:pt idx="65">
                  <c:v>0.5026947937168218</c:v>
                </c:pt>
                <c:pt idx="66">
                  <c:v>0.50320151507037059</c:v>
                </c:pt>
                <c:pt idx="67">
                  <c:v>0.50369953495180586</c:v>
                </c:pt>
                <c:pt idx="68">
                  <c:v>0.50418921647403447</c:v>
                </c:pt>
                <c:pt idx="69">
                  <c:v>0.5046709025082089</c:v>
                </c:pt>
                <c:pt idx="70">
                  <c:v>0.50514491707535336</c:v>
                </c:pt>
                <c:pt idx="71">
                  <c:v>0.5056115666247375</c:v>
                </c:pt>
                <c:pt idx="72">
                  <c:v>0.50607114120960328</c:v>
                </c:pt>
                <c:pt idx="73">
                  <c:v>0.50652391556973886</c:v>
                </c:pt>
                <c:pt idx="74">
                  <c:v>0.50697015012939251</c:v>
                </c:pt>
                <c:pt idx="75">
                  <c:v>0.50741009191815467</c:v>
                </c:pt>
                <c:pt idx="76">
                  <c:v>0.50784397542165649</c:v>
                </c:pt>
                <c:pt idx="77">
                  <c:v>0.50827202336824673</c:v>
                </c:pt>
                <c:pt idx="78">
                  <c:v>0.50869444745719894</c:v>
                </c:pt>
                <c:pt idx="79">
                  <c:v>0.50911144903345562</c:v>
                </c:pt>
                <c:pt idx="80">
                  <c:v>0.50952321971343684</c:v>
                </c:pt>
                <c:pt idx="81">
                  <c:v>0.50992994196599839</c:v>
                </c:pt>
                <c:pt idx="82">
                  <c:v>0.51033178965225257</c:v>
                </c:pt>
                <c:pt idx="83">
                  <c:v>0.5107289285276041</c:v>
                </c:pt>
                <c:pt idx="84">
                  <c:v>0.51112151670905404</c:v>
                </c:pt>
                <c:pt idx="85">
                  <c:v>0.51150970511054406</c:v>
                </c:pt>
                <c:pt idx="86">
                  <c:v>0.51189363784885977</c:v>
                </c:pt>
                <c:pt idx="87">
                  <c:v>0.5122734526223911</c:v>
                </c:pt>
                <c:pt idx="88">
                  <c:v>0.51264928106484575</c:v>
                </c:pt>
                <c:pt idx="89">
                  <c:v>0.51302124907582403</c:v>
                </c:pt>
                <c:pt idx="90">
                  <c:v>0.51338947713000327</c:v>
                </c:pt>
                <c:pt idx="91">
                  <c:v>0.51375408056653094</c:v>
                </c:pt>
                <c:pt idx="92">
                  <c:v>0.5141151698600861</c:v>
                </c:pt>
                <c:pt idx="93">
                  <c:v>0.51447285087495109</c:v>
                </c:pt>
                <c:pt idx="94">
                  <c:v>0.51482722510332468</c:v>
                </c:pt>
                <c:pt idx="95">
                  <c:v>0.515178389889001</c:v>
                </c:pt>
                <c:pt idx="96">
                  <c:v>0.51552643863745751</c:v>
                </c:pt>
                <c:pt idx="97">
                  <c:v>0.5158714610133005</c:v>
                </c:pt>
                <c:pt idx="98">
                  <c:v>0.51621354312595147</c:v>
                </c:pt>
                <c:pt idx="99">
                  <c:v>0.51655276770437997</c:v>
                </c:pt>
                <c:pt idx="100">
                  <c:v>0.51688921426163148</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4.4448963515251452E-3</c:v>
                </c:pt>
                <c:pt idx="1">
                  <c:v>1.1945476715305084E-2</c:v>
                </c:pt>
                <c:pt idx="2">
                  <c:v>2.3890953430610169E-2</c:v>
                </c:pt>
                <c:pt idx="3">
                  <c:v>3.5836430145915248E-2</c:v>
                </c:pt>
                <c:pt idx="4">
                  <c:v>4.7781906861220337E-2</c:v>
                </c:pt>
                <c:pt idx="5">
                  <c:v>5.9727383576525427E-2</c:v>
                </c:pt>
                <c:pt idx="6">
                  <c:v>7.1672860291830495E-2</c:v>
                </c:pt>
                <c:pt idx="7">
                  <c:v>8.3618337007135626E-2</c:v>
                </c:pt>
                <c:pt idx="8">
                  <c:v>9.5563813722440674E-2</c:v>
                </c:pt>
                <c:pt idx="9">
                  <c:v>0.10750929043774576</c:v>
                </c:pt>
                <c:pt idx="10">
                  <c:v>0.11945476715305085</c:v>
                </c:pt>
                <c:pt idx="11">
                  <c:v>0.13140024386835594</c:v>
                </c:pt>
                <c:pt idx="12">
                  <c:v>0.14334572058366099</c:v>
                </c:pt>
                <c:pt idx="13">
                  <c:v>0.15529119729896612</c:v>
                </c:pt>
                <c:pt idx="14">
                  <c:v>0.1557026031607586</c:v>
                </c:pt>
                <c:pt idx="15">
                  <c:v>0.15853216170627724</c:v>
                </c:pt>
                <c:pt idx="16">
                  <c:v>0.16373656704016784</c:v>
                </c:pt>
                <c:pt idx="17">
                  <c:v>0.16878103991696583</c:v>
                </c:pt>
                <c:pt idx="18">
                  <c:v>0.17367950285544273</c:v>
                </c:pt>
                <c:pt idx="19">
                  <c:v>0.17844396847579239</c:v>
                </c:pt>
                <c:pt idx="20">
                  <c:v>0.18308488733803585</c:v>
                </c:pt>
                <c:pt idx="21">
                  <c:v>0.18761141833580766</c:v>
                </c:pt>
                <c:pt idx="22">
                  <c:v>0.19203164173193898</c:v>
                </c:pt>
                <c:pt idx="23">
                  <c:v>0.19635272904110768</c:v>
                </c:pt>
                <c:pt idx="24">
                  <c:v>0.20058107998534752</c:v>
                </c:pt>
                <c:pt idx="25">
                  <c:v>0.20472243400217149</c:v>
                </c:pt>
                <c:pt idx="26">
                  <c:v>0.20878196185629322</c:v>
                </c:pt>
                <c:pt idx="27">
                  <c:v>0.21276434152925025</c:v>
                </c:pt>
                <c:pt idx="28">
                  <c:v>0.21667382156408421</c:v>
                </c:pt>
                <c:pt idx="29">
                  <c:v>0.22051427431022894</c:v>
                </c:pt>
                <c:pt idx="30">
                  <c:v>0.22428924096971439</c:v>
                </c:pt>
                <c:pt idx="31">
                  <c:v>0.22800196993682106</c:v>
                </c:pt>
                <c:pt idx="32">
                  <c:v>0.23165544961261955</c:v>
                </c:pt>
                <c:pt idx="33">
                  <c:v>0.23525243663747125</c:v>
                </c:pt>
                <c:pt idx="34">
                  <c:v>0.23879548030003203</c:v>
                </c:pt>
                <c:pt idx="35">
                  <c:v>0.24228694373721529</c:v>
                </c:pt>
                <c:pt idx="36">
                  <c:v>0.24572902242617156</c:v>
                </c:pt>
                <c:pt idx="37">
                  <c:v>0.24912376037942829</c:v>
                </c:pt>
                <c:pt idx="38">
                  <c:v>0.2524730643825347</c:v>
                </c:pt>
                <c:pt idx="39">
                  <c:v>0.25577871655585144</c:v>
                </c:pt>
                <c:pt idx="40">
                  <c:v>0.25904238547545072</c:v>
                </c:pt>
                <c:pt idx="41">
                  <c:v>0.26226563605012626</c:v>
                </c:pt>
                <c:pt idx="42">
                  <c:v>0.2654499383204495</c:v>
                </c:pt>
                <c:pt idx="43">
                  <c:v>0.26859667532026554</c:v>
                </c:pt>
                <c:pt idx="44">
                  <c:v>0.27170715011991287</c:v>
                </c:pt>
                <c:pt idx="45">
                  <c:v>0.27478259215291695</c:v>
                </c:pt>
                <c:pt idx="46">
                  <c:v>0.27782416291328782</c:v>
                </c:pt>
                <c:pt idx="47">
                  <c:v>0.28083296109829819</c:v>
                </c:pt>
                <c:pt idx="48">
                  <c:v>0.28381002726131332</c:v>
                </c:pt>
                <c:pt idx="49">
                  <c:v>0.28675634803054573</c:v>
                </c:pt>
                <c:pt idx="50">
                  <c:v>0.28967285994222242</c:v>
                </c:pt>
                <c:pt idx="51">
                  <c:v>0.29256045293038774</c:v>
                </c:pt>
                <c:pt idx="52">
                  <c:v>0.29541997351019911</c:v>
                </c:pt>
                <c:pt idx="53">
                  <c:v>0.29825222768699111</c:v>
                </c:pt>
                <c:pt idx="54">
                  <c:v>0.30105798361944153</c:v>
                </c:pt>
                <c:pt idx="55">
                  <c:v>0.30383797406177426</c:v>
                </c:pt>
                <c:pt idx="56">
                  <c:v>0.306592898607005</c:v>
                </c:pt>
                <c:pt idx="57">
                  <c:v>0.30932342575068422</c:v>
                </c:pt>
                <c:pt idx="58">
                  <c:v>0.3120301947923908</c:v>
                </c:pt>
                <c:pt idx="59">
                  <c:v>0.31471381759029771</c:v>
                </c:pt>
                <c:pt idx="60">
                  <c:v>0.31737488018245119</c:v>
                </c:pt>
                <c:pt idx="61">
                  <c:v>0.29174274545643464</c:v>
                </c:pt>
                <c:pt idx="62">
                  <c:v>0.29647283626785959</c:v>
                </c:pt>
                <c:pt idx="63">
                  <c:v>0.30112125311024907</c:v>
                </c:pt>
                <c:pt idx="64">
                  <c:v>0.30576371021264093</c:v>
                </c:pt>
                <c:pt idx="65">
                  <c:v>0.31040009418910203</c:v>
                </c:pt>
                <c:pt idx="66">
                  <c:v>0.31503028879894213</c:v>
                </c:pt>
                <c:pt idx="67">
                  <c:v>0.31965417485559078</c:v>
                </c:pt>
                <c:pt idx="68">
                  <c:v>0.32427163013200427</c:v>
                </c:pt>
                <c:pt idx="69">
                  <c:v>0.32784598678128013</c:v>
                </c:pt>
                <c:pt idx="70">
                  <c:v>0.32833738530128265</c:v>
                </c:pt>
                <c:pt idx="71">
                  <c:v>0.32878824851004962</c:v>
                </c:pt>
                <c:pt idx="72">
                  <c:v>0.32921017595924246</c:v>
                </c:pt>
                <c:pt idx="73">
                  <c:v>0.3296246927725594</c:v>
                </c:pt>
                <c:pt idx="74">
                  <c:v>0.33003207891706171</c:v>
                </c:pt>
                <c:pt idx="75">
                  <c:v>0.33043260034670724</c:v>
                </c:pt>
                <c:pt idx="76">
                  <c:v>0.33082650986833229</c:v>
                </c:pt>
                <c:pt idx="77">
                  <c:v>0.33121404794419673</c:v>
                </c:pt>
                <c:pt idx="78">
                  <c:v>0.33159544343645059</c:v>
                </c:pt>
                <c:pt idx="79">
                  <c:v>0.33197091429836723</c:v>
                </c:pt>
                <c:pt idx="80">
                  <c:v>0.33234066821672981</c:v>
                </c:pt>
                <c:pt idx="81">
                  <c:v>0.33270490320935364</c:v>
                </c:pt>
                <c:pt idx="82">
                  <c:v>0.33306380818135634</c:v>
                </c:pt>
                <c:pt idx="83">
                  <c:v>0.33341756344346124</c:v>
                </c:pt>
                <c:pt idx="84">
                  <c:v>0.33376634119532272</c:v>
                </c:pt>
                <c:pt idx="85">
                  <c:v>0.33411030597659841</c:v>
                </c:pt>
                <c:pt idx="86">
                  <c:v>0.33444961508824828</c:v>
                </c:pt>
                <c:pt idx="87">
                  <c:v>0.33478441898633327</c:v>
                </c:pt>
                <c:pt idx="88">
                  <c:v>0.33511486165037974</c:v>
                </c:pt>
                <c:pt idx="89">
                  <c:v>0.33544108092821084</c:v>
                </c:pt>
                <c:pt idx="90">
                  <c:v>0.33576320885897643</c:v>
                </c:pt>
                <c:pt idx="91">
                  <c:v>0.33608137197597576</c:v>
                </c:pt>
                <c:pt idx="92">
                  <c:v>0.33639569159072957</c:v>
                </c:pt>
                <c:pt idx="93">
                  <c:v>0.33670628405964564</c:v>
                </c:pt>
                <c:pt idx="94">
                  <c:v>0.33701326103450657</c:v>
                </c:pt>
                <c:pt idx="95">
                  <c:v>0.33731672969791526</c:v>
                </c:pt>
                <c:pt idx="96">
                  <c:v>0.33761679298474084</c:v>
                </c:pt>
                <c:pt idx="97">
                  <c:v>0.33791354979052557</c:v>
                </c:pt>
                <c:pt idx="98">
                  <c:v>0.33820709516774289</c:v>
                </c:pt>
                <c:pt idx="99">
                  <c:v>0.33849752051072113</c:v>
                </c:pt>
                <c:pt idx="100">
                  <c:v>0.33878491372999164</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1.3575187449376684</c:v>
                </c:pt>
                <c:pt idx="16">
                  <c:v>1.4020393310154626</c:v>
                </c:pt>
                <c:pt idx="17">
                  <c:v>1.4451890632617688</c:v>
                </c:pt>
                <c:pt idx="18">
                  <c:v>1.4870872776769262</c:v>
                </c:pt>
                <c:pt idx="19">
                  <c:v>1.5278369396914431</c:v>
                </c:pt>
                <c:pt idx="20">
                  <c:v>1.5675276256394519</c:v>
                </c:pt>
                <c:pt idx="21">
                  <c:v>1.606237840420901</c:v>
                </c:pt>
                <c:pt idx="22">
                  <c:v>1.6440368435218058</c:v>
                </c:pt>
                <c:pt idx="23">
                  <c:v>1.680986105152058</c:v>
                </c:pt>
                <c:pt idx="24">
                  <c:v>1.7171404801504822</c:v>
                </c:pt>
                <c:pt idx="25">
                  <c:v>1.752549163769328</c:v>
                </c:pt>
                <c:pt idx="26">
                  <c:v>1.7872564769181043</c:v>
                </c:pt>
                <c:pt idx="27">
                  <c:v>1.8213025166464953</c:v>
                </c:pt>
                <c:pt idx="28">
                  <c:v>1.8547236990991409</c:v>
                </c:pt>
                <c:pt idx="29">
                  <c:v>1.887553215900718</c:v>
                </c:pt>
                <c:pt idx="30">
                  <c:v>1.9198214202665531</c:v>
                </c:pt>
                <c:pt idx="31">
                  <c:v>1.9515561556284842</c:v>
                </c:pt>
                <c:pt idx="32">
                  <c:v>1.9827830369025683</c:v>
                </c:pt>
                <c:pt idx="33">
                  <c:v>2.0135256924821481</c:v>
                </c:pt>
                <c:pt idx="34">
                  <c:v>1.8861550280139194</c:v>
                </c:pt>
                <c:pt idx="35">
                  <c:v>1.9413141830839693</c:v>
                </c:pt>
                <c:pt idx="36">
                  <c:v>1.9964601793012358</c:v>
                </c:pt>
                <c:pt idx="37">
                  <c:v>2.051593216148127</c:v>
                </c:pt>
                <c:pt idx="38">
                  <c:v>2.1066018724347302</c:v>
                </c:pt>
                <c:pt idx="39">
                  <c:v>2.1606374311008101</c:v>
                </c:pt>
                <c:pt idx="40">
                  <c:v>2.2153190498219892</c:v>
                </c:pt>
                <c:pt idx="41">
                  <c:v>2.2699802267598717</c:v>
                </c:pt>
                <c:pt idx="42">
                  <c:v>2.3246074990748249</c:v>
                </c:pt>
                <c:pt idx="43">
                  <c:v>2.3792009570026447</c:v>
                </c:pt>
                <c:pt idx="44">
                  <c:v>2.4337606905106655</c:v>
                </c:pt>
                <c:pt idx="45">
                  <c:v>2.488286789298777</c:v>
                </c:pt>
                <c:pt idx="46">
                  <c:v>2.5427793428004404</c:v>
                </c:pt>
                <c:pt idx="47">
                  <c:v>2.5972384401836908</c:v>
                </c:pt>
                <c:pt idx="48">
                  <c:v>2.6516641703521442</c:v>
                </c:pt>
                <c:pt idx="49">
                  <c:v>2.7060566219460003</c:v>
                </c:pt>
                <c:pt idx="50">
                  <c:v>2.7604158833430286</c:v>
                </c:pt>
                <c:pt idx="51">
                  <c:v>2.8147420426595628</c:v>
                </c:pt>
                <c:pt idx="52">
                  <c:v>2.869035187751491</c:v>
                </c:pt>
                <c:pt idx="53">
                  <c:v>2.9232954062152281</c:v>
                </c:pt>
                <c:pt idx="54">
                  <c:v>2.9775227853886967</c:v>
                </c:pt>
                <c:pt idx="55">
                  <c:v>3.0317174123523012</c:v>
                </c:pt>
                <c:pt idx="56">
                  <c:v>3.0858793739298944</c:v>
                </c:pt>
                <c:pt idx="57">
                  <c:v>3.1400087566897366</c:v>
                </c:pt>
                <c:pt idx="58">
                  <c:v>3.1941056469454661</c:v>
                </c:pt>
                <c:pt idx="59">
                  <c:v>3.248170130757039</c:v>
                </c:pt>
                <c:pt idx="60">
                  <c:v>3.3022022939316917</c:v>
                </c:pt>
                <c:pt idx="61">
                  <c:v>3.3562022220248853</c:v>
                </c:pt>
                <c:pt idx="62">
                  <c:v>3.4101700003412416</c:v>
                </c:pt>
                <c:pt idx="63">
                  <c:v>3.4641057139354894</c:v>
                </c:pt>
                <c:pt idx="64">
                  <c:v>3.5180094476133892</c:v>
                </c:pt>
                <c:pt idx="65">
                  <c:v>3.5718812859326738</c:v>
                </c:pt>
                <c:pt idx="66">
                  <c:v>3.6257213132039605</c:v>
                </c:pt>
                <c:pt idx="67">
                  <c:v>3.6795296134916891</c:v>
                </c:pt>
                <c:pt idx="68">
                  <c:v>3.7333062706150186</c:v>
                </c:pt>
                <c:pt idx="69">
                  <c:v>3.787051368148759</c:v>
                </c:pt>
                <c:pt idx="70">
                  <c:v>3.8407649894242701</c:v>
                </c:pt>
                <c:pt idx="71">
                  <c:v>3.8944472175303724</c:v>
                </c:pt>
                <c:pt idx="72">
                  <c:v>3.948098135314237</c:v>
                </c:pt>
                <c:pt idx="73">
                  <c:v>4.0017178253822987</c:v>
                </c:pt>
                <c:pt idx="74">
                  <c:v>4.0553063701011327</c:v>
                </c:pt>
                <c:pt idx="75">
                  <c:v>4.1088638515983575</c:v>
                </c:pt>
                <c:pt idx="76">
                  <c:v>4.1623903517635128</c:v>
                </c:pt>
                <c:pt idx="77">
                  <c:v>4.2158859522489385</c:v>
                </c:pt>
                <c:pt idx="78">
                  <c:v>4.2693507344706605</c:v>
                </c:pt>
                <c:pt idx="79">
                  <c:v>4.3227847796092549</c:v>
                </c:pt>
                <c:pt idx="80">
                  <c:v>4.3761881686107218</c:v>
                </c:pt>
                <c:pt idx="81">
                  <c:v>4.4295609821873496</c:v>
                </c:pt>
                <c:pt idx="82">
                  <c:v>4.4829033008185828</c:v>
                </c:pt>
                <c:pt idx="83">
                  <c:v>4.5362152047518727</c:v>
                </c:pt>
                <c:pt idx="84">
                  <c:v>4.589496774003532</c:v>
                </c:pt>
                <c:pt idx="85">
                  <c:v>4.6427480883595891</c:v>
                </c:pt>
                <c:pt idx="86">
                  <c:v>4.6959692273766356</c:v>
                </c:pt>
                <c:pt idx="87">
                  <c:v>4.7491602703826601</c:v>
                </c:pt>
                <c:pt idx="88">
                  <c:v>4.8023212964779045</c:v>
                </c:pt>
                <c:pt idx="89">
                  <c:v>4.8554523845356821</c:v>
                </c:pt>
                <c:pt idx="90">
                  <c:v>4.9085536132032184</c:v>
                </c:pt>
                <c:pt idx="91">
                  <c:v>4.9616250609024792</c:v>
                </c:pt>
                <c:pt idx="92">
                  <c:v>5.0146668058309958</c:v>
                </c:pt>
                <c:pt idx="93">
                  <c:v>5.0676789259626807</c:v>
                </c:pt>
                <c:pt idx="94">
                  <c:v>5.1206614990486559</c:v>
                </c:pt>
                <c:pt idx="95">
                  <c:v>5.1736146026180503</c:v>
                </c:pt>
                <c:pt idx="96">
                  <c:v>5.2265383139788275</c:v>
                </c:pt>
                <c:pt idx="97">
                  <c:v>5.2794327102185825</c:v>
                </c:pt>
                <c:pt idx="98">
                  <c:v>5.3322978682053481</c:v>
                </c:pt>
                <c:pt idx="99">
                  <c:v>5.3851338645883899</c:v>
                </c:pt>
                <c:pt idx="100">
                  <c:v>5.4379407757990164</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1.3575187449376684</c:v>
                </c:pt>
                <c:pt idx="16">
                  <c:v>1.4020393310154626</c:v>
                </c:pt>
                <c:pt idx="17">
                  <c:v>1.4451890632617688</c:v>
                </c:pt>
                <c:pt idx="18">
                  <c:v>1.4870872776769262</c:v>
                </c:pt>
                <c:pt idx="19">
                  <c:v>1.5278369396914431</c:v>
                </c:pt>
                <c:pt idx="20">
                  <c:v>1.5675276256394519</c:v>
                </c:pt>
                <c:pt idx="21">
                  <c:v>1.606237840420901</c:v>
                </c:pt>
                <c:pt idx="22">
                  <c:v>1.6440368435218058</c:v>
                </c:pt>
                <c:pt idx="23">
                  <c:v>1.680986105152058</c:v>
                </c:pt>
                <c:pt idx="24">
                  <c:v>1.7171404801504822</c:v>
                </c:pt>
                <c:pt idx="25">
                  <c:v>1.752549163769328</c:v>
                </c:pt>
                <c:pt idx="26">
                  <c:v>1.7872564769181043</c:v>
                </c:pt>
                <c:pt idx="27">
                  <c:v>1.8213025166464953</c:v>
                </c:pt>
                <c:pt idx="28">
                  <c:v>1.8547236990991409</c:v>
                </c:pt>
                <c:pt idx="29">
                  <c:v>1.887553215900718</c:v>
                </c:pt>
                <c:pt idx="30">
                  <c:v>1.9198214202665531</c:v>
                </c:pt>
                <c:pt idx="31">
                  <c:v>1.9515561556284842</c:v>
                </c:pt>
                <c:pt idx="32">
                  <c:v>1.9827830369025683</c:v>
                </c:pt>
                <c:pt idx="33">
                  <c:v>2.0135256924821481</c:v>
                </c:pt>
                <c:pt idx="34">
                  <c:v>2.043805973458062</c:v>
                </c:pt>
                <c:pt idx="35">
                  <c:v>2.0736441353327719</c:v>
                </c:pt>
                <c:pt idx="36">
                  <c:v>2.1030589965231936</c:v>
                </c:pt>
                <c:pt idx="37">
                  <c:v>2.1320680771763096</c:v>
                </c:pt>
                <c:pt idx="38">
                  <c:v>2.1606877212062434</c:v>
                </c:pt>
                <c:pt idx="39">
                  <c:v>2.1889332039668479</c:v>
                </c:pt>
                <c:pt idx="40">
                  <c:v>2.2168188275738085</c:v>
                </c:pt>
                <c:pt idx="41">
                  <c:v>2.2443580055648109</c:v>
                </c:pt>
                <c:pt idx="42">
                  <c:v>2.2715633383201093</c:v>
                </c:pt>
                <c:pt idx="43">
                  <c:v>2.2984466804468497</c:v>
                </c:pt>
                <c:pt idx="44">
                  <c:v>2.3250192011495918</c:v>
                </c:pt>
                <c:pt idx="45">
                  <c:v>2.3512914384591777</c:v>
                </c:pt>
                <c:pt idx="46">
                  <c:v>2.3772733480667658</c:v>
                </c:pt>
                <c:pt idx="47">
                  <c:v>2.2632249208942667</c:v>
                </c:pt>
                <c:pt idx="48">
                  <c:v>2.3109894796654307</c:v>
                </c:pt>
                <c:pt idx="49">
                  <c:v>2.3587422194323331</c:v>
                </c:pt>
                <c:pt idx="50">
                  <c:v>2.4059810527762795</c:v>
                </c:pt>
                <c:pt idx="51">
                  <c:v>2.452640328366416</c:v>
                </c:pt>
                <c:pt idx="52">
                  <c:v>2.4996991776033681</c:v>
                </c:pt>
                <c:pt idx="53">
                  <c:v>2.5469115302305663</c:v>
                </c:pt>
                <c:pt idx="54">
                  <c:v>2.5940927267007101</c:v>
                </c:pt>
                <c:pt idx="55">
                  <c:v>2.6412428340066354</c:v>
                </c:pt>
                <c:pt idx="56">
                  <c:v>2.6883619189661827</c:v>
                </c:pt>
                <c:pt idx="57">
                  <c:v>2.7354500482227757</c:v>
                </c:pt>
                <c:pt idx="58">
                  <c:v>2.7825072882459958</c:v>
                </c:pt>
                <c:pt idx="59">
                  <c:v>2.8295337053321514</c:v>
                </c:pt>
                <c:pt idx="60">
                  <c:v>2.8765293656048456</c:v>
                </c:pt>
                <c:pt idx="61">
                  <c:v>2.9234943350155445</c:v>
                </c:pt>
                <c:pt idx="62">
                  <c:v>2.9704286793441397</c:v>
                </c:pt>
                <c:pt idx="63">
                  <c:v>3.0173324641995154</c:v>
                </c:pt>
                <c:pt idx="64">
                  <c:v>3.0642057550201001</c:v>
                </c:pt>
                <c:pt idx="65">
                  <c:v>3.1110486170744323</c:v>
                </c:pt>
                <c:pt idx="66">
                  <c:v>3.15786111546171</c:v>
                </c:pt>
                <c:pt idx="67">
                  <c:v>3.2046433151123495</c:v>
                </c:pt>
                <c:pt idx="68">
                  <c:v>3.2513952807885302</c:v>
                </c:pt>
                <c:pt idx="69">
                  <c:v>3.2981170770847488</c:v>
                </c:pt>
                <c:pt idx="70">
                  <c:v>3.3448087684283649</c:v>
                </c:pt>
                <c:pt idx="71">
                  <c:v>3.3914704190801475</c:v>
                </c:pt>
                <c:pt idx="72">
                  <c:v>3.4381020931348103</c:v>
                </c:pt>
                <c:pt idx="73">
                  <c:v>3.484703854521559</c:v>
                </c:pt>
                <c:pt idx="74">
                  <c:v>3.5312757670046295</c:v>
                </c:pt>
                <c:pt idx="75">
                  <c:v>3.5778178941838226</c:v>
                </c:pt>
                <c:pt idx="76">
                  <c:v>3.6243302994950377</c:v>
                </c:pt>
                <c:pt idx="77">
                  <c:v>3.670813046210804</c:v>
                </c:pt>
                <c:pt idx="78">
                  <c:v>3.7172661974408134</c:v>
                </c:pt>
                <c:pt idx="79">
                  <c:v>3.7636898161324495</c:v>
                </c:pt>
                <c:pt idx="80">
                  <c:v>3.8100839650713061</c:v>
                </c:pt>
                <c:pt idx="81">
                  <c:v>3.8564487068817193</c:v>
                </c:pt>
                <c:pt idx="82">
                  <c:v>3.902784104027285</c:v>
                </c:pt>
                <c:pt idx="83">
                  <c:v>3.9490902188113819</c:v>
                </c:pt>
                <c:pt idx="84">
                  <c:v>3.9953671133776854</c:v>
                </c:pt>
                <c:pt idx="85">
                  <c:v>4.041614849710685</c:v>
                </c:pt>
                <c:pt idx="86">
                  <c:v>4.0878334896362007</c:v>
                </c:pt>
                <c:pt idx="87">
                  <c:v>4.134023094821889</c:v>
                </c:pt>
                <c:pt idx="88">
                  <c:v>4.1801837267777611</c:v>
                </c:pt>
                <c:pt idx="89">
                  <c:v>4.2263154468566828</c:v>
                </c:pt>
                <c:pt idx="90">
                  <c:v>4.2724183162548837</c:v>
                </c:pt>
                <c:pt idx="91">
                  <c:v>4.318492396012461</c:v>
                </c:pt>
                <c:pt idx="92">
                  <c:v>4.3645377470138831</c:v>
                </c:pt>
                <c:pt idx="93">
                  <c:v>4.4105544299884878</c:v>
                </c:pt>
                <c:pt idx="94">
                  <c:v>4.4565425055109795</c:v>
                </c:pt>
                <c:pt idx="95">
                  <c:v>4.5025020340019299</c:v>
                </c:pt>
                <c:pt idx="96">
                  <c:v>4.5484330757282656</c:v>
                </c:pt>
                <c:pt idx="97">
                  <c:v>4.5943356908037671</c:v>
                </c:pt>
                <c:pt idx="98">
                  <c:v>4.6402099391895542</c:v>
                </c:pt>
                <c:pt idx="99">
                  <c:v>4.6860558806945809</c:v>
                </c:pt>
                <c:pt idx="100">
                  <c:v>4.7318735749761114</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1.3575187449376684</c:v>
                </c:pt>
                <c:pt idx="16">
                  <c:v>1.4020393310154626</c:v>
                </c:pt>
                <c:pt idx="17">
                  <c:v>1.4451890632617688</c:v>
                </c:pt>
                <c:pt idx="18">
                  <c:v>1.4870872776769262</c:v>
                </c:pt>
                <c:pt idx="19">
                  <c:v>1.5278369396914431</c:v>
                </c:pt>
                <c:pt idx="20">
                  <c:v>1.5675276256394519</c:v>
                </c:pt>
                <c:pt idx="21">
                  <c:v>1.606237840420901</c:v>
                </c:pt>
                <c:pt idx="22">
                  <c:v>1.6440368435218058</c:v>
                </c:pt>
                <c:pt idx="23">
                  <c:v>1.680986105152058</c:v>
                </c:pt>
                <c:pt idx="24">
                  <c:v>1.7171404801504822</c:v>
                </c:pt>
                <c:pt idx="25">
                  <c:v>1.752549163769328</c:v>
                </c:pt>
                <c:pt idx="26">
                  <c:v>1.7872564769181043</c:v>
                </c:pt>
                <c:pt idx="27">
                  <c:v>1.8213025166464953</c:v>
                </c:pt>
                <c:pt idx="28">
                  <c:v>1.8547236990991409</c:v>
                </c:pt>
                <c:pt idx="29">
                  <c:v>1.887553215900718</c:v>
                </c:pt>
                <c:pt idx="30">
                  <c:v>1.9198214202665531</c:v>
                </c:pt>
                <c:pt idx="31">
                  <c:v>1.9515561556284842</c:v>
                </c:pt>
                <c:pt idx="32">
                  <c:v>1.9827830369025683</c:v>
                </c:pt>
                <c:pt idx="33">
                  <c:v>2.0135256924821481</c:v>
                </c:pt>
                <c:pt idx="34">
                  <c:v>2.043805973458062</c:v>
                </c:pt>
                <c:pt idx="35">
                  <c:v>2.0736441353327719</c:v>
                </c:pt>
                <c:pt idx="36">
                  <c:v>2.1030589965231936</c:v>
                </c:pt>
                <c:pt idx="37">
                  <c:v>2.1320680771763096</c:v>
                </c:pt>
                <c:pt idx="38">
                  <c:v>2.1606877212062434</c:v>
                </c:pt>
                <c:pt idx="39">
                  <c:v>2.1889332039668479</c:v>
                </c:pt>
                <c:pt idx="40">
                  <c:v>2.2168188275738085</c:v>
                </c:pt>
                <c:pt idx="41">
                  <c:v>2.2443580055648109</c:v>
                </c:pt>
                <c:pt idx="42">
                  <c:v>2.2715633383201093</c:v>
                </c:pt>
                <c:pt idx="43">
                  <c:v>2.2984466804468497</c:v>
                </c:pt>
                <c:pt idx="44">
                  <c:v>2.3250192011495918</c:v>
                </c:pt>
                <c:pt idx="45">
                  <c:v>2.3512914384591777</c:v>
                </c:pt>
                <c:pt idx="46">
                  <c:v>2.3772733480667658</c:v>
                </c:pt>
                <c:pt idx="47">
                  <c:v>2.4029743474048395</c:v>
                </c:pt>
                <c:pt idx="48">
                  <c:v>2.4284033555286602</c:v>
                </c:pt>
                <c:pt idx="49">
                  <c:v>2.4535688292770592</c:v>
                </c:pt>
                <c:pt idx="50">
                  <c:v>2.4784787961282104</c:v>
                </c:pt>
                <c:pt idx="51">
                  <c:v>2.5031408841122555</c:v>
                </c:pt>
                <c:pt idx="52">
                  <c:v>2.5275623490967396</c:v>
                </c:pt>
                <c:pt idx="53">
                  <c:v>2.5517500997214779</c:v>
                </c:pt>
                <c:pt idx="54">
                  <c:v>2.5757107202257234</c:v>
                </c:pt>
                <c:pt idx="55">
                  <c:v>2.5994504913813721</c:v>
                </c:pt>
                <c:pt idx="56">
                  <c:v>2.6229754097208002</c:v>
                </c:pt>
                <c:pt idx="57">
                  <c:v>2.646291205226126</c:v>
                </c:pt>
                <c:pt idx="58">
                  <c:v>2.6694033576277461</c:v>
                </c:pt>
                <c:pt idx="59">
                  <c:v>2.6923171114434918</c:v>
                </c:pt>
                <c:pt idx="60">
                  <c:v>2.7150374898753369</c:v>
                </c:pt>
                <c:pt idx="61">
                  <c:v>2.4957224519573158</c:v>
                </c:pt>
                <c:pt idx="62">
                  <c:v>2.5361398203211829</c:v>
                </c:pt>
                <c:pt idx="63">
                  <c:v>2.5758014010785097</c:v>
                </c:pt>
                <c:pt idx="64">
                  <c:v>2.6154075533580352</c:v>
                </c:pt>
                <c:pt idx="65">
                  <c:v>2.6549572242045394</c:v>
                </c:pt>
                <c:pt idx="66">
                  <c:v>2.6944493339141924</c:v>
                </c:pt>
                <c:pt idx="67">
                  <c:v>2.7338827751784063</c:v>
                </c:pt>
                <c:pt idx="68">
                  <c:v>2.7732564121946863</c:v>
                </c:pt>
                <c:pt idx="69">
                  <c:v>2.8125690797429965</c:v>
                </c:pt>
                <c:pt idx="70">
                  <c:v>2.851819582226065</c:v>
                </c:pt>
                <c:pt idx="71">
                  <c:v>2.8913424362264091</c:v>
                </c:pt>
                <c:pt idx="72">
                  <c:v>2.931038319918104</c:v>
                </c:pt>
                <c:pt idx="73">
                  <c:v>2.9707068751058565</c:v>
                </c:pt>
                <c:pt idx="74">
                  <c:v>3.0103481493135522</c:v>
                </c:pt>
                <c:pt idx="75">
                  <c:v>3.04996218995913</c:v>
                </c:pt>
                <c:pt idx="76">
                  <c:v>3.0895490443548681</c:v>
                </c:pt>
                <c:pt idx="77">
                  <c:v>3.1291087597076848</c:v>
                </c:pt>
                <c:pt idx="78">
                  <c:v>3.1686413831194313</c:v>
                </c:pt>
                <c:pt idx="79">
                  <c:v>3.2081469615871834</c:v>
                </c:pt>
                <c:pt idx="80">
                  <c:v>3.2476255420035334</c:v>
                </c:pt>
                <c:pt idx="81">
                  <c:v>3.2870771711568811</c:v>
                </c:pt>
                <c:pt idx="82">
                  <c:v>3.3265018957317247</c:v>
                </c:pt>
                <c:pt idx="83">
                  <c:v>3.3658997623089491</c:v>
                </c:pt>
                <c:pt idx="84">
                  <c:v>3.405270817366115</c:v>
                </c:pt>
                <c:pt idx="85">
                  <c:v>3.4446151072777402</c:v>
                </c:pt>
                <c:pt idx="86">
                  <c:v>3.4839326783155946</c:v>
                </c:pt>
                <c:pt idx="87">
                  <c:v>3.5232235766489786</c:v>
                </c:pt>
                <c:pt idx="88">
                  <c:v>3.562487848345012</c:v>
                </c:pt>
                <c:pt idx="89">
                  <c:v>3.60172553936891</c:v>
                </c:pt>
                <c:pt idx="90">
                  <c:v>3.6409366955842741</c:v>
                </c:pt>
                <c:pt idx="91">
                  <c:v>3.680121362753368</c:v>
                </c:pt>
                <c:pt idx="92">
                  <c:v>3.7192795865373984</c:v>
                </c:pt>
                <c:pt idx="93">
                  <c:v>3.7584114124967987</c:v>
                </c:pt>
                <c:pt idx="94">
                  <c:v>3.7975168860915001</c:v>
                </c:pt>
                <c:pt idx="95">
                  <c:v>3.836596052681216</c:v>
                </c:pt>
                <c:pt idx="96">
                  <c:v>3.8756489575257165</c:v>
                </c:pt>
                <c:pt idx="97">
                  <c:v>3.9146756457851013</c:v>
                </c:pt>
                <c:pt idx="98">
                  <c:v>3.9536761625200794</c:v>
                </c:pt>
                <c:pt idx="99">
                  <c:v>3.9926505526922389</c:v>
                </c:pt>
                <c:pt idx="100">
                  <c:v>4.0315988611643228</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1.0153642857142857</c:v>
                </c:pt>
                <c:pt idx="2">
                  <c:v>1.0460928571428572</c:v>
                </c:pt>
                <c:pt idx="3">
                  <c:v>1.0460928571428572</c:v>
                </c:pt>
                <c:pt idx="4">
                  <c:v>1.0614571428571429</c:v>
                </c:pt>
                <c:pt idx="5">
                  <c:v>1.0768214285714286</c:v>
                </c:pt>
                <c:pt idx="6">
                  <c:v>1.0921857142857143</c:v>
                </c:pt>
                <c:pt idx="7">
                  <c:v>1.10755</c:v>
                </c:pt>
                <c:pt idx="8">
                  <c:v>1.1229142857142858</c:v>
                </c:pt>
                <c:pt idx="9">
                  <c:v>1.1382785714285715</c:v>
                </c:pt>
                <c:pt idx="10">
                  <c:v>1.1536428571428572</c:v>
                </c:pt>
                <c:pt idx="11">
                  <c:v>1.1690071428571429</c:v>
                </c:pt>
                <c:pt idx="12">
                  <c:v>1.1843714285714284</c:v>
                </c:pt>
                <c:pt idx="13">
                  <c:v>1.1997357142857143</c:v>
                </c:pt>
                <c:pt idx="14">
                  <c:v>1.2</c:v>
                </c:pt>
                <c:pt idx="15">
                  <c:v>1.2179151197069147</c:v>
                </c:pt>
                <c:pt idx="16">
                  <c:v>1.2508933316163919</c:v>
                </c:pt>
                <c:pt idx="17">
                  <c:v>1.2828560962432853</c:v>
                </c:pt>
                <c:pt idx="18">
                  <c:v>1.3138918106248834</c:v>
                </c:pt>
                <c:pt idx="19">
                  <c:v>1.3440767454504514</c:v>
                </c:pt>
                <c:pt idx="20">
                  <c:v>1.3734772535600877</c:v>
                </c:pt>
                <c:pt idx="21">
                  <c:v>1.4021514867315314</c:v>
                </c:pt>
                <c:pt idx="22">
                  <c:v>1.4301507482877573</c:v>
                </c:pt>
                <c:pt idx="23">
                  <c:v>1.4575205717175737</c:v>
                </c:pt>
                <c:pt idx="24">
                  <c:v>1.4843015902349248</c:v>
                </c:pt>
                <c:pt idx="25">
                  <c:v>1.5105302447674034</c:v>
                </c:pt>
                <c:pt idx="26">
                  <c:v>1.5362393656183486</c:v>
                </c:pt>
                <c:pt idx="27">
                  <c:v>1.5614586543060458</c:v>
                </c:pt>
                <c:pt idx="28">
                  <c:v>1.58621508575245</c:v>
                </c:pt>
                <c:pt idx="29">
                  <c:v>1.6105332463462108</c:v>
                </c:pt>
                <c:pt idx="30">
                  <c:v>1.634435619950533</c:v>
                </c:pt>
                <c:pt idx="31">
                  <c:v>1.6579428313297413</c:v>
                </c:pt>
                <c:pt idx="32">
                  <c:v>1.6810738544957295</c:v>
                </c:pt>
                <c:pt idx="33">
                  <c:v>1.7038461919620849</c:v>
                </c:pt>
                <c:pt idx="34">
                  <c:v>1.6094975516152488</c:v>
                </c:pt>
                <c:pt idx="35">
                  <c:v>1.6503561850004709</c:v>
                </c:pt>
                <c:pt idx="36">
                  <c:v>1.691205071087335</c:v>
                </c:pt>
                <c:pt idx="37">
                  <c:v>1.7320443576405875</c:v>
                </c:pt>
                <c:pt idx="38">
                  <c:v>1.772791510445479</c:v>
                </c:pt>
                <c:pt idx="39">
                  <c:v>1.8128178501981307</c:v>
                </c:pt>
                <c:pt idx="40">
                  <c:v>1.8533227529545597</c:v>
                </c:pt>
                <c:pt idx="41">
                  <c:v>1.8938125136492876</c:v>
                </c:pt>
                <c:pt idx="42">
                  <c:v>1.934277159808512</c:v>
                </c:pt>
                <c:pt idx="43">
                  <c:v>1.9747167582735639</c:v>
                </c:pt>
                <c:pt idx="44">
                  <c:v>2.0151313756869125</c:v>
                </c:pt>
                <c:pt idx="45">
                  <c:v>2.0555210784929212</c:v>
                </c:pt>
                <c:pt idx="46">
                  <c:v>2.0958859329385975</c:v>
                </c:pt>
                <c:pt idx="47">
                  <c:v>2.1362260050743389</c:v>
                </c:pt>
                <c:pt idx="48">
                  <c:v>2.1765413607546744</c:v>
                </c:pt>
                <c:pt idx="49">
                  <c:v>2.2168320656390126</c:v>
                </c:pt>
                <c:pt idx="50">
                  <c:v>2.2570981851923668</c:v>
                </c:pt>
                <c:pt idx="51">
                  <c:v>2.2973397846860957</c:v>
                </c:pt>
                <c:pt idx="52">
                  <c:v>2.3375569291986351</c:v>
                </c:pt>
                <c:pt idx="53">
                  <c:v>2.3777496836162184</c:v>
                </c:pt>
                <c:pt idx="54">
                  <c:v>2.4179181126336022</c:v>
                </c:pt>
                <c:pt idx="55">
                  <c:v>2.4580622807547909</c:v>
                </c:pt>
                <c:pt idx="56">
                  <c:v>2.4981822522937489</c:v>
                </c:pt>
                <c:pt idx="57">
                  <c:v>2.5382780913751137</c:v>
                </c:pt>
                <c:pt idx="58">
                  <c:v>2.578349861934913</c:v>
                </c:pt>
                <c:pt idx="59">
                  <c:v>2.6183976277212633</c:v>
                </c:pt>
                <c:pt idx="60">
                  <c:v>2.6584214522950802</c:v>
                </c:pt>
                <c:pt idx="61">
                  <c:v>2.6984213990307788</c:v>
                </c:pt>
                <c:pt idx="62">
                  <c:v>2.738397531116969</c:v>
                </c:pt>
                <c:pt idx="63">
                  <c:v>2.7783499115571528</c:v>
                </c:pt>
                <c:pt idx="64">
                  <c:v>2.8182786031704117</c:v>
                </c:pt>
                <c:pt idx="65">
                  <c:v>2.8581836685921038</c:v>
                </c:pt>
                <c:pt idx="66">
                  <c:v>2.8980651702745384</c:v>
                </c:pt>
                <c:pt idx="67">
                  <c:v>2.9379231704876707</c:v>
                </c:pt>
                <c:pt idx="68">
                  <c:v>2.977757731319767</c:v>
                </c:pt>
                <c:pt idx="69">
                  <c:v>3.0175689146780931</c:v>
                </c:pt>
                <c:pt idx="70">
                  <c:v>3.0573567822895829</c:v>
                </c:pt>
                <c:pt idx="71">
                  <c:v>3.0971213957015102</c:v>
                </c:pt>
                <c:pt idx="72">
                  <c:v>3.1368628162821506</c:v>
                </c:pt>
                <c:pt idx="73">
                  <c:v>3.1765811052214556</c:v>
                </c:pt>
                <c:pt idx="74">
                  <c:v>3.2162763235317033</c:v>
                </c:pt>
                <c:pt idx="75">
                  <c:v>3.2559485320481656</c:v>
                </c:pt>
                <c:pt idx="76">
                  <c:v>3.2955977914297625</c:v>
                </c:pt>
                <c:pt idx="77">
                  <c:v>3.3352241621597072</c:v>
                </c:pt>
                <c:pt idx="78">
                  <c:v>3.3748277045461679</c:v>
                </c:pt>
                <c:pt idx="79">
                  <c:v>3.4144084787229048</c:v>
                </c:pt>
                <c:pt idx="80">
                  <c:v>3.4539665446499175</c:v>
                </c:pt>
                <c:pt idx="81">
                  <c:v>3.4935019621140864</c:v>
                </c:pt>
                <c:pt idx="82">
                  <c:v>3.5330147907298137</c:v>
                </c:pt>
                <c:pt idx="83">
                  <c:v>3.5725050899396589</c:v>
                </c:pt>
                <c:pt idx="84">
                  <c:v>3.6119729190149616</c:v>
                </c:pt>
                <c:pt idx="85">
                  <c:v>3.6514183370564854</c:v>
                </c:pt>
                <c:pt idx="86">
                  <c:v>3.6908414029950389</c:v>
                </c:pt>
                <c:pt idx="87">
                  <c:v>3.7302421755920934</c:v>
                </c:pt>
                <c:pt idx="88">
                  <c:v>3.7696207134404229</c:v>
                </c:pt>
                <c:pt idx="89">
                  <c:v>3.8089770749647025</c:v>
                </c:pt>
                <c:pt idx="90">
                  <c:v>3.8483113184221365</c:v>
                </c:pt>
                <c:pt idx="91">
                  <c:v>3.8876235019030707</c:v>
                </c:pt>
                <c:pt idx="92">
                  <c:v>3.9269136833316018</c:v>
                </c:pt>
                <c:pt idx="93">
                  <c:v>3.966181920466183</c:v>
                </c:pt>
                <c:pt idx="94">
                  <c:v>4.0054282709002385</c:v>
                </c:pt>
                <c:pt idx="95">
                  <c:v>4.0446527920627533</c:v>
                </c:pt>
                <c:pt idx="96">
                  <c:v>4.0838555412188846</c:v>
                </c:pt>
                <c:pt idx="97">
                  <c:v>4.1230365754705547</c:v>
                </c:pt>
                <c:pt idx="98">
                  <c:v>4.1621959517570479</c:v>
                </c:pt>
                <c:pt idx="99">
                  <c:v>4.201333726855597</c:v>
                </c:pt>
                <c:pt idx="100">
                  <c:v>4.2404499573819878</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Dual'!$AJ$5:$AJ$105</c:f>
              <c:numCache>
                <c:formatCode>0.000</c:formatCode>
                <c:ptCount val="101"/>
                <c:pt idx="0">
                  <c:v>1.0057142857142858</c:v>
                </c:pt>
                <c:pt idx="1">
                  <c:v>1.0153642857142857</c:v>
                </c:pt>
                <c:pt idx="2">
                  <c:v>1.0307285714285714</c:v>
                </c:pt>
                <c:pt idx="3">
                  <c:v>1.0460928571428572</c:v>
                </c:pt>
                <c:pt idx="4">
                  <c:v>1.0614571428571429</c:v>
                </c:pt>
                <c:pt idx="5">
                  <c:v>1.0768214285714286</c:v>
                </c:pt>
                <c:pt idx="6">
                  <c:v>1.0921857142857143</c:v>
                </c:pt>
                <c:pt idx="7">
                  <c:v>1.10755</c:v>
                </c:pt>
                <c:pt idx="8">
                  <c:v>1.1229142857142858</c:v>
                </c:pt>
                <c:pt idx="9">
                  <c:v>1.1382785714285715</c:v>
                </c:pt>
                <c:pt idx="10">
                  <c:v>1.1536428571428572</c:v>
                </c:pt>
                <c:pt idx="11">
                  <c:v>1.1690071428571429</c:v>
                </c:pt>
                <c:pt idx="12">
                  <c:v>1.1843714285714284</c:v>
                </c:pt>
                <c:pt idx="13">
                  <c:v>1.1997357142857143</c:v>
                </c:pt>
                <c:pt idx="14">
                  <c:v>1.2</c:v>
                </c:pt>
                <c:pt idx="15">
                  <c:v>1.2179151197069147</c:v>
                </c:pt>
                <c:pt idx="16">
                  <c:v>1.2508933316163919</c:v>
                </c:pt>
                <c:pt idx="17">
                  <c:v>1.2828560962432853</c:v>
                </c:pt>
                <c:pt idx="18">
                  <c:v>1.3138918106248834</c:v>
                </c:pt>
                <c:pt idx="19">
                  <c:v>1.3440767454504514</c:v>
                </c:pt>
                <c:pt idx="20">
                  <c:v>1.3734772535600877</c:v>
                </c:pt>
                <c:pt idx="21">
                  <c:v>1.4021514867315314</c:v>
                </c:pt>
                <c:pt idx="22">
                  <c:v>1.4301507482877573</c:v>
                </c:pt>
                <c:pt idx="23">
                  <c:v>1.4575205717175737</c:v>
                </c:pt>
                <c:pt idx="24">
                  <c:v>1.4843015902349248</c:v>
                </c:pt>
                <c:pt idx="25">
                  <c:v>1.5105302447674034</c:v>
                </c:pt>
                <c:pt idx="26">
                  <c:v>1.5362393656183486</c:v>
                </c:pt>
                <c:pt idx="27">
                  <c:v>1.5614586543060458</c:v>
                </c:pt>
                <c:pt idx="28">
                  <c:v>1.58621508575245</c:v>
                </c:pt>
                <c:pt idx="29">
                  <c:v>1.6105332463462108</c:v>
                </c:pt>
                <c:pt idx="30">
                  <c:v>1.634435619950533</c:v>
                </c:pt>
                <c:pt idx="31">
                  <c:v>1.6579428313297413</c:v>
                </c:pt>
                <c:pt idx="32">
                  <c:v>1.6810738544957295</c:v>
                </c:pt>
                <c:pt idx="33">
                  <c:v>1.7038461919620849</c:v>
                </c:pt>
                <c:pt idx="34">
                  <c:v>1.7262760297220212</c:v>
                </c:pt>
                <c:pt idx="35">
                  <c:v>1.7483783718514356</c:v>
                </c:pt>
                <c:pt idx="36">
                  <c:v>1.7701671579184148</c:v>
                </c:pt>
                <c:pt idx="37">
                  <c:v>1.7916553658096119</c:v>
                </c:pt>
                <c:pt idx="38">
                  <c:v>1.8128551021280814</c:v>
                </c:pt>
                <c:pt idx="39">
                  <c:v>1.8337776819507514</c:v>
                </c:pt>
                <c:pt idx="40">
                  <c:v>1.8544336994373889</c:v>
                </c:pt>
                <c:pt idx="41">
                  <c:v>1.8748330905418351</c:v>
                </c:pt>
                <c:pt idx="42">
                  <c:v>1.8949851888790932</c:v>
                </c:pt>
                <c:pt idx="43">
                  <c:v>1.9148987756396416</c:v>
                </c:pt>
                <c:pt idx="44">
                  <c:v>1.9345821243083394</c:v>
                </c:pt>
                <c:pt idx="45">
                  <c:v>1.9540430408339586</c:v>
                </c:pt>
                <c:pt idx="46">
                  <c:v>1.9732888998025424</c:v>
                </c:pt>
                <c:pt idx="47">
                  <c:v>1.8888085833784691</c:v>
                </c:pt>
                <c:pt idx="48">
                  <c:v>1.9241897380237756</c:v>
                </c:pt>
                <c:pt idx="49">
                  <c:v>1.9595621378511108</c:v>
                </c:pt>
                <c:pt idx="50">
                  <c:v>1.9945538662540341</c:v>
                </c:pt>
                <c:pt idx="51">
                  <c:v>2.0291162926170982</c:v>
                </c:pt>
                <c:pt idx="52">
                  <c:v>2.0639746994592847</c:v>
                </c:pt>
                <c:pt idx="53">
                  <c:v>2.0989468125164685</c:v>
                </c:pt>
                <c:pt idx="54">
                  <c:v>2.1338958469387972</c:v>
                </c:pt>
                <c:pt idx="55">
                  <c:v>2.168821852350594</c:v>
                </c:pt>
                <c:pt idx="56">
                  <c:v>2.2037248782465548</c:v>
                </c:pt>
                <c:pt idx="57">
                  <c:v>2.2386049739921794</c:v>
                </c:pt>
                <c:pt idx="58">
                  <c:v>2.2734621888241944</c:v>
                </c:pt>
                <c:pt idx="59">
                  <c:v>2.3082965718509763</c:v>
                </c:pt>
                <c:pt idx="60">
                  <c:v>2.3431081720529718</c:v>
                </c:pt>
                <c:pt idx="61">
                  <c:v>2.3778970382831193</c:v>
                </c:pt>
                <c:pt idx="62">
                  <c:v>2.4126632192672641</c:v>
                </c:pt>
                <c:pt idx="63">
                  <c:v>2.4474067636045795</c:v>
                </c:pt>
                <c:pt idx="64">
                  <c:v>2.4821277197679752</c:v>
                </c:pt>
                <c:pt idx="65">
                  <c:v>2.5168261361045179</c:v>
                </c:pt>
                <c:pt idx="66">
                  <c:v>2.5515020608358343</c:v>
                </c:pt>
                <c:pt idx="67">
                  <c:v>2.5861555420585303</c:v>
                </c:pt>
                <c:pt idx="68">
                  <c:v>2.6207866277445904</c:v>
                </c:pt>
                <c:pt idx="69">
                  <c:v>2.6553953657417892</c:v>
                </c:pt>
                <c:pt idx="70">
                  <c:v>2.6899818037740975</c:v>
                </c:pt>
                <c:pt idx="71">
                  <c:v>2.7245459894420847</c:v>
                </c:pt>
                <c:pt idx="72">
                  <c:v>2.759087970223316</c:v>
                </c:pt>
                <c:pt idx="73">
                  <c:v>2.7936077934727597</c:v>
                </c:pt>
                <c:pt idx="74">
                  <c:v>2.8281055064231824</c:v>
                </c:pt>
                <c:pt idx="75">
                  <c:v>2.8625811561855476</c:v>
                </c:pt>
                <c:pt idx="76">
                  <c:v>2.8970347897494104</c:v>
                </c:pt>
                <c:pt idx="77">
                  <c:v>2.9314664539833117</c:v>
                </c:pt>
                <c:pt idx="78">
                  <c:v>2.9658761956351705</c:v>
                </c:pt>
                <c:pt idx="79">
                  <c:v>3.0002640613326781</c:v>
                </c:pt>
                <c:pt idx="80">
                  <c:v>3.0346300975836833</c:v>
                </c:pt>
                <c:pt idx="81">
                  <c:v>3.0689743507765819</c:v>
                </c:pt>
                <c:pt idx="82">
                  <c:v>3.1032968671807049</c:v>
                </c:pt>
                <c:pt idx="83">
                  <c:v>3.1375976929467027</c:v>
                </c:pt>
                <c:pt idx="84">
                  <c:v>3.1718768741069274</c:v>
                </c:pt>
                <c:pt idx="85">
                  <c:v>3.2061344565758159</c:v>
                </c:pt>
                <c:pt idx="86">
                  <c:v>3.2403704861502716</c:v>
                </c:pt>
                <c:pt idx="87">
                  <c:v>3.2745850085100408</c:v>
                </c:pt>
                <c:pt idx="88">
                  <c:v>3.3087780692180946</c:v>
                </c:pt>
                <c:pt idx="89">
                  <c:v>3.3429497137209996</c:v>
                </c:pt>
                <c:pt idx="90">
                  <c:v>3.377099987349296</c:v>
                </c:pt>
                <c:pt idx="91">
                  <c:v>3.4112289353178724</c:v>
                </c:pt>
                <c:pt idx="92">
                  <c:v>3.445336602726333</c:v>
                </c:pt>
                <c:pt idx="93">
                  <c:v>3.4794230345593737</c:v>
                </c:pt>
                <c:pt idx="94">
                  <c:v>3.5134882756871448</c:v>
                </c:pt>
                <c:pt idx="95">
                  <c:v>3.5475323708656266</c:v>
                </c:pt>
                <c:pt idx="96">
                  <c:v>3.5815553647369871</c:v>
                </c:pt>
                <c:pt idx="97">
                  <c:v>3.6155573018299512</c:v>
                </c:pt>
                <c:pt idx="98">
                  <c:v>3.6495382265601632</c:v>
                </c:pt>
                <c:pt idx="99">
                  <c:v>3.6834981832305536</c:v>
                </c:pt>
                <c:pt idx="100">
                  <c:v>3.7174372160316871</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1.0153443651677789</c:v>
                </c:pt>
                <c:pt idx="2">
                  <c:v>1.0306887303355576</c:v>
                </c:pt>
                <c:pt idx="3">
                  <c:v>1.0460330955033366</c:v>
                </c:pt>
                <c:pt idx="4">
                  <c:v>1.0613774606711155</c:v>
                </c:pt>
                <c:pt idx="5">
                  <c:v>1.0767218258388942</c:v>
                </c:pt>
                <c:pt idx="6">
                  <c:v>1.0920661910066731</c:v>
                </c:pt>
                <c:pt idx="7">
                  <c:v>1.1074105561744521</c:v>
                </c:pt>
                <c:pt idx="8">
                  <c:v>1.1227549213422308</c:v>
                </c:pt>
                <c:pt idx="9">
                  <c:v>1.1380992865100097</c:v>
                </c:pt>
                <c:pt idx="10">
                  <c:v>1.1534436516777886</c:v>
                </c:pt>
                <c:pt idx="11">
                  <c:v>1.1687880168455673</c:v>
                </c:pt>
                <c:pt idx="12">
                  <c:v>1.1841323820133463</c:v>
                </c:pt>
                <c:pt idx="13">
                  <c:v>1.1994767471811252</c:v>
                </c:pt>
                <c:pt idx="14">
                  <c:v>1.2</c:v>
                </c:pt>
                <c:pt idx="15">
                  <c:v>1.2179151197069147</c:v>
                </c:pt>
                <c:pt idx="16">
                  <c:v>1.2508933316163919</c:v>
                </c:pt>
                <c:pt idx="17">
                  <c:v>1.2828560962432853</c:v>
                </c:pt>
                <c:pt idx="18">
                  <c:v>1.3138918106248834</c:v>
                </c:pt>
                <c:pt idx="19">
                  <c:v>1.3440767454504514</c:v>
                </c:pt>
                <c:pt idx="20">
                  <c:v>1.3734772535600877</c:v>
                </c:pt>
                <c:pt idx="21">
                  <c:v>1.4021514867315314</c:v>
                </c:pt>
                <c:pt idx="22">
                  <c:v>1.4301507482877573</c:v>
                </c:pt>
                <c:pt idx="23">
                  <c:v>1.4575205717175737</c:v>
                </c:pt>
                <c:pt idx="24">
                  <c:v>1.4843015902349248</c:v>
                </c:pt>
                <c:pt idx="25">
                  <c:v>1.5105302447674034</c:v>
                </c:pt>
                <c:pt idx="26">
                  <c:v>1.5362393656183486</c:v>
                </c:pt>
                <c:pt idx="27">
                  <c:v>1.5614586543060458</c:v>
                </c:pt>
                <c:pt idx="28">
                  <c:v>1.58621508575245</c:v>
                </c:pt>
                <c:pt idx="29">
                  <c:v>1.6105332463462108</c:v>
                </c:pt>
                <c:pt idx="30">
                  <c:v>1.634435619950533</c:v>
                </c:pt>
                <c:pt idx="31">
                  <c:v>1.6579428313297413</c:v>
                </c:pt>
                <c:pt idx="32">
                  <c:v>1.6810738544957295</c:v>
                </c:pt>
                <c:pt idx="33">
                  <c:v>1.7038461919620849</c:v>
                </c:pt>
                <c:pt idx="34">
                  <c:v>1.7262760297220212</c:v>
                </c:pt>
                <c:pt idx="35">
                  <c:v>1.7483783718514356</c:v>
                </c:pt>
                <c:pt idx="36">
                  <c:v>1.7701671579184148</c:v>
                </c:pt>
                <c:pt idx="37">
                  <c:v>1.7916553658096119</c:v>
                </c:pt>
                <c:pt idx="38">
                  <c:v>1.8128551021280814</c:v>
                </c:pt>
                <c:pt idx="39">
                  <c:v>1.8337776819507514</c:v>
                </c:pt>
                <c:pt idx="40">
                  <c:v>1.8544336994373889</c:v>
                </c:pt>
                <c:pt idx="41">
                  <c:v>1.8748330905418351</c:v>
                </c:pt>
                <c:pt idx="42">
                  <c:v>1.8949851888790932</c:v>
                </c:pt>
                <c:pt idx="43">
                  <c:v>1.9148987756396416</c:v>
                </c:pt>
                <c:pt idx="44">
                  <c:v>1.9345821243083394</c:v>
                </c:pt>
                <c:pt idx="45">
                  <c:v>1.9540430408339586</c:v>
                </c:pt>
                <c:pt idx="46">
                  <c:v>1.9732888998025424</c:v>
                </c:pt>
                <c:pt idx="47">
                  <c:v>1.9923266770900043</c:v>
                </c:pt>
                <c:pt idx="48">
                  <c:v>2.0111629794039456</c:v>
                </c:pt>
                <c:pt idx="49">
                  <c:v>2.0298040710694263</c:v>
                </c:pt>
                <c:pt idx="50">
                  <c:v>2.0482558983665755</c:v>
                </c:pt>
                <c:pt idx="51">
                  <c:v>2.0665241116880901</c:v>
                </c:pt>
                <c:pt idx="52">
                  <c:v>2.0846140857506712</c:v>
                </c:pt>
                <c:pt idx="53">
                  <c:v>2.1025309380652919</c:v>
                </c:pt>
                <c:pt idx="54">
                  <c:v>2.1202795458462145</c:v>
                </c:pt>
                <c:pt idx="55">
                  <c:v>2.1378645615170657</c:v>
                </c:pt>
                <c:pt idx="56">
                  <c:v>2.155290426953679</c:v>
                </c:pt>
                <c:pt idx="57">
                  <c:v>2.1725613865872537</c:v>
                </c:pt>
                <c:pt idx="58">
                  <c:v>2.1896814994773424</c:v>
                </c:pt>
                <c:pt idx="59">
                  <c:v>2.2066546504519691</c:v>
                </c:pt>
                <c:pt idx="60">
                  <c:v>2.2234845604014839</c:v>
                </c:pt>
                <c:pt idx="61">
                  <c:v>2.0610289767585055</c:v>
                </c:pt>
                <c:pt idx="62">
                  <c:v>2.0909677681391479</c:v>
                </c:pt>
                <c:pt idx="63">
                  <c:v>2.1203467168482786</c:v>
                </c:pt>
                <c:pt idx="64">
                  <c:v>2.149684607425705</c:v>
                </c:pt>
                <c:pt idx="65">
                  <c:v>2.1789806599045969</c:v>
                </c:pt>
                <c:pt idx="66">
                  <c:v>2.2082340745043396</c:v>
                </c:pt>
                <c:pt idx="67">
                  <c:v>2.2374440309963504</c:v>
                </c:pt>
                <c:pt idx="68">
                  <c:v>2.2666096880454463</c:v>
                </c:pt>
                <c:pt idx="69">
                  <c:v>2.2957301825256762</c:v>
                </c:pt>
                <c:pt idx="70">
                  <c:v>2.3248046288094306</c:v>
                </c:pt>
                <c:pt idx="71">
                  <c:v>2.3540808169578336</c:v>
                </c:pt>
                <c:pt idx="72">
                  <c:v>2.3834851752479782</c:v>
                </c:pt>
                <c:pt idx="73">
                  <c:v>2.4128692902018689</c:v>
                </c:pt>
                <c:pt idx="74">
                  <c:v>2.4422331970223841</c:v>
                </c:pt>
                <c:pt idx="75">
                  <c:v>2.4715769308339235</c:v>
                </c:pt>
                <c:pt idx="76">
                  <c:v>2.5009005266826181</c:v>
                </c:pt>
                <c:pt idx="77">
                  <c:v>2.5302040195365567</c:v>
                </c:pt>
                <c:pt idx="78">
                  <c:v>2.5594874442859981</c:v>
                </c:pt>
                <c:pt idx="79">
                  <c:v>2.5887508357435927</c:v>
                </c:pt>
                <c:pt idx="80">
                  <c:v>2.6179942286445925</c:v>
                </c:pt>
                <c:pt idx="81">
                  <c:v>2.6472176576470723</c:v>
                </c:pt>
                <c:pt idx="82">
                  <c:v>2.6764211573321415</c:v>
                </c:pt>
                <c:pt idx="83">
                  <c:v>2.7056047622041595</c:v>
                </c:pt>
                <c:pt idx="84">
                  <c:v>2.7347685066909495</c:v>
                </c:pt>
                <c:pt idx="85">
                  <c:v>2.7639124251440048</c:v>
                </c:pt>
                <c:pt idx="86">
                  <c:v>2.7930365518387119</c:v>
                </c:pt>
                <c:pt idx="87">
                  <c:v>2.8221409209745518</c:v>
                </c:pt>
                <c:pt idx="88">
                  <c:v>2.8512255666753177</c:v>
                </c:pt>
                <c:pt idx="89">
                  <c:v>2.8802905229893163</c:v>
                </c:pt>
                <c:pt idx="90">
                  <c:v>2.9093358238895854</c:v>
                </c:pt>
                <c:pt idx="91">
                  <c:v>2.9383615032740993</c:v>
                </c:pt>
                <c:pt idx="92">
                  <c:v>2.9673675949659737</c:v>
                </c:pt>
                <c:pt idx="93">
                  <c:v>2.9963541327136776</c:v>
                </c:pt>
                <c:pt idx="94">
                  <c:v>3.0253211501912345</c:v>
                </c:pt>
                <c:pt idx="95">
                  <c:v>3.0542686809984314</c:v>
                </c:pt>
                <c:pt idx="96">
                  <c:v>3.0831967586610247</c:v>
                </c:pt>
                <c:pt idx="97">
                  <c:v>3.1121054166309392</c:v>
                </c:pt>
                <c:pt idx="98">
                  <c:v>3.1409946882864785</c:v>
                </c:pt>
                <c:pt idx="99">
                  <c:v>3.1698646069325225</c:v>
                </c:pt>
                <c:pt idx="100">
                  <c:v>3.1987152058007329</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87.482497579708465</c:v>
                </c:pt>
                <c:pt idx="1">
                  <c:v>86.694975927963952</c:v>
                </c:pt>
                <c:pt idx="2">
                  <c:v>85.905441078722333</c:v>
                </c:pt>
                <c:pt idx="3">
                  <c:v>85.114206406687174</c:v>
                </c:pt>
                <c:pt idx="4">
                  <c:v>84.322053438831759</c:v>
                </c:pt>
                <c:pt idx="5">
                  <c:v>83.527883882425783</c:v>
                </c:pt>
                <c:pt idx="6">
                  <c:v>82.733009106303328</c:v>
                </c:pt>
                <c:pt idx="7">
                  <c:v>81.937060085278546</c:v>
                </c:pt>
                <c:pt idx="8">
                  <c:v>81.140746539626591</c:v>
                </c:pt>
                <c:pt idx="9">
                  <c:v>80.343573904441072</c:v>
                </c:pt>
                <c:pt idx="10">
                  <c:v>79.546090946491844</c:v>
                </c:pt>
                <c:pt idx="11">
                  <c:v>78.748259971096175</c:v>
                </c:pt>
                <c:pt idx="12">
                  <c:v>77.949721932024431</c:v>
                </c:pt>
                <c:pt idx="13">
                  <c:v>77.151296865436706</c:v>
                </c:pt>
                <c:pt idx="14">
                  <c:v>76.352391720439755</c:v>
                </c:pt>
                <c:pt idx="15">
                  <c:v>75.553350616225913</c:v>
                </c:pt>
                <c:pt idx="16">
                  <c:v>74.754139923966548</c:v>
                </c:pt>
                <c:pt idx="17">
                  <c:v>73.954898856146215</c:v>
                </c:pt>
                <c:pt idx="18">
                  <c:v>73.155416374728659</c:v>
                </c:pt>
                <c:pt idx="19">
                  <c:v>72.355924489261994</c:v>
                </c:pt>
                <c:pt idx="20">
                  <c:v>71.556277663873743</c:v>
                </c:pt>
                <c:pt idx="21">
                  <c:v>70.756650085497668</c:v>
                </c:pt>
                <c:pt idx="22">
                  <c:v>69.956879766386621</c:v>
                </c:pt>
                <c:pt idx="23">
                  <c:v>69.157171612561811</c:v>
                </c:pt>
                <c:pt idx="24">
                  <c:v>68.357327685592907</c:v>
                </c:pt>
                <c:pt idx="25">
                  <c:v>67.557476252772489</c:v>
                </c:pt>
                <c:pt idx="26">
                  <c:v>66.757434550079992</c:v>
                </c:pt>
                <c:pt idx="27">
                  <c:v>65.957460213969426</c:v>
                </c:pt>
                <c:pt idx="28">
                  <c:v>65.157524616927006</c:v>
                </c:pt>
                <c:pt idx="29">
                  <c:v>64.358126875329162</c:v>
                </c:pt>
                <c:pt idx="30">
                  <c:v>63.557917310253352</c:v>
                </c:pt>
                <c:pt idx="31">
                  <c:v>62.75801617279371</c:v>
                </c:pt>
                <c:pt idx="32">
                  <c:v>61.957883052154742</c:v>
                </c:pt>
                <c:pt idx="33">
                  <c:v>61.158090453693333</c:v>
                </c:pt>
                <c:pt idx="34">
                  <c:v>60.358024207026304</c:v>
                </c:pt>
                <c:pt idx="35">
                  <c:v>59.558137481453755</c:v>
                </c:pt>
                <c:pt idx="36">
                  <c:v>58.758310989330546</c:v>
                </c:pt>
                <c:pt idx="37">
                  <c:v>57.958117444021852</c:v>
                </c:pt>
                <c:pt idx="38">
                  <c:v>57.158322506401056</c:v>
                </c:pt>
                <c:pt idx="39">
                  <c:v>56.358285571057394</c:v>
                </c:pt>
                <c:pt idx="40">
                  <c:v>55.558312937267573</c:v>
                </c:pt>
                <c:pt idx="41">
                  <c:v>54.758339299547529</c:v>
                </c:pt>
                <c:pt idx="42">
                  <c:v>53.958478073263755</c:v>
                </c:pt>
                <c:pt idx="43">
                  <c:v>53.158496997817664</c:v>
                </c:pt>
                <c:pt idx="44">
                  <c:v>52.358611301873779</c:v>
                </c:pt>
                <c:pt idx="45">
                  <c:v>51.558661993864135</c:v>
                </c:pt>
                <c:pt idx="46">
                  <c:v>50.758813047347864</c:v>
                </c:pt>
                <c:pt idx="47">
                  <c:v>49.958894905912523</c:v>
                </c:pt>
                <c:pt idx="48">
                  <c:v>49.159107487480178</c:v>
                </c:pt>
                <c:pt idx="49">
                  <c:v>48.359250138420478</c:v>
                </c:pt>
                <c:pt idx="50">
                  <c:v>47.559450681302096</c:v>
                </c:pt>
                <c:pt idx="51">
                  <c:v>46.75952814865488</c:v>
                </c:pt>
                <c:pt idx="52">
                  <c:v>45.959744198783412</c:v>
                </c:pt>
                <c:pt idx="53">
                  <c:v>45.160076661610859</c:v>
                </c:pt>
                <c:pt idx="54">
                  <c:v>44.361033493401052</c:v>
                </c:pt>
                <c:pt idx="55">
                  <c:v>43.561277706789454</c:v>
                </c:pt>
                <c:pt idx="56">
                  <c:v>42.761944409870331</c:v>
                </c:pt>
                <c:pt idx="57">
                  <c:v>41.962512839698135</c:v>
                </c:pt>
                <c:pt idx="58">
                  <c:v>41.163578760018197</c:v>
                </c:pt>
                <c:pt idx="59">
                  <c:v>40.364557757462052</c:v>
                </c:pt>
                <c:pt idx="60">
                  <c:v>39.565937847860212</c:v>
                </c:pt>
                <c:pt idx="61">
                  <c:v>38.767642708907502</c:v>
                </c:pt>
                <c:pt idx="62">
                  <c:v>37.96929784527569</c:v>
                </c:pt>
                <c:pt idx="63">
                  <c:v>37.171729550857528</c:v>
                </c:pt>
                <c:pt idx="64">
                  <c:v>36.374374026647452</c:v>
                </c:pt>
                <c:pt idx="65">
                  <c:v>35.577626989514037</c:v>
                </c:pt>
                <c:pt idx="66">
                  <c:v>34.781531736823304</c:v>
                </c:pt>
                <c:pt idx="67">
                  <c:v>33.986330978667119</c:v>
                </c:pt>
                <c:pt idx="68">
                  <c:v>33.191949590727752</c:v>
                </c:pt>
                <c:pt idx="69">
                  <c:v>32.398787775613144</c:v>
                </c:pt>
                <c:pt idx="70">
                  <c:v>31.606910757787471</c:v>
                </c:pt>
                <c:pt idx="71">
                  <c:v>30.81674695438408</c:v>
                </c:pt>
                <c:pt idx="72">
                  <c:v>30.028446218360145</c:v>
                </c:pt>
                <c:pt idx="73">
                  <c:v>29.242583139877766</c:v>
                </c:pt>
                <c:pt idx="74">
                  <c:v>28.459409144301876</c:v>
                </c:pt>
                <c:pt idx="75">
                  <c:v>27.679581332742707</c:v>
                </c:pt>
                <c:pt idx="76">
                  <c:v>26.903552348468654</c:v>
                </c:pt>
                <c:pt idx="77">
                  <c:v>26.132316134281027</c:v>
                </c:pt>
                <c:pt idx="78">
                  <c:v>25.366716886621955</c:v>
                </c:pt>
                <c:pt idx="79">
                  <c:v>24.608244331951035</c:v>
                </c:pt>
                <c:pt idx="80">
                  <c:v>23.856804553055134</c:v>
                </c:pt>
                <c:pt idx="81">
                  <c:v>23.114820215508288</c:v>
                </c:pt>
                <c:pt idx="82">
                  <c:v>22.383347034193758</c:v>
                </c:pt>
                <c:pt idx="83">
                  <c:v>21.664667225898732</c:v>
                </c:pt>
                <c:pt idx="84">
                  <c:v>20.960195595705656</c:v>
                </c:pt>
                <c:pt idx="85">
                  <c:v>20.272500903493388</c:v>
                </c:pt>
                <c:pt idx="86">
                  <c:v>19.603819105709025</c:v>
                </c:pt>
                <c:pt idx="87">
                  <c:v>18.9562945166705</c:v>
                </c:pt>
                <c:pt idx="88">
                  <c:v>18.333122475253386</c:v>
                </c:pt>
                <c:pt idx="89">
                  <c:v>17.7363874390077</c:v>
                </c:pt>
                <c:pt idx="90">
                  <c:v>17.168836527366793</c:v>
                </c:pt>
                <c:pt idx="91">
                  <c:v>16.632741017006104</c:v>
                </c:pt>
                <c:pt idx="92">
                  <c:v>16.130186773420444</c:v>
                </c:pt>
                <c:pt idx="93">
                  <c:v>15.662628915143982</c:v>
                </c:pt>
                <c:pt idx="94">
                  <c:v>15.551405681247443</c:v>
                </c:pt>
                <c:pt idx="95">
                  <c:v>15.496308537069996</c:v>
                </c:pt>
                <c:pt idx="96">
                  <c:v>15.442408820560452</c:v>
                </c:pt>
                <c:pt idx="97">
                  <c:v>15.388465174213717</c:v>
                </c:pt>
                <c:pt idx="98">
                  <c:v>15.335707530321763</c:v>
                </c:pt>
                <c:pt idx="99">
                  <c:v>15.282907493616912</c:v>
                </c:pt>
                <c:pt idx="100">
                  <c:v>15.231281984866801</c:v>
                </c:pt>
                <c:pt idx="101">
                  <c:v>15.179655460874528</c:v>
                </c:pt>
                <c:pt idx="102">
                  <c:v>15.129190139408262</c:v>
                </c:pt>
                <c:pt idx="103">
                  <c:v>15.078688826382285</c:v>
                </c:pt>
                <c:pt idx="104">
                  <c:v>15.029336980656673</c:v>
                </c:pt>
                <c:pt idx="105">
                  <c:v>14.979990060821224</c:v>
                </c:pt>
                <c:pt idx="106">
                  <c:v>14.931778977264292</c:v>
                </c:pt>
                <c:pt idx="107">
                  <c:v>14.883610073313768</c:v>
                </c:pt>
                <c:pt idx="108">
                  <c:v>14.836561629028999</c:v>
                </c:pt>
                <c:pt idx="109">
                  <c:v>14.78955749154286</c:v>
                </c:pt>
                <c:pt idx="110">
                  <c:v>14.743658323959847</c:v>
                </c:pt>
                <c:pt idx="111">
                  <c:v>14.697776518538115</c:v>
                </c:pt>
                <c:pt idx="112">
                  <c:v>14.65298544951972</c:v>
                </c:pt>
                <c:pt idx="113">
                  <c:v>14.608247382046066</c:v>
                </c:pt>
                <c:pt idx="114">
                  <c:v>14.564584071682429</c:v>
                </c:pt>
                <c:pt idx="115">
                  <c:v>14.520978510559031</c:v>
                </c:pt>
                <c:pt idx="116">
                  <c:v>14.47843146768518</c:v>
                </c:pt>
                <c:pt idx="117">
                  <c:v>14.435947494145189</c:v>
                </c:pt>
                <c:pt idx="118">
                  <c:v>14.394505507407036</c:v>
                </c:pt>
                <c:pt idx="119">
                  <c:v>14.353157101697962</c:v>
                </c:pt>
                <c:pt idx="120">
                  <c:v>14.312832610920065</c:v>
                </c:pt>
                <c:pt idx="121">
                  <c:v>14.272605328553283</c:v>
                </c:pt>
                <c:pt idx="122">
                  <c:v>14.233383689596826</c:v>
                </c:pt>
                <c:pt idx="123">
                  <c:v>14.194240849229971</c:v>
                </c:pt>
                <c:pt idx="124">
                  <c:v>14.156086289371819</c:v>
                </c:pt>
                <c:pt idx="125">
                  <c:v>14.11803820717568</c:v>
                </c:pt>
                <c:pt idx="126">
                  <c:v>14.080959606348911</c:v>
                </c:pt>
                <c:pt idx="127">
                  <c:v>14.043991745029086</c:v>
                </c:pt>
                <c:pt idx="128">
                  <c:v>14.007974336891717</c:v>
                </c:pt>
                <c:pt idx="129">
                  <c:v>13.972071966750818</c:v>
                </c:pt>
                <c:pt idx="130">
                  <c:v>13.937100793762937</c:v>
                </c:pt>
                <c:pt idx="131">
                  <c:v>13.902248913612773</c:v>
                </c:pt>
                <c:pt idx="132">
                  <c:v>13.885166780265124</c:v>
                </c:pt>
                <c:pt idx="133">
                  <c:v>13.868308753249492</c:v>
                </c:pt>
                <c:pt idx="134">
                  <c:v>13.851278248207812</c:v>
                </c:pt>
                <c:pt idx="135">
                  <c:v>13.83447480112385</c:v>
                </c:pt>
                <c:pt idx="136">
                  <c:v>13.817894569288127</c:v>
                </c:pt>
                <c:pt idx="137">
                  <c:v>13.801533787076588</c:v>
                </c:pt>
                <c:pt idx="138">
                  <c:v>13.785024686946855</c:v>
                </c:pt>
                <c:pt idx="139">
                  <c:v>13.768737386922593</c:v>
                </c:pt>
                <c:pt idx="140">
                  <c:v>13.752668097779541</c:v>
                </c:pt>
                <c:pt idx="141">
                  <c:v>13.736813107071235</c:v>
                </c:pt>
                <c:pt idx="142">
                  <c:v>13.720800324418679</c:v>
                </c:pt>
                <c:pt idx="143">
                  <c:v>13.705004489590218</c:v>
                </c:pt>
                <c:pt idx="144">
                  <c:v>13.689421858227815</c:v>
                </c:pt>
                <c:pt idx="145">
                  <c:v>13.674048762671895</c:v>
                </c:pt>
                <c:pt idx="146">
                  <c:v>13.658532688641793</c:v>
                </c:pt>
                <c:pt idx="147">
                  <c:v>13.643228440401707</c:v>
                </c:pt>
                <c:pt idx="148">
                  <c:v>13.628132327158342</c:v>
                </c:pt>
                <c:pt idx="149">
                  <c:v>13.613240734495438</c:v>
                </c:pt>
                <c:pt idx="150">
                  <c:v>13.598212804635644</c:v>
                </c:pt>
                <c:pt idx="151">
                  <c:v>13.583391544881653</c:v>
                </c:pt>
                <c:pt idx="152">
                  <c:v>13.568773320806244</c:v>
                </c:pt>
                <c:pt idx="153">
                  <c:v>13.55435457395016</c:v>
                </c:pt>
                <c:pt idx="154">
                  <c:v>13.539799342729552</c:v>
                </c:pt>
                <c:pt idx="155">
                  <c:v>13.525445783138315</c:v>
                </c:pt>
                <c:pt idx="156">
                  <c:v>13.511290314943782</c:v>
                </c:pt>
                <c:pt idx="157">
                  <c:v>13.497329433520285</c:v>
                </c:pt>
                <c:pt idx="158">
                  <c:v>13.483238950607594</c:v>
                </c:pt>
                <c:pt idx="159">
                  <c:v>13.469345097831329</c:v>
                </c:pt>
                <c:pt idx="160">
                  <c:v>13.455644352274316</c:v>
                </c:pt>
                <c:pt idx="161">
                  <c:v>13.442133266164038</c:v>
                </c:pt>
                <c:pt idx="162">
                  <c:v>13.428505200263901</c:v>
                </c:pt>
                <c:pt idx="163">
                  <c:v>13.415068522835005</c:v>
                </c:pt>
                <c:pt idx="164">
                  <c:v>13.401819775752262</c:v>
                </c:pt>
                <c:pt idx="165">
                  <c:v>13.388755575342399</c:v>
                </c:pt>
                <c:pt idx="166">
                  <c:v>13.375569125755224</c:v>
                </c:pt>
                <c:pt idx="167">
                  <c:v>13.362569138510016</c:v>
                </c:pt>
                <c:pt idx="168">
                  <c:v>13.349752213914197</c:v>
                </c:pt>
                <c:pt idx="169">
                  <c:v>13.337115026195947</c:v>
                </c:pt>
                <c:pt idx="170">
                  <c:v>13.324388835158867</c:v>
                </c:pt>
                <c:pt idx="171">
                  <c:v>13.311843391206523</c:v>
                </c:pt>
                <c:pt idx="172">
                  <c:v>13.299475376887724</c:v>
                </c:pt>
                <c:pt idx="173">
                  <c:v>13.287281547426719</c:v>
                </c:pt>
                <c:pt idx="174">
                  <c:v>13.274957815336473</c:v>
                </c:pt>
                <c:pt idx="175">
                  <c:v>13.262810480815158</c:v>
                </c:pt>
                <c:pt idx="176">
                  <c:v>13.250836273447417</c:v>
                </c:pt>
                <c:pt idx="177">
                  <c:v>13.239031995249125</c:v>
                </c:pt>
                <c:pt idx="178">
                  <c:v>13.227110426494498</c:v>
                </c:pt>
                <c:pt idx="179">
                  <c:v>13.215360675077692</c:v>
                </c:pt>
                <c:pt idx="180">
                  <c:v>13.203779525881112</c:v>
                </c:pt>
                <c:pt idx="181">
                  <c:v>13.192363835715121</c:v>
                </c:pt>
                <c:pt idx="182">
                  <c:v>13.180887100963288</c:v>
                </c:pt>
                <c:pt idx="183">
                  <c:v>13.169576124692915</c:v>
                </c:pt>
                <c:pt idx="184">
                  <c:v>13.158427790809428</c:v>
                </c:pt>
                <c:pt idx="185">
                  <c:v>13.147439053310928</c:v>
                </c:pt>
                <c:pt idx="186">
                  <c:v>13.136311762967578</c:v>
                </c:pt>
                <c:pt idx="187">
                  <c:v>13.125346651650325</c:v>
                </c:pt>
                <c:pt idx="188">
                  <c:v>13.114540634863959</c:v>
                </c:pt>
                <c:pt idx="189">
                  <c:v>13.103890698361219</c:v>
                </c:pt>
                <c:pt idx="190">
                  <c:v>13.093195045787972</c:v>
                </c:pt>
                <c:pt idx="191">
                  <c:v>13.08265538187583</c:v>
                </c:pt>
                <c:pt idx="192">
                  <c:v>13.072268729956605</c:v>
                </c:pt>
                <c:pt idx="193">
                  <c:v>13.062032181432864</c:v>
                </c:pt>
                <c:pt idx="194">
                  <c:v>13.051680336442903</c:v>
                </c:pt>
                <c:pt idx="195">
                  <c:v>13.041480574426531</c:v>
                </c:pt>
                <c:pt idx="196">
                  <c:v>13.031429963849185</c:v>
                </c:pt>
                <c:pt idx="197">
                  <c:v>13.02152564094148</c:v>
                </c:pt>
                <c:pt idx="198">
                  <c:v>13.011552651745934</c:v>
                </c:pt>
                <c:pt idx="199">
                  <c:v>13.001726589247376</c:v>
                </c:pt>
                <c:pt idx="200">
                  <c:v>12.992044605115156</c:v>
                </c:pt>
                <c:pt idx="201">
                  <c:v>12.98250391728155</c:v>
                </c:pt>
                <c:pt idx="202">
                  <c:v>12.972901831289116</c:v>
                </c:pt>
                <c:pt idx="203">
                  <c:v>12.963441498462023</c:v>
                </c:pt>
                <c:pt idx="204">
                  <c:v>12.954120156734119</c:v>
                </c:pt>
                <c:pt idx="205">
                  <c:v>12.944935108664042</c:v>
                </c:pt>
                <c:pt idx="206">
                  <c:v>12.935663836015577</c:v>
                </c:pt>
                <c:pt idx="207">
                  <c:v>12.92653007930825</c:v>
                </c:pt>
                <c:pt idx="208">
                  <c:v>12.917531137834926</c:v>
                </c:pt>
                <c:pt idx="209">
                  <c:v>12.908664374613601</c:v>
                </c:pt>
                <c:pt idx="210">
                  <c:v>12.89969045104084</c:v>
                </c:pt>
                <c:pt idx="211">
                  <c:v>12.890850579436696</c:v>
                </c:pt>
                <c:pt idx="212">
                  <c:v>12.882142099571096</c:v>
                </c:pt>
                <c:pt idx="213">
                  <c:v>12.873562414672474</c:v>
                </c:pt>
                <c:pt idx="214">
                  <c:v>12.864941749307775</c:v>
                </c:pt>
                <c:pt idx="215">
                  <c:v>12.85644980239481</c:v>
                </c:pt>
                <c:pt idx="216">
                  <c:v>12.848084011599362</c:v>
                </c:pt>
                <c:pt idx="217">
                  <c:v>12.839841875929064</c:v>
                </c:pt>
                <c:pt idx="218">
                  <c:v>12.831537181002471</c:v>
                </c:pt>
                <c:pt idx="219">
                  <c:v>12.823356741290972</c:v>
                </c:pt>
                <c:pt idx="220">
                  <c:v>12.815298068987333</c:v>
                </c:pt>
                <c:pt idx="221">
                  <c:v>12.807358736209807</c:v>
                </c:pt>
                <c:pt idx="222">
                  <c:v>12.799363304434927</c:v>
                </c:pt>
                <c:pt idx="223">
                  <c:v>12.7914876455936</c:v>
                </c:pt>
                <c:pt idx="224">
                  <c:v>12.783729349239277</c:v>
                </c:pt>
                <c:pt idx="225">
                  <c:v>12.776086063305531</c:v>
                </c:pt>
                <c:pt idx="226">
                  <c:v>12.768369234809246</c:v>
                </c:pt>
                <c:pt idx="227">
                  <c:v>12.760768398674283</c:v>
                </c:pt>
                <c:pt idx="228">
                  <c:v>12.753281202824805</c:v>
                </c:pt>
                <c:pt idx="229">
                  <c:v>12.74590535259655</c:v>
                </c:pt>
                <c:pt idx="230">
                  <c:v>12.731133278681945</c:v>
                </c:pt>
                <c:pt idx="231">
                  <c:v>12.723913147843664</c:v>
                </c:pt>
                <c:pt idx="232">
                  <c:v>12.716800624904781</c:v>
                </c:pt>
                <c:pt idx="233">
                  <c:v>12.709628454527842</c:v>
                </c:pt>
                <c:pt idx="234">
                  <c:v>12.702564499194423</c:v>
                </c:pt>
                <c:pt idx="235">
                  <c:v>12.695606535890816</c:v>
                </c:pt>
                <c:pt idx="236">
                  <c:v>12.688752396583942</c:v>
                </c:pt>
                <c:pt idx="237">
                  <c:v>12.681863999112577</c:v>
                </c:pt>
                <c:pt idx="238">
                  <c:v>12.675079290023312</c:v>
                </c:pt>
                <c:pt idx="239">
                  <c:v>12.66839613350345</c:v>
                </c:pt>
                <c:pt idx="240">
                  <c:v>12.661812446706445</c:v>
                </c:pt>
                <c:pt idx="241">
                  <c:v>12.655161616499065</c:v>
                </c:pt>
                <c:pt idx="242">
                  <c:v>12.648611134457898</c:v>
                </c:pt>
                <c:pt idx="243">
                  <c:v>12.642158917501924</c:v>
                </c:pt>
                <c:pt idx="244">
                  <c:v>12.635802934602438</c:v>
                </c:pt>
                <c:pt idx="245">
                  <c:v>12.629403493846173</c:v>
                </c:pt>
                <c:pt idx="246">
                  <c:v>12.623100468424424</c:v>
                </c:pt>
                <c:pt idx="247">
                  <c:v>12.616891848161089</c:v>
                </c:pt>
                <c:pt idx="248">
                  <c:v>12.61077567331747</c:v>
                </c:pt>
                <c:pt idx="249">
                  <c:v>12.604604181483321</c:v>
                </c:pt>
                <c:pt idx="250">
                  <c:v>12.598525692331</c:v>
                </c:pt>
                <c:pt idx="251">
                  <c:v>12.592538254291654</c:v>
                </c:pt>
                <c:pt idx="252">
                  <c:v>12.586639965061746</c:v>
                </c:pt>
                <c:pt idx="253">
                  <c:v>12.580706916182079</c:v>
                </c:pt>
                <c:pt idx="254">
                  <c:v>12.574862971054184</c:v>
                </c:pt>
                <c:pt idx="255">
                  <c:v>12.5691062537907</c:v>
                </c:pt>
                <c:pt idx="256">
                  <c:v>12.563434935991413</c:v>
                </c:pt>
                <c:pt idx="257">
                  <c:v>12.557703571744256</c:v>
                </c:pt>
                <c:pt idx="258">
                  <c:v>12.552058337885043</c:v>
                </c:pt>
                <c:pt idx="259">
                  <c:v>12.546497406878787</c:v>
                </c:pt>
                <c:pt idx="260">
                  <c:v>12.541018997787241</c:v>
                </c:pt>
                <c:pt idx="261">
                  <c:v>12.535499627176348</c:v>
                </c:pt>
                <c:pt idx="262">
                  <c:v>12.530062947390547</c:v>
                </c:pt>
                <c:pt idx="263">
                  <c:v>12.524707195600246</c:v>
                </c:pt>
                <c:pt idx="264">
                  <c:v>12.519430654099944</c:v>
                </c:pt>
                <c:pt idx="265">
                  <c:v>12.514116983595683</c:v>
                </c:pt>
                <c:pt idx="266">
                  <c:v>12.508882591770528</c:v>
                </c:pt>
                <c:pt idx="267">
                  <c:v>12.503725781385347</c:v>
                </c:pt>
                <c:pt idx="268">
                  <c:v>12.498644898789541</c:v>
                </c:pt>
                <c:pt idx="269">
                  <c:v>12.49351830708925</c:v>
                </c:pt>
                <c:pt idx="270">
                  <c:v>12.488467979078424</c:v>
                </c:pt>
                <c:pt idx="271">
                  <c:v>12.483492272066041</c:v>
                </c:pt>
                <c:pt idx="272">
                  <c:v>12.478589585760258</c:v>
                </c:pt>
                <c:pt idx="273">
                  <c:v>12.473645267135664</c:v>
                </c:pt>
                <c:pt idx="274">
                  <c:v>12.468774191910443</c:v>
                </c:pt>
                <c:pt idx="275">
                  <c:v>12.463974773635304</c:v>
                </c:pt>
                <c:pt idx="276">
                  <c:v>12.459245466984425</c:v>
                </c:pt>
                <c:pt idx="277">
                  <c:v>12.454488831614141</c:v>
                </c:pt>
                <c:pt idx="278">
                  <c:v>12.44980211793338</c:v>
                </c:pt>
                <c:pt idx="279">
                  <c:v>12.445183807077298</c:v>
                </c:pt>
                <c:pt idx="280">
                  <c:v>12.440632419608237</c:v>
                </c:pt>
                <c:pt idx="281">
                  <c:v>12.436025897581205</c:v>
                </c:pt>
                <c:pt idx="282">
                  <c:v>12.43148693266803</c:v>
                </c:pt>
                <c:pt idx="283">
                  <c:v>12.427014043977936</c:v>
                </c:pt>
                <c:pt idx="284">
                  <c:v>12.422605789346193</c:v>
                </c:pt>
                <c:pt idx="285">
                  <c:v>12.418175446953811</c:v>
                </c:pt>
                <c:pt idx="286">
                  <c:v>12.413809409551696</c:v>
                </c:pt>
                <c:pt idx="287">
                  <c:v>12.409506264579731</c:v>
                </c:pt>
                <c:pt idx="288">
                  <c:v>12.405264636423981</c:v>
                </c:pt>
                <c:pt idx="289">
                  <c:v>12.400975830811017</c:v>
                </c:pt>
                <c:pt idx="290">
                  <c:v>12.396748946696412</c:v>
                </c:pt>
                <c:pt idx="291">
                  <c:v>12.392582612795461</c:v>
                </c:pt>
                <c:pt idx="292">
                  <c:v>12.388475493903567</c:v>
                </c:pt>
                <c:pt idx="293">
                  <c:v>12.384333390220018</c:v>
                </c:pt>
                <c:pt idx="294">
                  <c:v>12.380250553309946</c:v>
                </c:pt>
                <c:pt idx="295">
                  <c:v>12.376225663340506</c:v>
                </c:pt>
                <c:pt idx="296">
                  <c:v>12.372257435314202</c:v>
                </c:pt>
                <c:pt idx="297">
                  <c:v>12.368256868501884</c:v>
                </c:pt>
                <c:pt idx="298">
                  <c:v>12.36431294133302</c:v>
                </c:pt>
                <c:pt idx="299">
                  <c:v>12.360424385838094</c:v>
                </c:pt>
                <c:pt idx="300">
                  <c:v>12.356589967598484</c:v>
                </c:pt>
                <c:pt idx="301">
                  <c:v>12.352725546546939</c:v>
                </c:pt>
                <c:pt idx="302">
                  <c:v>12.348915175950548</c:v>
                </c:pt>
                <c:pt idx="303">
                  <c:v>12.345157639751164</c:v>
                </c:pt>
                <c:pt idx="304">
                  <c:v>12.34145175413043</c:v>
                </c:pt>
                <c:pt idx="305">
                  <c:v>12.337703658244424</c:v>
                </c:pt>
                <c:pt idx="306">
                  <c:v>12.334007462760223</c:v>
                </c:pt>
                <c:pt idx="307">
                  <c:v>12.330361989954037</c:v>
                </c:pt>
                <c:pt idx="308">
                  <c:v>12.326766093486661</c:v>
                </c:pt>
                <c:pt idx="309">
                  <c:v>12.323144416448402</c:v>
                </c:pt>
                <c:pt idx="310">
                  <c:v>12.319572107508655</c:v>
                </c:pt>
                <c:pt idx="311">
                  <c:v>12.316048041338824</c:v>
                </c:pt>
                <c:pt idx="312">
                  <c:v>12.312571122620735</c:v>
                </c:pt>
                <c:pt idx="313">
                  <c:v>12.309057173002509</c:v>
                </c:pt>
                <c:pt idx="314">
                  <c:v>12.305590464415561</c:v>
                </c:pt>
                <c:pt idx="315">
                  <c:v>12.30216991130871</c:v>
                </c:pt>
                <c:pt idx="316">
                  <c:v>12.298794457192095</c:v>
                </c:pt>
                <c:pt idx="317">
                  <c:v>12.295384283921827</c:v>
                </c:pt>
                <c:pt idx="318">
                  <c:v>12.292019231019806</c:v>
                </c:pt>
                <c:pt idx="319">
                  <c:v>12.28869825349965</c:v>
                </c:pt>
                <c:pt idx="320">
                  <c:v>12.285420334439539</c:v>
                </c:pt>
                <c:pt idx="321">
                  <c:v>12.28210972452402</c:v>
                </c:pt>
                <c:pt idx="322">
                  <c:v>12.27884213096109</c:v>
                </c:pt>
                <c:pt idx="323">
                  <c:v>12.275616549771179</c:v>
                </c:pt>
                <c:pt idx="324">
                  <c:v>12.272432004007161</c:v>
                </c:pt>
                <c:pt idx="325">
                  <c:v>12.269216536429893</c:v>
                </c:pt>
                <c:pt idx="326">
                  <c:v>12.266042006665806</c:v>
                </c:pt>
                <c:pt idx="327">
                  <c:v>12.26290745187633</c:v>
                </c:pt>
                <c:pt idx="328">
                  <c:v>12.259811935198972</c:v>
                </c:pt>
                <c:pt idx="329">
                  <c:v>12.256681836353247</c:v>
                </c:pt>
                <c:pt idx="330">
                  <c:v>12.253590758391439</c:v>
                </c:pt>
                <c:pt idx="331">
                  <c:v>12.250537774909922</c:v>
                </c:pt>
                <c:pt idx="332">
                  <c:v>12.247521984575013</c:v>
                </c:pt>
                <c:pt idx="333">
                  <c:v>12.244478243488317</c:v>
                </c:pt>
                <c:pt idx="334">
                  <c:v>12.241471501906689</c:v>
                </c:pt>
                <c:pt idx="335">
                  <c:v>12.238500874510676</c:v>
                </c:pt>
                <c:pt idx="336">
                  <c:v>12.23556549995973</c:v>
                </c:pt>
                <c:pt idx="337">
                  <c:v>12.232593863297648</c:v>
                </c:pt>
                <c:pt idx="338">
                  <c:v>12.229657472292146</c:v>
                </c:pt>
                <c:pt idx="339">
                  <c:v>12.22675547407124</c:v>
                </c:pt>
                <c:pt idx="340">
                  <c:v>12.223887038944468</c:v>
                </c:pt>
                <c:pt idx="341">
                  <c:v>12.22098391509715</c:v>
                </c:pt>
                <c:pt idx="342">
                  <c:v>12.218114290193714</c:v>
                </c:pt>
                <c:pt idx="343">
                  <c:v>12.215277344330836</c:v>
                </c:pt>
                <c:pt idx="344">
                  <c:v>12.212472279955151</c:v>
                </c:pt>
                <c:pt idx="345">
                  <c:v>12.20963817067644</c:v>
                </c:pt>
                <c:pt idx="346">
                  <c:v>12.206835733235604</c:v>
                </c:pt>
                <c:pt idx="347">
                  <c:v>12.204064184486271</c:v>
                </c:pt>
                <c:pt idx="348">
                  <c:v>12.201322762647537</c:v>
                </c:pt>
                <c:pt idx="349">
                  <c:v>12.198544940380032</c:v>
                </c:pt>
                <c:pt idx="350">
                  <c:v>12.19579718004416</c:v>
                </c:pt>
                <c:pt idx="351">
                  <c:v>12.193078728062734</c:v>
                </c:pt>
                <c:pt idx="352">
                  <c:v>12.19038885148499</c:v>
                </c:pt>
                <c:pt idx="353">
                  <c:v>12.18766378988143</c:v>
                </c:pt>
                <c:pt idx="354">
                  <c:v>12.184967189176124</c:v>
                </c:pt>
                <c:pt idx="355">
                  <c:v>12.182298325726226</c:v>
                </c:pt>
                <c:pt idx="356">
                  <c:v>12.17965649574934</c:v>
                </c:pt>
                <c:pt idx="357">
                  <c:v>12.17698427957335</c:v>
                </c:pt>
                <c:pt idx="358">
                  <c:v>12.174338863561003</c:v>
                </c:pt>
                <c:pt idx="359">
                  <c:v>12.171719557046421</c:v>
                </c:pt>
                <c:pt idx="360">
                  <c:v>12.169125688333494</c:v>
                </c:pt>
                <c:pt idx="361">
                  <c:v>12.166494779858571</c:v>
                </c:pt>
                <c:pt idx="362">
                  <c:v>12.163889186504305</c:v>
                </c:pt>
                <c:pt idx="363">
                  <c:v>12.161308244584712</c:v>
                </c:pt>
                <c:pt idx="364">
                  <c:v>12.158751308698477</c:v>
                </c:pt>
                <c:pt idx="365">
                  <c:v>12.156161710680715</c:v>
                </c:pt>
                <c:pt idx="366">
                  <c:v>12.15359588961984</c:v>
                </c:pt>
                <c:pt idx="367">
                  <c:v>12.151053211579095</c:v>
                </c:pt>
                <c:pt idx="368">
                  <c:v>12.148533060107651</c:v>
                </c:pt>
                <c:pt idx="369">
                  <c:v>12.145974007515662</c:v>
                </c:pt>
                <c:pt idx="370">
                  <c:v>12.143437340866022</c:v>
                </c:pt>
                <c:pt idx="371">
                  <c:v>12.14092245079817</c:v>
                </c:pt>
                <c:pt idx="372">
                  <c:v>12.138428744816467</c:v>
                </c:pt>
                <c:pt idx="373">
                  <c:v>12.135900120405068</c:v>
                </c:pt>
                <c:pt idx="374">
                  <c:v>12.13339244472953</c:v>
                </c:pt>
                <c:pt idx="375">
                  <c:v>12.130905135501692</c:v>
                </c:pt>
                <c:pt idx="376">
                  <c:v>12.128437626574598</c:v>
                </c:pt>
                <c:pt idx="377">
                  <c:v>12.125929272622136</c:v>
                </c:pt>
                <c:pt idx="378">
                  <c:v>12.123440553151251</c:v>
                </c:pt>
                <c:pt idx="379">
                  <c:v>12.120970908464585</c:v>
                </c:pt>
                <c:pt idx="380">
                  <c:v>12.11851979443672</c:v>
                </c:pt>
                <c:pt idx="381">
                  <c:v>12.116034517908593</c:v>
                </c:pt>
                <c:pt idx="382">
                  <c:v>12.113567477855895</c:v>
                </c:pt>
                <c:pt idx="383">
                  <c:v>12.111118141357819</c:v>
                </c:pt>
                <c:pt idx="384">
                  <c:v>12.108685990331562</c:v>
                </c:pt>
                <c:pt idx="385">
                  <c:v>12.106210865724714</c:v>
                </c:pt>
                <c:pt idx="386">
                  <c:v>12.103752733023098</c:v>
                </c:pt>
                <c:pt idx="387">
                  <c:v>12.101311080037622</c:v>
                </c:pt>
                <c:pt idx="388">
                  <c:v>12.098885408897182</c:v>
                </c:pt>
                <c:pt idx="389">
                  <c:v>12.096420041157748</c:v>
                </c:pt>
                <c:pt idx="390">
                  <c:v>12.093970387932455</c:v>
                </c:pt>
                <c:pt idx="391">
                  <c:v>12.091535959749782</c:v>
                </c:pt>
                <c:pt idx="392">
                  <c:v>12.089116280853826</c:v>
                </c:pt>
                <c:pt idx="393">
                  <c:v>12.086657027475326</c:v>
                </c:pt>
                <c:pt idx="394">
                  <c:v>12.084212229382377</c:v>
                </c:pt>
                <c:pt idx="395">
                  <c:v>12.081781419642626</c:v>
                </c:pt>
                <c:pt idx="396">
                  <c:v>12.079364144434805</c:v>
                </c:pt>
                <c:pt idx="397">
                  <c:v>12.07690175437139</c:v>
                </c:pt>
                <c:pt idx="398">
                  <c:v>12.07445264049734</c:v>
                </c:pt>
                <c:pt idx="399">
                  <c:v>12.072016355145045</c:v>
                </c:pt>
                <c:pt idx="400">
                  <c:v>12.069592463267572</c:v>
                </c:pt>
                <c:pt idx="401">
                  <c:v>12.067126231786812</c:v>
                </c:pt>
                <c:pt idx="402">
                  <c:v>12.064672078154615</c:v>
                </c:pt>
                <c:pt idx="403">
                  <c:v>12.06222957548383</c:v>
                </c:pt>
                <c:pt idx="404">
                  <c:v>12.059798308953482</c:v>
                </c:pt>
                <c:pt idx="405">
                  <c:v>12.05732189794999</c:v>
                </c:pt>
                <c:pt idx="406">
                  <c:v>12.054856408377965</c:v>
                </c:pt>
                <c:pt idx="407">
                  <c:v>12.052401432581231</c:v>
                </c:pt>
                <c:pt idx="408">
                  <c:v>12.049956574466181</c:v>
                </c:pt>
                <c:pt idx="409">
                  <c:v>12.047463772726374</c:v>
                </c:pt>
                <c:pt idx="410">
                  <c:v>12.044980770013753</c:v>
                </c:pt>
                <c:pt idx="411">
                  <c:v>12.042507176576498</c:v>
                </c:pt>
                <c:pt idx="412">
                  <c:v>12.040042613765308</c:v>
                </c:pt>
                <c:pt idx="413">
                  <c:v>12.037529880120525</c:v>
                </c:pt>
                <c:pt idx="414">
                  <c:v>12.035025832680226</c:v>
                </c:pt>
                <c:pt idx="415">
                  <c:v>12.032530099596173</c:v>
                </c:pt>
                <c:pt idx="416">
                  <c:v>12.030042319656712</c:v>
                </c:pt>
                <c:pt idx="417">
                  <c:v>12.027503483523974</c:v>
                </c:pt>
                <c:pt idx="418">
                  <c:v>12.024972248398774</c:v>
                </c:pt>
                <c:pt idx="419">
                  <c:v>12.022448259176706</c:v>
                </c:pt>
                <c:pt idx="420">
                  <c:v>12.019931170962611</c:v>
                </c:pt>
                <c:pt idx="421">
                  <c:v>12.017365155626097</c:v>
                </c:pt>
                <c:pt idx="422">
                  <c:v>12.014805652716136</c:v>
                </c:pt>
                <c:pt idx="423">
                  <c:v>12.012252324847401</c:v>
                </c:pt>
                <c:pt idx="424">
                  <c:v>12.009704844373974</c:v>
                </c:pt>
                <c:pt idx="425">
                  <c:v>12.007100412105217</c:v>
                </c:pt>
                <c:pt idx="426">
                  <c:v>12.004501452108336</c:v>
                </c:pt>
                <c:pt idx="427">
                  <c:v>12.001907641699162</c:v>
                </c:pt>
                <c:pt idx="428">
                  <c:v>11.99931866757427</c:v>
                </c:pt>
                <c:pt idx="429">
                  <c:v>11.996674692902632</c:v>
                </c:pt>
                <c:pt idx="430">
                  <c:v>11.994035145431871</c:v>
                </c:pt>
                <c:pt idx="431">
                  <c:v>11.991399718184631</c:v>
                </c:pt>
                <c:pt idx="432">
                  <c:v>11.988768113163164</c:v>
                </c:pt>
                <c:pt idx="433">
                  <c:v>11.986080855398999</c:v>
                </c:pt>
                <c:pt idx="434">
                  <c:v>11.983396991359843</c:v>
                </c:pt>
                <c:pt idx="435">
                  <c:v>11.98071622967602</c:v>
                </c:pt>
                <c:pt idx="436">
                  <c:v>11.978038287556238</c:v>
                </c:pt>
                <c:pt idx="437">
                  <c:v>11.975299043986499</c:v>
                </c:pt>
                <c:pt idx="438">
                  <c:v>11.972562182575956</c:v>
                </c:pt>
                <c:pt idx="439">
                  <c:v>11.969827425925448</c:v>
                </c:pt>
                <c:pt idx="440">
                  <c:v>11.967094504873732</c:v>
                </c:pt>
                <c:pt idx="441">
                  <c:v>11.964299484360186</c:v>
                </c:pt>
                <c:pt idx="442">
                  <c:v>11.961505841013375</c:v>
                </c:pt>
                <c:pt idx="443">
                  <c:v>11.958713311449142</c:v>
                </c:pt>
                <c:pt idx="444">
                  <c:v>11.955921640176674</c:v>
                </c:pt>
                <c:pt idx="445">
                  <c:v>11.95306698456341</c:v>
                </c:pt>
                <c:pt idx="446">
                  <c:v>11.950212710342718</c:v>
                </c:pt>
                <c:pt idx="447">
                  <c:v>11.947358568114714</c:v>
                </c:pt>
                <c:pt idx="448">
                  <c:v>11.944504316027199</c:v>
                </c:pt>
                <c:pt idx="449">
                  <c:v>11.941581222648486</c:v>
                </c:pt>
                <c:pt idx="450">
                  <c:v>11.938657523981654</c:v>
                </c:pt>
                <c:pt idx="451">
                  <c:v>11.935732983348386</c:v>
                </c:pt>
                <c:pt idx="452">
                  <c:v>11.932807371321566</c:v>
                </c:pt>
                <c:pt idx="453">
                  <c:v>11.929814317919892</c:v>
                </c:pt>
                <c:pt idx="454">
                  <c:v>11.926819681105368</c:v>
                </c:pt>
                <c:pt idx="455">
                  <c:v>11.923823237539757</c:v>
                </c:pt>
                <c:pt idx="456">
                  <c:v>11.920824770813326</c:v>
                </c:pt>
                <c:pt idx="457">
                  <c:v>11.917752831048954</c:v>
                </c:pt>
                <c:pt idx="458">
                  <c:v>11.914678333237674</c:v>
                </c:pt>
                <c:pt idx="459">
                  <c:v>11.911601066291837</c:v>
                </c:pt>
                <c:pt idx="460">
                  <c:v>11.908520825773747</c:v>
                </c:pt>
                <c:pt idx="461">
                  <c:v>11.905365896538635</c:v>
                </c:pt>
                <c:pt idx="462">
                  <c:v>11.902207441637513</c:v>
                </c:pt>
                <c:pt idx="463">
                  <c:v>11.899045262294747</c:v>
                </c:pt>
                <c:pt idx="464">
                  <c:v>11.895879166103732</c:v>
                </c:pt>
                <c:pt idx="465">
                  <c:v>11.892634614590555</c:v>
                </c:pt>
                <c:pt idx="466">
                  <c:v>11.88938557222351</c:v>
                </c:pt>
                <c:pt idx="467">
                  <c:v>11.886131852123121</c:v>
                </c:pt>
                <c:pt idx="468">
                  <c:v>11.882873273516291</c:v>
                </c:pt>
                <c:pt idx="469">
                  <c:v>11.879534862028155</c:v>
                </c:pt>
                <c:pt idx="470">
                  <c:v>11.876191003032357</c:v>
                </c:pt>
                <c:pt idx="471">
                  <c:v>11.872841521592402</c:v>
                </c:pt>
                <c:pt idx="472">
                  <c:v>11.869486248614489</c:v>
                </c:pt>
                <c:pt idx="473">
                  <c:v>11.866044678408262</c:v>
                </c:pt>
                <c:pt idx="474">
                  <c:v>11.862596695927898</c:v>
                </c:pt>
                <c:pt idx="475">
                  <c:v>11.859142137476082</c:v>
                </c:pt>
                <c:pt idx="476">
                  <c:v>11.855680844967644</c:v>
                </c:pt>
                <c:pt idx="477">
                  <c:v>11.852131691885559</c:v>
                </c:pt>
                <c:pt idx="478">
                  <c:v>11.84857516921484</c:v>
                </c:pt>
                <c:pt idx="479">
                  <c:v>11.8450111246164</c:v>
                </c:pt>
                <c:pt idx="480">
                  <c:v>11.84143941113031</c:v>
                </c:pt>
                <c:pt idx="481">
                  <c:v>11.837778210279758</c:v>
                </c:pt>
                <c:pt idx="482">
                  <c:v>11.83410869247375</c:v>
                </c:pt>
                <c:pt idx="483">
                  <c:v>11.830430716802878</c:v>
                </c:pt>
                <c:pt idx="484">
                  <c:v>11.826744147503401</c:v>
                </c:pt>
                <c:pt idx="485">
                  <c:v>11.822963830528153</c:v>
                </c:pt>
                <c:pt idx="486">
                  <c:v>11.819174248762279</c:v>
                </c:pt>
                <c:pt idx="487">
                  <c:v>11.815375272497569</c:v>
                </c:pt>
                <c:pt idx="488">
                  <c:v>11.811566776952329</c:v>
                </c:pt>
                <c:pt idx="489">
                  <c:v>11.807657553726136</c:v>
                </c:pt>
                <c:pt idx="490">
                  <c:v>11.803738102623342</c:v>
                </c:pt>
                <c:pt idx="491">
                  <c:v>11.799808304739161</c:v>
                </c:pt>
                <c:pt idx="492">
                  <c:v>11.795868045901335</c:v>
                </c:pt>
                <c:pt idx="493">
                  <c:v>11.79182514896044</c:v>
                </c:pt>
                <c:pt idx="494">
                  <c:v>11.787771071153676</c:v>
                </c:pt>
                <c:pt idx="495">
                  <c:v>11.783705704542903</c:v>
                </c:pt>
                <c:pt idx="496">
                  <c:v>11.779628945726406</c:v>
                </c:pt>
                <c:pt idx="497">
                  <c:v>11.775444925792309</c:v>
                </c:pt>
                <c:pt idx="498">
                  <c:v>11.771248769239389</c:v>
                </c:pt>
                <c:pt idx="499">
                  <c:v>11.767040379039987</c:v>
                </c:pt>
                <c:pt idx="500">
                  <c:v>11.762819662517025</c:v>
                </c:pt>
                <c:pt idx="501">
                  <c:v>11.758486936268547</c:v>
                </c:pt>
                <c:pt idx="502">
                  <c:v>11.754141114654287</c:v>
                </c:pt>
                <c:pt idx="503">
                  <c:v>11.749782111551486</c:v>
                </c:pt>
                <c:pt idx="504">
                  <c:v>11.745409845011288</c:v>
                </c:pt>
                <c:pt idx="505">
                  <c:v>11.740923417686792</c:v>
                </c:pt>
                <c:pt idx="506">
                  <c:v>11.736422950379682</c:v>
                </c:pt>
                <c:pt idx="507">
                  <c:v>11.731908368046904</c:v>
                </c:pt>
                <c:pt idx="508">
                  <c:v>11.727379599641271</c:v>
                </c:pt>
                <c:pt idx="509">
                  <c:v>11.722731718841535</c:v>
                </c:pt>
                <c:pt idx="510">
                  <c:v>11.718068852431591</c:v>
                </c:pt>
                <c:pt idx="511">
                  <c:v>11.713390936480366</c:v>
                </c:pt>
                <c:pt idx="512">
                  <c:v>11.70869791088337</c:v>
                </c:pt>
                <c:pt idx="513">
                  <c:v>11.703877900078075</c:v>
                </c:pt>
                <c:pt idx="514">
                  <c:v>11.699041938886909</c:v>
                </c:pt>
                <c:pt idx="515">
                  <c:v>11.694189974480945</c:v>
                </c:pt>
                <c:pt idx="516">
                  <c:v>11.689321957704612</c:v>
                </c:pt>
                <c:pt idx="517">
                  <c:v>11.684324528188906</c:v>
                </c:pt>
                <c:pt idx="518">
                  <c:v>11.679310201243648</c:v>
                </c:pt>
                <c:pt idx="519">
                  <c:v>11.674278935382045</c:v>
                </c:pt>
                <c:pt idx="520">
                  <c:v>11.66923069263504</c:v>
                </c:pt>
                <c:pt idx="521">
                  <c:v>11.664047706288613</c:v>
                </c:pt>
                <c:pt idx="522">
                  <c:v>11.65884687643716</c:v>
                </c:pt>
                <c:pt idx="523">
                  <c:v>11.653628173097758</c:v>
                </c:pt>
                <c:pt idx="524">
                  <c:v>11.648391569655594</c:v>
                </c:pt>
                <c:pt idx="525">
                  <c:v>11.643014766441169</c:v>
                </c:pt>
                <c:pt idx="526">
                  <c:v>11.637619175765304</c:v>
                </c:pt>
                <c:pt idx="527">
                  <c:v>11.632204779349708</c:v>
                </c:pt>
                <c:pt idx="528">
                  <c:v>11.626771562139627</c:v>
                </c:pt>
                <c:pt idx="529">
                  <c:v>11.621192564841859</c:v>
                </c:pt>
                <c:pt idx="530">
                  <c:v>11.615593839654268</c:v>
                </c:pt>
                <c:pt idx="531">
                  <c:v>11.609975380240629</c:v>
                </c:pt>
                <c:pt idx="532">
                  <c:v>11.604337183348028</c:v>
                </c:pt>
                <c:pt idx="533">
                  <c:v>11.598544509302615</c:v>
                </c:pt>
                <c:pt idx="534">
                  <c:v>11.592731150793105</c:v>
                </c:pt>
                <c:pt idx="535">
                  <c:v>11.586897113708796</c:v>
                </c:pt>
                <c:pt idx="536">
                  <c:v>11.581042406891498</c:v>
                </c:pt>
                <c:pt idx="537">
                  <c:v>11.575033409094688</c:v>
                </c:pt>
                <c:pt idx="538">
                  <c:v>11.569002820079328</c:v>
                </c:pt>
                <c:pt idx="539">
                  <c:v>11.562950658247477</c:v>
                </c:pt>
                <c:pt idx="540">
                  <c:v>11.556876944813485</c:v>
                </c:pt>
                <c:pt idx="541">
                  <c:v>11.55063690360301</c:v>
                </c:pt>
                <c:pt idx="542">
                  <c:v>11.544374330158</c:v>
                </c:pt>
                <c:pt idx="543">
                  <c:v>11.53808925578117</c:v>
                </c:pt>
                <c:pt idx="544">
                  <c:v>11.531781714460587</c:v>
                </c:pt>
                <c:pt idx="545">
                  <c:v>11.525304849051556</c:v>
                </c:pt>
                <c:pt idx="546">
                  <c:v>11.51880454398804</c:v>
                </c:pt>
                <c:pt idx="547">
                  <c:v>11.512280843810082</c:v>
                </c:pt>
                <c:pt idx="548">
                  <c:v>11.505733795611574</c:v>
                </c:pt>
                <c:pt idx="549">
                  <c:v>11.499011258256646</c:v>
                </c:pt>
                <c:pt idx="550">
                  <c:v>11.492264388259175</c:v>
                </c:pt>
                <c:pt idx="551">
                  <c:v>11.48549324378264</c:v>
                </c:pt>
                <c:pt idx="552">
                  <c:v>11.47869788541322</c:v>
                </c:pt>
                <c:pt idx="553">
                  <c:v>11.471717551055004</c:v>
                </c:pt>
                <c:pt idx="554">
                  <c:v>11.464711985215379</c:v>
                </c:pt>
                <c:pt idx="555">
                  <c:v>11.45768126019107</c:v>
                </c:pt>
                <c:pt idx="556">
                  <c:v>11.450625450574057</c:v>
                </c:pt>
                <c:pt idx="557">
                  <c:v>11.436104887730229</c:v>
                </c:pt>
                <c:pt idx="558">
                  <c:v>11.421480233775473</c:v>
                </c:pt>
                <c:pt idx="559">
                  <c:v>11.406413417247956</c:v>
                </c:pt>
                <c:pt idx="560">
                  <c:v>11.391239243437548</c:v>
                </c:pt>
                <c:pt idx="561">
                  <c:v>11.375594717229315</c:v>
                </c:pt>
                <c:pt idx="562">
                  <c:v>11.359839490320544</c:v>
                </c:pt>
                <c:pt idx="563">
                  <c:v>11.343632880044787</c:v>
                </c:pt>
                <c:pt idx="564">
                  <c:v>11.327312827604745</c:v>
                </c:pt>
                <c:pt idx="565">
                  <c:v>11.310464712216353</c:v>
                </c:pt>
                <c:pt idx="566">
                  <c:v>11.293499698281932</c:v>
                </c:pt>
                <c:pt idx="567">
                  <c:v>11.275997543973427</c:v>
                </c:pt>
                <c:pt idx="568">
                  <c:v>11.258375293912939</c:v>
                </c:pt>
                <c:pt idx="569">
                  <c:v>11.240278290203234</c:v>
                </c:pt>
                <c:pt idx="570">
                  <c:v>11.222059226952867</c:v>
                </c:pt>
                <c:pt idx="571">
                  <c:v>11.203214467604417</c:v>
                </c:pt>
                <c:pt idx="572">
                  <c:v>11.184244065546554</c:v>
                </c:pt>
                <c:pt idx="573">
                  <c:v>11.16478408442892</c:v>
                </c:pt>
                <c:pt idx="574">
                  <c:v>11.145197107315884</c:v>
                </c:pt>
                <c:pt idx="575">
                  <c:v>11.124966451440745</c:v>
                </c:pt>
                <c:pt idx="576">
                  <c:v>11.104605875153538</c:v>
                </c:pt>
                <c:pt idx="577">
                  <c:v>11.01701369103778</c:v>
                </c:pt>
                <c:pt idx="578">
                  <c:v>10.927278054889833</c:v>
                </c:pt>
                <c:pt idx="579">
                  <c:v>10.723874045722042</c:v>
                </c:pt>
                <c:pt idx="580">
                  <c:v>10.49146438489065</c:v>
                </c:pt>
                <c:pt idx="581">
                  <c:v>10.227965230127328</c:v>
                </c:pt>
                <c:pt idx="582">
                  <c:v>9.9311236390765032</c:v>
                </c:pt>
                <c:pt idx="583">
                  <c:v>9.599495641039816</c:v>
                </c:pt>
                <c:pt idx="584">
                  <c:v>9.2316790983260226</c:v>
                </c:pt>
                <c:pt idx="585">
                  <c:v>8.8273069931470527</c:v>
                </c:pt>
                <c:pt idx="586">
                  <c:v>8.3863843900295745</c:v>
                </c:pt>
                <c:pt idx="587">
                  <c:v>7.9093169268883754</c:v>
                </c:pt>
                <c:pt idx="588">
                  <c:v>7.3977932667943307</c:v>
                </c:pt>
                <c:pt idx="589">
                  <c:v>6.8531341409620827</c:v>
                </c:pt>
                <c:pt idx="590">
                  <c:v>6.2776447515882436</c:v>
                </c:pt>
                <c:pt idx="591">
                  <c:v>5.673662907875717</c:v>
                </c:pt>
                <c:pt idx="592">
                  <c:v>5.0438197038343233</c:v>
                </c:pt>
                <c:pt idx="593">
                  <c:v>4.3905260148855776</c:v>
                </c:pt>
                <c:pt idx="594">
                  <c:v>3.716515558006253</c:v>
                </c:pt>
                <c:pt idx="595">
                  <c:v>3.0241103728457648</c:v>
                </c:pt>
                <c:pt idx="596">
                  <c:v>2.3157533967080308</c:v>
                </c:pt>
                <c:pt idx="597">
                  <c:v>1.5934089056410641</c:v>
                </c:pt>
                <c:pt idx="598">
                  <c:v>0.85916913853357335</c:v>
                </c:pt>
                <c:pt idx="599">
                  <c:v>0.11455436417214146</c:v>
                </c:pt>
                <c:pt idx="600">
                  <c:v>-0.63881608702382775</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-82.435597286545359</c:v>
                </c:pt>
                <c:pt idx="1">
                  <c:v>-83.092876474990234</c:v>
                </c:pt>
                <c:pt idx="2">
                  <c:v>-83.693682677170031</c:v>
                </c:pt>
                <c:pt idx="3">
                  <c:v>-84.242620694854523</c:v>
                </c:pt>
                <c:pt idx="4">
                  <c:v>-84.74365528295786</c:v>
                </c:pt>
                <c:pt idx="5">
                  <c:v>-85.201556306669389</c:v>
                </c:pt>
                <c:pt idx="6">
                  <c:v>-85.619292368666123</c:v>
                </c:pt>
                <c:pt idx="7">
                  <c:v>-86.000520595268881</c:v>
                </c:pt>
                <c:pt idx="8">
                  <c:v>-86.34807443831501</c:v>
                </c:pt>
                <c:pt idx="9">
                  <c:v>-86.665072851284378</c:v>
                </c:pt>
                <c:pt idx="10">
                  <c:v>-86.953942399043527</c:v>
                </c:pt>
                <c:pt idx="11">
                  <c:v>-87.217130512691185</c:v>
                </c:pt>
                <c:pt idx="12">
                  <c:v>-87.456952830596563</c:v>
                </c:pt>
                <c:pt idx="13">
                  <c:v>-87.675181510393131</c:v>
                </c:pt>
                <c:pt idx="14">
                  <c:v>-87.8738244369721</c:v>
                </c:pt>
                <c:pt idx="15">
                  <c:v>-88.054465160214562</c:v>
                </c:pt>
                <c:pt idx="16">
                  <c:v>-88.218638881792842</c:v>
                </c:pt>
                <c:pt idx="17">
                  <c:v>-88.367707538692471</c:v>
                </c:pt>
                <c:pt idx="18">
                  <c:v>-88.502970916034116</c:v>
                </c:pt>
                <c:pt idx="19">
                  <c:v>-88.625533259312164</c:v>
                </c:pt>
                <c:pt idx="20">
                  <c:v>-88.736454976226099</c:v>
                </c:pt>
                <c:pt idx="21">
                  <c:v>-88.836651542701389</c:v>
                </c:pt>
                <c:pt idx="22">
                  <c:v>-88.926992296023442</c:v>
                </c:pt>
                <c:pt idx="23">
                  <c:v>-89.008220015395608</c:v>
                </c:pt>
                <c:pt idx="24">
                  <c:v>-89.081043662107376</c:v>
                </c:pt>
                <c:pt idx="25">
                  <c:v>-89.146067867486579</c:v>
                </c:pt>
                <c:pt idx="26">
                  <c:v>-89.203857102730865</c:v>
                </c:pt>
                <c:pt idx="27">
                  <c:v>-89.254881963019997</c:v>
                </c:pt>
                <c:pt idx="28">
                  <c:v>-89.299578996304149</c:v>
                </c:pt>
                <c:pt idx="29">
                  <c:v>-89.338306282522211</c:v>
                </c:pt>
                <c:pt idx="30">
                  <c:v>-89.371455255389805</c:v>
                </c:pt>
                <c:pt idx="31">
                  <c:v>-89.399255574634182</c:v>
                </c:pt>
                <c:pt idx="32">
                  <c:v>-89.421962972211944</c:v>
                </c:pt>
                <c:pt idx="33">
                  <c:v>-89.439754964161565</c:v>
                </c:pt>
                <c:pt idx="34">
                  <c:v>-89.452796950846079</c:v>
                </c:pt>
                <c:pt idx="35">
                  <c:v>-89.461191410587574</c:v>
                </c:pt>
                <c:pt idx="36">
                  <c:v>-89.465012942015733</c:v>
                </c:pt>
                <c:pt idx="37">
                  <c:v>-89.464293415490587</c:v>
                </c:pt>
                <c:pt idx="38">
                  <c:v>-89.459027682490245</c:v>
                </c:pt>
                <c:pt idx="39">
                  <c:v>-89.449168140523199</c:v>
                </c:pt>
                <c:pt idx="40">
                  <c:v>-89.43463332413495</c:v>
                </c:pt>
                <c:pt idx="41">
                  <c:v>-89.415299184695087</c:v>
                </c:pt>
                <c:pt idx="42">
                  <c:v>-89.391005340289823</c:v>
                </c:pt>
                <c:pt idx="43">
                  <c:v>-89.361538369474431</c:v>
                </c:pt>
                <c:pt idx="44">
                  <c:v>-89.32665579845731</c:v>
                </c:pt>
                <c:pt idx="45">
                  <c:v>-89.286054797551827</c:v>
                </c:pt>
                <c:pt idx="46">
                  <c:v>-89.239399379918268</c:v>
                </c:pt>
                <c:pt idx="47">
                  <c:v>-89.186283792268938</c:v>
                </c:pt>
                <c:pt idx="48">
                  <c:v>-89.126271093803311</c:v>
                </c:pt>
                <c:pt idx="49">
                  <c:v>-89.058837329734729</c:v>
                </c:pt>
                <c:pt idx="50">
                  <c:v>-88.983420432167136</c:v>
                </c:pt>
                <c:pt idx="51">
                  <c:v>-88.899361573321244</c:v>
                </c:pt>
                <c:pt idx="52">
                  <c:v>-88.805974408707783</c:v>
                </c:pt>
                <c:pt idx="53">
                  <c:v>-88.702467445381529</c:v>
                </c:pt>
                <c:pt idx="54">
                  <c:v>-88.588042212629574</c:v>
                </c:pt>
                <c:pt idx="55">
                  <c:v>-88.461532455460059</c:v>
                </c:pt>
                <c:pt idx="56">
                  <c:v>-88.322036510691277</c:v>
                </c:pt>
                <c:pt idx="57">
                  <c:v>-88.168285124220617</c:v>
                </c:pt>
                <c:pt idx="58">
                  <c:v>-87.999096959064786</c:v>
                </c:pt>
                <c:pt idx="59">
                  <c:v>-87.812920928915062</c:v>
                </c:pt>
                <c:pt idx="60">
                  <c:v>-87.608297369002059</c:v>
                </c:pt>
                <c:pt idx="61">
                  <c:v>-87.383491014439556</c:v>
                </c:pt>
                <c:pt idx="62">
                  <c:v>-87.136491720365228</c:v>
                </c:pt>
                <c:pt idx="63">
                  <c:v>-86.865482107889946</c:v>
                </c:pt>
                <c:pt idx="64">
                  <c:v>-86.568004491669399</c:v>
                </c:pt>
                <c:pt idx="65">
                  <c:v>-86.241709286451183</c:v>
                </c:pt>
                <c:pt idx="66">
                  <c:v>-85.883895852285647</c:v>
                </c:pt>
                <c:pt idx="67">
                  <c:v>-85.491706459736989</c:v>
                </c:pt>
                <c:pt idx="68">
                  <c:v>-85.061857172829008</c:v>
                </c:pt>
                <c:pt idx="69">
                  <c:v>-84.591023730560721</c:v>
                </c:pt>
                <c:pt idx="70">
                  <c:v>-84.075393703651685</c:v>
                </c:pt>
                <c:pt idx="71">
                  <c:v>-83.511061216515074</c:v>
                </c:pt>
                <c:pt idx="72">
                  <c:v>-82.893592492540975</c:v>
                </c:pt>
                <c:pt idx="73">
                  <c:v>-82.218527501277492</c:v>
                </c:pt>
                <c:pt idx="74">
                  <c:v>-81.480782640146401</c:v>
                </c:pt>
                <c:pt idx="75">
                  <c:v>-80.675268537006943</c:v>
                </c:pt>
                <c:pt idx="76">
                  <c:v>-79.796329477949769</c:v>
                </c:pt>
                <c:pt idx="77">
                  <c:v>-78.838578024747534</c:v>
                </c:pt>
                <c:pt idx="78">
                  <c:v>-77.796204131156017</c:v>
                </c:pt>
                <c:pt idx="79">
                  <c:v>-76.664123704869269</c:v>
                </c:pt>
                <c:pt idx="80">
                  <c:v>-75.434633054272169</c:v>
                </c:pt>
                <c:pt idx="81">
                  <c:v>-74.10387416987831</c:v>
                </c:pt>
                <c:pt idx="82">
                  <c:v>-72.665942614810305</c:v>
                </c:pt>
                <c:pt idx="83">
                  <c:v>-71.117606284587467</c:v>
                </c:pt>
                <c:pt idx="84">
                  <c:v>-69.454451928354871</c:v>
                </c:pt>
                <c:pt idx="85">
                  <c:v>-67.675566175854698</c:v>
                </c:pt>
                <c:pt idx="86">
                  <c:v>-65.780691708119875</c:v>
                </c:pt>
                <c:pt idx="87">
                  <c:v>-63.770898591910871</c:v>
                </c:pt>
                <c:pt idx="88">
                  <c:v>-61.652838714901741</c:v>
                </c:pt>
                <c:pt idx="89">
                  <c:v>-59.432468269003849</c:v>
                </c:pt>
                <c:pt idx="90">
                  <c:v>-57.121334684972339</c:v>
                </c:pt>
                <c:pt idx="91">
                  <c:v>-54.733159326172355</c:v>
                </c:pt>
                <c:pt idx="92">
                  <c:v>-52.285216513583705</c:v>
                </c:pt>
                <c:pt idx="93">
                  <c:v>-49.796376276405738</c:v>
                </c:pt>
                <c:pt idx="94">
                  <c:v>-49.170597389033752</c:v>
                </c:pt>
                <c:pt idx="95">
                  <c:v>-48.85543496920215</c:v>
                </c:pt>
                <c:pt idx="96">
                  <c:v>-48.543718632875752</c:v>
                </c:pt>
                <c:pt idx="97">
                  <c:v>-48.22830895703612</c:v>
                </c:pt>
                <c:pt idx="98">
                  <c:v>-47.916437458490194</c:v>
                </c:pt>
                <c:pt idx="99">
                  <c:v>-47.600883028688457</c:v>
                </c:pt>
                <c:pt idx="100">
                  <c:v>-47.28895931149993</c:v>
                </c:pt>
                <c:pt idx="101">
                  <c:v>-46.97360879914504</c:v>
                </c:pt>
                <c:pt idx="102">
                  <c:v>-46.661976119540775</c:v>
                </c:pt>
                <c:pt idx="103">
                  <c:v>-46.346710610009929</c:v>
                </c:pt>
                <c:pt idx="104">
                  <c:v>-46.035255390423281</c:v>
                </c:pt>
                <c:pt idx="105">
                  <c:v>-45.720434494220989</c:v>
                </c:pt>
                <c:pt idx="106">
                  <c:v>-45.409510233652981</c:v>
                </c:pt>
                <c:pt idx="107">
                  <c:v>-45.095481084526341</c:v>
                </c:pt>
                <c:pt idx="108">
                  <c:v>-44.785428538261328</c:v>
                </c:pt>
                <c:pt idx="109">
                  <c:v>-44.472313240523263</c:v>
                </c:pt>
                <c:pt idx="110">
                  <c:v>-44.163253397743041</c:v>
                </c:pt>
                <c:pt idx="111">
                  <c:v>-43.850975907019354</c:v>
                </c:pt>
                <c:pt idx="112">
                  <c:v>-43.542836744555593</c:v>
                </c:pt>
                <c:pt idx="113">
                  <c:v>-43.231751745172978</c:v>
                </c:pt>
                <c:pt idx="114">
                  <c:v>-42.924880608484557</c:v>
                </c:pt>
                <c:pt idx="115">
                  <c:v>-42.615131774481306</c:v>
                </c:pt>
                <c:pt idx="116">
                  <c:v>-42.30967023511905</c:v>
                </c:pt>
                <c:pt idx="117">
                  <c:v>-42.00140664578857</c:v>
                </c:pt>
                <c:pt idx="118">
                  <c:v>-41.697501363213966</c:v>
                </c:pt>
                <c:pt idx="119">
                  <c:v>-41.39106107477852</c:v>
                </c:pt>
                <c:pt idx="120">
                  <c:v>-41.089042054940506</c:v>
                </c:pt>
                <c:pt idx="121">
                  <c:v>-40.78456617504871</c:v>
                </c:pt>
                <c:pt idx="122">
                  <c:v>-40.484571684220583</c:v>
                </c:pt>
                <c:pt idx="123">
                  <c:v>-40.182030435417431</c:v>
                </c:pt>
                <c:pt idx="124">
                  <c:v>-39.884032806391815</c:v>
                </c:pt>
                <c:pt idx="125">
                  <c:v>-39.58375673847673</c:v>
                </c:pt>
                <c:pt idx="126">
                  <c:v>-39.288077799572562</c:v>
                </c:pt>
                <c:pt idx="127">
                  <c:v>-38.9902142321612</c:v>
                </c:pt>
                <c:pt idx="128">
                  <c:v>-38.696997706720445</c:v>
                </c:pt>
                <c:pt idx="129">
                  <c:v>-38.401694426603356</c:v>
                </c:pt>
                <c:pt idx="130">
                  <c:v>-38.111084291134013</c:v>
                </c:pt>
                <c:pt idx="131">
                  <c:v>-37.81848877045914</c:v>
                </c:pt>
                <c:pt idx="132">
                  <c:v>-37.673972263773081</c:v>
                </c:pt>
                <c:pt idx="133">
                  <c:v>-37.530628493020473</c:v>
                </c:pt>
                <c:pt idx="134">
                  <c:v>-37.385080632080246</c:v>
                </c:pt>
                <c:pt idx="135">
                  <c:v>-37.240738797989472</c:v>
                </c:pt>
                <c:pt idx="136">
                  <c:v>-37.097591449309732</c:v>
                </c:pt>
                <c:pt idx="137">
                  <c:v>-36.955627150867372</c:v>
                </c:pt>
                <c:pt idx="138">
                  <c:v>-36.811651559620849</c:v>
                </c:pt>
                <c:pt idx="139">
                  <c:v>-36.668889494920343</c:v>
                </c:pt>
                <c:pt idx="140">
                  <c:v>-36.527329068079389</c:v>
                </c:pt>
                <c:pt idx="141">
                  <c:v>-36.386958505378111</c:v>
                </c:pt>
                <c:pt idx="142">
                  <c:v>-36.244479626841787</c:v>
                </c:pt>
                <c:pt idx="143">
                  <c:v>-36.103223110247747</c:v>
                </c:pt>
                <c:pt idx="144">
                  <c:v>-35.963176695780014</c:v>
                </c:pt>
                <c:pt idx="145">
                  <c:v>-35.824328247806648</c:v>
                </c:pt>
                <c:pt idx="146">
                  <c:v>-35.683490882430718</c:v>
                </c:pt>
                <c:pt idx="147">
                  <c:v>-35.543882318420238</c:v>
                </c:pt>
                <c:pt idx="148">
                  <c:v>-35.405489956630277</c:v>
                </c:pt>
                <c:pt idx="149">
                  <c:v>-35.268301331091905</c:v>
                </c:pt>
                <c:pt idx="150">
                  <c:v>-35.129173658053013</c:v>
                </c:pt>
                <c:pt idx="151">
                  <c:v>-34.991280052295565</c:v>
                </c:pt>
                <c:pt idx="152">
                  <c:v>-34.854607590368801</c:v>
                </c:pt>
                <c:pt idx="153">
                  <c:v>-34.719143490952959</c:v>
                </c:pt>
                <c:pt idx="154">
                  <c:v>-34.581728673888755</c:v>
                </c:pt>
                <c:pt idx="155">
                  <c:v>-34.44555313596009</c:v>
                </c:pt>
                <c:pt idx="156">
                  <c:v>-34.310603627542136</c:v>
                </c:pt>
                <c:pt idx="157">
                  <c:v>-34.176867050291101</c:v>
                </c:pt>
                <c:pt idx="158">
                  <c:v>-34.041235573255854</c:v>
                </c:pt>
                <c:pt idx="159">
                  <c:v>-33.906847321235389</c:v>
                </c:pt>
                <c:pt idx="160">
                  <c:v>-33.773688736226369</c:v>
                </c:pt>
                <c:pt idx="161">
                  <c:v>-33.641746420546561</c:v>
                </c:pt>
                <c:pt idx="162">
                  <c:v>-33.508024414520875</c:v>
                </c:pt>
                <c:pt idx="163">
                  <c:v>-33.375547221961156</c:v>
                </c:pt>
                <c:pt idx="164">
                  <c:v>-33.244301013588355</c:v>
                </c:pt>
                <c:pt idx="165">
                  <c:v>-33.114272129031825</c:v>
                </c:pt>
                <c:pt idx="166">
                  <c:v>-32.982405103435099</c:v>
                </c:pt>
                <c:pt idx="167">
                  <c:v>-32.851785413700284</c:v>
                </c:pt>
                <c:pt idx="168">
                  <c:v>-32.722398942745585</c:v>
                </c:pt>
                <c:pt idx="169">
                  <c:v>-32.594231751376071</c:v>
                </c:pt>
                <c:pt idx="170">
                  <c:v>-32.46455868849899</c:v>
                </c:pt>
                <c:pt idx="171">
                  <c:v>-32.33612895559969</c:v>
                </c:pt>
                <c:pt idx="172">
                  <c:v>-32.208928258878757</c:v>
                </c:pt>
                <c:pt idx="173">
                  <c:v>-32.082942489615895</c:v>
                </c:pt>
                <c:pt idx="174">
                  <c:v>-31.955027287558785</c:v>
                </c:pt>
                <c:pt idx="175">
                  <c:v>-31.828359597358329</c:v>
                </c:pt>
                <c:pt idx="176">
                  <c:v>-31.70292480764536</c:v>
                </c:pt>
                <c:pt idx="177">
                  <c:v>-31.578708501845774</c:v>
                </c:pt>
                <c:pt idx="178">
                  <c:v>-31.452686620233337</c:v>
                </c:pt>
                <c:pt idx="179">
                  <c:v>-31.327913860462303</c:v>
                </c:pt>
                <c:pt idx="180">
                  <c:v>-31.204375336377577</c:v>
                </c:pt>
                <c:pt idx="181">
                  <c:v>-31.082056365728164</c:v>
                </c:pt>
                <c:pt idx="182">
                  <c:v>-30.958532382826721</c:v>
                </c:pt>
                <c:pt idx="183">
                  <c:v>-30.836247003321898</c:v>
                </c:pt>
                <c:pt idx="184">
                  <c:v>-30.71518528456583</c:v>
                </c:pt>
                <c:pt idx="185">
                  <c:v>-30.595332492973501</c:v>
                </c:pt>
                <c:pt idx="186">
                  <c:v>-30.473433518708067</c:v>
                </c:pt>
                <c:pt idx="187">
                  <c:v>-30.352779886696585</c:v>
                </c:pt>
                <c:pt idx="188">
                  <c:v>-30.23335628682435</c:v>
                </c:pt>
                <c:pt idx="189">
                  <c:v>-30.115147629067877</c:v>
                </c:pt>
                <c:pt idx="190">
                  <c:v>-29.995917625257558</c:v>
                </c:pt>
                <c:pt idx="191">
                  <c:v>-29.87791841971088</c:v>
                </c:pt>
                <c:pt idx="192">
                  <c:v>-29.761134726849669</c:v>
                </c:pt>
                <c:pt idx="193">
                  <c:v>-29.645551484774625</c:v>
                </c:pt>
                <c:pt idx="194">
                  <c:v>-29.52817047882402</c:v>
                </c:pt>
                <c:pt idx="195">
                  <c:v>-29.412022262530002</c:v>
                </c:pt>
                <c:pt idx="196">
                  <c:v>-29.297091270546936</c:v>
                </c:pt>
                <c:pt idx="197">
                  <c:v>-29.183362170731701</c:v>
                </c:pt>
                <c:pt idx="198">
                  <c:v>-29.068368596331357</c:v>
                </c:pt>
                <c:pt idx="199">
                  <c:v>-28.954598484729093</c:v>
                </c:pt>
                <c:pt idx="200">
                  <c:v>-28.842036205432315</c:v>
                </c:pt>
                <c:pt idx="201">
                  <c:v>-28.73066636645288</c:v>
                </c:pt>
                <c:pt idx="202">
                  <c:v>-28.618125314945779</c:v>
                </c:pt>
                <c:pt idx="203">
                  <c:v>-28.506796638659001</c:v>
                </c:pt>
                <c:pt idx="204">
                  <c:v>-28.396664680486268</c:v>
                </c:pt>
                <c:pt idx="205">
                  <c:v>-28.287714026293031</c:v>
                </c:pt>
                <c:pt idx="206">
                  <c:v>-28.17730591128171</c:v>
                </c:pt>
                <c:pt idx="207">
                  <c:v>-28.068105646507671</c:v>
                </c:pt>
                <c:pt idx="208">
                  <c:v>-27.960097424972911</c:v>
                </c:pt>
                <c:pt idx="209">
                  <c:v>-27.853265689651685</c:v>
                </c:pt>
                <c:pt idx="210">
                  <c:v>-27.744726067841121</c:v>
                </c:pt>
                <c:pt idx="211">
                  <c:v>-27.637395561770997</c:v>
                </c:pt>
                <c:pt idx="212">
                  <c:v>-27.531258100776199</c:v>
                </c:pt>
                <c:pt idx="213">
                  <c:v>-27.4262978736528</c:v>
                </c:pt>
                <c:pt idx="214">
                  <c:v>-27.320441953772601</c:v>
                </c:pt>
                <c:pt idx="215">
                  <c:v>-27.21577824950722</c:v>
                </c:pt>
                <c:pt idx="216">
                  <c:v>-27.112290789744019</c:v>
                </c:pt>
                <c:pt idx="217">
                  <c:v>-27.009963864529769</c:v>
                </c:pt>
                <c:pt idx="218">
                  <c:v>-26.906488174783991</c:v>
                </c:pt>
                <c:pt idx="219">
                  <c:v>-26.804194118568752</c:v>
                </c:pt>
                <c:pt idx="220">
                  <c:v>-26.703065703791331</c:v>
                </c:pt>
                <c:pt idx="221">
                  <c:v>-26.603087203747762</c:v>
                </c:pt>
                <c:pt idx="222">
                  <c:v>-26.502052432094263</c:v>
                </c:pt>
                <c:pt idx="223">
                  <c:v>-26.402187006484304</c:v>
                </c:pt>
                <c:pt idx="224">
                  <c:v>-26.303474953059585</c:v>
                </c:pt>
                <c:pt idx="225">
                  <c:v>-26.205900566657998</c:v>
                </c:pt>
                <c:pt idx="226">
                  <c:v>-26.107058814753373</c:v>
                </c:pt>
                <c:pt idx="227">
                  <c:v>-26.009379579690812</c:v>
                </c:pt>
                <c:pt idx="228">
                  <c:v>-25.912846798030124</c:v>
                </c:pt>
                <c:pt idx="229">
                  <c:v>-25.817444680719749</c:v>
                </c:pt>
                <c:pt idx="230">
                  <c:v>-25.625466511834109</c:v>
                </c:pt>
                <c:pt idx="231">
                  <c:v>-25.531191784936269</c:v>
                </c:pt>
                <c:pt idx="232">
                  <c:v>-25.438038764480975</c:v>
                </c:pt>
                <c:pt idx="233">
                  <c:v>-25.343820121161823</c:v>
                </c:pt>
                <c:pt idx="234">
                  <c:v>-25.250744371741501</c:v>
                </c:pt>
                <c:pt idx="235">
                  <c:v>-25.15879540584449</c:v>
                </c:pt>
                <c:pt idx="236">
                  <c:v>-25.067957395825136</c:v>
                </c:pt>
                <c:pt idx="237">
                  <c:v>-24.976405157943237</c:v>
                </c:pt>
                <c:pt idx="238">
                  <c:v>-24.885977003126957</c:v>
                </c:pt>
                <c:pt idx="239">
                  <c:v>-24.796656994156461</c:v>
                </c:pt>
                <c:pt idx="240">
                  <c:v>-24.708429476029323</c:v>
                </c:pt>
                <c:pt idx="241">
                  <c:v>-24.61906478042042</c:v>
                </c:pt>
                <c:pt idx="242">
                  <c:v>-24.530816689250173</c:v>
                </c:pt>
                <c:pt idx="243">
                  <c:v>-24.443669203003626</c:v>
                </c:pt>
                <c:pt idx="244">
                  <c:v>-24.35760660935048</c:v>
                </c:pt>
                <c:pt idx="245">
                  <c:v>-24.270741969227366</c:v>
                </c:pt>
                <c:pt idx="246">
                  <c:v>-24.184978534131293</c:v>
                </c:pt>
                <c:pt idx="247">
                  <c:v>-24.100300415595036</c:v>
                </c:pt>
                <c:pt idx="248">
                  <c:v>-24.016692013124473</c:v>
                </c:pt>
                <c:pt idx="249">
                  <c:v>-23.932137540553075</c:v>
                </c:pt>
                <c:pt idx="250">
                  <c:v>-23.848673361022076</c:v>
                </c:pt>
                <c:pt idx="251">
                  <c:v>-23.766283604968336</c:v>
                </c:pt>
                <c:pt idx="252">
                  <c:v>-23.684952693744613</c:v>
                </c:pt>
                <c:pt idx="253">
                  <c:v>-23.602977296753146</c:v>
                </c:pt>
                <c:pt idx="254">
                  <c:v>-23.522074104528858</c:v>
                </c:pt>
                <c:pt idx="255">
                  <c:v>-23.442227427370049</c:v>
                </c:pt>
                <c:pt idx="256">
                  <c:v>-23.363421865433256</c:v>
                </c:pt>
                <c:pt idx="257">
                  <c:v>-23.28364078853636</c:v>
                </c:pt>
                <c:pt idx="258">
                  <c:v>-23.204923542555036</c:v>
                </c:pt>
                <c:pt idx="259">
                  <c:v>-23.127254409506008</c:v>
                </c:pt>
                <c:pt idx="260">
                  <c:v>-23.050617965258059</c:v>
                </c:pt>
                <c:pt idx="261">
                  <c:v>-22.97329217081473</c:v>
                </c:pt>
                <c:pt idx="262">
                  <c:v>-22.897014819048874</c:v>
                </c:pt>
                <c:pt idx="263">
                  <c:v>-22.821770322099002</c:v>
                </c:pt>
                <c:pt idx="264">
                  <c:v>-22.747543385968953</c:v>
                </c:pt>
                <c:pt idx="265">
                  <c:v>-22.672703069256418</c:v>
                </c:pt>
                <c:pt idx="266">
                  <c:v>-22.598894634619736</c:v>
                </c:pt>
                <c:pt idx="267">
                  <c:v>-22.526102655631227</c:v>
                </c:pt>
                <c:pt idx="268">
                  <c:v>-22.454311998863911</c:v>
                </c:pt>
                <c:pt idx="269">
                  <c:v>-22.381809650949027</c:v>
                </c:pt>
                <c:pt idx="270">
                  <c:v>-22.310326365966009</c:v>
                </c:pt>
                <c:pt idx="271">
                  <c:v>-22.239846800036659</c:v>
                </c:pt>
                <c:pt idx="272">
                  <c:v>-22.17035590333235</c:v>
                </c:pt>
                <c:pt idx="273">
                  <c:v>-22.100234583778594</c:v>
                </c:pt>
                <c:pt idx="274">
                  <c:v>-22.031118125650778</c:v>
                </c:pt>
                <c:pt idx="275">
                  <c:v>-21.962991302836318</c:v>
                </c:pt>
                <c:pt idx="276">
                  <c:v>-21.895839183359456</c:v>
                </c:pt>
                <c:pt idx="277">
                  <c:v>-21.828284534252571</c:v>
                </c:pt>
                <c:pt idx="278">
                  <c:v>-21.761714902740597</c:v>
                </c:pt>
                <c:pt idx="279">
                  <c:v>-21.696115313366501</c:v>
                </c:pt>
                <c:pt idx="280">
                  <c:v>-21.631471081388749</c:v>
                </c:pt>
                <c:pt idx="281">
                  <c:v>-21.566055165579797</c:v>
                </c:pt>
                <c:pt idx="282">
                  <c:v>-21.501616576993271</c:v>
                </c:pt>
                <c:pt idx="283">
                  <c:v>-21.438140318501677</c:v>
                </c:pt>
                <c:pt idx="284">
                  <c:v>-21.375611687241982</c:v>
                </c:pt>
                <c:pt idx="285">
                  <c:v>-21.312807212444401</c:v>
                </c:pt>
                <c:pt idx="286">
                  <c:v>-21.250958246199076</c:v>
                </c:pt>
                <c:pt idx="287">
                  <c:v>-21.190050097230529</c:v>
                </c:pt>
                <c:pt idx="288">
                  <c:v>-21.130068363475658</c:v>
                </c:pt>
                <c:pt idx="289">
                  <c:v>-21.069483244767547</c:v>
                </c:pt>
                <c:pt idx="290">
                  <c:v>-21.009843278393038</c:v>
                </c:pt>
                <c:pt idx="291">
                  <c:v>-20.951133820021109</c:v>
                </c:pt>
                <c:pt idx="292">
                  <c:v>-20.893340516177002</c:v>
                </c:pt>
                <c:pt idx="293">
                  <c:v>-20.835145137881984</c:v>
                </c:pt>
                <c:pt idx="294">
                  <c:v>-20.77787925286351</c:v>
                </c:pt>
                <c:pt idx="295">
                  <c:v>-20.72152838984934</c:v>
                </c:pt>
                <c:pt idx="296">
                  <c:v>-20.666078366684115</c:v>
                </c:pt>
                <c:pt idx="297">
                  <c:v>-20.61029298874843</c:v>
                </c:pt>
                <c:pt idx="298">
                  <c:v>-20.555420505725561</c:v>
                </c:pt>
                <c:pt idx="299">
                  <c:v>-20.501446645737158</c:v>
                </c:pt>
                <c:pt idx="300">
                  <c:v>-20.448357423497654</c:v>
                </c:pt>
                <c:pt idx="301">
                  <c:v>-20.394995445798465</c:v>
                </c:pt>
                <c:pt idx="302">
                  <c:v>-20.342528961537965</c:v>
                </c:pt>
                <c:pt idx="303">
                  <c:v>-20.290943921629019</c:v>
                </c:pt>
                <c:pt idx="304">
                  <c:v>-20.240226560337575</c:v>
                </c:pt>
                <c:pt idx="305">
                  <c:v>-20.189100938484618</c:v>
                </c:pt>
                <c:pt idx="306">
                  <c:v>-20.138859441878278</c:v>
                </c:pt>
                <c:pt idx="307">
                  <c:v>-20.089488106504604</c:v>
                </c:pt>
                <c:pt idx="308">
                  <c:v>-20.040973252087618</c:v>
                </c:pt>
                <c:pt idx="309">
                  <c:v>-19.992305871951125</c:v>
                </c:pt>
                <c:pt idx="310">
                  <c:v>-19.944503498101511</c:v>
                </c:pt>
                <c:pt idx="311">
                  <c:v>-19.897552438143602</c:v>
                </c:pt>
                <c:pt idx="312">
                  <c:v>-19.85143927869786</c:v>
                </c:pt>
                <c:pt idx="313">
                  <c:v>-19.80505647764744</c:v>
                </c:pt>
                <c:pt idx="314">
                  <c:v>-19.759525322012475</c:v>
                </c:pt>
                <c:pt idx="315">
                  <c:v>-19.714832258943328</c:v>
                </c:pt>
                <c:pt idx="316">
                  <c:v>-19.67096401337994</c:v>
                </c:pt>
                <c:pt idx="317">
                  <c:v>-19.626892217256589</c:v>
                </c:pt>
                <c:pt idx="318">
                  <c:v>-19.583657684943272</c:v>
                </c:pt>
                <c:pt idx="319">
                  <c:v>-19.541247030711673</c:v>
                </c:pt>
                <c:pt idx="320">
                  <c:v>-19.499647144582138</c:v>
                </c:pt>
                <c:pt idx="321">
                  <c:v>-19.457905695183388</c:v>
                </c:pt>
                <c:pt idx="322">
                  <c:v>-19.416986244222112</c:v>
                </c:pt>
                <c:pt idx="323">
                  <c:v>-19.376875597734291</c:v>
                </c:pt>
                <c:pt idx="324">
                  <c:v>-19.337560834718182</c:v>
                </c:pt>
                <c:pt idx="325">
                  <c:v>-19.298162588541871</c:v>
                </c:pt>
                <c:pt idx="326">
                  <c:v>-19.259570320852543</c:v>
                </c:pt>
                <c:pt idx="327">
                  <c:v>-19.221771051232039</c:v>
                </c:pt>
                <c:pt idx="328">
                  <c:v>-19.184752068763014</c:v>
                </c:pt>
                <c:pt idx="329">
                  <c:v>-19.147642682872377</c:v>
                </c:pt>
                <c:pt idx="330">
                  <c:v>-19.111325242542584</c:v>
                </c:pt>
                <c:pt idx="331">
                  <c:v>-19.075786936535195</c:v>
                </c:pt>
                <c:pt idx="332">
                  <c:v>-19.041015220804013</c:v>
                </c:pt>
                <c:pt idx="333">
                  <c:v>-19.006267809967362</c:v>
                </c:pt>
                <c:pt idx="334">
                  <c:v>-18.97229497579216</c:v>
                </c:pt>
                <c:pt idx="335">
                  <c:v>-18.939084160282057</c:v>
                </c:pt>
                <c:pt idx="336">
                  <c:v>-18.906623067921036</c:v>
                </c:pt>
                <c:pt idx="337">
                  <c:v>-18.874131285835343</c:v>
                </c:pt>
                <c:pt idx="338">
                  <c:v>-18.842401116672601</c:v>
                </c:pt>
                <c:pt idx="339">
                  <c:v>-18.811420152254581</c:v>
                </c:pt>
                <c:pt idx="340">
                  <c:v>-18.781176244974301</c:v>
                </c:pt>
                <c:pt idx="341">
                  <c:v>-18.750960096045493</c:v>
                </c:pt>
                <c:pt idx="342">
                  <c:v>-18.7214917241173</c:v>
                </c:pt>
                <c:pt idx="343">
                  <c:v>-18.692758894709801</c:v>
                </c:pt>
                <c:pt idx="344">
                  <c:v>-18.664749631279982</c:v>
                </c:pt>
                <c:pt idx="345">
                  <c:v>-18.636864781768296</c:v>
                </c:pt>
                <c:pt idx="346">
                  <c:v>-18.609710913170122</c:v>
                </c:pt>
                <c:pt idx="347">
                  <c:v>-18.583276040122939</c:v>
                </c:pt>
                <c:pt idx="348">
                  <c:v>-18.557548430384585</c:v>
                </c:pt>
                <c:pt idx="349">
                  <c:v>-18.531914662544054</c:v>
                </c:pt>
                <c:pt idx="350">
                  <c:v>-18.506998942157551</c:v>
                </c:pt>
                <c:pt idx="351">
                  <c:v>-18.482789441287395</c:v>
                </c:pt>
                <c:pt idx="352">
                  <c:v>-18.459274582806678</c:v>
                </c:pt>
                <c:pt idx="353">
                  <c:v>-18.435907662182395</c:v>
                </c:pt>
                <c:pt idx="354">
                  <c:v>-18.413245074555441</c:v>
                </c:pt>
                <c:pt idx="355">
                  <c:v>-18.391275170993673</c:v>
                </c:pt>
                <c:pt idx="356">
                  <c:v>-18.369986550399858</c:v>
                </c:pt>
                <c:pt idx="357">
                  <c:v>-18.348925903792214</c:v>
                </c:pt>
                <c:pt idx="358">
                  <c:v>-18.328553268076959</c:v>
                </c:pt>
                <c:pt idx="359">
                  <c:v>-18.308857240462881</c:v>
                </c:pt>
                <c:pt idx="360">
                  <c:v>-18.289826661054153</c:v>
                </c:pt>
                <c:pt idx="361">
                  <c:v>-18.2710142507716</c:v>
                </c:pt>
                <c:pt idx="362">
                  <c:v>-18.252876919853193</c:v>
                </c:pt>
                <c:pt idx="363">
                  <c:v>-18.235403430275273</c:v>
                </c:pt>
                <c:pt idx="364">
                  <c:v>-18.218582784209719</c:v>
                </c:pt>
                <c:pt idx="365">
                  <c:v>-18.20205190566881</c:v>
                </c:pt>
                <c:pt idx="366">
                  <c:v>-18.186180709799501</c:v>
                </c:pt>
                <c:pt idx="367">
                  <c:v>-18.170958186928598</c:v>
                </c:pt>
                <c:pt idx="368">
                  <c:v>-18.156373563012298</c:v>
                </c:pt>
                <c:pt idx="369">
                  <c:v>-18.142082718514931</c:v>
                </c:pt>
                <c:pt idx="370">
                  <c:v>-18.128439196028477</c:v>
                </c:pt>
                <c:pt idx="371">
                  <c:v>-18.11543214070301</c:v>
                </c:pt>
                <c:pt idx="372">
                  <c:v>-18.103050930783642</c:v>
                </c:pt>
                <c:pt idx="373">
                  <c:v>-18.091026910745232</c:v>
                </c:pt>
                <c:pt idx="374">
                  <c:v>-18.079635532328492</c:v>
                </c:pt>
                <c:pt idx="375">
                  <c:v>-18.068866155502374</c:v>
                </c:pt>
                <c:pt idx="376">
                  <c:v>-18.058708369028171</c:v>
                </c:pt>
                <c:pt idx="377">
                  <c:v>-18.048923990809602</c:v>
                </c:pt>
                <c:pt idx="378">
                  <c:v>-18.039760297251373</c:v>
                </c:pt>
                <c:pt idx="379">
                  <c:v>-18.03120679650587</c:v>
                </c:pt>
                <c:pt idx="380">
                  <c:v>-18.023253223063335</c:v>
                </c:pt>
                <c:pt idx="381">
                  <c:v>-18.015737482754631</c:v>
                </c:pt>
                <c:pt idx="382">
                  <c:v>-18.008826809082066</c:v>
                </c:pt>
                <c:pt idx="383">
                  <c:v>-18.002510952515259</c:v>
                </c:pt>
                <c:pt idx="384">
                  <c:v>-17.996779884653609</c:v>
                </c:pt>
                <c:pt idx="385">
                  <c:v>-17.991503226814423</c:v>
                </c:pt>
                <c:pt idx="386">
                  <c:v>-17.986820065173799</c:v>
                </c:pt>
                <c:pt idx="387">
                  <c:v>-17.982720291730697</c:v>
                </c:pt>
                <c:pt idx="388">
                  <c:v>-17.979194017240435</c:v>
                </c:pt>
                <c:pt idx="389">
                  <c:v>-17.97617005435837</c:v>
                </c:pt>
                <c:pt idx="390">
                  <c:v>-17.973725985315738</c:v>
                </c:pt>
                <c:pt idx="391">
                  <c:v>-17.971851896472518</c:v>
                </c:pt>
                <c:pt idx="392">
                  <c:v>-17.970538089001387</c:v>
                </c:pt>
                <c:pt idx="393">
                  <c:v>-17.969764188490064</c:v>
                </c:pt>
                <c:pt idx="394">
                  <c:v>-17.969556174454681</c:v>
                </c:pt>
                <c:pt idx="395">
                  <c:v>-17.969904339436557</c:v>
                </c:pt>
                <c:pt idx="396">
                  <c:v>-17.97079918645051</c:v>
                </c:pt>
                <c:pt idx="397">
                  <c:v>-17.972272799303401</c:v>
                </c:pt>
                <c:pt idx="398">
                  <c:v>-17.974300443754377</c:v>
                </c:pt>
                <c:pt idx="399">
                  <c:v>-17.976872564459715</c:v>
                </c:pt>
                <c:pt idx="400">
                  <c:v>-17.979979813715531</c:v>
                </c:pt>
                <c:pt idx="401">
                  <c:v>-17.983701060734415</c:v>
                </c:pt>
                <c:pt idx="402">
                  <c:v>-17.987962739288491</c:v>
                </c:pt>
                <c:pt idx="403">
                  <c:v>-17.992755491934709</c:v>
                </c:pt>
                <c:pt idx="404">
                  <c:v>-17.998070164663904</c:v>
                </c:pt>
                <c:pt idx="405">
                  <c:v>-18.004038891371156</c:v>
                </c:pt>
                <c:pt idx="406">
                  <c:v>-18.010535253522491</c:v>
                </c:pt>
                <c:pt idx="407">
                  <c:v>-18.017550071715906</c:v>
                </c:pt>
                <c:pt idx="408">
                  <c:v>-18.025074366299698</c:v>
                </c:pt>
                <c:pt idx="409">
                  <c:v>-18.033295816206248</c:v>
                </c:pt>
                <c:pt idx="410">
                  <c:v>-18.042032784746379</c:v>
                </c:pt>
                <c:pt idx="411">
                  <c:v>-18.051276253422191</c:v>
                </c:pt>
                <c:pt idx="412">
                  <c:v>-18.061017400249195</c:v>
                </c:pt>
                <c:pt idx="413">
                  <c:v>-18.071490485959096</c:v>
                </c:pt>
                <c:pt idx="414">
                  <c:v>-18.082466513526938</c:v>
                </c:pt>
                <c:pt idx="415">
                  <c:v>-18.093936637681633</c:v>
                </c:pt>
                <c:pt idx="416">
                  <c:v>-18.105892206024112</c:v>
                </c:pt>
                <c:pt idx="417">
                  <c:v>-18.118624957363195</c:v>
                </c:pt>
                <c:pt idx="418">
                  <c:v>-18.131848670313513</c:v>
                </c:pt>
                <c:pt idx="419">
                  <c:v>-18.14555465730372</c:v>
                </c:pt>
                <c:pt idx="420">
                  <c:v>-18.1597344203959</c:v>
                </c:pt>
                <c:pt idx="421">
                  <c:v>-18.174708988583962</c:v>
                </c:pt>
                <c:pt idx="422">
                  <c:v>-18.190161168045442</c:v>
                </c:pt>
                <c:pt idx="423">
                  <c:v>-18.206082465237795</c:v>
                </c:pt>
                <c:pt idx="424">
                  <c:v>-18.222464571913218</c:v>
                </c:pt>
                <c:pt idx="425">
                  <c:v>-18.239719240344776</c:v>
                </c:pt>
                <c:pt idx="426">
                  <c:v>-18.257440590748509</c:v>
                </c:pt>
                <c:pt idx="427">
                  <c:v>-18.275620259072827</c:v>
                </c:pt>
                <c:pt idx="428">
                  <c:v>-18.294250064048953</c:v>
                </c:pt>
                <c:pt idx="429">
                  <c:v>-18.313766852595855</c:v>
                </c:pt>
                <c:pt idx="430">
                  <c:v>-18.333738013958033</c:v>
                </c:pt>
                <c:pt idx="431">
                  <c:v>-18.354155349765048</c:v>
                </c:pt>
                <c:pt idx="432">
                  <c:v>-18.375010840824075</c:v>
                </c:pt>
                <c:pt idx="433">
                  <c:v>-18.396781220149254</c:v>
                </c:pt>
                <c:pt idx="434">
                  <c:v>-18.418993319218782</c:v>
                </c:pt>
                <c:pt idx="435">
                  <c:v>-18.441639114195343</c:v>
                </c:pt>
                <c:pt idx="436">
                  <c:v>-18.464710756513469</c:v>
                </c:pt>
                <c:pt idx="437">
                  <c:v>-18.488766438864708</c:v>
                </c:pt>
                <c:pt idx="438">
                  <c:v>-18.513252436020213</c:v>
                </c:pt>
                <c:pt idx="439">
                  <c:v>-18.53816086399711</c:v>
                </c:pt>
                <c:pt idx="440">
                  <c:v>-18.563484011143217</c:v>
                </c:pt>
                <c:pt idx="441">
                  <c:v>-18.589819121319643</c:v>
                </c:pt>
                <c:pt idx="442">
                  <c:v>-18.616572710539263</c:v>
                </c:pt>
                <c:pt idx="443">
                  <c:v>-18.643737045150512</c:v>
                </c:pt>
                <c:pt idx="444">
                  <c:v>-18.671304560547004</c:v>
                </c:pt>
                <c:pt idx="445">
                  <c:v>-18.699909611862701</c:v>
                </c:pt>
                <c:pt idx="446">
                  <c:v>-18.728920942556258</c:v>
                </c:pt>
                <c:pt idx="447">
                  <c:v>-18.758330978095547</c:v>
                </c:pt>
                <c:pt idx="448">
                  <c:v>-18.788132309413491</c:v>
                </c:pt>
                <c:pt idx="449">
                  <c:v>-18.819046589250608</c:v>
                </c:pt>
                <c:pt idx="450">
                  <c:v>-18.850355955058312</c:v>
                </c:pt>
                <c:pt idx="451">
                  <c:v>-18.88205296172903</c:v>
                </c:pt>
                <c:pt idx="452">
                  <c:v>-18.914130326864132</c:v>
                </c:pt>
                <c:pt idx="453">
                  <c:v>-18.947318376910317</c:v>
                </c:pt>
                <c:pt idx="454">
                  <c:v>-18.980889266577829</c:v>
                </c:pt>
                <c:pt idx="455">
                  <c:v>-19.014835707849908</c:v>
                </c:pt>
                <c:pt idx="456">
                  <c:v>-19.04915057182308</c:v>
                </c:pt>
                <c:pt idx="457">
                  <c:v>-19.084654142727494</c:v>
                </c:pt>
                <c:pt idx="458">
                  <c:v>-19.120529202652452</c:v>
                </c:pt>
                <c:pt idx="459">
                  <c:v>-19.156768593113217</c:v>
                </c:pt>
                <c:pt idx="460">
                  <c:v>-19.193365311906796</c:v>
                </c:pt>
                <c:pt idx="461">
                  <c:v>-19.231173101168586</c:v>
                </c:pt>
                <c:pt idx="462">
                  <c:v>-19.269340629068608</c:v>
                </c:pt>
                <c:pt idx="463">
                  <c:v>-19.307860875516479</c:v>
                </c:pt>
                <c:pt idx="464">
                  <c:v>-19.346726973581479</c:v>
                </c:pt>
                <c:pt idx="465">
                  <c:v>-19.386855091813075</c:v>
                </c:pt>
                <c:pt idx="466">
                  <c:v>-19.4273313830303</c:v>
                </c:pt>
                <c:pt idx="467">
                  <c:v>-19.468148957323695</c:v>
                </c:pt>
                <c:pt idx="468">
                  <c:v>-19.509301075027523</c:v>
                </c:pt>
                <c:pt idx="469">
                  <c:v>-19.551734857722202</c:v>
                </c:pt>
                <c:pt idx="470">
                  <c:v>-19.594504880234386</c:v>
                </c:pt>
                <c:pt idx="471">
                  <c:v>-19.637604390614065</c:v>
                </c:pt>
                <c:pt idx="472">
                  <c:v>-19.681026783983633</c:v>
                </c:pt>
                <c:pt idx="473">
                  <c:v>-19.725813923460311</c:v>
                </c:pt>
                <c:pt idx="474">
                  <c:v>-19.77092599288606</c:v>
                </c:pt>
                <c:pt idx="475">
                  <c:v>-19.816356356014033</c:v>
                </c:pt>
                <c:pt idx="476">
                  <c:v>-19.862098521114525</c:v>
                </c:pt>
                <c:pt idx="477">
                  <c:v>-19.909223728776244</c:v>
                </c:pt>
                <c:pt idx="478">
                  <c:v>-19.956662144488156</c:v>
                </c:pt>
                <c:pt idx="479">
                  <c:v>-20.0044072560868</c:v>
                </c:pt>
                <c:pt idx="480">
                  <c:v>-20.052452693102154</c:v>
                </c:pt>
                <c:pt idx="481">
                  <c:v>-20.101897358210753</c:v>
                </c:pt>
                <c:pt idx="482">
                  <c:v>-20.151643151667351</c:v>
                </c:pt>
                <c:pt idx="483">
                  <c:v>-20.201683692416385</c:v>
                </c:pt>
                <c:pt idx="484">
                  <c:v>-20.25201273804548</c:v>
                </c:pt>
                <c:pt idx="485">
                  <c:v>-20.30379052907011</c:v>
                </c:pt>
                <c:pt idx="486">
                  <c:v>-20.35585744988694</c:v>
                </c:pt>
                <c:pt idx="487">
                  <c:v>-20.408207243689517</c:v>
                </c:pt>
                <c:pt idx="488">
                  <c:v>-20.460833789441068</c:v>
                </c:pt>
                <c:pt idx="489">
                  <c:v>-20.514994669173031</c:v>
                </c:pt>
                <c:pt idx="490">
                  <c:v>-20.569433080423948</c:v>
                </c:pt>
                <c:pt idx="491">
                  <c:v>-20.624142872460791</c:v>
                </c:pt>
                <c:pt idx="492">
                  <c:v>-20.679118027952381</c:v>
                </c:pt>
                <c:pt idx="493">
                  <c:v>-20.735641082607792</c:v>
                </c:pt>
                <c:pt idx="494">
                  <c:v>-20.792429659299479</c:v>
                </c:pt>
                <c:pt idx="495">
                  <c:v>-20.849477721009581</c:v>
                </c:pt>
                <c:pt idx="496">
                  <c:v>-20.906779361518506</c:v>
                </c:pt>
                <c:pt idx="497">
                  <c:v>-20.965677907695358</c:v>
                </c:pt>
                <c:pt idx="498">
                  <c:v>-21.024829922747269</c:v>
                </c:pt>
                <c:pt idx="499">
                  <c:v>-21.084229478648062</c:v>
                </c:pt>
                <c:pt idx="500">
                  <c:v>-21.143870775689937</c:v>
                </c:pt>
                <c:pt idx="501">
                  <c:v>-21.205157574496155</c:v>
                </c:pt>
                <c:pt idx="502">
                  <c:v>-21.266685708999866</c:v>
                </c:pt>
                <c:pt idx="503">
                  <c:v>-21.32844935603584</c:v>
                </c:pt>
                <c:pt idx="504">
                  <c:v>-21.390442818387111</c:v>
                </c:pt>
                <c:pt idx="505">
                  <c:v>-21.454091184295361</c:v>
                </c:pt>
                <c:pt idx="506">
                  <c:v>-21.51796836485611</c:v>
                </c:pt>
                <c:pt idx="507">
                  <c:v>-21.582068648455412</c:v>
                </c:pt>
                <c:pt idx="508">
                  <c:v>-21.646386446859992</c:v>
                </c:pt>
                <c:pt idx="509">
                  <c:v>-21.712405791735236</c:v>
                </c:pt>
                <c:pt idx="510">
                  <c:v>-21.778641340547829</c:v>
                </c:pt>
                <c:pt idx="511">
                  <c:v>-21.845087489009618</c:v>
                </c:pt>
                <c:pt idx="512">
                  <c:v>-21.911738753766105</c:v>
                </c:pt>
                <c:pt idx="513">
                  <c:v>-21.9801772364588</c:v>
                </c:pt>
                <c:pt idx="514">
                  <c:v>-22.04881942263809</c:v>
                </c:pt>
                <c:pt idx="515">
                  <c:v>-22.117659802194545</c:v>
                </c:pt>
                <c:pt idx="516">
                  <c:v>-22.186692983885507</c:v>
                </c:pt>
                <c:pt idx="517">
                  <c:v>-22.25751913164471</c:v>
                </c:pt>
                <c:pt idx="518">
                  <c:v>-22.328536064897261</c:v>
                </c:pt>
                <c:pt idx="519">
                  <c:v>-22.399738374638012</c:v>
                </c:pt>
                <c:pt idx="520">
                  <c:v>-22.47112076847149</c:v>
                </c:pt>
                <c:pt idx="521">
                  <c:v>-22.54434045902752</c:v>
                </c:pt>
                <c:pt idx="522">
                  <c:v>-22.617737837723393</c:v>
                </c:pt>
                <c:pt idx="523">
                  <c:v>-22.691307593894091</c:v>
                </c:pt>
                <c:pt idx="524">
                  <c:v>-22.765044531319411</c:v>
                </c:pt>
                <c:pt idx="525">
                  <c:v>-22.840662132610962</c:v>
                </c:pt>
                <c:pt idx="526">
                  <c:v>-22.916444119057182</c:v>
                </c:pt>
                <c:pt idx="527">
                  <c:v>-22.992385276003763</c:v>
                </c:pt>
                <c:pt idx="528">
                  <c:v>-23.06848050116194</c:v>
                </c:pt>
                <c:pt idx="529">
                  <c:v>-23.146498699759157</c:v>
                </c:pt>
                <c:pt idx="530">
                  <c:v>-23.224667750557188</c:v>
                </c:pt>
                <c:pt idx="531">
                  <c:v>-23.302982532993596</c:v>
                </c:pt>
                <c:pt idx="532">
                  <c:v>-23.381438036871536</c:v>
                </c:pt>
                <c:pt idx="533">
                  <c:v>-23.461899228969681</c:v>
                </c:pt>
                <c:pt idx="534">
                  <c:v>-23.542497626807815</c:v>
                </c:pt>
                <c:pt idx="535">
                  <c:v>-23.623228194681129</c:v>
                </c:pt>
                <c:pt idx="536">
                  <c:v>-23.704086005546234</c:v>
                </c:pt>
                <c:pt idx="537">
                  <c:v>-23.78690618273572</c:v>
                </c:pt>
                <c:pt idx="538">
                  <c:v>-23.869849358109658</c:v>
                </c:pt>
                <c:pt idx="539">
                  <c:v>-23.952910595300331</c:v>
                </c:pt>
                <c:pt idx="540">
                  <c:v>-24.036085064520048</c:v>
                </c:pt>
                <c:pt idx="541">
                  <c:v>-24.121344242906467</c:v>
                </c:pt>
                <c:pt idx="542">
                  <c:v>-24.206712174058037</c:v>
                </c:pt>
                <c:pt idx="543">
                  <c:v>-24.292184005131947</c:v>
                </c:pt>
                <c:pt idx="544">
                  <c:v>-24.377754988282447</c:v>
                </c:pt>
                <c:pt idx="545">
                  <c:v>-24.465405926973908</c:v>
                </c:pt>
                <c:pt idx="546">
                  <c:v>-24.553150933268196</c:v>
                </c:pt>
                <c:pt idx="547">
                  <c:v>-24.640985245005815</c:v>
                </c:pt>
                <c:pt idx="548">
                  <c:v>-24.728904203288582</c:v>
                </c:pt>
                <c:pt idx="549">
                  <c:v>-24.818938821286704</c:v>
                </c:pt>
                <c:pt idx="550">
                  <c:v>-24.909052498224948</c:v>
                </c:pt>
                <c:pt idx="551">
                  <c:v>-24.999240562529675</c:v>
                </c:pt>
                <c:pt idx="552">
                  <c:v>-25.089498444216112</c:v>
                </c:pt>
                <c:pt idx="553">
                  <c:v>-25.181948676726957</c:v>
                </c:pt>
                <c:pt idx="554">
                  <c:v>-25.27446267884816</c:v>
                </c:pt>
                <c:pt idx="555">
                  <c:v>-25.367035863592662</c:v>
                </c:pt>
                <c:pt idx="556">
                  <c:v>-25.459663744132783</c:v>
                </c:pt>
                <c:pt idx="557">
                  <c:v>-25.649417635048504</c:v>
                </c:pt>
                <c:pt idx="558">
                  <c:v>-25.839345989709987</c:v>
                </c:pt>
                <c:pt idx="559">
                  <c:v>-26.033771954153018</c:v>
                </c:pt>
                <c:pt idx="560">
                  <c:v>-26.228308356468624</c:v>
                </c:pt>
                <c:pt idx="561">
                  <c:v>-26.427539092435719</c:v>
                </c:pt>
                <c:pt idx="562">
                  <c:v>-26.62681483305639</c:v>
                </c:pt>
                <c:pt idx="563">
                  <c:v>-26.83037856222348</c:v>
                </c:pt>
                <c:pt idx="564">
                  <c:v>-27.03392026418868</c:v>
                </c:pt>
                <c:pt idx="565">
                  <c:v>-27.242536310743006</c:v>
                </c:pt>
                <c:pt idx="566">
                  <c:v>-27.451061434495305</c:v>
                </c:pt>
                <c:pt idx="567">
                  <c:v>-27.664586428789523</c:v>
                </c:pt>
                <c:pt idx="568">
                  <c:v>-27.877949438723206</c:v>
                </c:pt>
                <c:pt idx="569">
                  <c:v>-28.095380258964102</c:v>
                </c:pt>
                <c:pt idx="570">
                  <c:v>-28.312578048681615</c:v>
                </c:pt>
                <c:pt idx="571">
                  <c:v>-28.535463511535223</c:v>
                </c:pt>
                <c:pt idx="572">
                  <c:v>-28.758039514045361</c:v>
                </c:pt>
                <c:pt idx="573">
                  <c:v>-28.984513776019437</c:v>
                </c:pt>
                <c:pt idx="574">
                  <c:v>-29.210605350407722</c:v>
                </c:pt>
                <c:pt idx="575">
                  <c:v>-29.44219637837331</c:v>
                </c:pt>
                <c:pt idx="576">
                  <c:v>-29.67332447287027</c:v>
                </c:pt>
                <c:pt idx="577">
                  <c:v>-30.646070454722782</c:v>
                </c:pt>
                <c:pt idx="578">
                  <c:v>-31.608160443579127</c:v>
                </c:pt>
                <c:pt idx="579">
                  <c:v>-33.672163409185629</c:v>
                </c:pt>
                <c:pt idx="580">
                  <c:v>-35.857068009800557</c:v>
                </c:pt>
                <c:pt idx="581">
                  <c:v>-38.145167553223885</c:v>
                </c:pt>
                <c:pt idx="582">
                  <c:v>-40.520403721312832</c:v>
                </c:pt>
                <c:pt idx="583">
                  <c:v>-42.961010512530308</c:v>
                </c:pt>
                <c:pt idx="584">
                  <c:v>-45.446895692262366</c:v>
                </c:pt>
                <c:pt idx="585">
                  <c:v>-47.953563994746659</c:v>
                </c:pt>
                <c:pt idx="586">
                  <c:v>-50.458028646332835</c:v>
                </c:pt>
                <c:pt idx="587">
                  <c:v>-52.938917887023671</c:v>
                </c:pt>
                <c:pt idx="588">
                  <c:v>-55.372685803988993</c:v>
                </c:pt>
                <c:pt idx="589">
                  <c:v>-57.742364415997983</c:v>
                </c:pt>
                <c:pt idx="590">
                  <c:v>-60.030873481818034</c:v>
                </c:pt>
                <c:pt idx="591">
                  <c:v>-62.225341421395747</c:v>
                </c:pt>
                <c:pt idx="592">
                  <c:v>-64.315582386811798</c:v>
                </c:pt>
                <c:pt idx="593">
                  <c:v>-66.295373723199859</c:v>
                </c:pt>
                <c:pt idx="594">
                  <c:v>-68.160170478592292</c:v>
                </c:pt>
                <c:pt idx="595">
                  <c:v>-69.908820461526247</c:v>
                </c:pt>
                <c:pt idx="596">
                  <c:v>-71.541530700092295</c:v>
                </c:pt>
                <c:pt idx="597">
                  <c:v>-73.060898097109899</c:v>
                </c:pt>
                <c:pt idx="598">
                  <c:v>-74.470103649930806</c:v>
                </c:pt>
                <c:pt idx="599">
                  <c:v>-75.77402033221945</c:v>
                </c:pt>
                <c:pt idx="600">
                  <c:v>-76.977603867128366</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40.713166665119161</c:v>
                </c:pt>
                <c:pt idx="1">
                  <c:v>40.713166562872736</c:v>
                </c:pt>
                <c:pt idx="2">
                  <c:v>40.713166439955479</c:v>
                </c:pt>
                <c:pt idx="3">
                  <c:v>40.71316629218493</c:v>
                </c:pt>
                <c:pt idx="4">
                  <c:v>40.71316611465874</c:v>
                </c:pt>
                <c:pt idx="5">
                  <c:v>40.713165901017149</c:v>
                </c:pt>
                <c:pt idx="6">
                  <c:v>40.713165644258815</c:v>
                </c:pt>
                <c:pt idx="7">
                  <c:v>40.713165335475459</c:v>
                </c:pt>
                <c:pt idx="8">
                  <c:v>40.713164964396434</c:v>
                </c:pt>
                <c:pt idx="9">
                  <c:v>40.713164518113501</c:v>
                </c:pt>
                <c:pt idx="10">
                  <c:v>40.713163981684133</c:v>
                </c:pt>
                <c:pt idx="11">
                  <c:v>40.713163336819989</c:v>
                </c:pt>
                <c:pt idx="12">
                  <c:v>40.713162561158157</c:v>
                </c:pt>
                <c:pt idx="13">
                  <c:v>40.713161629065795</c:v>
                </c:pt>
                <c:pt idx="14">
                  <c:v>40.713160508113432</c:v>
                </c:pt>
                <c:pt idx="15">
                  <c:v>40.713159160521073</c:v>
                </c:pt>
                <c:pt idx="16">
                  <c:v>40.713157540340305</c:v>
                </c:pt>
                <c:pt idx="17">
                  <c:v>40.713155592727965</c:v>
                </c:pt>
                <c:pt idx="18">
                  <c:v>40.713153250818408</c:v>
                </c:pt>
                <c:pt idx="19">
                  <c:v>40.713150435524</c:v>
                </c:pt>
                <c:pt idx="20">
                  <c:v>40.713147050474767</c:v>
                </c:pt>
                <c:pt idx="21">
                  <c:v>40.713142981190487</c:v>
                </c:pt>
                <c:pt idx="22">
                  <c:v>40.713138088300731</c:v>
                </c:pt>
                <c:pt idx="23">
                  <c:v>40.713132206568936</c:v>
                </c:pt>
                <c:pt idx="24">
                  <c:v>40.713125134338249</c:v>
                </c:pt>
                <c:pt idx="25">
                  <c:v>40.713116631872957</c:v>
                </c:pt>
                <c:pt idx="26">
                  <c:v>40.713106407360158</c:v>
                </c:pt>
                <c:pt idx="27">
                  <c:v>40.713094115823992</c:v>
                </c:pt>
                <c:pt idx="28">
                  <c:v>40.713079339042153</c:v>
                </c:pt>
                <c:pt idx="29">
                  <c:v>40.71306158681908</c:v>
                </c:pt>
                <c:pt idx="30">
                  <c:v>40.713040223232952</c:v>
                </c:pt>
                <c:pt idx="31">
                  <c:v>40.713014548226319</c:v>
                </c:pt>
                <c:pt idx="32">
                  <c:v>40.7129836710848</c:v>
                </c:pt>
                <c:pt idx="33">
                  <c:v>40.712946564908165</c:v>
                </c:pt>
                <c:pt idx="34">
                  <c:v>40.712901939109599</c:v>
                </c:pt>
                <c:pt idx="35">
                  <c:v>40.712848299779409</c:v>
                </c:pt>
                <c:pt idx="36">
                  <c:v>40.712783818577769</c:v>
                </c:pt>
                <c:pt idx="37">
                  <c:v>40.712706259929234</c:v>
                </c:pt>
                <c:pt idx="38">
                  <c:v>40.712613061586644</c:v>
                </c:pt>
                <c:pt idx="39">
                  <c:v>40.712500982089367</c:v>
                </c:pt>
                <c:pt idx="40">
                  <c:v>40.712366245609893</c:v>
                </c:pt>
                <c:pt idx="41">
                  <c:v>40.712204260423732</c:v>
                </c:pt>
                <c:pt idx="42">
                  <c:v>40.712009546720893</c:v>
                </c:pt>
                <c:pt idx="43">
                  <c:v>40.711775424478873</c:v>
                </c:pt>
                <c:pt idx="44">
                  <c:v>40.71149399433736</c:v>
                </c:pt>
                <c:pt idx="45">
                  <c:v>40.711155632951879</c:v>
                </c:pt>
                <c:pt idx="46">
                  <c:v>40.710748911956898</c:v>
                </c:pt>
                <c:pt idx="47">
                  <c:v>40.710259922817009</c:v>
                </c:pt>
                <c:pt idx="48">
                  <c:v>40.709672182913259</c:v>
                </c:pt>
                <c:pt idx="49">
                  <c:v>40.708965586097044</c:v>
                </c:pt>
                <c:pt idx="50">
                  <c:v>40.708116244597804</c:v>
                </c:pt>
                <c:pt idx="51">
                  <c:v>40.707095101518263</c:v>
                </c:pt>
                <c:pt idx="52">
                  <c:v>40.705867838232912</c:v>
                </c:pt>
                <c:pt idx="53">
                  <c:v>40.704392891420646</c:v>
                </c:pt>
                <c:pt idx="54">
                  <c:v>40.702621612438385</c:v>
                </c:pt>
                <c:pt idx="55">
                  <c:v>40.700490956501632</c:v>
                </c:pt>
                <c:pt idx="56">
                  <c:v>40.697931691323326</c:v>
                </c:pt>
                <c:pt idx="57">
                  <c:v>40.694855876975858</c:v>
                </c:pt>
                <c:pt idx="58">
                  <c:v>40.691162438685573</c:v>
                </c:pt>
                <c:pt idx="59">
                  <c:v>40.686724675055586</c:v>
                </c:pt>
                <c:pt idx="60">
                  <c:v>40.681396563367038</c:v>
                </c:pt>
                <c:pt idx="61">
                  <c:v>40.675000143111333</c:v>
                </c:pt>
                <c:pt idx="62">
                  <c:v>40.667318920342268</c:v>
                </c:pt>
                <c:pt idx="63">
                  <c:v>40.658106710724262</c:v>
                </c:pt>
                <c:pt idx="64">
                  <c:v>40.647054001487398</c:v>
                </c:pt>
                <c:pt idx="65">
                  <c:v>40.633804093561196</c:v>
                </c:pt>
                <c:pt idx="66">
                  <c:v>40.617927880567564</c:v>
                </c:pt>
                <c:pt idx="67">
                  <c:v>40.598920413682308</c:v>
                </c:pt>
                <c:pt idx="68">
                  <c:v>40.57617556175191</c:v>
                </c:pt>
                <c:pt idx="69">
                  <c:v>40.548991461564512</c:v>
                </c:pt>
                <c:pt idx="70">
                  <c:v>40.516531847735124</c:v>
                </c:pt>
                <c:pt idx="71">
                  <c:v>40.477832681697528</c:v>
                </c:pt>
                <c:pt idx="72">
                  <c:v>40.431757621947675</c:v>
                </c:pt>
                <c:pt idx="73">
                  <c:v>40.377016786279533</c:v>
                </c:pt>
                <c:pt idx="74">
                  <c:v>40.312106189607306</c:v>
                </c:pt>
                <c:pt idx="75">
                  <c:v>40.235344812713009</c:v>
                </c:pt>
                <c:pt idx="76">
                  <c:v>40.144816929873322</c:v>
                </c:pt>
                <c:pt idx="77">
                  <c:v>40.038454459634522</c:v>
                </c:pt>
                <c:pt idx="78">
                  <c:v>39.913978925682592</c:v>
                </c:pt>
                <c:pt idx="79">
                  <c:v>39.769060685299472</c:v>
                </c:pt>
                <c:pt idx="80">
                  <c:v>39.600912130098465</c:v>
                </c:pt>
                <c:pt idx="81">
                  <c:v>39.407182042388442</c:v>
                </c:pt>
                <c:pt idx="82">
                  <c:v>39.185233472671726</c:v>
                </c:pt>
                <c:pt idx="83">
                  <c:v>38.932884826726585</c:v>
                </c:pt>
                <c:pt idx="84">
                  <c:v>38.64787666776823</c:v>
                </c:pt>
                <c:pt idx="85">
                  <c:v>38.328689286161151</c:v>
                </c:pt>
                <c:pt idx="86">
                  <c:v>37.974113975007441</c:v>
                </c:pt>
                <c:pt idx="87">
                  <c:v>37.583344916578064</c:v>
                </c:pt>
                <c:pt idx="88">
                  <c:v>37.156792787061576</c:v>
                </c:pt>
                <c:pt idx="89">
                  <c:v>36.694802039201008</c:v>
                </c:pt>
                <c:pt idx="90">
                  <c:v>36.198824720473738</c:v>
                </c:pt>
                <c:pt idx="91">
                  <c:v>35.670658393970058</c:v>
                </c:pt>
                <c:pt idx="92">
                  <c:v>35.112675078347209</c:v>
                </c:pt>
                <c:pt idx="93">
                  <c:v>34.527356360305419</c:v>
                </c:pt>
                <c:pt idx="94">
                  <c:v>34.377166274798789</c:v>
                </c:pt>
                <c:pt idx="95">
                  <c:v>34.301045805519671</c:v>
                </c:pt>
                <c:pt idx="96">
                  <c:v>34.225435790556389</c:v>
                </c:pt>
                <c:pt idx="97">
                  <c:v>34.148599553481901</c:v>
                </c:pt>
                <c:pt idx="98">
                  <c:v>34.07229381465082</c:v>
                </c:pt>
                <c:pt idx="99">
                  <c:v>33.994746575436324</c:v>
                </c:pt>
                <c:pt idx="100">
                  <c:v>33.917749962800549</c:v>
                </c:pt>
                <c:pt idx="101">
                  <c:v>33.839556805359322</c:v>
                </c:pt>
                <c:pt idx="102">
                  <c:v>33.761933613782553</c:v>
                </c:pt>
                <c:pt idx="103">
                  <c:v>33.683043751187981</c:v>
                </c:pt>
                <c:pt idx="104">
                  <c:v>33.604744070959811</c:v>
                </c:pt>
                <c:pt idx="105">
                  <c:v>33.525225038305109</c:v>
                </c:pt>
                <c:pt idx="106">
                  <c:v>33.446315544802793</c:v>
                </c:pt>
                <c:pt idx="107">
                  <c:v>33.366233389879213</c:v>
                </c:pt>
                <c:pt idx="108">
                  <c:v>33.286779227682743</c:v>
                </c:pt>
                <c:pt idx="109">
                  <c:v>33.206143705986769</c:v>
                </c:pt>
                <c:pt idx="110">
                  <c:v>33.126154568814442</c:v>
                </c:pt>
                <c:pt idx="111">
                  <c:v>33.04492344495096</c:v>
                </c:pt>
                <c:pt idx="112">
                  <c:v>32.964357893042816</c:v>
                </c:pt>
                <c:pt idx="113">
                  <c:v>32.882600021067226</c:v>
                </c:pt>
                <c:pt idx="114">
                  <c:v>32.801525913059095</c:v>
                </c:pt>
                <c:pt idx="115">
                  <c:v>32.71925625349273</c:v>
                </c:pt>
                <c:pt idx="116">
                  <c:v>32.637688413868865</c:v>
                </c:pt>
                <c:pt idx="117">
                  <c:v>32.554923516514599</c:v>
                </c:pt>
                <c:pt idx="118">
                  <c:v>32.472878333969447</c:v>
                </c:pt>
                <c:pt idx="119">
                  <c:v>32.389686488023138</c:v>
                </c:pt>
                <c:pt idx="120">
                  <c:v>32.307231177016433</c:v>
                </c:pt>
                <c:pt idx="121">
                  <c:v>32.223629196052165</c:v>
                </c:pt>
                <c:pt idx="122">
                  <c:v>32.140780370320535</c:v>
                </c:pt>
                <c:pt idx="123">
                  <c:v>32.05673798792175</c:v>
                </c:pt>
                <c:pt idx="124">
                  <c:v>31.973466046626946</c:v>
                </c:pt>
                <c:pt idx="125">
                  <c:v>31.889052949673655</c:v>
                </c:pt>
                <c:pt idx="126">
                  <c:v>31.805426438136266</c:v>
                </c:pt>
                <c:pt idx="127">
                  <c:v>31.720663291575114</c:v>
                </c:pt>
                <c:pt idx="128">
                  <c:v>31.636702611562015</c:v>
                </c:pt>
                <c:pt idx="129">
                  <c:v>31.551611214609515</c:v>
                </c:pt>
                <c:pt idx="130">
                  <c:v>31.467337882777883</c:v>
                </c:pt>
                <c:pt idx="131">
                  <c:v>31.381941094005043</c:v>
                </c:pt>
                <c:pt idx="132">
                  <c:v>31.339555933180488</c:v>
                </c:pt>
                <c:pt idx="133">
                  <c:v>31.297377667838539</c:v>
                </c:pt>
                <c:pt idx="134">
                  <c:v>31.254409584032238</c:v>
                </c:pt>
                <c:pt idx="135">
                  <c:v>31.211655318322489</c:v>
                </c:pt>
                <c:pt idx="136">
                  <c:v>31.169113352839886</c:v>
                </c:pt>
                <c:pt idx="137">
                  <c:v>31.1267821801924</c:v>
                </c:pt>
                <c:pt idx="138">
                  <c:v>31.083706394322146</c:v>
                </c:pt>
                <c:pt idx="139">
                  <c:v>31.040847926459826</c:v>
                </c:pt>
                <c:pt idx="140">
                  <c:v>30.9982051987744</c:v>
                </c:pt>
                <c:pt idx="141">
                  <c:v>30.955776645247877</c:v>
                </c:pt>
                <c:pt idx="142">
                  <c:v>30.912562195645048</c:v>
                </c:pt>
                <c:pt idx="143">
                  <c:v>30.869568915163992</c:v>
                </c:pt>
                <c:pt idx="144">
                  <c:v>30.826795162548741</c:v>
                </c:pt>
                <c:pt idx="145">
                  <c:v>30.784239309725709</c:v>
                </c:pt>
                <c:pt idx="146">
                  <c:v>30.740921533215143</c:v>
                </c:pt>
                <c:pt idx="147">
                  <c:v>30.697828462470547</c:v>
                </c:pt>
                <c:pt idx="148">
                  <c:v>30.65495839663031</c:v>
                </c:pt>
                <c:pt idx="149">
                  <c:v>30.612309649343281</c:v>
                </c:pt>
                <c:pt idx="150">
                  <c:v>30.568902113827537</c:v>
                </c:pt>
                <c:pt idx="151">
                  <c:v>30.525722724754829</c:v>
                </c:pt>
                <c:pt idx="152">
                  <c:v>30.482769723158686</c:v>
                </c:pt>
                <c:pt idx="153">
                  <c:v>30.440041365890941</c:v>
                </c:pt>
                <c:pt idx="154">
                  <c:v>30.396537998316301</c:v>
                </c:pt>
                <c:pt idx="155">
                  <c:v>30.353266331255277</c:v>
                </c:pt>
                <c:pt idx="156">
                  <c:v>30.31022454672172</c:v>
                </c:pt>
                <c:pt idx="157">
                  <c:v>30.267410843863821</c:v>
                </c:pt>
                <c:pt idx="158">
                  <c:v>30.223827080628634</c:v>
                </c:pt>
                <c:pt idx="159">
                  <c:v>30.180478463472138</c:v>
                </c:pt>
                <c:pt idx="160">
                  <c:v>30.137363117040167</c:v>
                </c:pt>
                <c:pt idx="161">
                  <c:v>30.094479184405564</c:v>
                </c:pt>
                <c:pt idx="162">
                  <c:v>30.050849808543624</c:v>
                </c:pt>
                <c:pt idx="163">
                  <c:v>30.007458704651103</c:v>
                </c:pt>
                <c:pt idx="164">
                  <c:v>29.964303944271151</c:v>
                </c:pt>
                <c:pt idx="165">
                  <c:v>29.921383618605432</c:v>
                </c:pt>
                <c:pt idx="166">
                  <c:v>29.877685843910857</c:v>
                </c:pt>
                <c:pt idx="167">
                  <c:v>29.83422977435265</c:v>
                </c:pt>
                <c:pt idx="168">
                  <c:v>29.79101342508536</c:v>
                </c:pt>
                <c:pt idx="169">
                  <c:v>29.748034832192943</c:v>
                </c:pt>
                <c:pt idx="170">
                  <c:v>29.704377395725086</c:v>
                </c:pt>
                <c:pt idx="171">
                  <c:v>29.660963953070588</c:v>
                </c:pt>
                <c:pt idx="172">
                  <c:v>29.617792477615623</c:v>
                </c:pt>
                <c:pt idx="173">
                  <c:v>29.574860964731819</c:v>
                </c:pt>
                <c:pt idx="174">
                  <c:v>29.531094182221416</c:v>
                </c:pt>
                <c:pt idx="175">
                  <c:v>29.48757541665255</c:v>
                </c:pt>
                <c:pt idx="176">
                  <c:v>29.444302578508985</c:v>
                </c:pt>
                <c:pt idx="177">
                  <c:v>29.401273601615067</c:v>
                </c:pt>
                <c:pt idx="178">
                  <c:v>29.35743732870742</c:v>
                </c:pt>
                <c:pt idx="179">
                  <c:v>29.31385274033196</c:v>
                </c:pt>
                <c:pt idx="180">
                  <c:v>29.270517688738046</c:v>
                </c:pt>
                <c:pt idx="181">
                  <c:v>29.227430050802752</c:v>
                </c:pt>
                <c:pt idx="182">
                  <c:v>29.183733369213797</c:v>
                </c:pt>
                <c:pt idx="183">
                  <c:v>29.140289711876033</c:v>
                </c:pt>
                <c:pt idx="184">
                  <c:v>29.097096903097686</c:v>
                </c:pt>
                <c:pt idx="185">
                  <c:v>29.05415279262737</c:v>
                </c:pt>
                <c:pt idx="186">
                  <c:v>29.010286623256881</c:v>
                </c:pt>
                <c:pt idx="187">
                  <c:v>28.966678472678606</c:v>
                </c:pt>
                <c:pt idx="188">
                  <c:v>28.9233260905355</c:v>
                </c:pt>
                <c:pt idx="189">
                  <c:v>28.880227253446048</c:v>
                </c:pt>
                <c:pt idx="190">
                  <c:v>28.836564494377278</c:v>
                </c:pt>
                <c:pt idx="191">
                  <c:v>28.793160471836647</c:v>
                </c:pt>
                <c:pt idx="192">
                  <c:v>28.750012916953708</c:v>
                </c:pt>
                <c:pt idx="193">
                  <c:v>28.707119588465908</c:v>
                </c:pt>
                <c:pt idx="194">
                  <c:v>28.663363705435067</c:v>
                </c:pt>
                <c:pt idx="195">
                  <c:v>28.619870858906275</c:v>
                </c:pt>
                <c:pt idx="196">
                  <c:v>28.576638714925831</c:v>
                </c:pt>
                <c:pt idx="197">
                  <c:v>28.53366496852388</c:v>
                </c:pt>
                <c:pt idx="198">
                  <c:v>28.490014769508413</c:v>
                </c:pt>
                <c:pt idx="199">
                  <c:v>28.446629632751144</c:v>
                </c:pt>
                <c:pt idx="200">
                  <c:v>28.403507189701035</c:v>
                </c:pt>
                <c:pt idx="201">
                  <c:v>28.360645101657301</c:v>
                </c:pt>
                <c:pt idx="202">
                  <c:v>28.317130922727365</c:v>
                </c:pt>
                <c:pt idx="203">
                  <c:v>28.273883537504485</c:v>
                </c:pt>
                <c:pt idx="204">
                  <c:v>28.230900547358104</c:v>
                </c:pt>
                <c:pt idx="205">
                  <c:v>28.188179584282924</c:v>
                </c:pt>
                <c:pt idx="206">
                  <c:v>28.144682284704455</c:v>
                </c:pt>
                <c:pt idx="207">
                  <c:v>28.101455060721161</c:v>
                </c:pt>
                <c:pt idx="208">
                  <c:v>28.058495463170104</c:v>
                </c:pt>
                <c:pt idx="209">
                  <c:v>28.015801074624914</c:v>
                </c:pt>
                <c:pt idx="210">
                  <c:v>27.972214631461782</c:v>
                </c:pt>
                <c:pt idx="211">
                  <c:v>27.928903006094281</c:v>
                </c:pt>
                <c:pt idx="212">
                  <c:v>27.885863679031473</c:v>
                </c:pt>
                <c:pt idx="213">
                  <c:v>27.84309416397118</c:v>
                </c:pt>
                <c:pt idx="214">
                  <c:v>27.799747489393745</c:v>
                </c:pt>
                <c:pt idx="215">
                  <c:v>27.756676369454532</c:v>
                </c:pt>
                <c:pt idx="216">
                  <c:v>27.713878269498732</c:v>
                </c:pt>
                <c:pt idx="217">
                  <c:v>27.671350688537505</c:v>
                </c:pt>
                <c:pt idx="218">
                  <c:v>27.628130692789163</c:v>
                </c:pt>
                <c:pt idx="219">
                  <c:v>27.585188506183705</c:v>
                </c:pt>
                <c:pt idx="220">
                  <c:v>27.542521558485635</c:v>
                </c:pt>
                <c:pt idx="221">
                  <c:v>27.500127313946873</c:v>
                </c:pt>
                <c:pt idx="222">
                  <c:v>27.457067259626097</c:v>
                </c:pt>
                <c:pt idx="223">
                  <c:v>27.414286951359088</c:v>
                </c:pt>
                <c:pt idx="224">
                  <c:v>27.371783788079188</c:v>
                </c:pt>
                <c:pt idx="225">
                  <c:v>27.329555203930589</c:v>
                </c:pt>
                <c:pt idx="226">
                  <c:v>27.286556474803973</c:v>
                </c:pt>
                <c:pt idx="227">
                  <c:v>27.243840834556625</c:v>
                </c:pt>
                <c:pt idx="228">
                  <c:v>27.2014056319411</c:v>
                </c:pt>
                <c:pt idx="229">
                  <c:v>27.159248251982035</c:v>
                </c:pt>
                <c:pt idx="230">
                  <c:v>27.073740028100289</c:v>
                </c:pt>
                <c:pt idx="231">
                  <c:v>27.031412306946208</c:v>
                </c:pt>
                <c:pt idx="232">
                  <c:v>26.989365288744235</c:v>
                </c:pt>
                <c:pt idx="233">
                  <c:v>26.946608161462905</c:v>
                </c:pt>
                <c:pt idx="234">
                  <c:v>26.90413969983134</c:v>
                </c:pt>
                <c:pt idx="235">
                  <c:v>26.861957168110724</c:v>
                </c:pt>
                <c:pt idx="236">
                  <c:v>26.82005786864017</c:v>
                </c:pt>
                <c:pt idx="237">
                  <c:v>26.777597588997033</c:v>
                </c:pt>
                <c:pt idx="238">
                  <c:v>26.735426596422286</c:v>
                </c:pt>
                <c:pt idx="239">
                  <c:v>26.693542143920169</c:v>
                </c:pt>
                <c:pt idx="240">
                  <c:v>26.651941522882979</c:v>
                </c:pt>
                <c:pt idx="241">
                  <c:v>26.609569261811515</c:v>
                </c:pt>
                <c:pt idx="242">
                  <c:v>26.567489882168122</c:v>
                </c:pt>
                <c:pt idx="243">
                  <c:v>26.525700583530664</c:v>
                </c:pt>
                <c:pt idx="244">
                  <c:v>26.484198604946613</c:v>
                </c:pt>
                <c:pt idx="245">
                  <c:v>26.442071022413089</c:v>
                </c:pt>
                <c:pt idx="246">
                  <c:v>26.400237925249428</c:v>
                </c:pt>
                <c:pt idx="247">
                  <c:v>26.358696488067377</c:v>
                </c:pt>
                <c:pt idx="248">
                  <c:v>26.31744392548546</c:v>
                </c:pt>
                <c:pt idx="249">
                  <c:v>26.275481861647254</c:v>
                </c:pt>
                <c:pt idx="250">
                  <c:v>26.233817144108222</c:v>
                </c:pt>
                <c:pt idx="251">
                  <c:v>26.192446904463832</c:v>
                </c:pt>
                <c:pt idx="252">
                  <c:v>26.151368315180843</c:v>
                </c:pt>
                <c:pt idx="253">
                  <c:v>26.109718415571201</c:v>
                </c:pt>
                <c:pt idx="254">
                  <c:v>26.068366809608413</c:v>
                </c:pt>
                <c:pt idx="255">
                  <c:v>26.027310613459495</c:v>
                </c:pt>
                <c:pt idx="256">
                  <c:v>25.9865469844916</c:v>
                </c:pt>
                <c:pt idx="257">
                  <c:v>25.945028400592509</c:v>
                </c:pt>
                <c:pt idx="258">
                  <c:v>25.90381180774628</c:v>
                </c:pt>
                <c:pt idx="259">
                  <c:v>25.862894266741488</c:v>
                </c:pt>
                <c:pt idx="260">
                  <c:v>25.822272880643471</c:v>
                </c:pt>
                <c:pt idx="261">
                  <c:v>25.781031633129725</c:v>
                </c:pt>
                <c:pt idx="262">
                  <c:v>25.74009415791248</c:v>
                </c:pt>
                <c:pt idx="263">
                  <c:v>25.699457488043787</c:v>
                </c:pt>
                <c:pt idx="264">
                  <c:v>25.659118699389794</c:v>
                </c:pt>
                <c:pt idx="265">
                  <c:v>25.618188376599043</c:v>
                </c:pt>
                <c:pt idx="266">
                  <c:v>25.577563275685776</c:v>
                </c:pt>
                <c:pt idx="267">
                  <c:v>25.537240406646092</c:v>
                </c:pt>
                <c:pt idx="268">
                  <c:v>25.49721682272444</c:v>
                </c:pt>
                <c:pt idx="269">
                  <c:v>25.456533667264001</c:v>
                </c:pt>
                <c:pt idx="270">
                  <c:v>25.416158308881354</c:v>
                </c:pt>
                <c:pt idx="271">
                  <c:v>25.37608771773591</c:v>
                </c:pt>
                <c:pt idx="272">
                  <c:v>25.336318907980484</c:v>
                </c:pt>
                <c:pt idx="273">
                  <c:v>25.295921624819123</c:v>
                </c:pt>
                <c:pt idx="274">
                  <c:v>25.255834332930718</c:v>
                </c:pt>
                <c:pt idx="275">
                  <c:v>25.216053967859398</c:v>
                </c:pt>
                <c:pt idx="276">
                  <c:v>25.176577509776092</c:v>
                </c:pt>
                <c:pt idx="277">
                  <c:v>25.136592750853136</c:v>
                </c:pt>
                <c:pt idx="278">
                  <c:v>25.096918414416116</c:v>
                </c:pt>
                <c:pt idx="279">
                  <c:v>25.057551427115531</c:v>
                </c:pt>
                <c:pt idx="280">
                  <c:v>25.018488760352206</c:v>
                </c:pt>
                <c:pt idx="281">
                  <c:v>24.978681625170111</c:v>
                </c:pt>
                <c:pt idx="282">
                  <c:v>24.939189185621462</c:v>
                </c:pt>
                <c:pt idx="283">
                  <c:v>24.900008301935124</c:v>
                </c:pt>
                <c:pt idx="284">
                  <c:v>24.861135880319342</c:v>
                </c:pt>
                <c:pt idx="285">
                  <c:v>24.821809067996654</c:v>
                </c:pt>
                <c:pt idx="286">
                  <c:v>24.78279668502811</c:v>
                </c:pt>
                <c:pt idx="287">
                  <c:v>24.74409559231183</c:v>
                </c:pt>
                <c:pt idx="288">
                  <c:v>24.705702696640202</c:v>
                </c:pt>
                <c:pt idx="289">
                  <c:v>24.666633942787787</c:v>
                </c:pt>
                <c:pt idx="290">
                  <c:v>24.627883082937704</c:v>
                </c:pt>
                <c:pt idx="291">
                  <c:v>24.58944692226682</c:v>
                </c:pt>
                <c:pt idx="292">
                  <c:v>24.55132231284988</c:v>
                </c:pt>
                <c:pt idx="293">
                  <c:v>24.512635871784347</c:v>
                </c:pt>
                <c:pt idx="294">
                  <c:v>24.474269027748122</c:v>
                </c:pt>
                <c:pt idx="295">
                  <c:v>24.436218555877076</c:v>
                </c:pt>
                <c:pt idx="296">
                  <c:v>24.398481278700018</c:v>
                </c:pt>
                <c:pt idx="297">
                  <c:v>24.36021224338273</c:v>
                </c:pt>
                <c:pt idx="298">
                  <c:v>24.322264138283344</c:v>
                </c:pt>
                <c:pt idx="299">
                  <c:v>24.284633713365494</c:v>
                </c:pt>
                <c:pt idx="300">
                  <c:v>24.24731776637822</c:v>
                </c:pt>
                <c:pt idx="301">
                  <c:v>24.209499261178763</c:v>
                </c:pt>
                <c:pt idx="302">
                  <c:v>24.172002664124236</c:v>
                </c:pt>
                <c:pt idx="303">
                  <c:v>24.134824704648111</c:v>
                </c:pt>
                <c:pt idx="304">
                  <c:v>24.097962160264675</c:v>
                </c:pt>
                <c:pt idx="305">
                  <c:v>24.060482412184669</c:v>
                </c:pt>
                <c:pt idx="306">
                  <c:v>24.023327682582352</c:v>
                </c:pt>
                <c:pt idx="307">
                  <c:v>23.986494646988096</c:v>
                </c:pt>
                <c:pt idx="308">
                  <c:v>23.94998002995688</c:v>
                </c:pt>
                <c:pt idx="309">
                  <c:v>23.913021148759373</c:v>
                </c:pt>
                <c:pt idx="310">
                  <c:v>23.876387497637502</c:v>
                </c:pt>
                <c:pt idx="311">
                  <c:v>23.840075741583814</c:v>
                </c:pt>
                <c:pt idx="312">
                  <c:v>23.80408259470655</c:v>
                </c:pt>
                <c:pt idx="313">
                  <c:v>23.767538542401027</c:v>
                </c:pt>
                <c:pt idx="314">
                  <c:v>23.731322004098736</c:v>
                </c:pt>
                <c:pt idx="315">
                  <c:v>23.695429601485007</c:v>
                </c:pt>
                <c:pt idx="316">
                  <c:v>23.659858006092303</c:v>
                </c:pt>
                <c:pt idx="317">
                  <c:v>23.623768399154482</c:v>
                </c:pt>
                <c:pt idx="318">
                  <c:v>23.588008152837578</c:v>
                </c:pt>
                <c:pt idx="319">
                  <c:v>23.552573851113529</c:v>
                </c:pt>
                <c:pt idx="320">
                  <c:v>23.51746212842361</c:v>
                </c:pt>
                <c:pt idx="321">
                  <c:v>23.481864314067757</c:v>
                </c:pt>
                <c:pt idx="322">
                  <c:v>23.446597284568771</c:v>
                </c:pt>
                <c:pt idx="323">
                  <c:v>23.411657591594647</c:v>
                </c:pt>
                <c:pt idx="324">
                  <c:v>23.377041837800526</c:v>
                </c:pt>
                <c:pt idx="325">
                  <c:v>23.341970940247538</c:v>
                </c:pt>
                <c:pt idx="326">
                  <c:v>23.30723184474525</c:v>
                </c:pt>
                <c:pt idx="327">
                  <c:v>23.272821075874901</c:v>
                </c:pt>
                <c:pt idx="328">
                  <c:v>23.23873520962421</c:v>
                </c:pt>
                <c:pt idx="329">
                  <c:v>23.204166748782164</c:v>
                </c:pt>
                <c:pt idx="330">
                  <c:v>23.169931822613457</c:v>
                </c:pt>
                <c:pt idx="331">
                  <c:v>23.136026916189802</c:v>
                </c:pt>
                <c:pt idx="332">
                  <c:v>23.102448566659572</c:v>
                </c:pt>
                <c:pt idx="333">
                  <c:v>23.068475187358892</c:v>
                </c:pt>
                <c:pt idx="334">
                  <c:v>23.034835546935494</c:v>
                </c:pt>
                <c:pt idx="335">
                  <c:v>23.001526113853483</c:v>
                </c:pt>
                <c:pt idx="336">
                  <c:v>22.96854340888099</c:v>
                </c:pt>
                <c:pt idx="337">
                  <c:v>22.935087558828894</c:v>
                </c:pt>
                <c:pt idx="338">
                  <c:v>22.901967419787287</c:v>
                </c:pt>
                <c:pt idx="339">
                  <c:v>22.869179414369864</c:v>
                </c:pt>
                <c:pt idx="340">
                  <c:v>22.836720018309396</c:v>
                </c:pt>
                <c:pt idx="341">
                  <c:v>22.803820951088664</c:v>
                </c:pt>
                <c:pt idx="342">
                  <c:v>22.771259092092354</c:v>
                </c:pt>
                <c:pt idx="343">
                  <c:v>22.739030824235037</c:v>
                </c:pt>
                <c:pt idx="344">
                  <c:v>22.707132584258304</c:v>
                </c:pt>
                <c:pt idx="345">
                  <c:v>22.674875993449056</c:v>
                </c:pt>
                <c:pt idx="346">
                  <c:v>22.642956626639652</c:v>
                </c:pt>
                <c:pt idx="347">
                  <c:v>22.611370849572822</c:v>
                </c:pt>
                <c:pt idx="348">
                  <c:v>22.5801150820968</c:v>
                </c:pt>
                <c:pt idx="349">
                  <c:v>22.548435473481298</c:v>
                </c:pt>
                <c:pt idx="350">
                  <c:v>22.517094732726758</c:v>
                </c:pt>
                <c:pt idx="351">
                  <c:v>22.486089180887696</c:v>
                </c:pt>
                <c:pt idx="352">
                  <c:v>22.455415193966985</c:v>
                </c:pt>
                <c:pt idx="353">
                  <c:v>22.424350646840729</c:v>
                </c:pt>
                <c:pt idx="354">
                  <c:v>22.393626125477546</c:v>
                </c:pt>
                <c:pt idx="355">
                  <c:v>22.36323791273265</c:v>
                </c:pt>
                <c:pt idx="356">
                  <c:v>22.333182347147144</c:v>
                </c:pt>
                <c:pt idx="357">
                  <c:v>22.302811352808995</c:v>
                </c:pt>
                <c:pt idx="358">
                  <c:v>22.2727801127512</c:v>
                </c:pt>
                <c:pt idx="359">
                  <c:v>22.243084893824975</c:v>
                </c:pt>
                <c:pt idx="360">
                  <c:v>22.213722018887474</c:v>
                </c:pt>
                <c:pt idx="361">
                  <c:v>22.183989800345266</c:v>
                </c:pt>
                <c:pt idx="362">
                  <c:v>22.154598561415455</c:v>
                </c:pt>
                <c:pt idx="363">
                  <c:v>22.125544527186825</c:v>
                </c:pt>
                <c:pt idx="364">
                  <c:v>22.096823979616676</c:v>
                </c:pt>
                <c:pt idx="365">
                  <c:v>22.067806069876553</c:v>
                </c:pt>
                <c:pt idx="366">
                  <c:v>22.039128953534281</c:v>
                </c:pt>
                <c:pt idx="367">
                  <c:v>22.010788836155779</c:v>
                </c:pt>
                <c:pt idx="368">
                  <c:v>21.982781980624168</c:v>
                </c:pt>
                <c:pt idx="369">
                  <c:v>21.954431914143647</c:v>
                </c:pt>
                <c:pt idx="370">
                  <c:v>21.926423849034961</c:v>
                </c:pt>
                <c:pt idx="371">
                  <c:v>21.898753947046185</c:v>
                </c:pt>
                <c:pt idx="372">
                  <c:v>21.871418428214412</c:v>
                </c:pt>
                <c:pt idx="373">
                  <c:v>21.843808489906905</c:v>
                </c:pt>
                <c:pt idx="374">
                  <c:v>21.816540370871401</c:v>
                </c:pt>
                <c:pt idx="375">
                  <c:v>21.789610211353999</c:v>
                </c:pt>
                <c:pt idx="376">
                  <c:v>21.763014210449867</c:v>
                </c:pt>
                <c:pt idx="377">
                  <c:v>21.736105493778453</c:v>
                </c:pt>
                <c:pt idx="378">
                  <c:v>21.709539713252433</c:v>
                </c:pt>
                <c:pt idx="379">
                  <c:v>21.683312964762305</c:v>
                </c:pt>
                <c:pt idx="380">
                  <c:v>21.657421404113663</c:v>
                </c:pt>
                <c:pt idx="381">
                  <c:v>21.631314831871823</c:v>
                </c:pt>
                <c:pt idx="382">
                  <c:v>21.605550105503649</c:v>
                </c:pt>
                <c:pt idx="383">
                  <c:v>21.580123313407363</c:v>
                </c:pt>
                <c:pt idx="384">
                  <c:v>21.555030604254451</c:v>
                </c:pt>
                <c:pt idx="385">
                  <c:v>21.529658657276336</c:v>
                </c:pt>
                <c:pt idx="386">
                  <c:v>21.504629557318765</c:v>
                </c:pt>
                <c:pt idx="387">
                  <c:v>21.479939348935815</c:v>
                </c:pt>
                <c:pt idx="388">
                  <c:v>21.45558413810668</c:v>
                </c:pt>
                <c:pt idx="389">
                  <c:v>21.431012009552333</c:v>
                </c:pt>
                <c:pt idx="390">
                  <c:v>21.406782396301971</c:v>
                </c:pt>
                <c:pt idx="391">
                  <c:v>21.382891321552048</c:v>
                </c:pt>
                <c:pt idx="392">
                  <c:v>21.359334870665659</c:v>
                </c:pt>
                <c:pt idx="393">
                  <c:v>21.335591341284964</c:v>
                </c:pt>
                <c:pt idx="394">
                  <c:v>21.312189551856655</c:v>
                </c:pt>
                <c:pt idx="395">
                  <c:v>21.289125511837401</c:v>
                </c:pt>
                <c:pt idx="396">
                  <c:v>21.266395293486767</c:v>
                </c:pt>
                <c:pt idx="397">
                  <c:v>21.243455279666321</c:v>
                </c:pt>
                <c:pt idx="398">
                  <c:v>21.22085734810446</c:v>
                </c:pt>
                <c:pt idx="399">
                  <c:v>21.198597475028489</c:v>
                </c:pt>
                <c:pt idx="400">
                  <c:v>21.176671700572633</c:v>
                </c:pt>
                <c:pt idx="401">
                  <c:v>21.154592423865502</c:v>
                </c:pt>
                <c:pt idx="402">
                  <c:v>21.132854323922995</c:v>
                </c:pt>
                <c:pt idx="403">
                  <c:v>21.111453365959406</c:v>
                </c:pt>
                <c:pt idx="404">
                  <c:v>21.090385579794141</c:v>
                </c:pt>
                <c:pt idx="405">
                  <c:v>21.06917023797164</c:v>
                </c:pt>
                <c:pt idx="406">
                  <c:v>21.048295484695011</c:v>
                </c:pt>
                <c:pt idx="407">
                  <c:v>21.027757269214643</c:v>
                </c:pt>
                <c:pt idx="408">
                  <c:v>21.007551606254612</c:v>
                </c:pt>
                <c:pt idx="409">
                  <c:v>20.987206804113008</c:v>
                </c:pt>
                <c:pt idx="410">
                  <c:v>20.967202278695463</c:v>
                </c:pt>
                <c:pt idx="411">
                  <c:v>20.947533959259559</c:v>
                </c:pt>
                <c:pt idx="412">
                  <c:v>20.928197841564696</c:v>
                </c:pt>
                <c:pt idx="413">
                  <c:v>20.908753202877179</c:v>
                </c:pt>
                <c:pt idx="414">
                  <c:v>20.889648073277641</c:v>
                </c:pt>
                <c:pt idx="415">
                  <c:v>20.870878371429296</c:v>
                </c:pt>
                <c:pt idx="416">
                  <c:v>20.852440083398299</c:v>
                </c:pt>
                <c:pt idx="417">
                  <c:v>20.833904210058215</c:v>
                </c:pt>
                <c:pt idx="418">
                  <c:v>20.81570733531931</c:v>
                </c:pt>
                <c:pt idx="419">
                  <c:v>20.797845364280988</c:v>
                </c:pt>
                <c:pt idx="420">
                  <c:v>20.780314270494245</c:v>
                </c:pt>
                <c:pt idx="421">
                  <c:v>20.762732986182399</c:v>
                </c:pt>
                <c:pt idx="422">
                  <c:v>20.745489094422247</c:v>
                </c:pt>
                <c:pt idx="423">
                  <c:v>20.728578508681068</c:v>
                </c:pt>
                <c:pt idx="424">
                  <c:v>20.711997211525201</c:v>
                </c:pt>
                <c:pt idx="425">
                  <c:v>20.695345322328123</c:v>
                </c:pt>
                <c:pt idx="426">
                  <c:v>20.679030803993474</c:v>
                </c:pt>
                <c:pt idx="427">
                  <c:v>20.66304955224366</c:v>
                </c:pt>
                <c:pt idx="428">
                  <c:v>20.647397533230929</c:v>
                </c:pt>
                <c:pt idx="429">
                  <c:v>20.631721232494389</c:v>
                </c:pt>
                <c:pt idx="430">
                  <c:v>20.6163811988148</c:v>
                </c:pt>
                <c:pt idx="431">
                  <c:v>20.601373332942984</c:v>
                </c:pt>
                <c:pt idx="432">
                  <c:v>20.586693606979445</c:v>
                </c:pt>
                <c:pt idx="433">
                  <c:v>20.572018262511286</c:v>
                </c:pt>
                <c:pt idx="434">
                  <c:v>20.557677718550771</c:v>
                </c:pt>
                <c:pt idx="435">
                  <c:v>20.543667891267013</c:v>
                </c:pt>
                <c:pt idx="436">
                  <c:v>20.529984768966678</c:v>
                </c:pt>
                <c:pt idx="437">
                  <c:v>20.516309343559968</c:v>
                </c:pt>
                <c:pt idx="438">
                  <c:v>20.502968123863276</c:v>
                </c:pt>
                <c:pt idx="439">
                  <c:v>20.489957029987821</c:v>
                </c:pt>
                <c:pt idx="440">
                  <c:v>20.477272055365518</c:v>
                </c:pt>
                <c:pt idx="441">
                  <c:v>20.464624797803765</c:v>
                </c:pt>
                <c:pt idx="442">
                  <c:v>20.452310786021272</c:v>
                </c:pt>
                <c:pt idx="443">
                  <c:v>20.440325955912414</c:v>
                </c:pt>
                <c:pt idx="444">
                  <c:v>20.428666317734066</c:v>
                </c:pt>
                <c:pt idx="445">
                  <c:v>20.417073300581027</c:v>
                </c:pt>
                <c:pt idx="446">
                  <c:v>20.405812254139576</c:v>
                </c:pt>
                <c:pt idx="447">
                  <c:v>20.394879141841045</c:v>
                </c:pt>
                <c:pt idx="448">
                  <c:v>20.384270002389894</c:v>
                </c:pt>
                <c:pt idx="449">
                  <c:v>20.373737981848826</c:v>
                </c:pt>
                <c:pt idx="450">
                  <c:v>20.363537495583351</c:v>
                </c:pt>
                <c:pt idx="451">
                  <c:v>20.353664526284089</c:v>
                </c:pt>
                <c:pt idx="452">
                  <c:v>20.344115133209527</c:v>
                </c:pt>
                <c:pt idx="453">
                  <c:v>20.334680577684438</c:v>
                </c:pt>
                <c:pt idx="454">
                  <c:v>20.325576289438672</c:v>
                </c:pt>
                <c:pt idx="455">
                  <c:v>20.316798293490145</c:v>
                </c:pt>
                <c:pt idx="456">
                  <c:v>20.30834269233733</c:v>
                </c:pt>
                <c:pt idx="457">
                  <c:v>20.300016398874167</c:v>
                </c:pt>
                <c:pt idx="458">
                  <c:v>20.292019959788092</c:v>
                </c:pt>
                <c:pt idx="459">
                  <c:v>20.28434943625043</c:v>
                </c:pt>
                <c:pt idx="460">
                  <c:v>20.277000968217017</c:v>
                </c:pt>
                <c:pt idx="461">
                  <c:v>20.269811547515051</c:v>
                </c:pt>
                <c:pt idx="462">
                  <c:v>20.262951357145486</c:v>
                </c:pt>
                <c:pt idx="463">
                  <c:v>20.256416508822895</c:v>
                </c:pt>
                <c:pt idx="464">
                  <c:v>20.250203194243173</c:v>
                </c:pt>
                <c:pt idx="465">
                  <c:v>20.244173289400464</c:v>
                </c:pt>
                <c:pt idx="466">
                  <c:v>20.238472345654781</c:v>
                </c:pt>
                <c:pt idx="467">
                  <c:v>20.233096531126783</c:v>
                </c:pt>
                <c:pt idx="468">
                  <c:v>20.228042095273622</c:v>
                </c:pt>
                <c:pt idx="469">
                  <c:v>20.223200585356725</c:v>
                </c:pt>
                <c:pt idx="470">
                  <c:v>20.218687657915705</c:v>
                </c:pt>
                <c:pt idx="471">
                  <c:v>20.21449955320309</c:v>
                </c:pt>
                <c:pt idx="472">
                  <c:v>20.210632594091649</c:v>
                </c:pt>
                <c:pt idx="473">
                  <c:v>20.207002275565216</c:v>
                </c:pt>
                <c:pt idx="474">
                  <c:v>20.203701081229273</c:v>
                </c:pt>
                <c:pt idx="475">
                  <c:v>20.200725323629474</c:v>
                </c:pt>
                <c:pt idx="476">
                  <c:v>20.198071399661778</c:v>
                </c:pt>
                <c:pt idx="477">
                  <c:v>20.195685085026142</c:v>
                </c:pt>
                <c:pt idx="478">
                  <c:v>20.193628421496662</c:v>
                </c:pt>
                <c:pt idx="479">
                  <c:v>20.191897812504696</c:v>
                </c:pt>
                <c:pt idx="480">
                  <c:v>20.190489747545229</c:v>
                </c:pt>
                <c:pt idx="481">
                  <c:v>20.189379674497197</c:v>
                </c:pt>
                <c:pt idx="482">
                  <c:v>20.18859985664966</c:v>
                </c:pt>
                <c:pt idx="483">
                  <c:v>20.188146807661571</c:v>
                </c:pt>
                <c:pt idx="484">
                  <c:v>20.188017128996218</c:v>
                </c:pt>
                <c:pt idx="485">
                  <c:v>20.188215619762669</c:v>
                </c:pt>
                <c:pt idx="486">
                  <c:v>20.188745594213799</c:v>
                </c:pt>
                <c:pt idx="487">
                  <c:v>20.18960368975657</c:v>
                </c:pt>
                <c:pt idx="488">
                  <c:v>20.190786633666342</c:v>
                </c:pt>
                <c:pt idx="489">
                  <c:v>20.192330987591248</c:v>
                </c:pt>
                <c:pt idx="490">
                  <c:v>20.194209193351199</c:v>
                </c:pt>
                <c:pt idx="491">
                  <c:v>20.196418022052491</c:v>
                </c:pt>
                <c:pt idx="492">
                  <c:v>20.198954337363546</c:v>
                </c:pt>
                <c:pt idx="493">
                  <c:v>20.20188550657187</c:v>
                </c:pt>
                <c:pt idx="494">
                  <c:v>20.205153228073272</c:v>
                </c:pt>
                <c:pt idx="495">
                  <c:v>20.208754433260246</c:v>
                </c:pt>
                <c:pt idx="496">
                  <c:v>20.212686148999435</c:v>
                </c:pt>
                <c:pt idx="497">
                  <c:v>20.217049029014667</c:v>
                </c:pt>
                <c:pt idx="498">
                  <c:v>20.221752062725457</c:v>
                </c:pt>
                <c:pt idx="499">
                  <c:v>20.226792365195013</c:v>
                </c:pt>
                <c:pt idx="500">
                  <c:v>20.232167150441136</c:v>
                </c:pt>
                <c:pt idx="501">
                  <c:v>20.238011757071167</c:v>
                </c:pt>
                <c:pt idx="502">
                  <c:v>20.244201152964727</c:v>
                </c:pt>
                <c:pt idx="503">
                  <c:v>20.250732664785925</c:v>
                </c:pt>
                <c:pt idx="504">
                  <c:v>20.257603722330444</c:v>
                </c:pt>
                <c:pt idx="505">
                  <c:v>20.264981242868313</c:v>
                </c:pt>
                <c:pt idx="506">
                  <c:v>20.272708959474866</c:v>
                </c:pt>
                <c:pt idx="507">
                  <c:v>20.280784448102381</c:v>
                </c:pt>
                <c:pt idx="508">
                  <c:v>20.289205392612011</c:v>
                </c:pt>
                <c:pt idx="509">
                  <c:v>20.298175577193636</c:v>
                </c:pt>
                <c:pt idx="510">
                  <c:v>20.307502759680766</c:v>
                </c:pt>
                <c:pt idx="511">
                  <c:v>20.317184803754689</c:v>
                </c:pt>
                <c:pt idx="512">
                  <c:v>20.327219686836997</c:v>
                </c:pt>
                <c:pt idx="513">
                  <c:v>20.337855998419172</c:v>
                </c:pt>
                <c:pt idx="514">
                  <c:v>20.348858151146366</c:v>
                </c:pt>
                <c:pt idx="515">
                  <c:v>20.360224339602112</c:v>
                </c:pt>
                <c:pt idx="516">
                  <c:v>20.371952879531442</c:v>
                </c:pt>
                <c:pt idx="517">
                  <c:v>20.384326477873191</c:v>
                </c:pt>
                <c:pt idx="518">
                  <c:v>20.39707622534694</c:v>
                </c:pt>
                <c:pt idx="519">
                  <c:v>20.410200707158968</c:v>
                </c:pt>
                <c:pt idx="520">
                  <c:v>20.423698638465119</c:v>
                </c:pt>
                <c:pt idx="521">
                  <c:v>20.437895108009478</c:v>
                </c:pt>
                <c:pt idx="522">
                  <c:v>20.452480251548003</c:v>
                </c:pt>
                <c:pt idx="523">
                  <c:v>20.467453112267858</c:v>
                </c:pt>
                <c:pt idx="524">
                  <c:v>20.482812874148998</c:v>
                </c:pt>
                <c:pt idx="525">
                  <c:v>20.498929228154495</c:v>
                </c:pt>
                <c:pt idx="526">
                  <c:v>20.5154493897777</c:v>
                </c:pt>
                <c:pt idx="527">
                  <c:v>20.532372941848198</c:v>
                </c:pt>
                <c:pt idx="528">
                  <c:v>20.549699621417957</c:v>
                </c:pt>
                <c:pt idx="529">
                  <c:v>20.56784620837292</c:v>
                </c:pt>
                <c:pt idx="530">
                  <c:v>20.586414819241501</c:v>
                </c:pt>
                <c:pt idx="531">
                  <c:v>20.605405675875627</c:v>
                </c:pt>
                <c:pt idx="532">
                  <c:v>20.6248191710485</c:v>
                </c:pt>
                <c:pt idx="533">
                  <c:v>20.645132578510598</c:v>
                </c:pt>
                <c:pt idx="534">
                  <c:v>20.665890342618653</c:v>
                </c:pt>
                <c:pt idx="535">
                  <c:v>20.687093447361274</c:v>
                </c:pt>
                <c:pt idx="536">
                  <c:v>20.70874306889753</c:v>
                </c:pt>
                <c:pt idx="537">
                  <c:v>20.7313474865445</c:v>
                </c:pt>
                <c:pt idx="538">
                  <c:v>20.754422036521444</c:v>
                </c:pt>
                <c:pt idx="539">
                  <c:v>20.777968611121906</c:v>
                </c:pt>
                <c:pt idx="540">
                  <c:v>20.801989320565571</c:v>
                </c:pt>
                <c:pt idx="541">
                  <c:v>20.827073210955987</c:v>
                </c:pt>
                <c:pt idx="542">
                  <c:v>20.852659175210178</c:v>
                </c:pt>
                <c:pt idx="543">
                  <c:v>20.87875020367488</c:v>
                </c:pt>
                <c:pt idx="544">
                  <c:v>20.90534953806403</c:v>
                </c:pt>
                <c:pt idx="545">
                  <c:v>20.933094775250677</c:v>
                </c:pt>
                <c:pt idx="546">
                  <c:v>20.961379827505127</c:v>
                </c:pt>
                <c:pt idx="547">
                  <c:v>20.990209008942351</c:v>
                </c:pt>
                <c:pt idx="548">
                  <c:v>21.019586926822722</c:v>
                </c:pt>
                <c:pt idx="549">
                  <c:v>21.050217135353378</c:v>
                </c:pt>
                <c:pt idx="550">
                  <c:v>21.081432468084735</c:v>
                </c:pt>
                <c:pt idx="551">
                  <c:v>21.113238847444432</c:v>
                </c:pt>
                <c:pt idx="552">
                  <c:v>21.145642542159738</c:v>
                </c:pt>
                <c:pt idx="553">
                  <c:v>21.179434522202403</c:v>
                </c:pt>
                <c:pt idx="554">
                  <c:v>21.213866703100468</c:v>
                </c:pt>
                <c:pt idx="555">
                  <c:v>21.248946983431725</c:v>
                </c:pt>
                <c:pt idx="556">
                  <c:v>21.284683676844477</c:v>
                </c:pt>
                <c:pt idx="557">
                  <c:v>21.35991795875308</c:v>
                </c:pt>
                <c:pt idx="558">
                  <c:v>21.438020344131804</c:v>
                </c:pt>
                <c:pt idx="559">
                  <c:v>21.52097301725286</c:v>
                </c:pt>
                <c:pt idx="560">
                  <c:v>21.607123965574214</c:v>
                </c:pt>
                <c:pt idx="561">
                  <c:v>21.69875114724638</c:v>
                </c:pt>
                <c:pt idx="562">
                  <c:v>21.793983700960471</c:v>
                </c:pt>
                <c:pt idx="563">
                  <c:v>21.895134194295615</c:v>
                </c:pt>
                <c:pt idx="564">
                  <c:v>22.000368997499358</c:v>
                </c:pt>
                <c:pt idx="565">
                  <c:v>22.112690967898516</c:v>
                </c:pt>
                <c:pt idx="566">
                  <c:v>22.229718414945477</c:v>
                </c:pt>
                <c:pt idx="567">
                  <c:v>22.354752505937249</c:v>
                </c:pt>
                <c:pt idx="568">
                  <c:v>22.485254396980881</c:v>
                </c:pt>
                <c:pt idx="569">
                  <c:v>22.624314889730233</c:v>
                </c:pt>
                <c:pt idx="570">
                  <c:v>22.769733375563312</c:v>
                </c:pt>
                <c:pt idx="571">
                  <c:v>22.926171519803475</c:v>
                </c:pt>
                <c:pt idx="572">
                  <c:v>23.090186839407167</c:v>
                </c:pt>
                <c:pt idx="573">
                  <c:v>23.265648126401885</c:v>
                </c:pt>
                <c:pt idx="574">
                  <c:v>23.450084787870175</c:v>
                </c:pt>
                <c:pt idx="575">
                  <c:v>23.649363207694684</c:v>
                </c:pt>
                <c:pt idx="576">
                  <c:v>23.859538410137361</c:v>
                </c:pt>
                <c:pt idx="577">
                  <c:v>24.891412544610816</c:v>
                </c:pt>
                <c:pt idx="578">
                  <c:v>26.223647492913742</c:v>
                </c:pt>
                <c:pt idx="579">
                  <c:v>31.087649877561528</c:v>
                </c:pt>
                <c:pt idx="580">
                  <c:v>54.762151844891676</c:v>
                </c:pt>
                <c:pt idx="581">
                  <c:v>32.510490624888291</c:v>
                </c:pt>
                <c:pt idx="582">
                  <c:v>27.691353765893023</c:v>
                </c:pt>
                <c:pt idx="583">
                  <c:v>26.161029937917569</c:v>
                </c:pt>
                <c:pt idx="584">
                  <c:v>26.006668366297227</c:v>
                </c:pt>
                <c:pt idx="585">
                  <c:v>26.751993849383304</c:v>
                </c:pt>
                <c:pt idx="586">
                  <c:v>28.773473571218823</c:v>
                </c:pt>
                <c:pt idx="587">
                  <c:v>35.338206272206079</c:v>
                </c:pt>
                <c:pt idx="588">
                  <c:v>38.743805438244266</c:v>
                </c:pt>
                <c:pt idx="589">
                  <c:v>31.147233175447091</c:v>
                </c:pt>
                <c:pt idx="590">
                  <c:v>30.676358751383322</c:v>
                </c:pt>
                <c:pt idx="591">
                  <c:v>33.155061688636557</c:v>
                </c:pt>
                <c:pt idx="592">
                  <c:v>77.534356774712009</c:v>
                </c:pt>
                <c:pt idx="593">
                  <c:v>34.671918836610544</c:v>
                </c:pt>
                <c:pt idx="594">
                  <c:v>34.81231791448436</c:v>
                </c:pt>
                <c:pt idx="595">
                  <c:v>50.067821629570084</c:v>
                </c:pt>
                <c:pt idx="596">
                  <c:v>37.344669356990202</c:v>
                </c:pt>
                <c:pt idx="597">
                  <c:v>39.765295033171085</c:v>
                </c:pt>
                <c:pt idx="598">
                  <c:v>41.554598593793443</c:v>
                </c:pt>
                <c:pt idx="599">
                  <c:v>41.534141948399196</c:v>
                </c:pt>
                <c:pt idx="600">
                  <c:v>42.952143748300735</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Dual'!$CB$5:$CB$105</c:f>
              <c:numCache>
                <c:formatCode>0.00</c:formatCode>
                <c:ptCount val="101"/>
                <c:pt idx="0">
                  <c:v>5.9186043547549764E-6</c:v>
                </c:pt>
                <c:pt idx="1">
                  <c:v>37.600660322498328</c:v>
                </c:pt>
                <c:pt idx="2">
                  <c:v>50.947104813099941</c:v>
                </c:pt>
                <c:pt idx="3">
                  <c:v>57.694370483255057</c:v>
                </c:pt>
                <c:pt idx="4">
                  <c:v>61.691490395631064</c:v>
                </c:pt>
                <c:pt idx="5">
                  <c:v>64.272687225451108</c:v>
                </c:pt>
                <c:pt idx="6">
                  <c:v>66.024133436767372</c:v>
                </c:pt>
                <c:pt idx="7">
                  <c:v>67.244470550571521</c:v>
                </c:pt>
                <c:pt idx="8">
                  <c:v>68.102295389754232</c:v>
                </c:pt>
                <c:pt idx="9">
                  <c:v>68.700293264593611</c:v>
                </c:pt>
                <c:pt idx="10">
                  <c:v>69.10478832538351</c:v>
                </c:pt>
                <c:pt idx="11">
                  <c:v>69.360680883456098</c:v>
                </c:pt>
                <c:pt idx="12">
                  <c:v>69.499564578344021</c:v>
                </c:pt>
                <c:pt idx="13">
                  <c:v>69.544401846211585</c:v>
                </c:pt>
                <c:pt idx="14">
                  <c:v>70.547986420533107</c:v>
                </c:pt>
                <c:pt idx="15">
                  <c:v>71.095298169193782</c:v>
                </c:pt>
                <c:pt idx="16">
                  <c:v>71.280421837184662</c:v>
                </c:pt>
                <c:pt idx="17">
                  <c:v>71.44741080671875</c:v>
                </c:pt>
                <c:pt idx="18">
                  <c:v>71.598919343292195</c:v>
                </c:pt>
                <c:pt idx="19">
                  <c:v>71.73709653401805</c:v>
                </c:pt>
                <c:pt idx="20">
                  <c:v>71.863702773265175</c:v>
                </c:pt>
                <c:pt idx="21">
                  <c:v>71.98019513425686</c:v>
                </c:pt>
                <c:pt idx="22">
                  <c:v>72.087790971880281</c:v>
                </c:pt>
                <c:pt idx="23">
                  <c:v>72.187516011123549</c:v>
                </c:pt>
                <c:pt idx="24">
                  <c:v>72.280241193116709</c:v>
                </c:pt>
                <c:pt idx="25">
                  <c:v>72.366711250799071</c:v>
                </c:pt>
                <c:pt idx="26">
                  <c:v>72.447567116606152</c:v>
                </c:pt>
                <c:pt idx="27">
                  <c:v>72.523363672156037</c:v>
                </c:pt>
                <c:pt idx="28">
                  <c:v>72.594583939610743</c:v>
                </c:pt>
                <c:pt idx="29">
                  <c:v>72.661650525863706</c:v>
                </c:pt>
                <c:pt idx="30">
                  <c:v>72.724934924966419</c:v>
                </c:pt>
                <c:pt idx="31">
                  <c:v>72.784765135596018</c:v>
                </c:pt>
                <c:pt idx="32">
                  <c:v>72.84143194173393</c:v>
                </c:pt>
                <c:pt idx="33">
                  <c:v>72.895194124431256</c:v>
                </c:pt>
                <c:pt idx="34">
                  <c:v>72.946282812573983</c:v>
                </c:pt>
                <c:pt idx="35">
                  <c:v>72.994905135347508</c:v>
                </c:pt>
                <c:pt idx="36">
                  <c:v>73.041247304699894</c:v>
                </c:pt>
                <c:pt idx="37">
                  <c:v>73.085477229707962</c:v>
                </c:pt>
                <c:pt idx="38">
                  <c:v>73.127746744336392</c:v>
                </c:pt>
                <c:pt idx="39">
                  <c:v>73.168193514172359</c:v>
                </c:pt>
                <c:pt idx="40">
                  <c:v>73.206942675236135</c:v>
                </c:pt>
                <c:pt idx="41">
                  <c:v>73.244108248107082</c:v>
                </c:pt>
                <c:pt idx="42">
                  <c:v>73.279794362765386</c:v>
                </c:pt>
                <c:pt idx="43">
                  <c:v>73.314096323281277</c:v>
                </c:pt>
                <c:pt idx="44">
                  <c:v>73.347101536441428</c:v>
                </c:pt>
                <c:pt idx="45">
                  <c:v>73.378890324325781</c:v>
                </c:pt>
                <c:pt idx="46">
                  <c:v>73.409536637533876</c:v>
                </c:pt>
                <c:pt idx="47">
                  <c:v>74.616632867633797</c:v>
                </c:pt>
                <c:pt idx="48">
                  <c:v>74.448436657206869</c:v>
                </c:pt>
                <c:pt idx="49">
                  <c:v>74.280629881681108</c:v>
                </c:pt>
                <c:pt idx="50">
                  <c:v>74.270719709257421</c:v>
                </c:pt>
                <c:pt idx="51">
                  <c:v>74.327814974509948</c:v>
                </c:pt>
                <c:pt idx="52">
                  <c:v>74.381415377761428</c:v>
                </c:pt>
                <c:pt idx="53">
                  <c:v>74.430980979179367</c:v>
                </c:pt>
                <c:pt idx="54">
                  <c:v>74.476276328222696</c:v>
                </c:pt>
                <c:pt idx="55">
                  <c:v>74.517483131044983</c:v>
                </c:pt>
                <c:pt idx="56">
                  <c:v>74.554771573864258</c:v>
                </c:pt>
                <c:pt idx="57">
                  <c:v>74.58830117976612</c:v>
                </c:pt>
                <c:pt idx="58">
                  <c:v>74.61822158900398</c:v>
                </c:pt>
                <c:pt idx="59">
                  <c:v>74.64467327066987</c:v>
                </c:pt>
                <c:pt idx="60">
                  <c:v>74.667788172690436</c:v>
                </c:pt>
                <c:pt idx="61">
                  <c:v>74.68769031630147</c:v>
                </c:pt>
                <c:pt idx="62">
                  <c:v>74.704496340457538</c:v>
                </c:pt>
                <c:pt idx="63">
                  <c:v>74.718316001024576</c:v>
                </c:pt>
                <c:pt idx="64">
                  <c:v>74.729252629069066</c:v>
                </c:pt>
                <c:pt idx="65">
                  <c:v>74.737403552091138</c:v>
                </c:pt>
                <c:pt idx="66">
                  <c:v>74.742860481636868</c:v>
                </c:pt>
                <c:pt idx="67">
                  <c:v>74.74570987036347</c:v>
                </c:pt>
                <c:pt idx="68">
                  <c:v>74.746033241311281</c:v>
                </c:pt>
                <c:pt idx="69">
                  <c:v>74.743907491854713</c:v>
                </c:pt>
                <c:pt idx="70">
                  <c:v>74.739405174553056</c:v>
                </c:pt>
                <c:pt idx="71">
                  <c:v>74.732594756901335</c:v>
                </c:pt>
                <c:pt idx="72">
                  <c:v>74.723540861783533</c:v>
                </c:pt>
                <c:pt idx="73">
                  <c:v>74.712304490255093</c:v>
                </c:pt>
                <c:pt idx="74">
                  <c:v>74.698943228125202</c:v>
                </c:pt>
                <c:pt idx="75">
                  <c:v>74.683511437669921</c:v>
                </c:pt>
                <c:pt idx="76">
                  <c:v>74.66606043568153</c:v>
                </c:pt>
                <c:pt idx="77">
                  <c:v>74.646638658948433</c:v>
                </c:pt>
                <c:pt idx="78">
                  <c:v>74.625291818159241</c:v>
                </c:pt>
                <c:pt idx="79">
                  <c:v>74.602063041134315</c:v>
                </c:pt>
                <c:pt idx="80">
                  <c:v>74.576993006207545</c:v>
                </c:pt>
                <c:pt idx="81">
                  <c:v>74.550120066507759</c:v>
                </c:pt>
                <c:pt idx="82">
                  <c:v>74.521480365823507</c:v>
                </c:pt>
                <c:pt idx="83">
                  <c:v>74.491107946675569</c:v>
                </c:pt>
                <c:pt idx="84">
                  <c:v>74.459034851168028</c:v>
                </c:pt>
                <c:pt idx="85">
                  <c:v>74.425291215139737</c:v>
                </c:pt>
                <c:pt idx="86">
                  <c:v>74.389905356094502</c:v>
                </c:pt>
                <c:pt idx="87">
                  <c:v>74.352903855347932</c:v>
                </c:pt>
                <c:pt idx="88">
                  <c:v>74.314311634793143</c:v>
                </c:pt>
                <c:pt idx="89">
                  <c:v>74.274152028653774</c:v>
                </c:pt>
                <c:pt idx="90">
                  <c:v>74.232446850563818</c:v>
                </c:pt>
                <c:pt idx="91">
                  <c:v>74.189216456285351</c:v>
                </c:pt>
                <c:pt idx="92">
                  <c:v>74.144479802351057</c:v>
                </c:pt>
                <c:pt idx="93">
                  <c:v>74.098254500895294</c:v>
                </c:pt>
                <c:pt idx="94">
                  <c:v>74.050556870916949</c:v>
                </c:pt>
                <c:pt idx="95">
                  <c:v>74.001401986197635</c:v>
                </c:pt>
                <c:pt idx="96">
                  <c:v>73.950803720082334</c:v>
                </c:pt>
                <c:pt idx="97">
                  <c:v>73.898774787312433</c:v>
                </c:pt>
                <c:pt idx="98">
                  <c:v>73.845326783087344</c:v>
                </c:pt>
                <c:pt idx="99">
                  <c:v>73.79047021951699</c:v>
                </c:pt>
                <c:pt idx="100">
                  <c:v>73.480006411789972</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37.718749999999993</c:v>
                </c:pt>
                <c:pt idx="2">
                  <c:v>75.437499999999986</c:v>
                </c:pt>
                <c:pt idx="3">
                  <c:v>113.15625</c:v>
                </c:pt>
                <c:pt idx="4">
                  <c:v>150.87499999999997</c:v>
                </c:pt>
                <c:pt idx="5">
                  <c:v>188.59375</c:v>
                </c:pt>
                <c:pt idx="6">
                  <c:v>226.3125</c:v>
                </c:pt>
                <c:pt idx="7">
                  <c:v>264.03124999999994</c:v>
                </c:pt>
                <c:pt idx="8">
                  <c:v>301.74999999999994</c:v>
                </c:pt>
                <c:pt idx="9">
                  <c:v>339.46875</c:v>
                </c:pt>
                <c:pt idx="10">
                  <c:v>377.1875</c:v>
                </c:pt>
                <c:pt idx="11">
                  <c:v>414.90625</c:v>
                </c:pt>
                <c:pt idx="12">
                  <c:v>452.625</c:v>
                </c:pt>
                <c:pt idx="13">
                  <c:v>490.34374999999989</c:v>
                </c:pt>
                <c:pt idx="14">
                  <c:v>528.06249999999989</c:v>
                </c:pt>
                <c:pt idx="15">
                  <c:v>565.78124999999989</c:v>
                </c:pt>
                <c:pt idx="16">
                  <c:v>603.49999999999989</c:v>
                </c:pt>
                <c:pt idx="17">
                  <c:v>641.21875</c:v>
                </c:pt>
                <c:pt idx="18">
                  <c:v>678.9375</c:v>
                </c:pt>
                <c:pt idx="19">
                  <c:v>716.65625</c:v>
                </c:pt>
                <c:pt idx="20">
                  <c:v>754.375</c:v>
                </c:pt>
                <c:pt idx="21">
                  <c:v>792.09374999999989</c:v>
                </c:pt>
                <c:pt idx="22">
                  <c:v>829.8125</c:v>
                </c:pt>
                <c:pt idx="23">
                  <c:v>867.53124999999989</c:v>
                </c:pt>
                <c:pt idx="24">
                  <c:v>905.25</c:v>
                </c:pt>
                <c:pt idx="25">
                  <c:v>942.96874999999977</c:v>
                </c:pt>
                <c:pt idx="26">
                  <c:v>980.68749999999977</c:v>
                </c:pt>
                <c:pt idx="27">
                  <c:v>1018.40625</c:v>
                </c:pt>
                <c:pt idx="28">
                  <c:v>1056.1249999999998</c:v>
                </c:pt>
                <c:pt idx="29">
                  <c:v>1093.8437499999998</c:v>
                </c:pt>
                <c:pt idx="30">
                  <c:v>1131.5624999999998</c:v>
                </c:pt>
                <c:pt idx="31">
                  <c:v>1169.2812499999995</c:v>
                </c:pt>
                <c:pt idx="32">
                  <c:v>1206.9999999999998</c:v>
                </c:pt>
                <c:pt idx="33">
                  <c:v>1244.7187499999998</c:v>
                </c:pt>
                <c:pt idx="34">
                  <c:v>1282.4375</c:v>
                </c:pt>
                <c:pt idx="35">
                  <c:v>1320.1562499999998</c:v>
                </c:pt>
                <c:pt idx="36">
                  <c:v>1357.875</c:v>
                </c:pt>
                <c:pt idx="37">
                  <c:v>1395.5937499999998</c:v>
                </c:pt>
                <c:pt idx="38">
                  <c:v>1433.3125</c:v>
                </c:pt>
                <c:pt idx="39">
                  <c:v>1471.03125</c:v>
                </c:pt>
                <c:pt idx="40">
                  <c:v>1508.75</c:v>
                </c:pt>
                <c:pt idx="41">
                  <c:v>1546.4687499999998</c:v>
                </c:pt>
                <c:pt idx="42">
                  <c:v>1584.1874999999998</c:v>
                </c:pt>
                <c:pt idx="43">
                  <c:v>1621.9062499999998</c:v>
                </c:pt>
                <c:pt idx="44">
                  <c:v>1659.625</c:v>
                </c:pt>
                <c:pt idx="45">
                  <c:v>1697.34375</c:v>
                </c:pt>
                <c:pt idx="46">
                  <c:v>1735.0624999999998</c:v>
                </c:pt>
                <c:pt idx="47">
                  <c:v>1772.7812499999998</c:v>
                </c:pt>
                <c:pt idx="48">
                  <c:v>1810.5</c:v>
                </c:pt>
                <c:pt idx="49">
                  <c:v>1848.2187499999998</c:v>
                </c:pt>
                <c:pt idx="50">
                  <c:v>1885.9374999999995</c:v>
                </c:pt>
                <c:pt idx="51">
                  <c:v>1923.6562499999998</c:v>
                </c:pt>
                <c:pt idx="52">
                  <c:v>1961.3749999999995</c:v>
                </c:pt>
                <c:pt idx="53">
                  <c:v>1999.09375</c:v>
                </c:pt>
                <c:pt idx="54">
                  <c:v>2036.8125</c:v>
                </c:pt>
                <c:pt idx="55">
                  <c:v>2074.53125</c:v>
                </c:pt>
                <c:pt idx="56">
                  <c:v>2112.2499999999995</c:v>
                </c:pt>
                <c:pt idx="57">
                  <c:v>2149.9687499999991</c:v>
                </c:pt>
                <c:pt idx="58">
                  <c:v>2187.6874999999995</c:v>
                </c:pt>
                <c:pt idx="59">
                  <c:v>2225.40625</c:v>
                </c:pt>
                <c:pt idx="60">
                  <c:v>2263.1249999999995</c:v>
                </c:pt>
                <c:pt idx="61">
                  <c:v>2300.84375</c:v>
                </c:pt>
                <c:pt idx="62">
                  <c:v>2338.5624999999991</c:v>
                </c:pt>
                <c:pt idx="63">
                  <c:v>2376.28125</c:v>
                </c:pt>
                <c:pt idx="64">
                  <c:v>2413.9999999999995</c:v>
                </c:pt>
                <c:pt idx="65">
                  <c:v>2451.71875</c:v>
                </c:pt>
                <c:pt idx="66">
                  <c:v>2489.4374999999995</c:v>
                </c:pt>
                <c:pt idx="67">
                  <c:v>2527.15625</c:v>
                </c:pt>
                <c:pt idx="68">
                  <c:v>2564.875</c:v>
                </c:pt>
                <c:pt idx="69">
                  <c:v>2602.5937499999995</c:v>
                </c:pt>
                <c:pt idx="70">
                  <c:v>2640.3124999999995</c:v>
                </c:pt>
                <c:pt idx="71">
                  <c:v>2678.0312499999995</c:v>
                </c:pt>
                <c:pt idx="72">
                  <c:v>2715.75</c:v>
                </c:pt>
                <c:pt idx="73">
                  <c:v>2753.4687499999995</c:v>
                </c:pt>
                <c:pt idx="74">
                  <c:v>2791.1874999999995</c:v>
                </c:pt>
                <c:pt idx="75">
                  <c:v>2828.9062499999995</c:v>
                </c:pt>
                <c:pt idx="76">
                  <c:v>2866.625</c:v>
                </c:pt>
                <c:pt idx="77">
                  <c:v>2904.34375</c:v>
                </c:pt>
                <c:pt idx="78">
                  <c:v>2942.0625</c:v>
                </c:pt>
                <c:pt idx="79">
                  <c:v>2979.78125</c:v>
                </c:pt>
                <c:pt idx="80">
                  <c:v>3017.5</c:v>
                </c:pt>
                <c:pt idx="81">
                  <c:v>3055.21875</c:v>
                </c:pt>
                <c:pt idx="82">
                  <c:v>3092.9374999999995</c:v>
                </c:pt>
                <c:pt idx="83">
                  <c:v>3130.6562499999995</c:v>
                </c:pt>
                <c:pt idx="84">
                  <c:v>3168.3749999999995</c:v>
                </c:pt>
                <c:pt idx="85">
                  <c:v>3206.0937499999991</c:v>
                </c:pt>
                <c:pt idx="86">
                  <c:v>3243.8124999999995</c:v>
                </c:pt>
                <c:pt idx="87">
                  <c:v>3281.5312499999991</c:v>
                </c:pt>
                <c:pt idx="88">
                  <c:v>3319.25</c:v>
                </c:pt>
                <c:pt idx="89">
                  <c:v>3356.9687499999995</c:v>
                </c:pt>
                <c:pt idx="90">
                  <c:v>3394.6875</c:v>
                </c:pt>
                <c:pt idx="91">
                  <c:v>3432.4062499999991</c:v>
                </c:pt>
                <c:pt idx="92">
                  <c:v>3470.1249999999995</c:v>
                </c:pt>
                <c:pt idx="93">
                  <c:v>3507.8437499999995</c:v>
                </c:pt>
                <c:pt idx="94">
                  <c:v>3545.5624999999995</c:v>
                </c:pt>
                <c:pt idx="95">
                  <c:v>3583.2812499999991</c:v>
                </c:pt>
                <c:pt idx="96">
                  <c:v>3621</c:v>
                </c:pt>
                <c:pt idx="97">
                  <c:v>3658.7187499999995</c:v>
                </c:pt>
                <c:pt idx="98">
                  <c:v>3696.4374999999995</c:v>
                </c:pt>
                <c:pt idx="99">
                  <c:v>3734.1562499999995</c:v>
                </c:pt>
                <c:pt idx="100">
                  <c:v>3771.8749999999991</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12.593211752189859</c:v>
                </c:pt>
                <c:pt idx="1">
                  <c:v>34.117940314318624</c:v>
                </c:pt>
                <c:pt idx="2">
                  <c:v>68.237984897310341</c:v>
                </c:pt>
                <c:pt idx="3">
                  <c:v>102.36013394365641</c:v>
                </c:pt>
                <c:pt idx="4">
                  <c:v>136.48438764806221</c:v>
                </c:pt>
                <c:pt idx="5">
                  <c:v>170.61074620525707</c:v>
                </c:pt>
                <c:pt idx="6">
                  <c:v>204.73920980999412</c:v>
                </c:pt>
                <c:pt idx="7">
                  <c:v>238.86977865705114</c:v>
                </c:pt>
                <c:pt idx="8">
                  <c:v>273.00245294122914</c:v>
                </c:pt>
                <c:pt idx="9">
                  <c:v>307.13723285735392</c:v>
                </c:pt>
                <c:pt idx="10">
                  <c:v>341.27411860027479</c:v>
                </c:pt>
                <c:pt idx="11">
                  <c:v>375.41311036486519</c:v>
                </c:pt>
                <c:pt idx="12">
                  <c:v>409.55420834602262</c:v>
                </c:pt>
                <c:pt idx="13">
                  <c:v>443.6974127386693</c:v>
                </c:pt>
                <c:pt idx="14">
                  <c:v>444.37982288207365</c:v>
                </c:pt>
                <c:pt idx="15">
                  <c:v>451.47379925007812</c:v>
                </c:pt>
                <c:pt idx="16">
                  <c:v>464.44429851369233</c:v>
                </c:pt>
                <c:pt idx="17">
                  <c:v>477.03775335796291</c:v>
                </c:pt>
                <c:pt idx="18">
                  <c:v>489.28754409858834</c:v>
                </c:pt>
                <c:pt idx="19">
                  <c:v>501.2224606960346</c:v>
                </c:pt>
                <c:pt idx="20">
                  <c:v>512.86753967492734</c:v>
                </c:pt>
                <c:pt idx="21">
                  <c:v>524.2447145950772</c:v>
                </c:pt>
                <c:pt idx="22">
                  <c:v>535.37332845083836</c:v>
                </c:pt>
                <c:pt idx="23">
                  <c:v>546.27054220742696</c:v>
                </c:pt>
                <c:pt idx="24">
                  <c:v>556.95166409686874</c:v>
                </c:pt>
                <c:pt idx="25">
                  <c:v>567.43041768209002</c:v>
                </c:pt>
                <c:pt idx="26">
                  <c:v>577.71916205242519</c:v>
                </c:pt>
                <c:pt idx="27">
                  <c:v>587.82907419852529</c:v>
                </c:pt>
                <c:pt idx="28">
                  <c:v>597.77030121357961</c:v>
                </c:pt>
                <c:pt idx="29">
                  <c:v>607.55208820529117</c:v>
                </c:pt>
                <c:pt idx="30">
                  <c:v>617.18288649327098</c:v>
                </c:pt>
                <c:pt idx="31">
                  <c:v>626.67044568199753</c:v>
                </c:pt>
                <c:pt idx="32">
                  <c:v>636.02189245162219</c:v>
                </c:pt>
                <c:pt idx="33">
                  <c:v>645.24379833521255</c:v>
                </c:pt>
                <c:pt idx="34">
                  <c:v>654.34223830691838</c:v>
                </c:pt>
                <c:pt idx="35">
                  <c:v>663.32284165883073</c:v>
                </c:pt>
                <c:pt idx="36">
                  <c:v>672.19083637143751</c:v>
                </c:pt>
                <c:pt idx="37">
                  <c:v>680.95108796626243</c:v>
                </c:pt>
                <c:pt idx="38">
                  <c:v>689.60813365653826</c:v>
                </c:pt>
                <c:pt idx="39">
                  <c:v>698.16621247295939</c:v>
                </c:pt>
                <c:pt idx="40">
                  <c:v>706.62929192930585</c:v>
                </c:pt>
                <c:pt idx="41">
                  <c:v>715.00109170139228</c:v>
                </c:pt>
                <c:pt idx="42">
                  <c:v>723.28510471813195</c:v>
                </c:pt>
                <c:pt idx="43">
                  <c:v>731.48461600205076</c:v>
                </c:pt>
                <c:pt idx="44">
                  <c:v>739.60271954585664</c:v>
                </c:pt>
                <c:pt idx="45">
                  <c:v>747.64233346949879</c:v>
                </c:pt>
                <c:pt idx="46">
                  <c:v>755.60621366701639</c:v>
                </c:pt>
                <c:pt idx="47">
                  <c:v>721.30551216903018</c:v>
                </c:pt>
                <c:pt idx="48">
                  <c:v>735.79454407605431</c:v>
                </c:pt>
                <c:pt idx="49">
                  <c:v>750.31898442487307</c:v>
                </c:pt>
                <c:pt idx="50">
                  <c:v>755.50659707604541</c:v>
                </c:pt>
                <c:pt idx="51">
                  <c:v>756.62134659031153</c:v>
                </c:pt>
                <c:pt idx="52">
                  <c:v>757.51527783287679</c:v>
                </c:pt>
                <c:pt idx="53">
                  <c:v>758.32975177587821</c:v>
                </c:pt>
                <c:pt idx="54">
                  <c:v>759.16455391390969</c:v>
                </c:pt>
                <c:pt idx="55">
                  <c:v>760.01925929136041</c:v>
                </c:pt>
                <c:pt idx="56">
                  <c:v>760.89347168823917</c:v>
                </c:pt>
                <c:pt idx="57">
                  <c:v>761.78682126192973</c:v>
                </c:pt>
                <c:pt idx="58">
                  <c:v>762.6989624187047</c:v>
                </c:pt>
                <c:pt idx="59">
                  <c:v>763.62957188930523</c:v>
                </c:pt>
                <c:pt idx="60">
                  <c:v>764.578346986116</c:v>
                </c:pt>
                <c:pt idx="61">
                  <c:v>765.54500402225847</c:v>
                </c:pt>
                <c:pt idx="62">
                  <c:v>766.52927687531167</c:v>
                </c:pt>
                <c:pt idx="63">
                  <c:v>767.53091568046295</c:v>
                </c:pt>
                <c:pt idx="64">
                  <c:v>768.54968563967964</c:v>
                </c:pt>
                <c:pt idx="65">
                  <c:v>769.58536593505858</c:v>
                </c:pt>
                <c:pt idx="66">
                  <c:v>770.63774873587818</c:v>
                </c:pt>
                <c:pt idx="67">
                  <c:v>771.70663829005639</c:v>
                </c:pt>
                <c:pt idx="68">
                  <c:v>772.79185009175865</c:v>
                </c:pt>
                <c:pt idx="69">
                  <c:v>773.89321011782135</c:v>
                </c:pt>
                <c:pt idx="70">
                  <c:v>775.01055412643461</c:v>
                </c:pt>
                <c:pt idx="71">
                  <c:v>776.14372701224647</c:v>
                </c:pt>
                <c:pt idx="72">
                  <c:v>777.29258221266264</c:v>
                </c:pt>
                <c:pt idx="73">
                  <c:v>778.45698116066205</c:v>
                </c:pt>
                <c:pt idx="74">
                  <c:v>779.63679277993424</c:v>
                </c:pt>
                <c:pt idx="75">
                  <c:v>780.83189301856225</c:v>
                </c:pt>
                <c:pt idx="76">
                  <c:v>782.04216441787082</c:v>
                </c:pt>
                <c:pt idx="77">
                  <c:v>783.26749571337564</c:v>
                </c:pt>
                <c:pt idx="78">
                  <c:v>784.5077814650906</c:v>
                </c:pt>
                <c:pt idx="79">
                  <c:v>785.76292171469038</c:v>
                </c:pt>
                <c:pt idx="80">
                  <c:v>787.03282166729639</c:v>
                </c:pt>
                <c:pt idx="81">
                  <c:v>788.31739139583385</c:v>
                </c:pt>
                <c:pt idx="82">
                  <c:v>789.61654556612496</c:v>
                </c:pt>
                <c:pt idx="83">
                  <c:v>790.93020318103743</c:v>
                </c:pt>
                <c:pt idx="84">
                  <c:v>792.25828734216225</c:v>
                </c:pt>
                <c:pt idx="85">
                  <c:v>793.60072502764524</c:v>
                </c:pt>
                <c:pt idx="86">
                  <c:v>794.95744688490277</c:v>
                </c:pt>
                <c:pt idx="87">
                  <c:v>796.32838703707364</c:v>
                </c:pt>
                <c:pt idx="88">
                  <c:v>797.71348290215917</c:v>
                </c:pt>
                <c:pt idx="89">
                  <c:v>799.11267502389092</c:v>
                </c:pt>
                <c:pt idx="90">
                  <c:v>800.52590691345131</c:v>
                </c:pt>
                <c:pt idx="91">
                  <c:v>801.95312490124115</c:v>
                </c:pt>
                <c:pt idx="92">
                  <c:v>803.39427799796135</c:v>
                </c:pt>
                <c:pt idx="93">
                  <c:v>804.84931776433336</c:v>
                </c:pt>
                <c:pt idx="94">
                  <c:v>806.31819818883798</c:v>
                </c:pt>
                <c:pt idx="95">
                  <c:v>807.80087557290688</c:v>
                </c:pt>
                <c:pt idx="96">
                  <c:v>809.29730842303661</c:v>
                </c:pt>
                <c:pt idx="97">
                  <c:v>810.80745734935192</c:v>
                </c:pt>
                <c:pt idx="98">
                  <c:v>812.33128497016935</c:v>
                </c:pt>
                <c:pt idx="99">
                  <c:v>813.86875582215248</c:v>
                </c:pt>
                <c:pt idx="100">
                  <c:v>815.41983627568163</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359.11601759001513</c:v>
                </c:pt>
                <c:pt idx="1">
                  <c:v>356.32147230078294</c:v>
                </c:pt>
                <c:pt idx="2">
                  <c:v>353.1396728883031</c:v>
                </c:pt>
                <c:pt idx="3">
                  <c:v>352.0356488056085</c:v>
                </c:pt>
                <c:pt idx="4">
                  <c:v>353.4807291682522</c:v>
                </c:pt>
                <c:pt idx="5">
                  <c:v>357.8688901540699</c:v>
                </c:pt>
                <c:pt idx="6">
                  <c:v>365.54551460121343</c:v>
                </c:pt>
                <c:pt idx="7">
                  <c:v>376.82165636548802</c:v>
                </c:pt>
                <c:pt idx="8">
                  <c:v>391.98239701879442</c:v>
                </c:pt>
                <c:pt idx="9">
                  <c:v>411.29225288525788</c:v>
                </c:pt>
                <c:pt idx="10">
                  <c:v>434.9989165104551</c:v>
                </c:pt>
                <c:pt idx="11">
                  <c:v>463.33597498078205</c:v>
                </c:pt>
                <c:pt idx="12">
                  <c:v>496.52495963477975</c:v>
                </c:pt>
                <c:pt idx="13">
                  <c:v>534.77693758367639</c:v>
                </c:pt>
                <c:pt idx="14">
                  <c:v>535.47701608962188</c:v>
                </c:pt>
                <c:pt idx="15">
                  <c:v>556.14289640605955</c:v>
                </c:pt>
                <c:pt idx="16">
                  <c:v>595.2672201680864</c:v>
                </c:pt>
                <c:pt idx="17">
                  <c:v>634.52438523870433</c:v>
                </c:pt>
                <c:pt idx="18">
                  <c:v>673.90637044639459</c:v>
                </c:pt>
                <c:pt idx="19">
                  <c:v>713.40593119834443</c:v>
                </c:pt>
                <c:pt idx="20">
                  <c:v>753.01647965246195</c:v>
                </c:pt>
                <c:pt idx="21">
                  <c:v>792.73198845717047</c:v>
                </c:pt>
                <c:pt idx="22">
                  <c:v>832.54691252616271</c:v>
                </c:pt>
                <c:pt idx="23">
                  <c:v>872.45612480638931</c:v>
                </c:pt>
                <c:pt idx="24">
                  <c:v>912.45486303944176</c:v>
                </c:pt>
                <c:pt idx="25">
                  <c:v>952.53868525755047</c:v>
                </c:pt>
                <c:pt idx="26">
                  <c:v>992.70343229112814</c:v>
                </c:pt>
                <c:pt idx="27">
                  <c:v>1032.9451959577164</c:v>
                </c:pt>
                <c:pt idx="28">
                  <c:v>1073.2602918943442</c:v>
                </c:pt>
                <c:pt idx="29">
                  <c:v>1113.6452362151201</c:v>
                </c:pt>
                <c:pt idx="30">
                  <c:v>1154.0967253432068</c:v>
                </c:pt>
                <c:pt idx="31">
                  <c:v>1194.6116184950083</c:v>
                </c:pt>
                <c:pt idx="32">
                  <c:v>1235.1869223942997</c:v>
                </c:pt>
                <c:pt idx="33">
                  <c:v>1275.81977787233</c:v>
                </c:pt>
                <c:pt idx="34">
                  <c:v>1316.5074480717453</c:v>
                </c:pt>
                <c:pt idx="35">
                  <c:v>1357.2473080214343</c:v>
                </c:pt>
                <c:pt idx="36">
                  <c:v>1398.0368353888744</c:v>
                </c:pt>
                <c:pt idx="37">
                  <c:v>1438.8736022484486</c:v>
                </c:pt>
                <c:pt idx="38">
                  <c:v>1479.7552677301007</c:v>
                </c:pt>
                <c:pt idx="39">
                  <c:v>1520.6795714339046</c:v>
                </c:pt>
                <c:pt idx="40">
                  <c:v>1561.64432751351</c:v>
                </c:pt>
                <c:pt idx="41">
                  <c:v>1602.6474193458489</c:v>
                </c:pt>
                <c:pt idx="42">
                  <c:v>1643.6867947164562</c:v>
                </c:pt>
                <c:pt idx="43">
                  <c:v>1684.7604614597099</c:v>
                </c:pt>
                <c:pt idx="44">
                  <c:v>1725.8664835017241</c:v>
                </c:pt>
                <c:pt idx="45">
                  <c:v>1767.0029772606526</c:v>
                </c:pt>
                <c:pt idx="46">
                  <c:v>1808.168108365124</c:v>
                </c:pt>
                <c:pt idx="47">
                  <c:v>1630.9815773939763</c:v>
                </c:pt>
                <c:pt idx="48">
                  <c:v>1704.0372915558301</c:v>
                </c:pt>
                <c:pt idx="49">
                  <c:v>1778.7040519425507</c:v>
                </c:pt>
                <c:pt idx="50">
                  <c:v>1827.446430037144</c:v>
                </c:pt>
                <c:pt idx="51">
                  <c:v>1864.3819051216867</c:v>
                </c:pt>
                <c:pt idx="52">
                  <c:v>1901.8732495402792</c:v>
                </c:pt>
                <c:pt idx="53">
                  <c:v>1939.9587104578129</c:v>
                </c:pt>
                <c:pt idx="54">
                  <c:v>1978.6509984884428</c:v>
                </c:pt>
                <c:pt idx="55">
                  <c:v>2017.9605951775663</c:v>
                </c:pt>
                <c:pt idx="56">
                  <c:v>2057.8978626223611</c:v>
                </c:pt>
                <c:pt idx="57">
                  <c:v>2098.4730696839229</c:v>
                </c:pt>
                <c:pt idx="58">
                  <c:v>2139.6964161863148</c:v>
                </c:pt>
                <c:pt idx="59">
                  <c:v>2181.578055330489</c:v>
                </c:pt>
                <c:pt idx="60">
                  <c:v>2224.1281145245785</c:v>
                </c:pt>
                <c:pt idx="61">
                  <c:v>2267.3567148090324</c:v>
                </c:pt>
                <c:pt idx="62">
                  <c:v>2311.2739890351991</c:v>
                </c:pt>
                <c:pt idx="63">
                  <c:v>2355.8900989384529</c:v>
                </c:pt>
                <c:pt idx="64">
                  <c:v>2401.2152512318658</c:v>
                </c:pt>
                <c:pt idx="65">
                  <c:v>2447.2597128330858</c:v>
                </c:pt>
                <c:pt idx="66">
                  <c:v>2494.0338253254595</c:v>
                </c:pt>
                <c:pt idx="67">
                  <c:v>2541.548018744314</c:v>
                </c:pt>
                <c:pt idx="68">
                  <c:v>2589.8128247702807</c:v>
                </c:pt>
                <c:pt idx="69">
                  <c:v>2638.8388894037439</c:v>
                </c:pt>
                <c:pt idx="70">
                  <c:v>2688.6369851875888</c:v>
                </c:pt>
                <c:pt idx="71">
                  <c:v>2739.2180230392933</c:v>
                </c:pt>
                <c:pt idx="72">
                  <c:v>2790.5930637481056</c:v>
                </c:pt>
                <c:pt idx="73">
                  <c:v>2842.773329188316</c:v>
                </c:pt>
                <c:pt idx="74">
                  <c:v>2895.7702132954787</c:v>
                </c:pt>
                <c:pt idx="75">
                  <c:v>2949.5952928487459</c:v>
                </c:pt>
                <c:pt idx="76">
                  <c:v>3004.2603380993232</c:v>
                </c:pt>
                <c:pt idx="77">
                  <c:v>3059.777323282176</c:v>
                </c:pt>
                <c:pt idx="78">
                  <c:v>3116.158437045658</c:v>
                </c:pt>
                <c:pt idx="79">
                  <c:v>3173.4160928314946</c:v>
                </c:pt>
                <c:pt idx="80">
                  <c:v>3231.5629392357955</c:v>
                </c:pt>
                <c:pt idx="81">
                  <c:v>3290.6118703799284</c:v>
                </c:pt>
                <c:pt idx="82">
                  <c:v>3350.5760363188438</c:v>
                </c:pt>
                <c:pt idx="83">
                  <c:v>3411.4688535130213</c:v>
                </c:pt>
                <c:pt idx="84">
                  <c:v>3473.3040153893876</c:v>
                </c:pt>
                <c:pt idx="85">
                  <c:v>3536.0955030154064</c:v>
                </c:pt>
                <c:pt idx="86">
                  <c:v>3599.8575959100795</c:v>
                </c:pt>
                <c:pt idx="87">
                  <c:v>3664.6048830148075</c:v>
                </c:pt>
                <c:pt idx="88">
                  <c:v>3730.3522738466913</c:v>
                </c:pt>
                <c:pt idx="89">
                  <c:v>3797.1150098564849</c:v>
                </c:pt>
                <c:pt idx="90">
                  <c:v>3864.9086760131991</c:v>
                </c:pt>
                <c:pt idx="91">
                  <c:v>3933.7492126372003</c:v>
                </c:pt>
                <c:pt idx="92">
                  <c:v>4003.652927503646</c:v>
                </c:pt>
                <c:pt idx="93">
                  <c:v>4074.6365082381494</c:v>
                </c:pt>
                <c:pt idx="94">
                  <c:v>4146.7170350266852</c:v>
                </c:pt>
                <c:pt idx="95">
                  <c:v>4219.91199366213</c:v>
                </c:pt>
                <c:pt idx="96">
                  <c:v>4294.2392889498942</c:v>
                </c:pt>
                <c:pt idx="97">
                  <c:v>4369.7172584958744</c:v>
                </c:pt>
                <c:pt idx="98">
                  <c:v>4446.3646869000477</c:v>
                </c:pt>
                <c:pt idx="99">
                  <c:v>4524.2008203799269</c:v>
                </c:pt>
                <c:pt idx="100">
                  <c:v>4603.2453818485392</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18</c:v>
                </c:pt>
                <c:pt idx="1">
                  <c:v>18.18</c:v>
                </c:pt>
                <c:pt idx="2">
                  <c:v>18.36</c:v>
                </c:pt>
                <c:pt idx="3">
                  <c:v>18.54</c:v>
                </c:pt>
                <c:pt idx="4">
                  <c:v>18.72</c:v>
                </c:pt>
                <c:pt idx="5">
                  <c:v>18.899999999999999</c:v>
                </c:pt>
                <c:pt idx="6">
                  <c:v>19.079999999999998</c:v>
                </c:pt>
                <c:pt idx="7">
                  <c:v>19.260000000000002</c:v>
                </c:pt>
                <c:pt idx="8">
                  <c:v>19.440000000000001</c:v>
                </c:pt>
                <c:pt idx="9">
                  <c:v>19.62</c:v>
                </c:pt>
                <c:pt idx="10">
                  <c:v>19.8</c:v>
                </c:pt>
                <c:pt idx="11">
                  <c:v>19.98</c:v>
                </c:pt>
                <c:pt idx="12">
                  <c:v>20.16</c:v>
                </c:pt>
                <c:pt idx="13">
                  <c:v>20.34</c:v>
                </c:pt>
                <c:pt idx="14">
                  <c:v>20.52</c:v>
                </c:pt>
                <c:pt idx="15">
                  <c:v>20.7</c:v>
                </c:pt>
                <c:pt idx="16">
                  <c:v>20.88</c:v>
                </c:pt>
                <c:pt idx="17">
                  <c:v>21.06</c:v>
                </c:pt>
                <c:pt idx="18">
                  <c:v>21.24</c:v>
                </c:pt>
                <c:pt idx="19">
                  <c:v>21.42</c:v>
                </c:pt>
                <c:pt idx="20">
                  <c:v>21.6</c:v>
                </c:pt>
                <c:pt idx="21">
                  <c:v>21.78</c:v>
                </c:pt>
                <c:pt idx="22">
                  <c:v>21.96</c:v>
                </c:pt>
                <c:pt idx="23">
                  <c:v>22.14</c:v>
                </c:pt>
                <c:pt idx="24">
                  <c:v>22.32</c:v>
                </c:pt>
                <c:pt idx="25">
                  <c:v>22.5</c:v>
                </c:pt>
                <c:pt idx="26">
                  <c:v>22.68</c:v>
                </c:pt>
                <c:pt idx="27">
                  <c:v>22.86</c:v>
                </c:pt>
                <c:pt idx="28">
                  <c:v>23.04</c:v>
                </c:pt>
                <c:pt idx="29">
                  <c:v>23.22</c:v>
                </c:pt>
                <c:pt idx="30">
                  <c:v>23.4</c:v>
                </c:pt>
                <c:pt idx="31">
                  <c:v>23.58</c:v>
                </c:pt>
                <c:pt idx="32">
                  <c:v>23.759999999999998</c:v>
                </c:pt>
                <c:pt idx="33">
                  <c:v>23.94</c:v>
                </c:pt>
                <c:pt idx="34">
                  <c:v>24.12</c:v>
                </c:pt>
                <c:pt idx="35">
                  <c:v>24.3</c:v>
                </c:pt>
                <c:pt idx="36">
                  <c:v>24.48</c:v>
                </c:pt>
                <c:pt idx="37">
                  <c:v>24.66</c:v>
                </c:pt>
                <c:pt idx="38">
                  <c:v>24.84</c:v>
                </c:pt>
                <c:pt idx="39">
                  <c:v>25.02</c:v>
                </c:pt>
                <c:pt idx="40">
                  <c:v>25.2</c:v>
                </c:pt>
                <c:pt idx="41">
                  <c:v>25.38</c:v>
                </c:pt>
                <c:pt idx="42">
                  <c:v>25.56</c:v>
                </c:pt>
                <c:pt idx="43">
                  <c:v>25.740000000000002</c:v>
                </c:pt>
                <c:pt idx="44">
                  <c:v>25.92</c:v>
                </c:pt>
                <c:pt idx="45">
                  <c:v>26.1</c:v>
                </c:pt>
                <c:pt idx="46">
                  <c:v>26.28</c:v>
                </c:pt>
                <c:pt idx="47">
                  <c:v>26.46</c:v>
                </c:pt>
                <c:pt idx="48">
                  <c:v>26.64</c:v>
                </c:pt>
                <c:pt idx="49">
                  <c:v>26.82</c:v>
                </c:pt>
                <c:pt idx="50">
                  <c:v>27</c:v>
                </c:pt>
                <c:pt idx="51">
                  <c:v>27.18</c:v>
                </c:pt>
                <c:pt idx="52">
                  <c:v>27.36</c:v>
                </c:pt>
                <c:pt idx="53">
                  <c:v>27.54</c:v>
                </c:pt>
                <c:pt idx="54">
                  <c:v>27.72</c:v>
                </c:pt>
                <c:pt idx="55">
                  <c:v>27.9</c:v>
                </c:pt>
                <c:pt idx="56">
                  <c:v>28.080000000000002</c:v>
                </c:pt>
                <c:pt idx="57">
                  <c:v>28.259999999999998</c:v>
                </c:pt>
                <c:pt idx="58">
                  <c:v>28.439999999999998</c:v>
                </c:pt>
                <c:pt idx="59">
                  <c:v>28.619999999999997</c:v>
                </c:pt>
                <c:pt idx="60">
                  <c:v>28.799999999999997</c:v>
                </c:pt>
                <c:pt idx="61">
                  <c:v>28.98</c:v>
                </c:pt>
                <c:pt idx="62">
                  <c:v>29.16</c:v>
                </c:pt>
                <c:pt idx="63">
                  <c:v>29.34</c:v>
                </c:pt>
                <c:pt idx="64">
                  <c:v>29.52</c:v>
                </c:pt>
                <c:pt idx="65">
                  <c:v>29.700000000000003</c:v>
                </c:pt>
                <c:pt idx="66">
                  <c:v>29.880000000000003</c:v>
                </c:pt>
                <c:pt idx="67">
                  <c:v>30.060000000000002</c:v>
                </c:pt>
                <c:pt idx="68">
                  <c:v>30.240000000000002</c:v>
                </c:pt>
                <c:pt idx="69">
                  <c:v>30.419999999999998</c:v>
                </c:pt>
                <c:pt idx="70">
                  <c:v>30.6</c:v>
                </c:pt>
                <c:pt idx="71">
                  <c:v>30.78</c:v>
                </c:pt>
                <c:pt idx="72">
                  <c:v>30.96</c:v>
                </c:pt>
                <c:pt idx="73">
                  <c:v>31.14</c:v>
                </c:pt>
                <c:pt idx="74">
                  <c:v>31.32</c:v>
                </c:pt>
                <c:pt idx="75">
                  <c:v>31.5</c:v>
                </c:pt>
                <c:pt idx="76">
                  <c:v>31.68</c:v>
                </c:pt>
                <c:pt idx="77">
                  <c:v>31.86</c:v>
                </c:pt>
                <c:pt idx="78">
                  <c:v>32.04</c:v>
                </c:pt>
                <c:pt idx="79">
                  <c:v>32.22</c:v>
                </c:pt>
                <c:pt idx="80">
                  <c:v>32.4</c:v>
                </c:pt>
                <c:pt idx="81">
                  <c:v>32.58</c:v>
                </c:pt>
                <c:pt idx="82">
                  <c:v>32.76</c:v>
                </c:pt>
                <c:pt idx="83">
                  <c:v>32.94</c:v>
                </c:pt>
                <c:pt idx="84">
                  <c:v>33.119999999999997</c:v>
                </c:pt>
                <c:pt idx="85">
                  <c:v>33.299999999999997</c:v>
                </c:pt>
                <c:pt idx="86">
                  <c:v>33.480000000000004</c:v>
                </c:pt>
                <c:pt idx="87">
                  <c:v>33.659999999999997</c:v>
                </c:pt>
                <c:pt idx="88">
                  <c:v>33.840000000000003</c:v>
                </c:pt>
                <c:pt idx="89">
                  <c:v>34.019999999999996</c:v>
                </c:pt>
                <c:pt idx="90">
                  <c:v>34.200000000000003</c:v>
                </c:pt>
                <c:pt idx="91">
                  <c:v>34.379999999999995</c:v>
                </c:pt>
                <c:pt idx="92">
                  <c:v>34.56</c:v>
                </c:pt>
                <c:pt idx="93">
                  <c:v>34.74</c:v>
                </c:pt>
                <c:pt idx="94">
                  <c:v>34.92</c:v>
                </c:pt>
                <c:pt idx="95">
                  <c:v>35.099999999999994</c:v>
                </c:pt>
                <c:pt idx="96">
                  <c:v>35.28</c:v>
                </c:pt>
                <c:pt idx="97">
                  <c:v>35.46</c:v>
                </c:pt>
                <c:pt idx="98">
                  <c:v>35.64</c:v>
                </c:pt>
                <c:pt idx="99">
                  <c:v>35.82</c:v>
                </c:pt>
                <c:pt idx="100">
                  <c:v>36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Single'!$CB$5:$CB$105</c:f>
              <c:numCache>
                <c:formatCode>0.00</c:formatCode>
                <c:ptCount val="101"/>
                <c:pt idx="0">
                  <c:v>1.02092934192264E-6</c:v>
                </c:pt>
                <c:pt idx="1">
                  <c:v>34.391939417191026</c:v>
                </c:pt>
                <c:pt idx="2">
                  <c:v>46.87648875062925</c:v>
                </c:pt>
                <c:pt idx="3">
                  <c:v>53.329339993624167</c:v>
                </c:pt>
                <c:pt idx="4">
                  <c:v>57.271077404644785</c:v>
                </c:pt>
                <c:pt idx="5">
                  <c:v>59.928669851585525</c:v>
                </c:pt>
                <c:pt idx="6">
                  <c:v>61.841689315355609</c:v>
                </c:pt>
                <c:pt idx="7">
                  <c:v>63.284555286474934</c:v>
                </c:pt>
                <c:pt idx="8">
                  <c:v>64.411588554571992</c:v>
                </c:pt>
                <c:pt idx="9">
                  <c:v>65.316232650149459</c:v>
                </c:pt>
                <c:pt idx="10">
                  <c:v>66.058378062997107</c:v>
                </c:pt>
                <c:pt idx="11">
                  <c:v>66.678181680739229</c:v>
                </c:pt>
                <c:pt idx="12">
                  <c:v>67.203575884848206</c:v>
                </c:pt>
                <c:pt idx="13">
                  <c:v>67.654591280522453</c:v>
                </c:pt>
                <c:pt idx="14">
                  <c:v>68.186005158202221</c:v>
                </c:pt>
                <c:pt idx="15">
                  <c:v>68.666763347852083</c:v>
                </c:pt>
                <c:pt idx="16">
                  <c:v>69.101779737374201</c:v>
                </c:pt>
                <c:pt idx="17">
                  <c:v>69.497988735159495</c:v>
                </c:pt>
                <c:pt idx="18">
                  <c:v>69.860954079071277</c:v>
                </c:pt>
                <c:pt idx="19">
                  <c:v>70.195196066684431</c:v>
                </c:pt>
                <c:pt idx="20">
                  <c:v>70.504428568753468</c:v>
                </c:pt>
                <c:pt idx="21">
                  <c:v>70.791733719831967</c:v>
                </c:pt>
                <c:pt idx="22">
                  <c:v>71.059692704442782</c:v>
                </c:pt>
                <c:pt idx="23">
                  <c:v>71.310485065086453</c:v>
                </c:pt>
                <c:pt idx="24">
                  <c:v>71.545965079721086</c:v>
                </c:pt>
                <c:pt idx="25">
                  <c:v>71.767721192380918</c:v>
                </c:pt>
                <c:pt idx="26">
                  <c:v>71.977122753092715</c:v>
                </c:pt>
                <c:pt idx="27">
                  <c:v>72.175357138933535</c:v>
                </c:pt>
                <c:pt idx="28">
                  <c:v>72.363459503151745</c:v>
                </c:pt>
                <c:pt idx="29">
                  <c:v>72.542336816238802</c:v>
                </c:pt>
                <c:pt idx="30">
                  <c:v>72.71278744518861</c:v>
                </c:pt>
                <c:pt idx="31">
                  <c:v>72.875517214254813</c:v>
                </c:pt>
                <c:pt idx="32">
                  <c:v>73.031152668252744</c:v>
                </c:pt>
                <c:pt idx="33">
                  <c:v>73.18025209461409</c:v>
                </c:pt>
                <c:pt idx="34">
                  <c:v>73.323314736920537</c:v>
                </c:pt>
                <c:pt idx="35">
                  <c:v>73.460788539274063</c:v>
                </c:pt>
                <c:pt idx="36">
                  <c:v>73.593076689639474</c:v>
                </c:pt>
                <c:pt idx="37">
                  <c:v>73.720543175517491</c:v>
                </c:pt>
                <c:pt idx="38">
                  <c:v>73.843517522849893</c:v>
                </c:pt>
                <c:pt idx="39">
                  <c:v>73.962298855909197</c:v>
                </c:pt>
                <c:pt idx="40">
                  <c:v>74.077159389865372</c:v>
                </c:pt>
                <c:pt idx="41">
                  <c:v>74.188347447099318</c:v>
                </c:pt>
                <c:pt idx="42">
                  <c:v>74.293398605328292</c:v>
                </c:pt>
                <c:pt idx="43">
                  <c:v>74.393997785286444</c:v>
                </c:pt>
                <c:pt idx="44">
                  <c:v>74.509216399157893</c:v>
                </c:pt>
                <c:pt idx="45">
                  <c:v>74.65483201307454</c:v>
                </c:pt>
                <c:pt idx="46">
                  <c:v>74.791544819883654</c:v>
                </c:pt>
                <c:pt idx="47">
                  <c:v>74.933848814112451</c:v>
                </c:pt>
                <c:pt idx="48">
                  <c:v>74.950219384081691</c:v>
                </c:pt>
                <c:pt idx="49">
                  <c:v>74.960492747891607</c:v>
                </c:pt>
                <c:pt idx="50">
                  <c:v>74.965017436067725</c:v>
                </c:pt>
                <c:pt idx="51">
                  <c:v>74.964112940958003</c:v>
                </c:pt>
                <c:pt idx="52">
                  <c:v>74.956973592775228</c:v>
                </c:pt>
                <c:pt idx="53">
                  <c:v>74.942650285461951</c:v>
                </c:pt>
                <c:pt idx="54">
                  <c:v>74.923373710915882</c:v>
                </c:pt>
                <c:pt idx="55">
                  <c:v>74.89935446499409</c:v>
                </c:pt>
                <c:pt idx="56">
                  <c:v>74.873890828198526</c:v>
                </c:pt>
                <c:pt idx="57">
                  <c:v>74.844720586280687</c:v>
                </c:pt>
                <c:pt idx="58">
                  <c:v>74.811581630084305</c:v>
                </c:pt>
                <c:pt idx="59">
                  <c:v>74.774633530419806</c:v>
                </c:pt>
                <c:pt idx="60">
                  <c:v>74.734023205916884</c:v>
                </c:pt>
                <c:pt idx="61">
                  <c:v>74.689885947416599</c:v>
                </c:pt>
                <c:pt idx="62">
                  <c:v>74.642346340896808</c:v>
                </c:pt>
                <c:pt idx="63">
                  <c:v>74.591519100130341</c:v>
                </c:pt>
                <c:pt idx="64">
                  <c:v>74.537509818890285</c:v>
                </c:pt>
                <c:pt idx="65">
                  <c:v>74.480415651318353</c:v>
                </c:pt>
                <c:pt idx="66">
                  <c:v>74.42032592803497</c:v>
                </c:pt>
                <c:pt idx="67">
                  <c:v>74.357322714668555</c:v>
                </c:pt>
                <c:pt idx="68">
                  <c:v>74.291481318698089</c:v>
                </c:pt>
                <c:pt idx="69">
                  <c:v>74.222870749819677</c:v>
                </c:pt>
                <c:pt idx="70">
                  <c:v>74.151554138451687</c:v>
                </c:pt>
                <c:pt idx="71">
                  <c:v>74.077589116470648</c:v>
                </c:pt>
                <c:pt idx="72">
                  <c:v>74.001028163813217</c:v>
                </c:pt>
                <c:pt idx="73">
                  <c:v>73.921918924177049</c:v>
                </c:pt>
                <c:pt idx="74">
                  <c:v>73.840304492700398</c:v>
                </c:pt>
                <c:pt idx="75">
                  <c:v>73.756223678188604</c:v>
                </c:pt>
                <c:pt idx="76">
                  <c:v>73.669711242180682</c:v>
                </c:pt>
                <c:pt idx="77">
                  <c:v>73.580798116905626</c:v>
                </c:pt>
                <c:pt idx="78">
                  <c:v>73.489511603963237</c:v>
                </c:pt>
                <c:pt idx="79">
                  <c:v>73.395875555372257</c:v>
                </c:pt>
                <c:pt idx="80">
                  <c:v>73.299910538459102</c:v>
                </c:pt>
                <c:pt idx="81">
                  <c:v>73.201633985909226</c:v>
                </c:pt>
                <c:pt idx="82">
                  <c:v>73.101060332167421</c:v>
                </c:pt>
                <c:pt idx="83">
                  <c:v>72.998201137253673</c:v>
                </c:pt>
                <c:pt idx="84">
                  <c:v>72.893065198952229</c:v>
                </c:pt>
                <c:pt idx="85">
                  <c:v>72.785658654235391</c:v>
                </c:pt>
                <c:pt idx="86">
                  <c:v>72.675985070696242</c:v>
                </c:pt>
                <c:pt idx="87">
                  <c:v>72.564045528686137</c:v>
                </c:pt>
                <c:pt idx="88">
                  <c:v>72.449838694782088</c:v>
                </c:pt>
                <c:pt idx="89">
                  <c:v>72.333360887145631</c:v>
                </c:pt>
                <c:pt idx="90">
                  <c:v>72.214606133276348</c:v>
                </c:pt>
                <c:pt idx="91">
                  <c:v>72.093566220611521</c:v>
                </c:pt>
                <c:pt idx="92">
                  <c:v>71.970230740374092</c:v>
                </c:pt>
                <c:pt idx="93">
                  <c:v>71.844587125029364</c:v>
                </c:pt>
                <c:pt idx="94">
                  <c:v>71.716620679669262</c:v>
                </c:pt>
                <c:pt idx="95">
                  <c:v>71.586314607606866</c:v>
                </c:pt>
                <c:pt idx="96">
                  <c:v>71.453650030430509</c:v>
                </c:pt>
                <c:pt idx="97">
                  <c:v>71.318606002734541</c:v>
                </c:pt>
                <c:pt idx="98">
                  <c:v>71.181159521715571</c:v>
                </c:pt>
                <c:pt idx="99">
                  <c:v>71.041285531795566</c:v>
                </c:pt>
                <c:pt idx="100">
                  <c:v>70.898956924407628</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37.274999999999999</c:v>
                </c:pt>
                <c:pt idx="2">
                  <c:v>74.55</c:v>
                </c:pt>
                <c:pt idx="3">
                  <c:v>111.82499999999999</c:v>
                </c:pt>
                <c:pt idx="4">
                  <c:v>149.1</c:v>
                </c:pt>
                <c:pt idx="5">
                  <c:v>186.375</c:v>
                </c:pt>
                <c:pt idx="6">
                  <c:v>223.64999999999998</c:v>
                </c:pt>
                <c:pt idx="7">
                  <c:v>260.92499999999995</c:v>
                </c:pt>
                <c:pt idx="8">
                  <c:v>298.2</c:v>
                </c:pt>
                <c:pt idx="9">
                  <c:v>335.47499999999997</c:v>
                </c:pt>
                <c:pt idx="10">
                  <c:v>372.75</c:v>
                </c:pt>
                <c:pt idx="11">
                  <c:v>410.02499999999998</c:v>
                </c:pt>
                <c:pt idx="12">
                  <c:v>447.29999999999995</c:v>
                </c:pt>
                <c:pt idx="13">
                  <c:v>484.57499999999993</c:v>
                </c:pt>
                <c:pt idx="14">
                  <c:v>521.84999999999991</c:v>
                </c:pt>
                <c:pt idx="15">
                  <c:v>559.12499999999989</c:v>
                </c:pt>
                <c:pt idx="16">
                  <c:v>596.4</c:v>
                </c:pt>
                <c:pt idx="17">
                  <c:v>633.67499999999995</c:v>
                </c:pt>
                <c:pt idx="18">
                  <c:v>670.94999999999993</c:v>
                </c:pt>
                <c:pt idx="19">
                  <c:v>708.22500000000002</c:v>
                </c:pt>
                <c:pt idx="20">
                  <c:v>745.5</c:v>
                </c:pt>
                <c:pt idx="21">
                  <c:v>782.77499999999986</c:v>
                </c:pt>
                <c:pt idx="22">
                  <c:v>820.05</c:v>
                </c:pt>
                <c:pt idx="23">
                  <c:v>857.32499999999993</c:v>
                </c:pt>
                <c:pt idx="24">
                  <c:v>894.59999999999991</c:v>
                </c:pt>
                <c:pt idx="25">
                  <c:v>931.87499999999977</c:v>
                </c:pt>
                <c:pt idx="26">
                  <c:v>969.14999999999986</c:v>
                </c:pt>
                <c:pt idx="27">
                  <c:v>1006.425</c:v>
                </c:pt>
                <c:pt idx="28">
                  <c:v>1043.6999999999998</c:v>
                </c:pt>
                <c:pt idx="29">
                  <c:v>1080.9749999999999</c:v>
                </c:pt>
                <c:pt idx="30">
                  <c:v>1118.2499999999998</c:v>
                </c:pt>
                <c:pt idx="31">
                  <c:v>1155.5249999999996</c:v>
                </c:pt>
                <c:pt idx="32">
                  <c:v>1192.8</c:v>
                </c:pt>
                <c:pt idx="33">
                  <c:v>1230.0749999999998</c:v>
                </c:pt>
                <c:pt idx="34">
                  <c:v>1267.3499999999999</c:v>
                </c:pt>
                <c:pt idx="35">
                  <c:v>1304.6249999999998</c:v>
                </c:pt>
                <c:pt idx="36">
                  <c:v>1341.8999999999999</c:v>
                </c:pt>
                <c:pt idx="37">
                  <c:v>1379.1749999999997</c:v>
                </c:pt>
                <c:pt idx="38">
                  <c:v>1416.45</c:v>
                </c:pt>
                <c:pt idx="39">
                  <c:v>1453.7249999999999</c:v>
                </c:pt>
                <c:pt idx="40">
                  <c:v>1491</c:v>
                </c:pt>
                <c:pt idx="41">
                  <c:v>1528.2749999999999</c:v>
                </c:pt>
                <c:pt idx="42">
                  <c:v>1565.5499999999997</c:v>
                </c:pt>
                <c:pt idx="43">
                  <c:v>1602.8249999999998</c:v>
                </c:pt>
                <c:pt idx="44">
                  <c:v>1640.1</c:v>
                </c:pt>
                <c:pt idx="45">
                  <c:v>1677.3749999999998</c:v>
                </c:pt>
                <c:pt idx="46">
                  <c:v>1714.6499999999999</c:v>
                </c:pt>
                <c:pt idx="47">
                  <c:v>1751.9249999999997</c:v>
                </c:pt>
                <c:pt idx="48">
                  <c:v>1789.1999999999998</c:v>
                </c:pt>
                <c:pt idx="49">
                  <c:v>1826.4749999999999</c:v>
                </c:pt>
                <c:pt idx="50">
                  <c:v>1863.7499999999995</c:v>
                </c:pt>
                <c:pt idx="51">
                  <c:v>1901.0249999999996</c:v>
                </c:pt>
                <c:pt idx="52">
                  <c:v>1938.2999999999997</c:v>
                </c:pt>
                <c:pt idx="53">
                  <c:v>1975.5749999999998</c:v>
                </c:pt>
                <c:pt idx="54">
                  <c:v>2012.85</c:v>
                </c:pt>
                <c:pt idx="55">
                  <c:v>2050.125</c:v>
                </c:pt>
                <c:pt idx="56">
                  <c:v>2087.3999999999996</c:v>
                </c:pt>
                <c:pt idx="57">
                  <c:v>2124.6749999999993</c:v>
                </c:pt>
                <c:pt idx="58">
                  <c:v>2161.9499999999998</c:v>
                </c:pt>
                <c:pt idx="59">
                  <c:v>2199.2249999999999</c:v>
                </c:pt>
                <c:pt idx="60">
                  <c:v>2236.4999999999995</c:v>
                </c:pt>
                <c:pt idx="61">
                  <c:v>2273.7749999999996</c:v>
                </c:pt>
                <c:pt idx="62">
                  <c:v>2311.0499999999993</c:v>
                </c:pt>
                <c:pt idx="63">
                  <c:v>2348.3249999999998</c:v>
                </c:pt>
                <c:pt idx="64">
                  <c:v>2385.6</c:v>
                </c:pt>
                <c:pt idx="65">
                  <c:v>2422.875</c:v>
                </c:pt>
                <c:pt idx="66">
                  <c:v>2460.1499999999996</c:v>
                </c:pt>
                <c:pt idx="67">
                  <c:v>2497.4249999999997</c:v>
                </c:pt>
                <c:pt idx="68">
                  <c:v>2534.6999999999998</c:v>
                </c:pt>
                <c:pt idx="69">
                  <c:v>2571.9749999999995</c:v>
                </c:pt>
                <c:pt idx="70">
                  <c:v>2609.2499999999995</c:v>
                </c:pt>
                <c:pt idx="71">
                  <c:v>2646.5249999999996</c:v>
                </c:pt>
                <c:pt idx="72">
                  <c:v>2683.7999999999997</c:v>
                </c:pt>
                <c:pt idx="73">
                  <c:v>2721.0749999999998</c:v>
                </c:pt>
                <c:pt idx="74">
                  <c:v>2758.3499999999995</c:v>
                </c:pt>
                <c:pt idx="75">
                  <c:v>2795.625</c:v>
                </c:pt>
                <c:pt idx="76">
                  <c:v>2832.9</c:v>
                </c:pt>
                <c:pt idx="77">
                  <c:v>2870.1749999999997</c:v>
                </c:pt>
                <c:pt idx="78">
                  <c:v>2907.45</c:v>
                </c:pt>
                <c:pt idx="79">
                  <c:v>2944.7249999999999</c:v>
                </c:pt>
                <c:pt idx="80">
                  <c:v>2982</c:v>
                </c:pt>
                <c:pt idx="81">
                  <c:v>3019.2750000000001</c:v>
                </c:pt>
                <c:pt idx="82">
                  <c:v>3056.5499999999997</c:v>
                </c:pt>
                <c:pt idx="83">
                  <c:v>3093.8249999999994</c:v>
                </c:pt>
                <c:pt idx="84">
                  <c:v>3131.0999999999995</c:v>
                </c:pt>
                <c:pt idx="85">
                  <c:v>3168.3749999999991</c:v>
                </c:pt>
                <c:pt idx="86">
                  <c:v>3205.6499999999996</c:v>
                </c:pt>
                <c:pt idx="87">
                  <c:v>3242.9249999999993</c:v>
                </c:pt>
                <c:pt idx="88">
                  <c:v>3280.2</c:v>
                </c:pt>
                <c:pt idx="89">
                  <c:v>3317.4749999999995</c:v>
                </c:pt>
                <c:pt idx="90">
                  <c:v>3354.7499999999995</c:v>
                </c:pt>
                <c:pt idx="91">
                  <c:v>3392.0249999999992</c:v>
                </c:pt>
                <c:pt idx="92">
                  <c:v>3429.2999999999997</c:v>
                </c:pt>
                <c:pt idx="93">
                  <c:v>3466.5749999999998</c:v>
                </c:pt>
                <c:pt idx="94">
                  <c:v>3503.8499999999995</c:v>
                </c:pt>
                <c:pt idx="95">
                  <c:v>3541.1249999999991</c:v>
                </c:pt>
                <c:pt idx="96">
                  <c:v>3578.3999999999996</c:v>
                </c:pt>
                <c:pt idx="97">
                  <c:v>3615.6749999999997</c:v>
                </c:pt>
                <c:pt idx="98">
                  <c:v>3652.95</c:v>
                </c:pt>
                <c:pt idx="99">
                  <c:v>3690.2249999999995</c:v>
                </c:pt>
                <c:pt idx="100">
                  <c:v>3727.4999999999991</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15.11189150241038</c:v>
                </c:pt>
                <c:pt idx="1">
                  <c:v>34.083161845514645</c:v>
                </c:pt>
                <c:pt idx="2">
                  <c:v>68.168422267106664</c:v>
                </c:pt>
                <c:pt idx="3">
                  <c:v>102.255781458603</c:v>
                </c:pt>
                <c:pt idx="4">
                  <c:v>136.34523961385455</c:v>
                </c:pt>
                <c:pt idx="5">
                  <c:v>170.43679692673595</c:v>
                </c:pt>
                <c:pt idx="6">
                  <c:v>204.53045359114574</c:v>
                </c:pt>
                <c:pt idx="7">
                  <c:v>238.62620980100658</c:v>
                </c:pt>
                <c:pt idx="8">
                  <c:v>272.72406575026469</c:v>
                </c:pt>
                <c:pt idx="9">
                  <c:v>306.82402163289021</c:v>
                </c:pt>
                <c:pt idx="10">
                  <c:v>340.92607764287743</c:v>
                </c:pt>
                <c:pt idx="11">
                  <c:v>375.03023397424431</c:v>
                </c:pt>
                <c:pt idx="12">
                  <c:v>409.13649082103268</c:v>
                </c:pt>
                <c:pt idx="13">
                  <c:v>443.24484837730864</c:v>
                </c:pt>
                <c:pt idx="14">
                  <c:v>458.58814767722771</c:v>
                </c:pt>
                <c:pt idx="15">
                  <c:v>472.84793686999512</c:v>
                </c:pt>
                <c:pt idx="16">
                  <c:v>486.67440021695626</c:v>
                </c:pt>
                <c:pt idx="17">
                  <c:v>500.10835742267199</c:v>
                </c:pt>
                <c:pt idx="18">
                  <c:v>513.18468844513109</c:v>
                </c:pt>
                <c:pt idx="19">
                  <c:v>525.9334760317505</c:v>
                </c:pt>
                <c:pt idx="20">
                  <c:v>538.38088043720927</c:v>
                </c:pt>
                <c:pt idx="21">
                  <c:v>550.54981926150765</c:v>
                </c:pt>
                <c:pt idx="22">
                  <c:v>562.4605029744115</c:v>
                </c:pt>
                <c:pt idx="23">
                  <c:v>574.13086188275042</c:v>
                </c:pt>
                <c:pt idx="24">
                  <c:v>585.57689027710308</c:v>
                </c:pt>
                <c:pt idx="25">
                  <c:v>596.81292658082566</c:v>
                </c:pt>
                <c:pt idx="26">
                  <c:v>607.85188346892653</c:v>
                </c:pt>
                <c:pt idx="27">
                  <c:v>618.70543845899078</c:v>
                </c:pt>
                <c:pt idx="28">
                  <c:v>629.38419296665279</c:v>
                </c:pt>
                <c:pt idx="29">
                  <c:v>639.89780597594381</c:v>
                </c:pt>
                <c:pt idx="30">
                  <c:v>650.25510710582648</c:v>
                </c:pt>
                <c:pt idx="31">
                  <c:v>660.46419282520208</c:v>
                </c:pt>
                <c:pt idx="32">
                  <c:v>670.53250878700635</c:v>
                </c:pt>
                <c:pt idx="33">
                  <c:v>680.46692065239074</c:v>
                </c:pt>
                <c:pt idx="34">
                  <c:v>690.27377531181583</c:v>
                </c:pt>
                <c:pt idx="35">
                  <c:v>699.95895404750138</c:v>
                </c:pt>
                <c:pt idx="36">
                  <c:v>709.52791889649779</c:v>
                </c:pt>
                <c:pt idx="37">
                  <c:v>718.98575324753517</c:v>
                </c:pt>
                <c:pt idx="38">
                  <c:v>728.33719752430545</c:v>
                </c:pt>
                <c:pt idx="39">
                  <c:v>737.58668066272833</c:v>
                </c:pt>
                <c:pt idx="40">
                  <c:v>746.73834797244967</c:v>
                </c:pt>
                <c:pt idx="41">
                  <c:v>755.79608587736902</c:v>
                </c:pt>
                <c:pt idx="42">
                  <c:v>765.05151036984648</c:v>
                </c:pt>
                <c:pt idx="43">
                  <c:v>774.36630825970497</c:v>
                </c:pt>
                <c:pt idx="44">
                  <c:v>778.37509259497574</c:v>
                </c:pt>
                <c:pt idx="45">
                  <c:v>771.37608625545568</c:v>
                </c:pt>
                <c:pt idx="46">
                  <c:v>764.61796389924746</c:v>
                </c:pt>
                <c:pt idx="47">
                  <c:v>755.27764589683147</c:v>
                </c:pt>
                <c:pt idx="48">
                  <c:v>756.45180997605098</c:v>
                </c:pt>
                <c:pt idx="49">
                  <c:v>757.67279489181624</c:v>
                </c:pt>
                <c:pt idx="50">
                  <c:v>758.94091882628084</c:v>
                </c:pt>
                <c:pt idx="51">
                  <c:v>760.25659088689451</c:v>
                </c:pt>
                <c:pt idx="52">
                  <c:v>761.62370119952504</c:v>
                </c:pt>
                <c:pt idx="53">
                  <c:v>763.04709509026986</c:v>
                </c:pt>
                <c:pt idx="54">
                  <c:v>764.52164215174093</c:v>
                </c:pt>
                <c:pt idx="55">
                  <c:v>766.04825768264948</c:v>
                </c:pt>
                <c:pt idx="56">
                  <c:v>767.24208222992445</c:v>
                </c:pt>
                <c:pt idx="57">
                  <c:v>768.40642764730933</c:v>
                </c:pt>
                <c:pt idx="58">
                  <c:v>769.59508218319877</c:v>
                </c:pt>
                <c:pt idx="59">
                  <c:v>770.80781030250296</c:v>
                </c:pt>
                <c:pt idx="60">
                  <c:v>772.04439622800055</c:v>
                </c:pt>
                <c:pt idx="61">
                  <c:v>773.30464244229188</c:v>
                </c:pt>
                <c:pt idx="62">
                  <c:v>774.58836832787108</c:v>
                </c:pt>
                <c:pt idx="63">
                  <c:v>775.89540893073388</c:v>
                </c:pt>
                <c:pt idx="64">
                  <c:v>777.22561383466848</c:v>
                </c:pt>
                <c:pt idx="65">
                  <c:v>778.57884613487965</c:v>
                </c:pt>
                <c:pt idx="66">
                  <c:v>779.95498150092169</c:v>
                </c:pt>
                <c:pt idx="67">
                  <c:v>781.35390732003259</c:v>
                </c:pt>
                <c:pt idx="68">
                  <c:v>782.77552191299083</c:v>
                </c:pt>
                <c:pt idx="69">
                  <c:v>784.21973381546456</c:v>
                </c:pt>
                <c:pt idx="70">
                  <c:v>785.68646111860335</c:v>
                </c:pt>
                <c:pt idx="71">
                  <c:v>787.17563086329244</c:v>
                </c:pt>
                <c:pt idx="72">
                  <c:v>788.68717848308324</c:v>
                </c:pt>
                <c:pt idx="73">
                  <c:v>790.22104729133696</c:v>
                </c:pt>
                <c:pt idx="74">
                  <c:v>791.77718800857804</c:v>
                </c:pt>
                <c:pt idx="75">
                  <c:v>793.35555832646958</c:v>
                </c:pt>
                <c:pt idx="76">
                  <c:v>794.9561225051749</c:v>
                </c:pt>
                <c:pt idx="77">
                  <c:v>796.57885100120438</c:v>
                </c:pt>
                <c:pt idx="78">
                  <c:v>798.22372012312246</c:v>
                </c:pt>
                <c:pt idx="79">
                  <c:v>799.89071171274725</c:v>
                </c:pt>
                <c:pt idx="80">
                  <c:v>801.57981284970822</c:v>
                </c:pt>
                <c:pt idx="81">
                  <c:v>803.29101557742388</c:v>
                </c:pt>
                <c:pt idx="82">
                  <c:v>805.02431664874291</c:v>
                </c:pt>
                <c:pt idx="83">
                  <c:v>806.77971728966099</c:v>
                </c:pt>
                <c:pt idx="84">
                  <c:v>808.55722297966963</c:v>
                </c:pt>
                <c:pt idx="85">
                  <c:v>810.35684324741339</c:v>
                </c:pt>
                <c:pt idx="86">
                  <c:v>812.17859148047228</c:v>
                </c:pt>
                <c:pt idx="87">
                  <c:v>814.02248474816508</c:v>
                </c:pt>
                <c:pt idx="88">
                  <c:v>815.88854363639348</c:v>
                </c:pt>
                <c:pt idx="89">
                  <c:v>817.77679209360326</c:v>
                </c:pt>
                <c:pt idx="90">
                  <c:v>819.68725728704499</c:v>
                </c:pt>
                <c:pt idx="91">
                  <c:v>821.61996946856789</c:v>
                </c:pt>
                <c:pt idx="92">
                  <c:v>823.57496184924844</c:v>
                </c:pt>
                <c:pt idx="93">
                  <c:v>825.55227048222457</c:v>
                </c:pt>
                <c:pt idx="94">
                  <c:v>827.55193415314181</c:v>
                </c:pt>
                <c:pt idx="95">
                  <c:v>829.57399427767393</c:v>
                </c:pt>
                <c:pt idx="96">
                  <c:v>831.61849480562955</c:v>
                </c:pt>
                <c:pt idx="97">
                  <c:v>833.68548213118595</c:v>
                </c:pt>
                <c:pt idx="98">
                  <c:v>835.77500500882661</c:v>
                </c:pt>
                <c:pt idx="99">
                  <c:v>837.88711447460776</c:v>
                </c:pt>
                <c:pt idx="100">
                  <c:v>840.02186377238525</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358.68799382245908</c:v>
                </c:pt>
                <c:pt idx="1">
                  <c:v>359.59729270501231</c:v>
                </c:pt>
                <c:pt idx="2">
                  <c:v>358.27241541064643</c:v>
                </c:pt>
                <c:pt idx="3">
                  <c:v>356.94950624722543</c:v>
                </c:pt>
                <c:pt idx="4">
                  <c:v>355.62856290844172</c:v>
                </c:pt>
                <c:pt idx="5">
                  <c:v>354.3095830915891</c:v>
                </c:pt>
                <c:pt idx="6">
                  <c:v>352.99256449755717</c:v>
                </c:pt>
                <c:pt idx="7">
                  <c:v>351.67750483082267</c:v>
                </c:pt>
                <c:pt idx="8">
                  <c:v>350.36440179944401</c:v>
                </c:pt>
                <c:pt idx="9">
                  <c:v>349.05325311505334</c:v>
                </c:pt>
                <c:pt idx="10">
                  <c:v>347.74405649285001</c:v>
                </c:pt>
                <c:pt idx="11">
                  <c:v>346.43680965159336</c:v>
                </c:pt>
                <c:pt idx="12">
                  <c:v>345.13151031359604</c:v>
                </c:pt>
                <c:pt idx="13">
                  <c:v>343.82815620471695</c:v>
                </c:pt>
                <c:pt idx="14">
                  <c:v>366.70479195342159</c:v>
                </c:pt>
                <c:pt idx="15">
                  <c:v>390.19229084897711</c:v>
                </c:pt>
                <c:pt idx="16">
                  <c:v>413.40850260911088</c:v>
                </c:pt>
                <c:pt idx="17">
                  <c:v>436.36070838640609</c:v>
                </c:pt>
                <c:pt idx="18">
                  <c:v>459.05544560021093</c:v>
                </c:pt>
                <c:pt idx="19">
                  <c:v>481.49861703895789</c:v>
                </c:pt>
                <c:pt idx="20">
                  <c:v>503.69557923882758</c:v>
                </c:pt>
                <c:pt idx="21">
                  <c:v>525.65121491656998</c:v>
                </c:pt>
                <c:pt idx="22">
                  <c:v>547.36999295622502</c:v>
                </c:pt>
                <c:pt idx="23">
                  <c:v>568.85601855636617</c:v>
                </c:pt>
                <c:pt idx="24">
                  <c:v>590.11307550850836</c:v>
                </c:pt>
                <c:pt idx="25">
                  <c:v>611.14466211671288</c:v>
                </c:pt>
                <c:pt idx="26">
                  <c:v>631.95402192970812</c:v>
                </c:pt>
                <c:pt idx="27">
                  <c:v>652.54417020426661</c:v>
                </c:pt>
                <c:pt idx="28">
                  <c:v>672.91791682785367</c:v>
                </c:pt>
                <c:pt idx="29">
                  <c:v>693.0778862828364</c:v>
                </c:pt>
                <c:pt idx="30">
                  <c:v>713.0265351220321</c:v>
                </c:pt>
                <c:pt idx="31">
                  <c:v>732.76616733762478</c:v>
                </c:pt>
                <c:pt idx="32">
                  <c:v>752.29894793643768</c:v>
                </c:pt>
                <c:pt idx="33">
                  <c:v>771.62691497974276</c:v>
                </c:pt>
                <c:pt idx="34">
                  <c:v>790.7519903019504</c:v>
                </c:pt>
                <c:pt idx="35">
                  <c:v>809.67598908721152</c:v>
                </c:pt>
                <c:pt idx="36">
                  <c:v>828.40062845429088</c:v>
                </c:pt>
                <c:pt idx="37">
                  <c:v>846.92753517667143</c:v>
                </c:pt>
                <c:pt idx="38">
                  <c:v>865.25825264562343</c:v>
                </c:pt>
                <c:pt idx="39">
                  <c:v>883.39424716807241</c:v>
                </c:pt>
                <c:pt idx="40">
                  <c:v>901.33691367791687</c:v>
                </c:pt>
                <c:pt idx="41">
                  <c:v>919.08758092840844</c:v>
                </c:pt>
                <c:pt idx="42">
                  <c:v>936.85722067915992</c:v>
                </c:pt>
                <c:pt idx="43">
                  <c:v>954.54115749685354</c:v>
                </c:pt>
                <c:pt idx="44">
                  <c:v>975.32727415629222</c:v>
                </c:pt>
                <c:pt idx="45">
                  <c:v>1003.1543023233362</c:v>
                </c:pt>
                <c:pt idx="46">
                  <c:v>1031.1787770498586</c:v>
                </c:pt>
                <c:pt idx="47">
                  <c:v>1059.6810286811703</c:v>
                </c:pt>
                <c:pt idx="48">
                  <c:v>1101.9236036165462</c:v>
                </c:pt>
                <c:pt idx="49">
                  <c:v>1145.1106089145023</c:v>
                </c:pt>
                <c:pt idx="50">
                  <c:v>1189.2526220081493</c:v>
                </c:pt>
                <c:pt idx="51">
                  <c:v>1234.360445385174</c:v>
                </c:pt>
                <c:pt idx="52">
                  <c:v>1280.7054221056515</c:v>
                </c:pt>
                <c:pt idx="53">
                  <c:v>1328.6030923572921</c:v>
                </c:pt>
                <c:pt idx="54">
                  <c:v>1377.6063374042199</c:v>
                </c:pt>
                <c:pt idx="55">
                  <c:v>1427.7357826256784</c:v>
                </c:pt>
                <c:pt idx="56">
                  <c:v>1478.6539179503202</c:v>
                </c:pt>
                <c:pt idx="57">
                  <c:v>1530.6342164112846</c:v>
                </c:pt>
                <c:pt idx="58">
                  <c:v>1583.7427368283954</c:v>
                </c:pt>
                <c:pt idx="59">
                  <c:v>1637.9976600203167</c:v>
                </c:pt>
                <c:pt idx="60">
                  <c:v>1693.4177302962064</c:v>
                </c:pt>
                <c:pt idx="61">
                  <c:v>1750.0222735779976</c:v>
                </c:pt>
                <c:pt idx="62">
                  <c:v>1807.8312163054309</c:v>
                </c:pt>
                <c:pt idx="63">
                  <c:v>1866.8651051607578</c:v>
                </c:pt>
                <c:pt idx="64">
                  <c:v>1927.1451276521957</c:v>
                </c:pt>
                <c:pt idx="65">
                  <c:v>1988.69313359753</c:v>
                </c:pt>
                <c:pt idx="66">
                  <c:v>2051.5316575516713</c:v>
                </c:pt>
                <c:pt idx="67">
                  <c:v>2115.6839422245507</c:v>
                </c:pt>
                <c:pt idx="68">
                  <c:v>2181.1739629384965</c:v>
                </c:pt>
                <c:pt idx="69">
                  <c:v>2248.026453177134</c:v>
                </c:pt>
                <c:pt idx="70">
                  <c:v>2316.2669312809317</c:v>
                </c:pt>
                <c:pt idx="71">
                  <c:v>2385.9217283478588</c:v>
                </c:pt>
                <c:pt idx="72">
                  <c:v>2457.0180174010934</c:v>
                </c:pt>
                <c:pt idx="73">
                  <c:v>2529.583843889498</c:v>
                </c:pt>
                <c:pt idx="74">
                  <c:v>2603.6481575905536</c:v>
                </c:pt>
                <c:pt idx="75">
                  <c:v>2679.2408459897592</c:v>
                </c:pt>
                <c:pt idx="76">
                  <c:v>2756.3927692149937</c:v>
                </c:pt>
                <c:pt idx="77">
                  <c:v>2835.1357966093083</c:v>
                </c:pt>
                <c:pt idx="78">
                  <c:v>2915.5028450307395</c:v>
                </c:pt>
                <c:pt idx="79">
                  <c:v>2997.5279189733919</c:v>
                </c:pt>
                <c:pt idx="80">
                  <c:v>3081.2461526099692</c:v>
                </c:pt>
                <c:pt idx="81">
                  <c:v>3166.6938538623704</c:v>
                </c:pt>
                <c:pt idx="82">
                  <c:v>3253.9085506138049</c:v>
                </c:pt>
                <c:pt idx="83">
                  <c:v>3342.9290391832733</c:v>
                </c:pt>
                <c:pt idx="84">
                  <c:v>3433.7954351911362</c:v>
                </c:pt>
                <c:pt idx="85">
                  <c:v>3526.5492269530323</c:v>
                </c:pt>
                <c:pt idx="86">
                  <c:v>3621.2333315484502</c:v>
                </c:pt>
                <c:pt idx="87">
                  <c:v>3717.8921537201663</c:v>
                </c:pt>
                <c:pt idx="88">
                  <c:v>3816.5716477712176</c:v>
                </c:pt>
                <c:pt idx="89">
                  <c:v>3917.3193826374813</c:v>
                </c:pt>
                <c:pt idx="90">
                  <c:v>4020.184610326236</c:v>
                </c:pt>
                <c:pt idx="91">
                  <c:v>4125.2183379240323</c:v>
                </c:pt>
                <c:pt idx="92">
                  <c:v>4232.4734033918248</c:v>
                </c:pt>
                <c:pt idx="93">
                  <c:v>4342.0045553801856</c:v>
                </c:pt>
                <c:pt idx="94">
                  <c:v>4453.8685373144172</c:v>
                </c:pt>
                <c:pt idx="95">
                  <c:v>4568.1241760170333</c:v>
                </c:pt>
                <c:pt idx="96">
                  <c:v>4684.8324751545251</c:v>
                </c:pt>
                <c:pt idx="97">
                  <c:v>4804.0567138163442</c:v>
                </c:pt>
                <c:pt idx="98">
                  <c:v>4925.862550556627</c:v>
                </c:pt>
                <c:pt idx="99">
                  <c:v>5050.3181332539016</c:v>
                </c:pt>
                <c:pt idx="100">
                  <c:v>5177.4942151705645</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Dual'!$CB$5:$CB$105</c:f>
              <c:numCache>
                <c:formatCode>0.00</c:formatCode>
                <c:ptCount val="101"/>
                <c:pt idx="0">
                  <c:v>5.9186043547549764E-6</c:v>
                </c:pt>
                <c:pt idx="1">
                  <c:v>37.600660322498328</c:v>
                </c:pt>
                <c:pt idx="2">
                  <c:v>50.947104813099941</c:v>
                </c:pt>
                <c:pt idx="3">
                  <c:v>57.694370483255057</c:v>
                </c:pt>
                <c:pt idx="4">
                  <c:v>61.691490395631064</c:v>
                </c:pt>
                <c:pt idx="5">
                  <c:v>64.272687225451108</c:v>
                </c:pt>
                <c:pt idx="6">
                  <c:v>66.024133436767372</c:v>
                </c:pt>
                <c:pt idx="7">
                  <c:v>67.244470550571521</c:v>
                </c:pt>
                <c:pt idx="8">
                  <c:v>68.102295389754232</c:v>
                </c:pt>
                <c:pt idx="9">
                  <c:v>68.700293264593611</c:v>
                </c:pt>
                <c:pt idx="10">
                  <c:v>69.10478832538351</c:v>
                </c:pt>
                <c:pt idx="11">
                  <c:v>69.360680883456098</c:v>
                </c:pt>
                <c:pt idx="12">
                  <c:v>69.499564578344021</c:v>
                </c:pt>
                <c:pt idx="13">
                  <c:v>69.544401846211585</c:v>
                </c:pt>
                <c:pt idx="14">
                  <c:v>70.547986420533107</c:v>
                </c:pt>
                <c:pt idx="15">
                  <c:v>71.095298169193782</c:v>
                </c:pt>
                <c:pt idx="16">
                  <c:v>71.280421837184662</c:v>
                </c:pt>
                <c:pt idx="17">
                  <c:v>71.44741080671875</c:v>
                </c:pt>
                <c:pt idx="18">
                  <c:v>71.598919343292195</c:v>
                </c:pt>
                <c:pt idx="19">
                  <c:v>71.73709653401805</c:v>
                </c:pt>
                <c:pt idx="20">
                  <c:v>71.863702773265175</c:v>
                </c:pt>
                <c:pt idx="21">
                  <c:v>71.98019513425686</c:v>
                </c:pt>
                <c:pt idx="22">
                  <c:v>72.087790971880281</c:v>
                </c:pt>
                <c:pt idx="23">
                  <c:v>72.187516011123549</c:v>
                </c:pt>
                <c:pt idx="24">
                  <c:v>72.280241193116709</c:v>
                </c:pt>
                <c:pt idx="25">
                  <c:v>72.366711250799071</c:v>
                </c:pt>
                <c:pt idx="26">
                  <c:v>72.447567116606152</c:v>
                </c:pt>
                <c:pt idx="27">
                  <c:v>72.523363672156037</c:v>
                </c:pt>
                <c:pt idx="28">
                  <c:v>72.594583939610743</c:v>
                </c:pt>
                <c:pt idx="29">
                  <c:v>72.661650525863706</c:v>
                </c:pt>
                <c:pt idx="30">
                  <c:v>72.724934924966419</c:v>
                </c:pt>
                <c:pt idx="31">
                  <c:v>72.784765135596018</c:v>
                </c:pt>
                <c:pt idx="32">
                  <c:v>72.84143194173393</c:v>
                </c:pt>
                <c:pt idx="33">
                  <c:v>72.895194124431256</c:v>
                </c:pt>
                <c:pt idx="34">
                  <c:v>72.946282812573983</c:v>
                </c:pt>
                <c:pt idx="35">
                  <c:v>72.994905135347508</c:v>
                </c:pt>
                <c:pt idx="36">
                  <c:v>73.041247304699894</c:v>
                </c:pt>
                <c:pt idx="37">
                  <c:v>73.085477229707962</c:v>
                </c:pt>
                <c:pt idx="38">
                  <c:v>73.127746744336392</c:v>
                </c:pt>
                <c:pt idx="39">
                  <c:v>73.168193514172359</c:v>
                </c:pt>
                <c:pt idx="40">
                  <c:v>73.206942675236135</c:v>
                </c:pt>
                <c:pt idx="41">
                  <c:v>73.244108248107082</c:v>
                </c:pt>
                <c:pt idx="42">
                  <c:v>73.279794362765386</c:v>
                </c:pt>
                <c:pt idx="43">
                  <c:v>73.314096323281277</c:v>
                </c:pt>
                <c:pt idx="44">
                  <c:v>73.347101536441428</c:v>
                </c:pt>
                <c:pt idx="45">
                  <c:v>73.378890324325781</c:v>
                </c:pt>
                <c:pt idx="46">
                  <c:v>73.409536637533876</c:v>
                </c:pt>
                <c:pt idx="47">
                  <c:v>74.616632867633797</c:v>
                </c:pt>
                <c:pt idx="48">
                  <c:v>74.448436657206869</c:v>
                </c:pt>
                <c:pt idx="49">
                  <c:v>74.280629881681108</c:v>
                </c:pt>
                <c:pt idx="50">
                  <c:v>74.270719709257421</c:v>
                </c:pt>
                <c:pt idx="51">
                  <c:v>74.327814974509948</c:v>
                </c:pt>
                <c:pt idx="52">
                  <c:v>74.381415377761428</c:v>
                </c:pt>
                <c:pt idx="53">
                  <c:v>74.430980979179367</c:v>
                </c:pt>
                <c:pt idx="54">
                  <c:v>74.476276328222696</c:v>
                </c:pt>
                <c:pt idx="55">
                  <c:v>74.517483131044983</c:v>
                </c:pt>
                <c:pt idx="56">
                  <c:v>74.554771573864258</c:v>
                </c:pt>
                <c:pt idx="57">
                  <c:v>74.58830117976612</c:v>
                </c:pt>
                <c:pt idx="58">
                  <c:v>74.61822158900398</c:v>
                </c:pt>
                <c:pt idx="59">
                  <c:v>74.64467327066987</c:v>
                </c:pt>
                <c:pt idx="60">
                  <c:v>74.667788172690436</c:v>
                </c:pt>
                <c:pt idx="61">
                  <c:v>74.68769031630147</c:v>
                </c:pt>
                <c:pt idx="62">
                  <c:v>74.704496340457538</c:v>
                </c:pt>
                <c:pt idx="63">
                  <c:v>74.718316001024576</c:v>
                </c:pt>
                <c:pt idx="64">
                  <c:v>74.729252629069066</c:v>
                </c:pt>
                <c:pt idx="65">
                  <c:v>74.737403552091138</c:v>
                </c:pt>
                <c:pt idx="66">
                  <c:v>74.742860481636868</c:v>
                </c:pt>
                <c:pt idx="67">
                  <c:v>74.74570987036347</c:v>
                </c:pt>
                <c:pt idx="68">
                  <c:v>74.746033241311281</c:v>
                </c:pt>
                <c:pt idx="69">
                  <c:v>74.743907491854713</c:v>
                </c:pt>
                <c:pt idx="70">
                  <c:v>74.739405174553056</c:v>
                </c:pt>
                <c:pt idx="71">
                  <c:v>74.732594756901335</c:v>
                </c:pt>
                <c:pt idx="72">
                  <c:v>74.723540861783533</c:v>
                </c:pt>
                <c:pt idx="73">
                  <c:v>74.712304490255093</c:v>
                </c:pt>
                <c:pt idx="74">
                  <c:v>74.698943228125202</c:v>
                </c:pt>
                <c:pt idx="75">
                  <c:v>74.683511437669921</c:v>
                </c:pt>
                <c:pt idx="76">
                  <c:v>74.66606043568153</c:v>
                </c:pt>
                <c:pt idx="77">
                  <c:v>74.646638658948433</c:v>
                </c:pt>
                <c:pt idx="78">
                  <c:v>74.625291818159241</c:v>
                </c:pt>
                <c:pt idx="79">
                  <c:v>74.602063041134315</c:v>
                </c:pt>
                <c:pt idx="80">
                  <c:v>74.576993006207545</c:v>
                </c:pt>
                <c:pt idx="81">
                  <c:v>74.550120066507759</c:v>
                </c:pt>
                <c:pt idx="82">
                  <c:v>74.521480365823507</c:v>
                </c:pt>
                <c:pt idx="83">
                  <c:v>74.491107946675569</c:v>
                </c:pt>
                <c:pt idx="84">
                  <c:v>74.459034851168028</c:v>
                </c:pt>
                <c:pt idx="85">
                  <c:v>74.425291215139737</c:v>
                </c:pt>
                <c:pt idx="86">
                  <c:v>74.389905356094502</c:v>
                </c:pt>
                <c:pt idx="87">
                  <c:v>74.352903855347932</c:v>
                </c:pt>
                <c:pt idx="88">
                  <c:v>74.314311634793143</c:v>
                </c:pt>
                <c:pt idx="89">
                  <c:v>74.274152028653774</c:v>
                </c:pt>
                <c:pt idx="90">
                  <c:v>74.232446850563818</c:v>
                </c:pt>
                <c:pt idx="91">
                  <c:v>74.189216456285351</c:v>
                </c:pt>
                <c:pt idx="92">
                  <c:v>74.144479802351057</c:v>
                </c:pt>
                <c:pt idx="93">
                  <c:v>74.098254500895294</c:v>
                </c:pt>
                <c:pt idx="94">
                  <c:v>74.050556870916949</c:v>
                </c:pt>
                <c:pt idx="95">
                  <c:v>74.001401986197635</c:v>
                </c:pt>
                <c:pt idx="96">
                  <c:v>73.950803720082334</c:v>
                </c:pt>
                <c:pt idx="97">
                  <c:v>73.898774787312433</c:v>
                </c:pt>
                <c:pt idx="98">
                  <c:v>73.845326783087344</c:v>
                </c:pt>
                <c:pt idx="99">
                  <c:v>73.79047021951699</c:v>
                </c:pt>
                <c:pt idx="100">
                  <c:v>73.480006411789972</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37.718749999999993</c:v>
                </c:pt>
                <c:pt idx="2">
                  <c:v>75.437499999999986</c:v>
                </c:pt>
                <c:pt idx="3">
                  <c:v>113.15625</c:v>
                </c:pt>
                <c:pt idx="4">
                  <c:v>150.87499999999997</c:v>
                </c:pt>
                <c:pt idx="5">
                  <c:v>188.59375</c:v>
                </c:pt>
                <c:pt idx="6">
                  <c:v>226.3125</c:v>
                </c:pt>
                <c:pt idx="7">
                  <c:v>264.03124999999994</c:v>
                </c:pt>
                <c:pt idx="8">
                  <c:v>301.74999999999994</c:v>
                </c:pt>
                <c:pt idx="9">
                  <c:v>339.46875</c:v>
                </c:pt>
                <c:pt idx="10">
                  <c:v>377.1875</c:v>
                </c:pt>
                <c:pt idx="11">
                  <c:v>414.90625</c:v>
                </c:pt>
                <c:pt idx="12">
                  <c:v>452.625</c:v>
                </c:pt>
                <c:pt idx="13">
                  <c:v>490.34374999999989</c:v>
                </c:pt>
                <c:pt idx="14">
                  <c:v>528.06249999999989</c:v>
                </c:pt>
                <c:pt idx="15">
                  <c:v>565.78124999999989</c:v>
                </c:pt>
                <c:pt idx="16">
                  <c:v>603.49999999999989</c:v>
                </c:pt>
                <c:pt idx="17">
                  <c:v>641.21875</c:v>
                </c:pt>
                <c:pt idx="18">
                  <c:v>678.9375</c:v>
                </c:pt>
                <c:pt idx="19">
                  <c:v>716.65625</c:v>
                </c:pt>
                <c:pt idx="20">
                  <c:v>754.375</c:v>
                </c:pt>
                <c:pt idx="21">
                  <c:v>792.09374999999989</c:v>
                </c:pt>
                <c:pt idx="22">
                  <c:v>829.8125</c:v>
                </c:pt>
                <c:pt idx="23">
                  <c:v>867.53124999999989</c:v>
                </c:pt>
                <c:pt idx="24">
                  <c:v>905.25</c:v>
                </c:pt>
                <c:pt idx="25">
                  <c:v>942.96874999999977</c:v>
                </c:pt>
                <c:pt idx="26">
                  <c:v>980.68749999999977</c:v>
                </c:pt>
                <c:pt idx="27">
                  <c:v>1018.40625</c:v>
                </c:pt>
                <c:pt idx="28">
                  <c:v>1056.1249999999998</c:v>
                </c:pt>
                <c:pt idx="29">
                  <c:v>1093.8437499999998</c:v>
                </c:pt>
                <c:pt idx="30">
                  <c:v>1131.5624999999998</c:v>
                </c:pt>
                <c:pt idx="31">
                  <c:v>1169.2812499999995</c:v>
                </c:pt>
                <c:pt idx="32">
                  <c:v>1206.9999999999998</c:v>
                </c:pt>
                <c:pt idx="33">
                  <c:v>1244.7187499999998</c:v>
                </c:pt>
                <c:pt idx="34">
                  <c:v>1282.4375</c:v>
                </c:pt>
                <c:pt idx="35">
                  <c:v>1320.1562499999998</c:v>
                </c:pt>
                <c:pt idx="36">
                  <c:v>1357.875</c:v>
                </c:pt>
                <c:pt idx="37">
                  <c:v>1395.5937499999998</c:v>
                </c:pt>
                <c:pt idx="38">
                  <c:v>1433.3125</c:v>
                </c:pt>
                <c:pt idx="39">
                  <c:v>1471.03125</c:v>
                </c:pt>
                <c:pt idx="40">
                  <c:v>1508.75</c:v>
                </c:pt>
                <c:pt idx="41">
                  <c:v>1546.4687499999998</c:v>
                </c:pt>
                <c:pt idx="42">
                  <c:v>1584.1874999999998</c:v>
                </c:pt>
                <c:pt idx="43">
                  <c:v>1621.9062499999998</c:v>
                </c:pt>
                <c:pt idx="44">
                  <c:v>1659.625</c:v>
                </c:pt>
                <c:pt idx="45">
                  <c:v>1697.34375</c:v>
                </c:pt>
                <c:pt idx="46">
                  <c:v>1735.0624999999998</c:v>
                </c:pt>
                <c:pt idx="47">
                  <c:v>1772.7812499999998</c:v>
                </c:pt>
                <c:pt idx="48">
                  <c:v>1810.5</c:v>
                </c:pt>
                <c:pt idx="49">
                  <c:v>1848.2187499999998</c:v>
                </c:pt>
                <c:pt idx="50">
                  <c:v>1885.9374999999995</c:v>
                </c:pt>
                <c:pt idx="51">
                  <c:v>1923.6562499999998</c:v>
                </c:pt>
                <c:pt idx="52">
                  <c:v>1961.3749999999995</c:v>
                </c:pt>
                <c:pt idx="53">
                  <c:v>1999.09375</c:v>
                </c:pt>
                <c:pt idx="54">
                  <c:v>2036.8125</c:v>
                </c:pt>
                <c:pt idx="55">
                  <c:v>2074.53125</c:v>
                </c:pt>
                <c:pt idx="56">
                  <c:v>2112.2499999999995</c:v>
                </c:pt>
                <c:pt idx="57">
                  <c:v>2149.9687499999991</c:v>
                </c:pt>
                <c:pt idx="58">
                  <c:v>2187.6874999999995</c:v>
                </c:pt>
                <c:pt idx="59">
                  <c:v>2225.40625</c:v>
                </c:pt>
                <c:pt idx="60">
                  <c:v>2263.1249999999995</c:v>
                </c:pt>
                <c:pt idx="61">
                  <c:v>2300.84375</c:v>
                </c:pt>
                <c:pt idx="62">
                  <c:v>2338.5624999999991</c:v>
                </c:pt>
                <c:pt idx="63">
                  <c:v>2376.28125</c:v>
                </c:pt>
                <c:pt idx="64">
                  <c:v>2413.9999999999995</c:v>
                </c:pt>
                <c:pt idx="65">
                  <c:v>2451.71875</c:v>
                </c:pt>
                <c:pt idx="66">
                  <c:v>2489.4374999999995</c:v>
                </c:pt>
                <c:pt idx="67">
                  <c:v>2527.15625</c:v>
                </c:pt>
                <c:pt idx="68">
                  <c:v>2564.875</c:v>
                </c:pt>
                <c:pt idx="69">
                  <c:v>2602.5937499999995</c:v>
                </c:pt>
                <c:pt idx="70">
                  <c:v>2640.3124999999995</c:v>
                </c:pt>
                <c:pt idx="71">
                  <c:v>2678.0312499999995</c:v>
                </c:pt>
                <c:pt idx="72">
                  <c:v>2715.75</c:v>
                </c:pt>
                <c:pt idx="73">
                  <c:v>2753.4687499999995</c:v>
                </c:pt>
                <c:pt idx="74">
                  <c:v>2791.1874999999995</c:v>
                </c:pt>
                <c:pt idx="75">
                  <c:v>2828.9062499999995</c:v>
                </c:pt>
                <c:pt idx="76">
                  <c:v>2866.625</c:v>
                </c:pt>
                <c:pt idx="77">
                  <c:v>2904.34375</c:v>
                </c:pt>
                <c:pt idx="78">
                  <c:v>2942.0625</c:v>
                </c:pt>
                <c:pt idx="79">
                  <c:v>2979.78125</c:v>
                </c:pt>
                <c:pt idx="80">
                  <c:v>3017.5</c:v>
                </c:pt>
                <c:pt idx="81">
                  <c:v>3055.21875</c:v>
                </c:pt>
                <c:pt idx="82">
                  <c:v>3092.9374999999995</c:v>
                </c:pt>
                <c:pt idx="83">
                  <c:v>3130.6562499999995</c:v>
                </c:pt>
                <c:pt idx="84">
                  <c:v>3168.3749999999995</c:v>
                </c:pt>
                <c:pt idx="85">
                  <c:v>3206.0937499999991</c:v>
                </c:pt>
                <c:pt idx="86">
                  <c:v>3243.8124999999995</c:v>
                </c:pt>
                <c:pt idx="87">
                  <c:v>3281.5312499999991</c:v>
                </c:pt>
                <c:pt idx="88">
                  <c:v>3319.25</c:v>
                </c:pt>
                <c:pt idx="89">
                  <c:v>3356.9687499999995</c:v>
                </c:pt>
                <c:pt idx="90">
                  <c:v>3394.6875</c:v>
                </c:pt>
                <c:pt idx="91">
                  <c:v>3432.4062499999991</c:v>
                </c:pt>
                <c:pt idx="92">
                  <c:v>3470.1249999999995</c:v>
                </c:pt>
                <c:pt idx="93">
                  <c:v>3507.8437499999995</c:v>
                </c:pt>
                <c:pt idx="94">
                  <c:v>3545.5624999999995</c:v>
                </c:pt>
                <c:pt idx="95">
                  <c:v>3583.2812499999991</c:v>
                </c:pt>
                <c:pt idx="96">
                  <c:v>3621</c:v>
                </c:pt>
                <c:pt idx="97">
                  <c:v>3658.7187499999995</c:v>
                </c:pt>
                <c:pt idx="98">
                  <c:v>3696.4374999999995</c:v>
                </c:pt>
                <c:pt idx="99">
                  <c:v>3734.1562499999995</c:v>
                </c:pt>
                <c:pt idx="100">
                  <c:v>3771.8749999999991</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12.593211752189859</c:v>
                </c:pt>
                <c:pt idx="1">
                  <c:v>34.117940314318624</c:v>
                </c:pt>
                <c:pt idx="2">
                  <c:v>68.237984897310341</c:v>
                </c:pt>
                <c:pt idx="3">
                  <c:v>102.36013394365641</c:v>
                </c:pt>
                <c:pt idx="4">
                  <c:v>136.48438764806221</c:v>
                </c:pt>
                <c:pt idx="5">
                  <c:v>170.61074620525707</c:v>
                </c:pt>
                <c:pt idx="6">
                  <c:v>204.73920980999412</c:v>
                </c:pt>
                <c:pt idx="7">
                  <c:v>238.86977865705114</c:v>
                </c:pt>
                <c:pt idx="8">
                  <c:v>273.00245294122914</c:v>
                </c:pt>
                <c:pt idx="9">
                  <c:v>307.13723285735392</c:v>
                </c:pt>
                <c:pt idx="10">
                  <c:v>341.27411860027479</c:v>
                </c:pt>
                <c:pt idx="11">
                  <c:v>375.41311036486519</c:v>
                </c:pt>
                <c:pt idx="12">
                  <c:v>409.55420834602262</c:v>
                </c:pt>
                <c:pt idx="13">
                  <c:v>443.6974127386693</c:v>
                </c:pt>
                <c:pt idx="14">
                  <c:v>444.37982288207365</c:v>
                </c:pt>
                <c:pt idx="15">
                  <c:v>451.47379925007812</c:v>
                </c:pt>
                <c:pt idx="16">
                  <c:v>464.44429851369233</c:v>
                </c:pt>
                <c:pt idx="17">
                  <c:v>477.03775335796291</c:v>
                </c:pt>
                <c:pt idx="18">
                  <c:v>489.28754409858834</c:v>
                </c:pt>
                <c:pt idx="19">
                  <c:v>501.2224606960346</c:v>
                </c:pt>
                <c:pt idx="20">
                  <c:v>512.86753967492734</c:v>
                </c:pt>
                <c:pt idx="21">
                  <c:v>524.2447145950772</c:v>
                </c:pt>
                <c:pt idx="22">
                  <c:v>535.37332845083836</c:v>
                </c:pt>
                <c:pt idx="23">
                  <c:v>546.27054220742696</c:v>
                </c:pt>
                <c:pt idx="24">
                  <c:v>556.95166409686874</c:v>
                </c:pt>
                <c:pt idx="25">
                  <c:v>567.43041768209002</c:v>
                </c:pt>
                <c:pt idx="26">
                  <c:v>577.71916205242519</c:v>
                </c:pt>
                <c:pt idx="27">
                  <c:v>587.82907419852529</c:v>
                </c:pt>
                <c:pt idx="28">
                  <c:v>597.77030121357961</c:v>
                </c:pt>
                <c:pt idx="29">
                  <c:v>607.55208820529117</c:v>
                </c:pt>
                <c:pt idx="30">
                  <c:v>617.18288649327098</c:v>
                </c:pt>
                <c:pt idx="31">
                  <c:v>626.67044568199753</c:v>
                </c:pt>
                <c:pt idx="32">
                  <c:v>636.02189245162219</c:v>
                </c:pt>
                <c:pt idx="33">
                  <c:v>645.24379833521255</c:v>
                </c:pt>
                <c:pt idx="34">
                  <c:v>654.34223830691838</c:v>
                </c:pt>
                <c:pt idx="35">
                  <c:v>663.32284165883073</c:v>
                </c:pt>
                <c:pt idx="36">
                  <c:v>672.19083637143751</c:v>
                </c:pt>
                <c:pt idx="37">
                  <c:v>680.95108796626243</c:v>
                </c:pt>
                <c:pt idx="38">
                  <c:v>689.60813365653826</c:v>
                </c:pt>
                <c:pt idx="39">
                  <c:v>698.16621247295939</c:v>
                </c:pt>
                <c:pt idx="40">
                  <c:v>706.62929192930585</c:v>
                </c:pt>
                <c:pt idx="41">
                  <c:v>715.00109170139228</c:v>
                </c:pt>
                <c:pt idx="42">
                  <c:v>723.28510471813195</c:v>
                </c:pt>
                <c:pt idx="43">
                  <c:v>731.48461600205076</c:v>
                </c:pt>
                <c:pt idx="44">
                  <c:v>739.60271954585664</c:v>
                </c:pt>
                <c:pt idx="45">
                  <c:v>747.64233346949879</c:v>
                </c:pt>
                <c:pt idx="46">
                  <c:v>755.60621366701639</c:v>
                </c:pt>
                <c:pt idx="47">
                  <c:v>721.30551216903018</c:v>
                </c:pt>
                <c:pt idx="48">
                  <c:v>735.79454407605431</c:v>
                </c:pt>
                <c:pt idx="49">
                  <c:v>750.31898442487307</c:v>
                </c:pt>
                <c:pt idx="50">
                  <c:v>755.50659707604541</c:v>
                </c:pt>
                <c:pt idx="51">
                  <c:v>756.62134659031153</c:v>
                </c:pt>
                <c:pt idx="52">
                  <c:v>757.51527783287679</c:v>
                </c:pt>
                <c:pt idx="53">
                  <c:v>758.32975177587821</c:v>
                </c:pt>
                <c:pt idx="54">
                  <c:v>759.16455391390969</c:v>
                </c:pt>
                <c:pt idx="55">
                  <c:v>760.01925929136041</c:v>
                </c:pt>
                <c:pt idx="56">
                  <c:v>760.89347168823917</c:v>
                </c:pt>
                <c:pt idx="57">
                  <c:v>761.78682126192973</c:v>
                </c:pt>
                <c:pt idx="58">
                  <c:v>762.6989624187047</c:v>
                </c:pt>
                <c:pt idx="59">
                  <c:v>763.62957188930523</c:v>
                </c:pt>
                <c:pt idx="60">
                  <c:v>764.578346986116</c:v>
                </c:pt>
                <c:pt idx="61">
                  <c:v>765.54500402225847</c:v>
                </c:pt>
                <c:pt idx="62">
                  <c:v>766.52927687531167</c:v>
                </c:pt>
                <c:pt idx="63">
                  <c:v>767.53091568046295</c:v>
                </c:pt>
                <c:pt idx="64">
                  <c:v>768.54968563967964</c:v>
                </c:pt>
                <c:pt idx="65">
                  <c:v>769.58536593505858</c:v>
                </c:pt>
                <c:pt idx="66">
                  <c:v>770.63774873587818</c:v>
                </c:pt>
                <c:pt idx="67">
                  <c:v>771.70663829005639</c:v>
                </c:pt>
                <c:pt idx="68">
                  <c:v>772.79185009175865</c:v>
                </c:pt>
                <c:pt idx="69">
                  <c:v>773.89321011782135</c:v>
                </c:pt>
                <c:pt idx="70">
                  <c:v>775.01055412643461</c:v>
                </c:pt>
                <c:pt idx="71">
                  <c:v>776.14372701224647</c:v>
                </c:pt>
                <c:pt idx="72">
                  <c:v>777.29258221266264</c:v>
                </c:pt>
                <c:pt idx="73">
                  <c:v>778.45698116066205</c:v>
                </c:pt>
                <c:pt idx="74">
                  <c:v>779.63679277993424</c:v>
                </c:pt>
                <c:pt idx="75">
                  <c:v>780.83189301856225</c:v>
                </c:pt>
                <c:pt idx="76">
                  <c:v>782.04216441787082</c:v>
                </c:pt>
                <c:pt idx="77">
                  <c:v>783.26749571337564</c:v>
                </c:pt>
                <c:pt idx="78">
                  <c:v>784.5077814650906</c:v>
                </c:pt>
                <c:pt idx="79">
                  <c:v>785.76292171469038</c:v>
                </c:pt>
                <c:pt idx="80">
                  <c:v>787.03282166729639</c:v>
                </c:pt>
                <c:pt idx="81">
                  <c:v>788.31739139583385</c:v>
                </c:pt>
                <c:pt idx="82">
                  <c:v>789.61654556612496</c:v>
                </c:pt>
                <c:pt idx="83">
                  <c:v>790.93020318103743</c:v>
                </c:pt>
                <c:pt idx="84">
                  <c:v>792.25828734216225</c:v>
                </c:pt>
                <c:pt idx="85">
                  <c:v>793.60072502764524</c:v>
                </c:pt>
                <c:pt idx="86">
                  <c:v>794.95744688490277</c:v>
                </c:pt>
                <c:pt idx="87">
                  <c:v>796.32838703707364</c:v>
                </c:pt>
                <c:pt idx="88">
                  <c:v>797.71348290215917</c:v>
                </c:pt>
                <c:pt idx="89">
                  <c:v>799.11267502389092</c:v>
                </c:pt>
                <c:pt idx="90">
                  <c:v>800.52590691345131</c:v>
                </c:pt>
                <c:pt idx="91">
                  <c:v>801.95312490124115</c:v>
                </c:pt>
                <c:pt idx="92">
                  <c:v>803.39427799796135</c:v>
                </c:pt>
                <c:pt idx="93">
                  <c:v>804.84931776433336</c:v>
                </c:pt>
                <c:pt idx="94">
                  <c:v>806.31819818883798</c:v>
                </c:pt>
                <c:pt idx="95">
                  <c:v>807.80087557290688</c:v>
                </c:pt>
                <c:pt idx="96">
                  <c:v>809.29730842303661</c:v>
                </c:pt>
                <c:pt idx="97">
                  <c:v>810.80745734935192</c:v>
                </c:pt>
                <c:pt idx="98">
                  <c:v>812.33128497016935</c:v>
                </c:pt>
                <c:pt idx="99">
                  <c:v>813.86875582215248</c:v>
                </c:pt>
                <c:pt idx="100">
                  <c:v>815.41983627568163</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359.11601759001513</c:v>
                </c:pt>
                <c:pt idx="1">
                  <c:v>356.32147230078294</c:v>
                </c:pt>
                <c:pt idx="2">
                  <c:v>353.1396728883031</c:v>
                </c:pt>
                <c:pt idx="3">
                  <c:v>352.0356488056085</c:v>
                </c:pt>
                <c:pt idx="4">
                  <c:v>353.4807291682522</c:v>
                </c:pt>
                <c:pt idx="5">
                  <c:v>357.8688901540699</c:v>
                </c:pt>
                <c:pt idx="6">
                  <c:v>365.54551460121343</c:v>
                </c:pt>
                <c:pt idx="7">
                  <c:v>376.82165636548802</c:v>
                </c:pt>
                <c:pt idx="8">
                  <c:v>391.98239701879442</c:v>
                </c:pt>
                <c:pt idx="9">
                  <c:v>411.29225288525788</c:v>
                </c:pt>
                <c:pt idx="10">
                  <c:v>434.9989165104551</c:v>
                </c:pt>
                <c:pt idx="11">
                  <c:v>463.33597498078205</c:v>
                </c:pt>
                <c:pt idx="12">
                  <c:v>496.52495963477975</c:v>
                </c:pt>
                <c:pt idx="13">
                  <c:v>534.77693758367639</c:v>
                </c:pt>
                <c:pt idx="14">
                  <c:v>535.47701608962188</c:v>
                </c:pt>
                <c:pt idx="15">
                  <c:v>556.14289640605955</c:v>
                </c:pt>
                <c:pt idx="16">
                  <c:v>595.2672201680864</c:v>
                </c:pt>
                <c:pt idx="17">
                  <c:v>634.52438523870433</c:v>
                </c:pt>
                <c:pt idx="18">
                  <c:v>673.90637044639459</c:v>
                </c:pt>
                <c:pt idx="19">
                  <c:v>713.40593119834443</c:v>
                </c:pt>
                <c:pt idx="20">
                  <c:v>753.01647965246195</c:v>
                </c:pt>
                <c:pt idx="21">
                  <c:v>792.73198845717047</c:v>
                </c:pt>
                <c:pt idx="22">
                  <c:v>832.54691252616271</c:v>
                </c:pt>
                <c:pt idx="23">
                  <c:v>872.45612480638931</c:v>
                </c:pt>
                <c:pt idx="24">
                  <c:v>912.45486303944176</c:v>
                </c:pt>
                <c:pt idx="25">
                  <c:v>952.53868525755047</c:v>
                </c:pt>
                <c:pt idx="26">
                  <c:v>992.70343229112814</c:v>
                </c:pt>
                <c:pt idx="27">
                  <c:v>1032.9451959577164</c:v>
                </c:pt>
                <c:pt idx="28">
                  <c:v>1073.2602918943442</c:v>
                </c:pt>
                <c:pt idx="29">
                  <c:v>1113.6452362151201</c:v>
                </c:pt>
                <c:pt idx="30">
                  <c:v>1154.0967253432068</c:v>
                </c:pt>
                <c:pt idx="31">
                  <c:v>1194.6116184950083</c:v>
                </c:pt>
                <c:pt idx="32">
                  <c:v>1235.1869223942997</c:v>
                </c:pt>
                <c:pt idx="33">
                  <c:v>1275.81977787233</c:v>
                </c:pt>
                <c:pt idx="34">
                  <c:v>1316.5074480717453</c:v>
                </c:pt>
                <c:pt idx="35">
                  <c:v>1357.2473080214343</c:v>
                </c:pt>
                <c:pt idx="36">
                  <c:v>1398.0368353888744</c:v>
                </c:pt>
                <c:pt idx="37">
                  <c:v>1438.8736022484486</c:v>
                </c:pt>
                <c:pt idx="38">
                  <c:v>1479.7552677301007</c:v>
                </c:pt>
                <c:pt idx="39">
                  <c:v>1520.6795714339046</c:v>
                </c:pt>
                <c:pt idx="40">
                  <c:v>1561.64432751351</c:v>
                </c:pt>
                <c:pt idx="41">
                  <c:v>1602.6474193458489</c:v>
                </c:pt>
                <c:pt idx="42">
                  <c:v>1643.6867947164562</c:v>
                </c:pt>
                <c:pt idx="43">
                  <c:v>1684.7604614597099</c:v>
                </c:pt>
                <c:pt idx="44">
                  <c:v>1725.8664835017241</c:v>
                </c:pt>
                <c:pt idx="45">
                  <c:v>1767.0029772606526</c:v>
                </c:pt>
                <c:pt idx="46">
                  <c:v>1808.168108365124</c:v>
                </c:pt>
                <c:pt idx="47">
                  <c:v>1630.9815773939763</c:v>
                </c:pt>
                <c:pt idx="48">
                  <c:v>1704.0372915558301</c:v>
                </c:pt>
                <c:pt idx="49">
                  <c:v>1778.7040519425507</c:v>
                </c:pt>
                <c:pt idx="50">
                  <c:v>1827.446430037144</c:v>
                </c:pt>
                <c:pt idx="51">
                  <c:v>1864.3819051216867</c:v>
                </c:pt>
                <c:pt idx="52">
                  <c:v>1901.8732495402792</c:v>
                </c:pt>
                <c:pt idx="53">
                  <c:v>1939.9587104578129</c:v>
                </c:pt>
                <c:pt idx="54">
                  <c:v>1978.6509984884428</c:v>
                </c:pt>
                <c:pt idx="55">
                  <c:v>2017.9605951775663</c:v>
                </c:pt>
                <c:pt idx="56">
                  <c:v>2057.8978626223611</c:v>
                </c:pt>
                <c:pt idx="57">
                  <c:v>2098.4730696839229</c:v>
                </c:pt>
                <c:pt idx="58">
                  <c:v>2139.6964161863148</c:v>
                </c:pt>
                <c:pt idx="59">
                  <c:v>2181.578055330489</c:v>
                </c:pt>
                <c:pt idx="60">
                  <c:v>2224.1281145245785</c:v>
                </c:pt>
                <c:pt idx="61">
                  <c:v>2267.3567148090324</c:v>
                </c:pt>
                <c:pt idx="62">
                  <c:v>2311.2739890351991</c:v>
                </c:pt>
                <c:pt idx="63">
                  <c:v>2355.8900989384529</c:v>
                </c:pt>
                <c:pt idx="64">
                  <c:v>2401.2152512318658</c:v>
                </c:pt>
                <c:pt idx="65">
                  <c:v>2447.2597128330858</c:v>
                </c:pt>
                <c:pt idx="66">
                  <c:v>2494.0338253254595</c:v>
                </c:pt>
                <c:pt idx="67">
                  <c:v>2541.548018744314</c:v>
                </c:pt>
                <c:pt idx="68">
                  <c:v>2589.8128247702807</c:v>
                </c:pt>
                <c:pt idx="69">
                  <c:v>2638.8388894037439</c:v>
                </c:pt>
                <c:pt idx="70">
                  <c:v>2688.6369851875888</c:v>
                </c:pt>
                <c:pt idx="71">
                  <c:v>2739.2180230392933</c:v>
                </c:pt>
                <c:pt idx="72">
                  <c:v>2790.5930637481056</c:v>
                </c:pt>
                <c:pt idx="73">
                  <c:v>2842.773329188316</c:v>
                </c:pt>
                <c:pt idx="74">
                  <c:v>2895.7702132954787</c:v>
                </c:pt>
                <c:pt idx="75">
                  <c:v>2949.5952928487459</c:v>
                </c:pt>
                <c:pt idx="76">
                  <c:v>3004.2603380993232</c:v>
                </c:pt>
                <c:pt idx="77">
                  <c:v>3059.777323282176</c:v>
                </c:pt>
                <c:pt idx="78">
                  <c:v>3116.158437045658</c:v>
                </c:pt>
                <c:pt idx="79">
                  <c:v>3173.4160928314946</c:v>
                </c:pt>
                <c:pt idx="80">
                  <c:v>3231.5629392357955</c:v>
                </c:pt>
                <c:pt idx="81">
                  <c:v>3290.6118703799284</c:v>
                </c:pt>
                <c:pt idx="82">
                  <c:v>3350.5760363188438</c:v>
                </c:pt>
                <c:pt idx="83">
                  <c:v>3411.4688535130213</c:v>
                </c:pt>
                <c:pt idx="84">
                  <c:v>3473.3040153893876</c:v>
                </c:pt>
                <c:pt idx="85">
                  <c:v>3536.0955030154064</c:v>
                </c:pt>
                <c:pt idx="86">
                  <c:v>3599.8575959100795</c:v>
                </c:pt>
                <c:pt idx="87">
                  <c:v>3664.6048830148075</c:v>
                </c:pt>
                <c:pt idx="88">
                  <c:v>3730.3522738466913</c:v>
                </c:pt>
                <c:pt idx="89">
                  <c:v>3797.1150098564849</c:v>
                </c:pt>
                <c:pt idx="90">
                  <c:v>3864.9086760131991</c:v>
                </c:pt>
                <c:pt idx="91">
                  <c:v>3933.7492126372003</c:v>
                </c:pt>
                <c:pt idx="92">
                  <c:v>4003.652927503646</c:v>
                </c:pt>
                <c:pt idx="93">
                  <c:v>4074.6365082381494</c:v>
                </c:pt>
                <c:pt idx="94">
                  <c:v>4146.7170350266852</c:v>
                </c:pt>
                <c:pt idx="95">
                  <c:v>4219.91199366213</c:v>
                </c:pt>
                <c:pt idx="96">
                  <c:v>4294.2392889498942</c:v>
                </c:pt>
                <c:pt idx="97">
                  <c:v>4369.7172584958744</c:v>
                </c:pt>
                <c:pt idx="98">
                  <c:v>4446.3646869000477</c:v>
                </c:pt>
                <c:pt idx="99">
                  <c:v>4524.2008203799269</c:v>
                </c:pt>
                <c:pt idx="100">
                  <c:v>4603.2453818485392</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Single'!$AN$110:$AN$210</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341.19996701038207</c:v>
                </c:pt>
                <c:pt idx="35">
                  <c:v>332.17721232048342</c:v>
                </c:pt>
                <c:pt idx="36">
                  <c:v>323.23537981342434</c:v>
                </c:pt>
                <c:pt idx="37">
                  <c:v>315.07489404756603</c:v>
                </c:pt>
                <c:pt idx="38">
                  <c:v>307.3841642389832</c:v>
                </c:pt>
                <c:pt idx="39">
                  <c:v>300.07165912005559</c:v>
                </c:pt>
                <c:pt idx="40">
                  <c:v>293.07134516897264</c:v>
                </c:pt>
                <c:pt idx="41">
                  <c:v>286.28690671498555</c:v>
                </c:pt>
                <c:pt idx="42">
                  <c:v>279.80612247679039</c:v>
                </c:pt>
                <c:pt idx="43">
                  <c:v>273.62769789235898</c:v>
                </c:pt>
                <c:pt idx="44">
                  <c:v>267.71492912959576</c:v>
                </c:pt>
                <c:pt idx="45">
                  <c:v>262.05103803733306</c:v>
                </c:pt>
                <c:pt idx="46">
                  <c:v>256.62063023751739</c:v>
                </c:pt>
                <c:pt idx="47">
                  <c:v>251.40955534920479</c:v>
                </c:pt>
                <c:pt idx="48">
                  <c:v>246.40478381972719</c:v>
                </c:pt>
                <c:pt idx="49">
                  <c:v>241.59429810572948</c:v>
                </c:pt>
                <c:pt idx="50">
                  <c:v>236.96699629074348</c:v>
                </c:pt>
                <c:pt idx="51">
                  <c:v>232.51260651207804</c:v>
                </c:pt>
                <c:pt idx="52">
                  <c:v>228.22161080866272</c:v>
                </c:pt>
                <c:pt idx="53">
                  <c:v>224.08517720160768</c:v>
                </c:pt>
                <c:pt idx="54">
                  <c:v>220.09509898749036</c:v>
                </c:pt>
                <c:pt idx="55">
                  <c:v>216.24374036629294</c:v>
                </c:pt>
                <c:pt idx="56">
                  <c:v>212.5239876459938</c:v>
                </c:pt>
                <c:pt idx="57">
                  <c:v>208.92920536772999</c:v>
                </c:pt>
                <c:pt idx="58">
                  <c:v>205.45319678220679</c:v>
                </c:pt>
                <c:pt idx="59">
                  <c:v>202.09016818208795</c:v>
                </c:pt>
                <c:pt idx="60">
                  <c:v>198.83469665849324</c:v>
                </c:pt>
                <c:pt idx="61">
                  <c:v>195.68170090414023</c:v>
                </c:pt>
                <c:pt idx="62">
                  <c:v>192.62641473248769</c:v>
                </c:pt>
                <c:pt idx="63">
                  <c:v>189.66436302261533</c:v>
                </c:pt>
                <c:pt idx="64">
                  <c:v>186.79133983450225</c:v>
                </c:pt>
                <c:pt idx="65">
                  <c:v>184.003388469621</c:v>
                </c:pt>
                <c:pt idx="66">
                  <c:v>181.29678327805729</c:v>
                </c:pt>
                <c:pt idx="67">
                  <c:v>178.6680130362445</c:v>
                </c:pt>
                <c:pt idx="68">
                  <c:v>176.11376573936465</c:v>
                </c:pt>
                <c:pt idx="69">
                  <c:v>173.63091466991705</c:v>
                </c:pt>
                <c:pt idx="70">
                  <c:v>171.21650561923701</c:v>
                </c:pt>
                <c:pt idx="71">
                  <c:v>168.86774515216089</c:v>
                </c:pt>
                <c:pt idx="72">
                  <c:v>166.5819898168206</c:v>
                </c:pt>
                <c:pt idx="73">
                  <c:v>164.35673621194306</c:v>
                </c:pt>
                <c:pt idx="74">
                  <c:v>162.18961183318621</c:v>
                </c:pt>
                <c:pt idx="75">
                  <c:v>160.07836662814898</c:v>
                </c:pt>
                <c:pt idx="76">
                  <c:v>158.02086519686063</c:v>
                </c:pt>
                <c:pt idx="77">
                  <c:v>156.01507958091381</c:v>
                </c:pt>
                <c:pt idx="78">
                  <c:v>154.05908259005574</c:v>
                </c:pt>
                <c:pt idx="79">
                  <c:v>152.15104162007464</c:v>
                </c:pt>
                <c:pt idx="80">
                  <c:v>150.28921292029628</c:v>
                </c:pt>
                <c:pt idx="81">
                  <c:v>148.47193627299765</c:v>
                </c:pt>
                <c:pt idx="82">
                  <c:v>146.69763005061552</c:v>
                </c:pt>
                <c:pt idx="83">
                  <c:v>144.96478661981774</c:v>
                </c:pt>
                <c:pt idx="84">
                  <c:v>143.27196806436959</c:v>
                </c:pt>
                <c:pt idx="85">
                  <c:v>141.61780220128878</c:v>
                </c:pt>
                <c:pt idx="86">
                  <c:v>140.00097886709295</c:v>
                </c:pt>
                <c:pt idx="87">
                  <c:v>138.4202464530149</c:v>
                </c:pt>
                <c:pt idx="88">
                  <c:v>136.87440866992733</c:v>
                </c:pt>
                <c:pt idx="89">
                  <c:v>135.36232152540461</c:v>
                </c:pt>
                <c:pt idx="90">
                  <c:v>133.88289049686736</c:v>
                </c:pt>
                <c:pt idx="91">
                  <c:v>132.4350678861303</c:v>
                </c:pt>
                <c:pt idx="92">
                  <c:v>131.01785034191516</c:v>
                </c:pt>
                <c:pt idx="93">
                  <c:v>129.63027653801851</c:v>
                </c:pt>
                <c:pt idx="94">
                  <c:v>128.27142499584147</c:v>
                </c:pt>
                <c:pt idx="95">
                  <c:v>126.94041204091924</c:v>
                </c:pt>
                <c:pt idx="96">
                  <c:v>125.63638988392481</c:v>
                </c:pt>
                <c:pt idx="97">
                  <c:v>124.35854481739277</c:v>
                </c:pt>
                <c:pt idx="98">
                  <c:v>123.10609552010054</c:v>
                </c:pt>
                <c:pt idx="99">
                  <c:v>121.87829146168403</c:v>
                </c:pt>
                <c:pt idx="100">
                  <c:v>120.67441140064166</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Single'!$AN$5:$AN$105</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347.66330326496347</c:v>
                </c:pt>
                <c:pt idx="45">
                  <c:v>340.55931015097519</c:v>
                </c:pt>
                <c:pt idx="46">
                  <c:v>333.74620214384856</c:v>
                </c:pt>
                <c:pt idx="47">
                  <c:v>326.69203433110465</c:v>
                </c:pt>
                <c:pt idx="48">
                  <c:v>320.42475146740026</c:v>
                </c:pt>
                <c:pt idx="49">
                  <c:v>314.40157442794577</c:v>
                </c:pt>
                <c:pt idx="50">
                  <c:v>308.60888682019475</c:v>
                </c:pt>
                <c:pt idx="51">
                  <c:v>303.03408398803276</c:v>
                </c:pt>
                <c:pt idx="52">
                  <c:v>297.63271981452345</c:v>
                </c:pt>
                <c:pt idx="53">
                  <c:v>292.36349774218758</c:v>
                </c:pt>
                <c:pt idx="54">
                  <c:v>287.27863903344956</c:v>
                </c:pt>
                <c:pt idx="55">
                  <c:v>282.36866544043266</c:v>
                </c:pt>
                <c:pt idx="56">
                  <c:v>277.61404678115326</c:v>
                </c:pt>
                <c:pt idx="57">
                  <c:v>273.01559640379708</c:v>
                </c:pt>
                <c:pt idx="58">
                  <c:v>268.5671369804906</c:v>
                </c:pt>
                <c:pt idx="59">
                  <c:v>264.26144415393429</c:v>
                </c:pt>
                <c:pt idx="60">
                  <c:v>260.09175019452078</c:v>
                </c:pt>
                <c:pt idx="61">
                  <c:v>256.05170848410688</c:v>
                </c:pt>
                <c:pt idx="62">
                  <c:v>252.13536126392751</c:v>
                </c:pt>
                <c:pt idx="63">
                  <c:v>248.33711030194053</c:v>
                </c:pt>
                <c:pt idx="64">
                  <c:v>244.65169017587641</c:v>
                </c:pt>
                <c:pt idx="65">
                  <c:v>241.07414390384915</c:v>
                </c:pt>
                <c:pt idx="66">
                  <c:v>237.5998006853479</c:v>
                </c:pt>
                <c:pt idx="67">
                  <c:v>234.2242555424248</c:v>
                </c:pt>
                <c:pt idx="68">
                  <c:v>230.94335067448264</c:v>
                </c:pt>
                <c:pt idx="69">
                  <c:v>227.75315836071772</c:v>
                </c:pt>
                <c:pt idx="70">
                  <c:v>224.64996526238895</c:v>
                </c:pt>
                <c:pt idx="71">
                  <c:v>221.63025799300297</c:v>
                </c:pt>
                <c:pt idx="72">
                  <c:v>218.69070983852433</c:v>
                </c:pt>
                <c:pt idx="73">
                  <c:v>215.82816852208171</c:v>
                </c:pt>
                <c:pt idx="74">
                  <c:v>213.03964491856547</c:v>
                </c:pt>
                <c:pt idx="75">
                  <c:v>210.32230263417952</c:v>
                </c:pt>
                <c:pt idx="76">
                  <c:v>207.67344837458063</c:v>
                </c:pt>
                <c:pt idx="77">
                  <c:v>205.09052303284869</c:v>
                </c:pt>
                <c:pt idx="78">
                  <c:v>202.57109343529737</c:v>
                </c:pt>
                <c:pt idx="79">
                  <c:v>200.1128446891621</c:v>
                </c:pt>
                <c:pt idx="80">
                  <c:v>197.71357308157911</c:v>
                </c:pt>
                <c:pt idx="81">
                  <c:v>195.37117948406774</c:v>
                </c:pt>
                <c:pt idx="82">
                  <c:v>193.08366322102654</c:v>
                </c:pt>
                <c:pt idx="83">
                  <c:v>190.84911636459867</c:v>
                </c:pt>
                <c:pt idx="84">
                  <c:v>188.665718421713</c:v>
                </c:pt>
                <c:pt idx="85">
                  <c:v>186.53173138220478</c:v>
                </c:pt>
                <c:pt idx="86">
                  <c:v>184.44549509970815</c:v>
                </c:pt>
                <c:pt idx="87">
                  <c:v>182.40542297951816</c:v>
                </c:pt>
                <c:pt idx="88">
                  <c:v>180.409997949885</c:v>
                </c:pt>
                <c:pt idx="89">
                  <c:v>178.4577686952388</c:v>
                </c:pt>
                <c:pt idx="90">
                  <c:v>176.54734613169154</c:v>
                </c:pt>
                <c:pt idx="91">
                  <c:v>174.67740010682937</c:v>
                </c:pt>
                <c:pt idx="92">
                  <c:v>172.84665630731507</c:v>
                </c:pt>
                <c:pt idx="93">
                  <c:v>171.05389335919594</c:v>
                </c:pt>
                <c:pt idx="94">
                  <c:v>169.29794010704876</c:v>
                </c:pt>
                <c:pt idx="95">
                  <c:v>167.57767305922579</c:v>
                </c:pt>
                <c:pt idx="96">
                  <c:v>165.89201398749125</c:v>
                </c:pt>
                <c:pt idx="97">
                  <c:v>164.23992767027067</c:v>
                </c:pt>
                <c:pt idx="98">
                  <c:v>162.62041976958793</c:v>
                </c:pt>
                <c:pt idx="99">
                  <c:v>161.03253483254144</c:v>
                </c:pt>
                <c:pt idx="100">
                  <c:v>159.47535440887859</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Single'!$AN$216:$AN$316</c:f>
              <c:numCache>
                <c:formatCode>0.0</c:formatCode>
                <c:ptCount val="101"/>
                <c:pt idx="0">
                  <c:v>12</c:v>
                </c:pt>
                <c:pt idx="1">
                  <c:v>26.852639043612992</c:v>
                </c:pt>
                <c:pt idx="2">
                  <c:v>53.705278087225985</c:v>
                </c:pt>
                <c:pt idx="3">
                  <c:v>80.557917130838959</c:v>
                </c:pt>
                <c:pt idx="4">
                  <c:v>107.41055617445197</c:v>
                </c:pt>
                <c:pt idx="5">
                  <c:v>134.26319521806496</c:v>
                </c:pt>
                <c:pt idx="6">
                  <c:v>161.11583426167792</c:v>
                </c:pt>
                <c:pt idx="7">
                  <c:v>187.96847330529096</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347.09082652202289</c:v>
                </c:pt>
                <c:pt idx="62">
                  <c:v>341.98395049687286</c:v>
                </c:pt>
                <c:pt idx="63">
                  <c:v>337.0295896010839</c:v>
                </c:pt>
                <c:pt idx="64">
                  <c:v>332.22105826031043</c:v>
                </c:pt>
                <c:pt idx="65">
                  <c:v>327.03848099648962</c:v>
                </c:pt>
                <c:pt idx="66">
                  <c:v>322.51658389644467</c:v>
                </c:pt>
                <c:pt idx="67">
                  <c:v>318.12328877596747</c:v>
                </c:pt>
                <c:pt idx="68">
                  <c:v>313.85330312229485</c:v>
                </c:pt>
                <c:pt idx="69">
                  <c:v>309.7016235562441</c:v>
                </c:pt>
                <c:pt idx="70">
                  <c:v>305.65044437869921</c:v>
                </c:pt>
                <c:pt idx="71">
                  <c:v>301.66886094028393</c:v>
                </c:pt>
                <c:pt idx="72">
                  <c:v>297.79215268116826</c:v>
                </c:pt>
                <c:pt idx="73">
                  <c:v>294.0162741763836</c:v>
                </c:pt>
                <c:pt idx="74">
                  <c:v>290.33738645271148</c:v>
                </c:pt>
                <c:pt idx="75">
                  <c:v>286.75184401474047</c:v>
                </c:pt>
                <c:pt idx="76">
                  <c:v>283.24753111949281</c:v>
                </c:pt>
                <c:pt idx="77">
                  <c:v>279.81280698348456</c:v>
                </c:pt>
                <c:pt idx="78">
                  <c:v>276.46128035470485</c:v>
                </c:pt>
                <c:pt idx="79">
                  <c:v>273.18996236625179</c:v>
                </c:pt>
                <c:pt idx="80">
                  <c:v>269.99600562646924</c:v>
                </c:pt>
                <c:pt idx="81">
                  <c:v>266.87669594608525</c:v>
                </c:pt>
                <c:pt idx="82">
                  <c:v>263.829444639153</c:v>
                </c:pt>
                <c:pt idx="83">
                  <c:v>260.85178135189494</c:v>
                </c:pt>
                <c:pt idx="84">
                  <c:v>257.94134737769537</c:v>
                </c:pt>
                <c:pt idx="85">
                  <c:v>255.09588942022236</c:v>
                </c:pt>
                <c:pt idx="86">
                  <c:v>252.31325377001829</c:v>
                </c:pt>
                <c:pt idx="87">
                  <c:v>249.59138086293152</c:v>
                </c:pt>
                <c:pt idx="88">
                  <c:v>246.92830019149039</c:v>
                </c:pt>
                <c:pt idx="89">
                  <c:v>244.32212554280423</c:v>
                </c:pt>
                <c:pt idx="90">
                  <c:v>241.77105053879831</c:v>
                </c:pt>
                <c:pt idx="91">
                  <c:v>239.27334445662993</c:v>
                </c:pt>
                <c:pt idx="92">
                  <c:v>236.82734830895751</c:v>
                </c:pt>
                <c:pt idx="93">
                  <c:v>234.43147116541209</c:v>
                </c:pt>
                <c:pt idx="94">
                  <c:v>232.08418669812698</c:v>
                </c:pt>
                <c:pt idx="95">
                  <c:v>229.78402993556682</c:v>
                </c:pt>
                <c:pt idx="96">
                  <c:v>227.52959421014609</c:v>
                </c:pt>
                <c:pt idx="97">
                  <c:v>225.3195282862747</c:v>
                </c:pt>
                <c:pt idx="98">
                  <c:v>223.15253365650787</c:v>
                </c:pt>
                <c:pt idx="99">
                  <c:v>221.02736199443322</c:v>
                </c:pt>
                <c:pt idx="100">
                  <c:v>218.94281275379512</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60</c:v>
                </c:pt>
                <c:pt idx="2">
                  <c:v>120</c:v>
                </c:pt>
                <c:pt idx="3">
                  <c:v>180</c:v>
                </c:pt>
                <c:pt idx="4">
                  <c:v>240</c:v>
                </c:pt>
                <c:pt idx="5">
                  <c:v>300.00000000000006</c:v>
                </c:pt>
                <c:pt idx="6">
                  <c:v>360</c:v>
                </c:pt>
                <c:pt idx="7">
                  <c:v>420.00000000000006</c:v>
                </c:pt>
                <c:pt idx="8">
                  <c:v>480</c:v>
                </c:pt>
                <c:pt idx="9">
                  <c:v>540</c:v>
                </c:pt>
                <c:pt idx="10">
                  <c:v>600.00000000000011</c:v>
                </c:pt>
                <c:pt idx="11">
                  <c:v>660</c:v>
                </c:pt>
                <c:pt idx="12">
                  <c:v>720</c:v>
                </c:pt>
                <c:pt idx="13">
                  <c:v>780</c:v>
                </c:pt>
                <c:pt idx="14">
                  <c:v>840.00000000000011</c:v>
                </c:pt>
                <c:pt idx="15">
                  <c:v>899.99999999999989</c:v>
                </c:pt>
                <c:pt idx="16">
                  <c:v>960</c:v>
                </c:pt>
                <c:pt idx="17">
                  <c:v>1020</c:v>
                </c:pt>
                <c:pt idx="18">
                  <c:v>1080</c:v>
                </c:pt>
                <c:pt idx="19">
                  <c:v>1140.0000000000002</c:v>
                </c:pt>
                <c:pt idx="20">
                  <c:v>1200.0000000000002</c:v>
                </c:pt>
                <c:pt idx="21">
                  <c:v>1260</c:v>
                </c:pt>
                <c:pt idx="22">
                  <c:v>1320</c:v>
                </c:pt>
                <c:pt idx="23">
                  <c:v>1380.0000000000002</c:v>
                </c:pt>
                <c:pt idx="24">
                  <c:v>1440</c:v>
                </c:pt>
                <c:pt idx="25">
                  <c:v>1500</c:v>
                </c:pt>
                <c:pt idx="26">
                  <c:v>1560</c:v>
                </c:pt>
                <c:pt idx="27">
                  <c:v>1620</c:v>
                </c:pt>
                <c:pt idx="28">
                  <c:v>1680.0000000000002</c:v>
                </c:pt>
                <c:pt idx="29">
                  <c:v>1739.9999999999998</c:v>
                </c:pt>
                <c:pt idx="30">
                  <c:v>1799.9999999999998</c:v>
                </c:pt>
                <c:pt idx="31">
                  <c:v>1859.9999999999998</c:v>
                </c:pt>
                <c:pt idx="32">
                  <c:v>1920</c:v>
                </c:pt>
                <c:pt idx="33">
                  <c:v>1980</c:v>
                </c:pt>
                <c:pt idx="34">
                  <c:v>2040</c:v>
                </c:pt>
                <c:pt idx="35">
                  <c:v>2099.9999999999995</c:v>
                </c:pt>
                <c:pt idx="36">
                  <c:v>2160</c:v>
                </c:pt>
                <c:pt idx="37">
                  <c:v>2219.9999999999995</c:v>
                </c:pt>
                <c:pt idx="38">
                  <c:v>2280.0000000000005</c:v>
                </c:pt>
                <c:pt idx="39">
                  <c:v>2340</c:v>
                </c:pt>
                <c:pt idx="40">
                  <c:v>2400.0000000000005</c:v>
                </c:pt>
                <c:pt idx="41">
                  <c:v>2460</c:v>
                </c:pt>
                <c:pt idx="42">
                  <c:v>2520</c:v>
                </c:pt>
                <c:pt idx="43">
                  <c:v>2580</c:v>
                </c:pt>
                <c:pt idx="44">
                  <c:v>2640</c:v>
                </c:pt>
                <c:pt idx="45">
                  <c:v>2700</c:v>
                </c:pt>
                <c:pt idx="46">
                  <c:v>2760.0000000000005</c:v>
                </c:pt>
                <c:pt idx="47">
                  <c:v>2820</c:v>
                </c:pt>
                <c:pt idx="48">
                  <c:v>2880</c:v>
                </c:pt>
                <c:pt idx="49">
                  <c:v>2940</c:v>
                </c:pt>
                <c:pt idx="50">
                  <c:v>3000</c:v>
                </c:pt>
                <c:pt idx="51">
                  <c:v>3060</c:v>
                </c:pt>
                <c:pt idx="52">
                  <c:v>3120</c:v>
                </c:pt>
                <c:pt idx="53">
                  <c:v>3180</c:v>
                </c:pt>
                <c:pt idx="54">
                  <c:v>3240</c:v>
                </c:pt>
                <c:pt idx="55">
                  <c:v>3300.0000000000005</c:v>
                </c:pt>
                <c:pt idx="56">
                  <c:v>3360.0000000000005</c:v>
                </c:pt>
                <c:pt idx="57">
                  <c:v>3420</c:v>
                </c:pt>
                <c:pt idx="58">
                  <c:v>3479.9999999999995</c:v>
                </c:pt>
                <c:pt idx="59">
                  <c:v>3540</c:v>
                </c:pt>
                <c:pt idx="60">
                  <c:v>3599.9999999999995</c:v>
                </c:pt>
                <c:pt idx="61">
                  <c:v>3660</c:v>
                </c:pt>
                <c:pt idx="62">
                  <c:v>3719.9999999999995</c:v>
                </c:pt>
                <c:pt idx="63">
                  <c:v>3780.0000000000005</c:v>
                </c:pt>
                <c:pt idx="64">
                  <c:v>3840</c:v>
                </c:pt>
                <c:pt idx="65">
                  <c:v>3900.0000000000005</c:v>
                </c:pt>
                <c:pt idx="66">
                  <c:v>3960</c:v>
                </c:pt>
                <c:pt idx="67">
                  <c:v>4020.0000000000005</c:v>
                </c:pt>
                <c:pt idx="68">
                  <c:v>4080</c:v>
                </c:pt>
                <c:pt idx="69">
                  <c:v>4140</c:v>
                </c:pt>
                <c:pt idx="70">
                  <c:v>4199.9999999999991</c:v>
                </c:pt>
                <c:pt idx="71">
                  <c:v>4260</c:v>
                </c:pt>
                <c:pt idx="72">
                  <c:v>4320</c:v>
                </c:pt>
                <c:pt idx="73">
                  <c:v>4380</c:v>
                </c:pt>
                <c:pt idx="74">
                  <c:v>4439.9999999999991</c:v>
                </c:pt>
                <c:pt idx="75">
                  <c:v>4500</c:v>
                </c:pt>
                <c:pt idx="76">
                  <c:v>4560.0000000000009</c:v>
                </c:pt>
                <c:pt idx="77">
                  <c:v>4620</c:v>
                </c:pt>
                <c:pt idx="78">
                  <c:v>4680</c:v>
                </c:pt>
                <c:pt idx="79">
                  <c:v>4740</c:v>
                </c:pt>
                <c:pt idx="80">
                  <c:v>4800.0000000000009</c:v>
                </c:pt>
                <c:pt idx="81">
                  <c:v>4860</c:v>
                </c:pt>
                <c:pt idx="82">
                  <c:v>4920</c:v>
                </c:pt>
                <c:pt idx="83">
                  <c:v>4979.9999999999991</c:v>
                </c:pt>
                <c:pt idx="84">
                  <c:v>5040</c:v>
                </c:pt>
                <c:pt idx="85">
                  <c:v>5100</c:v>
                </c:pt>
                <c:pt idx="86">
                  <c:v>5160</c:v>
                </c:pt>
                <c:pt idx="87">
                  <c:v>5220</c:v>
                </c:pt>
                <c:pt idx="88">
                  <c:v>5280</c:v>
                </c:pt>
                <c:pt idx="89">
                  <c:v>5340</c:v>
                </c:pt>
                <c:pt idx="90">
                  <c:v>5400</c:v>
                </c:pt>
                <c:pt idx="91">
                  <c:v>5460</c:v>
                </c:pt>
                <c:pt idx="92">
                  <c:v>5520.0000000000009</c:v>
                </c:pt>
                <c:pt idx="93">
                  <c:v>5580</c:v>
                </c:pt>
                <c:pt idx="94">
                  <c:v>5640</c:v>
                </c:pt>
                <c:pt idx="95">
                  <c:v>5699.9999999999991</c:v>
                </c:pt>
                <c:pt idx="96">
                  <c:v>5760</c:v>
                </c:pt>
                <c:pt idx="97">
                  <c:v>5820</c:v>
                </c:pt>
                <c:pt idx="98">
                  <c:v>5880</c:v>
                </c:pt>
                <c:pt idx="99">
                  <c:v>5939.9999999999991</c:v>
                </c:pt>
                <c:pt idx="100">
                  <c:v>6000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Dual'!$AM$110:$AM$210</c:f>
              <c:numCache>
                <c:formatCode>0.0</c:formatCode>
                <c:ptCount val="101"/>
                <c:pt idx="0">
                  <c:v>10</c:v>
                </c:pt>
                <c:pt idx="1">
                  <c:v>26.887499999999992</c:v>
                </c:pt>
                <c:pt idx="2">
                  <c:v>80.662499999999966</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342.94794768197562</c:v>
                </c:pt>
                <c:pt idx="39">
                  <c:v>335.14836332443946</c:v>
                </c:pt>
                <c:pt idx="40">
                  <c:v>327.51683164311487</c:v>
                </c:pt>
                <c:pt idx="41">
                  <c:v>320.23045084474518</c:v>
                </c:pt>
                <c:pt idx="42">
                  <c:v>313.26972979098616</c:v>
                </c:pt>
                <c:pt idx="43">
                  <c:v>306.6133026693991</c:v>
                </c:pt>
                <c:pt idx="44">
                  <c:v>300.24163268826419</c:v>
                </c:pt>
                <c:pt idx="45">
                  <c:v>294.13682046073524</c:v>
                </c:pt>
                <c:pt idx="46">
                  <c:v>288.28243598398274</c:v>
                </c:pt>
                <c:pt idx="47">
                  <c:v>282.66337089184287</c:v>
                </c:pt>
                <c:pt idx="48">
                  <c:v>277.26570818331442</c:v>
                </c:pt>
                <c:pt idx="49">
                  <c:v>272.07660706193684</c:v>
                </c:pt>
                <c:pt idx="50">
                  <c:v>267.08420087990993</c:v>
                </c:pt>
                <c:pt idx="51">
                  <c:v>262.2775064795365</c:v>
                </c:pt>
                <c:pt idx="52">
                  <c:v>257.64634347416177</c:v>
                </c:pt>
                <c:pt idx="53">
                  <c:v>253.1812622200718</c:v>
                </c:pt>
                <c:pt idx="54">
                  <c:v>248.87347940688656</c:v>
                </c:pt>
                <c:pt idx="55">
                  <c:v>244.71482034261464</c:v>
                </c:pt>
                <c:pt idx="56">
                  <c:v>240.69766713538567</c:v>
                </c:pt>
                <c:pt idx="57">
                  <c:v>236.81491208076108</c:v>
                </c:pt>
                <c:pt idx="58">
                  <c:v>233.05991565456736</c:v>
                </c:pt>
                <c:pt idx="59">
                  <c:v>229.42646858897018</c:v>
                </c:pt>
                <c:pt idx="60">
                  <c:v>225.90875757611332</c:v>
                </c:pt>
                <c:pt idx="61">
                  <c:v>222.50133420085356</c:v>
                </c:pt>
                <c:pt idx="62">
                  <c:v>219.19908675337373</c:v>
                </c:pt>
                <c:pt idx="63">
                  <c:v>215.99721461495702</c:v>
                </c:pt>
                <c:pt idx="64">
                  <c:v>212.89120494698525</c:v>
                </c:pt>
                <c:pt idx="65">
                  <c:v>209.87681144510231</c:v>
                </c:pt>
                <c:pt idx="66">
                  <c:v>206.95003494820298</c:v>
                </c:pt>
                <c:pt idx="67">
                  <c:v>204.10710571603204</c:v>
                </c:pt>
                <c:pt idx="68">
                  <c:v>201.34446721025023</c:v>
                </c:pt>
                <c:pt idx="69">
                  <c:v>198.65876123223467</c:v>
                </c:pt>
                <c:pt idx="70">
                  <c:v>196.04681428702935</c:v>
                </c:pt>
                <c:pt idx="71">
                  <c:v>193.50562505702658</c:v>
                </c:pt>
                <c:pt idx="72">
                  <c:v>191.03235288142497</c:v>
                </c:pt>
                <c:pt idx="73">
                  <c:v>188.62430714849177</c:v>
                </c:pt>
                <c:pt idx="74">
                  <c:v>186.27893751735181</c:v>
                </c:pt>
                <c:pt idx="75">
                  <c:v>183.99382489459524</c:v>
                </c:pt>
                <c:pt idx="76">
                  <c:v>181.76667309858988</c:v>
                </c:pt>
                <c:pt idx="77">
                  <c:v>179.59530115111647</c:v>
                </c:pt>
                <c:pt idx="78">
                  <c:v>177.47763614193033</c:v>
                </c:pt>
                <c:pt idx="79">
                  <c:v>175.41170661717743</c:v>
                </c:pt>
                <c:pt idx="80">
                  <c:v>173.39563644733764</c:v>
                </c:pt>
                <c:pt idx="81">
                  <c:v>171.42763913460408</c:v>
                </c:pt>
                <c:pt idx="82">
                  <c:v>169.50601252339325</c:v>
                </c:pt>
                <c:pt idx="83">
                  <c:v>167.62913388106767</c:v>
                </c:pt>
                <c:pt idx="84">
                  <c:v>165.79545531898984</c:v>
                </c:pt>
                <c:pt idx="85">
                  <c:v>164.00349952675151</c:v>
                </c:pt>
                <c:pt idx="86">
                  <c:v>162.25185579487004</c:v>
                </c:pt>
                <c:pt idx="87">
                  <c:v>160.53917630344776</c:v>
                </c:pt>
                <c:pt idx="88">
                  <c:v>158.86417265627293</c:v>
                </c:pt>
                <c:pt idx="89">
                  <c:v>157.22561264163295</c:v>
                </c:pt>
                <c:pt idx="90">
                  <c:v>155.62231720272359</c:v>
                </c:pt>
                <c:pt idx="91">
                  <c:v>154.05315760200159</c:v>
                </c:pt>
                <c:pt idx="92">
                  <c:v>152.51705276514835</c:v>
                </c:pt>
                <c:pt idx="93">
                  <c:v>151.01296679151056</c:v>
                </c:pt>
                <c:pt idx="94">
                  <c:v>149.53990661897001</c:v>
                </c:pt>
                <c:pt idx="95">
                  <c:v>148.0969198321813</c:v>
                </c:pt>
                <c:pt idx="96">
                  <c:v>146.68309260401136</c:v>
                </c:pt>
                <c:pt idx="97">
                  <c:v>145.29754776083243</c:v>
                </c:pt>
                <c:pt idx="98">
                  <c:v>143.93944296305992</c:v>
                </c:pt>
                <c:pt idx="99">
                  <c:v>142.60796899300595</c:v>
                </c:pt>
                <c:pt idx="100">
                  <c:v>141.30234814273467</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Dual'!$AM$5:$AM$105</c:f>
              <c:numCache>
                <c:formatCode>0.0</c:formatCode>
                <c:ptCount val="101"/>
                <c:pt idx="0">
                  <c:v>10</c:v>
                </c:pt>
                <c:pt idx="1">
                  <c:v>26.887499999999992</c:v>
                </c:pt>
                <c:pt idx="2">
                  <c:v>53.774999999999984</c:v>
                </c:pt>
                <c:pt idx="3">
                  <c:v>80.662499999999966</c:v>
                </c:pt>
                <c:pt idx="4">
                  <c:v>107.54999999999997</c:v>
                </c:pt>
                <c:pt idx="5">
                  <c:v>134.4375</c:v>
                </c:pt>
                <c:pt idx="6">
                  <c:v>161.32499999999993</c:v>
                </c:pt>
                <c:pt idx="7">
                  <c:v>188.21249999999998</c:v>
                </c:pt>
                <c:pt idx="8">
                  <c:v>215.09999999999994</c:v>
                </c:pt>
                <c:pt idx="9">
                  <c:v>241.98749999999998</c:v>
                </c:pt>
                <c:pt idx="10">
                  <c:v>268.875</c:v>
                </c:pt>
                <c:pt idx="11">
                  <c:v>295.76249999999993</c:v>
                </c:pt>
                <c:pt idx="12">
                  <c:v>322.64999999999986</c:v>
                </c:pt>
                <c:pt idx="13">
                  <c:v>349.53749999999997</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345.7289308448465</c:v>
                </c:pt>
                <c:pt idx="51">
                  <c:v>339.78693092449953</c:v>
                </c:pt>
                <c:pt idx="52">
                  <c:v>333.94586719232433</c:v>
                </c:pt>
                <c:pt idx="53">
                  <c:v>328.2651563679666</c:v>
                </c:pt>
                <c:pt idx="54">
                  <c:v>322.78166848671702</c:v>
                </c:pt>
                <c:pt idx="55">
                  <c:v>317.48530340383718</c:v>
                </c:pt>
                <c:pt idx="56">
                  <c:v>312.36663905934608</c:v>
                </c:pt>
                <c:pt idx="57">
                  <c:v>307.41687551236959</c:v>
                </c:pt>
                <c:pt idx="58">
                  <c:v>302.62778442841847</c:v>
                </c:pt>
                <c:pt idx="59">
                  <c:v>297.99166340965729</c:v>
                </c:pt>
                <c:pt idx="60">
                  <c:v>293.50129463496268</c:v>
                </c:pt>
                <c:pt idx="61">
                  <c:v>289.14990734262585</c:v>
                </c:pt>
                <c:pt idx="62">
                  <c:v>284.93114374553869</c:v>
                </c:pt>
                <c:pt idx="63">
                  <c:v>280.83902801798592</c:v>
                </c:pt>
                <c:pt idx="64">
                  <c:v>276.86793803588614</c:v>
                </c:pt>
                <c:pt idx="65">
                  <c:v>273.01257958943563</c:v>
                </c:pt>
                <c:pt idx="66">
                  <c:v>269.2679628194262</c:v>
                </c:pt>
                <c:pt idx="67">
                  <c:v>265.62938065669664</c:v>
                </c:pt>
                <c:pt idx="68">
                  <c:v>262.09238906882786</c:v>
                </c:pt>
                <c:pt idx="69">
                  <c:v>258.65278893978268</c:v>
                </c:pt>
                <c:pt idx="70">
                  <c:v>255.30660942714096</c:v>
                </c:pt>
                <c:pt idx="71">
                  <c:v>252.05009265824691</c:v>
                </c:pt>
                <c:pt idx="72">
                  <c:v>248.8796796412617</c:v>
                </c:pt>
                <c:pt idx="73">
                  <c:v>245.79199728007077</c:v>
                </c:pt>
                <c:pt idx="74">
                  <c:v>242.7838463934464</c:v>
                </c:pt>
                <c:pt idx="75">
                  <c:v>239.85219064900537</c:v>
                </c:pt>
                <c:pt idx="76">
                  <c:v>236.99414633149638</c:v>
                </c:pt>
                <c:pt idx="77">
                  <c:v>234.206972872937</c:v>
                </c:pt>
                <c:pt idx="78">
                  <c:v>231.48806407923234</c:v>
                </c:pt>
                <c:pt idx="79">
                  <c:v>228.83493999423467</c:v>
                </c:pt>
                <c:pt idx="80">
                  <c:v>226.24523934786103</c:v>
                </c:pt>
                <c:pt idx="81">
                  <c:v>223.71671253992699</c:v>
                </c:pt>
                <c:pt idx="82">
                  <c:v>221.24721511588152</c:v>
                </c:pt>
                <c:pt idx="83">
                  <c:v>218.83470169467148</c:v>
                </c:pt>
                <c:pt idx="84">
                  <c:v>216.47722031259786</c:v>
                </c:pt>
                <c:pt idx="85">
                  <c:v>214.17290715029225</c:v>
                </c:pt>
                <c:pt idx="86">
                  <c:v>211.91998161287387</c:v>
                </c:pt>
                <c:pt idx="87">
                  <c:v>209.71674173599493</c:v>
                </c:pt>
                <c:pt idx="88">
                  <c:v>207.56155989286356</c:v>
                </c:pt>
                <c:pt idx="89">
                  <c:v>205.45287877948917</c:v>
                </c:pt>
                <c:pt idx="90">
                  <c:v>203.38920765733693</c:v>
                </c:pt>
                <c:pt idx="91">
                  <c:v>201.36911883434118</c:v>
                </c:pt>
                <c:pt idx="92">
                  <c:v>199.3912443668209</c:v>
                </c:pt>
                <c:pt idx="93">
                  <c:v>197.45427296628685</c:v>
                </c:pt>
                <c:pt idx="94">
                  <c:v>195.55694709644186</c:v>
                </c:pt>
                <c:pt idx="95">
                  <c:v>193.69806024686955</c:v>
                </c:pt>
                <c:pt idx="96">
                  <c:v>191.87645437099053</c:v>
                </c:pt>
                <c:pt idx="97">
                  <c:v>190.09101747685449</c:v>
                </c:pt>
                <c:pt idx="98">
                  <c:v>188.34068136023581</c:v>
                </c:pt>
                <c:pt idx="99">
                  <c:v>186.62441947032133</c:v>
                </c:pt>
                <c:pt idx="100">
                  <c:v>184.94124489903129</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Dual'!$AM$216:$AM$316</c:f>
              <c:numCache>
                <c:formatCode>0.0</c:formatCode>
                <c:ptCount val="101"/>
                <c:pt idx="0">
                  <c:v>10</c:v>
                </c:pt>
                <c:pt idx="1">
                  <c:v>26.852639043612992</c:v>
                </c:pt>
                <c:pt idx="2">
                  <c:v>53.705278087225985</c:v>
                </c:pt>
                <c:pt idx="3">
                  <c:v>80.557917130838959</c:v>
                </c:pt>
                <c:pt idx="4">
                  <c:v>107.41055617445197</c:v>
                </c:pt>
                <c:pt idx="5">
                  <c:v>134.26319521806496</c:v>
                </c:pt>
                <c:pt idx="6">
                  <c:v>161.11583426167792</c:v>
                </c:pt>
                <c:pt idx="7">
                  <c:v>187.96847330529098</c:v>
                </c:pt>
                <c:pt idx="8">
                  <c:v>214.82111234890394</c:v>
                </c:pt>
                <c:pt idx="9">
                  <c:v>241.67375139251695</c:v>
                </c:pt>
                <c:pt idx="10">
                  <c:v>268.52639043612993</c:v>
                </c:pt>
                <c:pt idx="11">
                  <c:v>295.37902947974294</c:v>
                </c:pt>
                <c:pt idx="12">
                  <c:v>322.23166852335584</c:v>
                </c:pt>
                <c:pt idx="13">
                  <c:v>349.0843075669689</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348.89690136711829</c:v>
                </c:pt>
                <c:pt idx="70">
                  <c:v>344.59566098776969</c:v>
                </c:pt>
                <c:pt idx="71">
                  <c:v>340.33925029868783</c:v>
                </c:pt>
                <c:pt idx="72">
                  <c:v>336.14957650416585</c:v>
                </c:pt>
                <c:pt idx="73">
                  <c:v>332.06743114754772</c:v>
                </c:pt>
                <c:pt idx="74">
                  <c:v>328.0887260936525</c:v>
                </c:pt>
                <c:pt idx="75">
                  <c:v>324.20957784755791</c:v>
                </c:pt>
                <c:pt idx="76">
                  <c:v>320.42629490823998</c:v>
                </c:pt>
                <c:pt idx="77">
                  <c:v>316.73536604858612</c:v>
                </c:pt>
                <c:pt idx="78">
                  <c:v>313.13344944356771</c:v>
                </c:pt>
                <c:pt idx="79">
                  <c:v>309.61736257581845</c:v>
                </c:pt>
                <c:pt idx="80">
                  <c:v>306.18407285452395</c:v>
                </c:pt>
                <c:pt idx="81">
                  <c:v>302.83068888950322</c:v>
                </c:pt>
                <c:pt idx="82">
                  <c:v>299.55445236770976</c:v>
                </c:pt>
                <c:pt idx="83">
                  <c:v>296.35273048418179</c:v>
                </c:pt>
                <c:pt idx="84">
                  <c:v>293.22300888378999</c:v>
                </c:pt>
                <c:pt idx="85">
                  <c:v>290.16288507401282</c:v>
                </c:pt>
                <c:pt idx="86">
                  <c:v>287.17006227246929</c:v>
                </c:pt>
                <c:pt idx="87">
                  <c:v>284.24234365609925</c:v>
                </c:pt>
                <c:pt idx="88">
                  <c:v>281.37762698172799</c:v>
                </c:pt>
                <c:pt idx="89">
                  <c:v>278.57389955033318</c:v>
                </c:pt>
                <c:pt idx="90">
                  <c:v>275.82923348966318</c:v>
                </c:pt>
                <c:pt idx="91">
                  <c:v>273.14178133197277</c:v>
                </c:pt>
                <c:pt idx="92">
                  <c:v>270.50977186555849</c:v>
                </c:pt>
                <c:pt idx="93">
                  <c:v>267.93150624051782</c:v>
                </c:pt>
                <c:pt idx="94">
                  <c:v>265.40535431074187</c:v>
                </c:pt>
                <c:pt idx="95">
                  <c:v>262.92975119558753</c:v>
                </c:pt>
                <c:pt idx="96">
                  <c:v>260.50319404599225</c:v>
                </c:pt>
                <c:pt idx="97">
                  <c:v>258.12423900098781</c:v>
                </c:pt>
                <c:pt idx="98">
                  <c:v>255.79149832166098</c:v>
                </c:pt>
                <c:pt idx="99">
                  <c:v>253.50363769060897</c:v>
                </c:pt>
                <c:pt idx="100">
                  <c:v>251.25937366584455</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5.0000000000000009</c:v>
                </c:pt>
                <c:pt idx="6">
                  <c:v>6</c:v>
                </c:pt>
                <c:pt idx="7">
                  <c:v>7.0000000000000009</c:v>
                </c:pt>
                <c:pt idx="8">
                  <c:v>8</c:v>
                </c:pt>
                <c:pt idx="9">
                  <c:v>9.0000000000000018</c:v>
                </c:pt>
                <c:pt idx="10">
                  <c:v>10.000000000000002</c:v>
                </c:pt>
                <c:pt idx="11">
                  <c:v>11</c:v>
                </c:pt>
                <c:pt idx="12">
                  <c:v>12</c:v>
                </c:pt>
                <c:pt idx="13">
                  <c:v>13</c:v>
                </c:pt>
                <c:pt idx="14">
                  <c:v>14.000000000000002</c:v>
                </c:pt>
                <c:pt idx="15">
                  <c:v>15</c:v>
                </c:pt>
                <c:pt idx="16">
                  <c:v>16</c:v>
                </c:pt>
                <c:pt idx="17">
                  <c:v>17</c:v>
                </c:pt>
                <c:pt idx="18">
                  <c:v>18.000000000000004</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36.000000000000007</c:v>
                </c:pt>
                <c:pt idx="37">
                  <c:v>36.999999999999993</c:v>
                </c:pt>
                <c:pt idx="38">
                  <c:v>38.000000000000007</c:v>
                </c:pt>
                <c:pt idx="39">
                  <c:v>38.999999999999993</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69.999999999999986</c:v>
                </c:pt>
                <c:pt idx="71">
                  <c:v>71</c:v>
                </c:pt>
                <c:pt idx="72">
                  <c:v>72.000000000000014</c:v>
                </c:pt>
                <c:pt idx="73">
                  <c:v>73</c:v>
                </c:pt>
                <c:pt idx="74">
                  <c:v>73.999999999999986</c:v>
                </c:pt>
                <c:pt idx="75">
                  <c:v>75</c:v>
                </c:pt>
                <c:pt idx="76">
                  <c:v>76.000000000000014</c:v>
                </c:pt>
                <c:pt idx="77">
                  <c:v>77</c:v>
                </c:pt>
                <c:pt idx="78">
                  <c:v>77.999999999999986</c:v>
                </c:pt>
                <c:pt idx="79">
                  <c:v>79</c:v>
                </c:pt>
                <c:pt idx="80">
                  <c:v>80.000000000000014</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94.999999999999986</c:v>
                </c:pt>
                <c:pt idx="96">
                  <c:v>96</c:v>
                </c:pt>
                <c:pt idx="97">
                  <c:v>97.000000000000014</c:v>
                </c:pt>
                <c:pt idx="98">
                  <c:v>98</c:v>
                </c:pt>
                <c:pt idx="99">
                  <c:v>98.999999999999986</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6</c:v>
                </c:pt>
                <c:pt idx="1">
                  <c:v>60</c:v>
                </c:pt>
                <c:pt idx="2">
                  <c:v>120</c:v>
                </c:pt>
                <c:pt idx="3">
                  <c:v>180</c:v>
                </c:pt>
                <c:pt idx="100">
                  <c:v>6000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6</c:v>
                </c:pt>
                <c:pt idx="1">
                  <c:v>60</c:v>
                </c:pt>
                <c:pt idx="2">
                  <c:v>120</c:v>
                </c:pt>
                <c:pt idx="3">
                  <c:v>180</c:v>
                </c:pt>
                <c:pt idx="100">
                  <c:v>6000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6</c:v>
                </c:pt>
                <c:pt idx="1">
                  <c:v>60</c:v>
                </c:pt>
                <c:pt idx="2">
                  <c:v>120</c:v>
                </c:pt>
                <c:pt idx="3">
                  <c:v>180</c:v>
                </c:pt>
                <c:pt idx="100">
                  <c:v>6000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6</c:v>
                </c:pt>
                <c:pt idx="1">
                  <c:v>60</c:v>
                </c:pt>
                <c:pt idx="2">
                  <c:v>120</c:v>
                </c:pt>
                <c:pt idx="3">
                  <c:v>180</c:v>
                </c:pt>
                <c:pt idx="100">
                  <c:v>6000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6</c:v>
                </c:pt>
                <c:pt idx="1">
                  <c:v>60</c:v>
                </c:pt>
                <c:pt idx="2">
                  <c:v>120</c:v>
                </c:pt>
                <c:pt idx="3">
                  <c:v>180</c:v>
                </c:pt>
                <c:pt idx="100">
                  <c:v>6000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6</c:v>
                </c:pt>
                <c:pt idx="1">
                  <c:v>60</c:v>
                </c:pt>
                <c:pt idx="2">
                  <c:v>120</c:v>
                </c:pt>
                <c:pt idx="3">
                  <c:v>180</c:v>
                </c:pt>
                <c:pt idx="100">
                  <c:v>6000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6</c:v>
                </c:pt>
                <c:pt idx="1">
                  <c:v>60</c:v>
                </c:pt>
                <c:pt idx="2">
                  <c:v>120</c:v>
                </c:pt>
                <c:pt idx="3">
                  <c:v>180</c:v>
                </c:pt>
                <c:pt idx="100">
                  <c:v>6000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6</c:v>
                </c:pt>
                <c:pt idx="1">
                  <c:v>60</c:v>
                </c:pt>
                <c:pt idx="2">
                  <c:v>120</c:v>
                </c:pt>
                <c:pt idx="3">
                  <c:v>180</c:v>
                </c:pt>
                <c:pt idx="100">
                  <c:v>6000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2"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7" val="6"/>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215900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1821703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90026"/>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1779120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90027"/>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100µF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6A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121kΩ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17.4kΩ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188kΩ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18V...36V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273050</xdr:colOff>
          <xdr:row>41</xdr:row>
          <xdr:rowOff>25400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254000</xdr:colOff>
          <xdr:row>46</xdr:row>
          <xdr:rowOff>196850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63500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6350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4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70.9%</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292474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90028"/>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6.7kΩ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4nF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15mΩ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70.9%</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70.9%</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723"/>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46"/>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66.1%</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66.1%</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736"/>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100µF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4V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6A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121kΩ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17.4kΩ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188kΩ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18V...36V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4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6.7kΩ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4nF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15mΩ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H52" zoomScale="115" zoomScaleNormal="115" zoomScaleSheetLayoutView="70" zoomScalePageLayoutView="10" workbookViewId="0">
      <selection activeCell="E35" sqref="E35"/>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18</v>
      </c>
      <c r="F6" s="789" t="s">
        <v>0</v>
      </c>
      <c r="G6" s="90"/>
      <c r="H6" s="454"/>
      <c r="I6" s="508"/>
      <c r="J6" s="206"/>
      <c r="K6" s="509" t="s">
        <v>835</v>
      </c>
      <c r="L6" s="785">
        <f>Lmin</f>
        <v>9.2664383328005808</v>
      </c>
      <c r="M6" s="624" t="s">
        <v>96</v>
      </c>
      <c r="N6" s="49"/>
      <c r="O6" s="49"/>
      <c r="P6" s="49"/>
      <c r="Q6" s="49"/>
      <c r="R6" s="82"/>
      <c r="S6" s="82"/>
      <c r="T6" s="75"/>
      <c r="U6" s="75"/>
      <c r="V6" s="75"/>
      <c r="W6" s="75"/>
      <c r="X6" s="75"/>
      <c r="Y6" s="75"/>
      <c r="Z6" s="506"/>
      <c r="AA6" s="500"/>
    </row>
    <row r="7" spans="1:27" ht="14.25" customHeight="1">
      <c r="A7" s="134"/>
      <c r="B7" s="133"/>
      <c r="C7" s="845"/>
      <c r="D7" s="846" t="s">
        <v>882</v>
      </c>
      <c r="E7" s="143">
        <v>24</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36</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4</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6</v>
      </c>
      <c r="F11" s="730" t="s">
        <v>1</v>
      </c>
      <c r="G11" s="90"/>
      <c r="H11" s="88"/>
      <c r="I11" s="75"/>
      <c r="J11" s="75"/>
      <c r="K11" s="100" t="s">
        <v>663</v>
      </c>
      <c r="L11" s="143">
        <v>50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18</v>
      </c>
      <c r="F12" s="427" t="str">
        <f>CHOOSE(MODE, "", "V", "V")</f>
        <v/>
      </c>
      <c r="G12" s="90"/>
      <c r="H12" s="134"/>
      <c r="I12" s="133"/>
      <c r="J12" s="600"/>
      <c r="K12" s="135" t="s">
        <v>843</v>
      </c>
      <c r="L12" s="780" t="str">
        <f>"1 : "&amp;(ROUND(1/ktr_rcmd*100,0)/100)</f>
        <v>1 : 0.25</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0.1</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13</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53.714106925651137</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15.964673913043484</v>
      </c>
      <c r="F16" s="729" t="s">
        <v>20</v>
      </c>
      <c r="G16" s="90"/>
      <c r="H16" s="601"/>
      <c r="I16" s="504"/>
      <c r="J16" s="104"/>
      <c r="K16" s="507" t="s">
        <v>605</v>
      </c>
      <c r="L16" s="628">
        <f>CHOOSE(MODE, 'Calculations - Single'!N212,'Calculations - Dual'!O212+'Calculations - Dual'!P212)</f>
        <v>32.141492585495293</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15</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6.666666666666667</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128.74046771204257</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22.56</v>
      </c>
      <c r="F22" s="804" t="s">
        <v>0</v>
      </c>
      <c r="G22" s="90"/>
      <c r="H22" s="834"/>
      <c r="I22" s="584"/>
      <c r="J22" s="584"/>
      <c r="K22" s="850" t="s">
        <v>848</v>
      </c>
      <c r="L22" s="728">
        <v>12.2</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29</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72.25</v>
      </c>
      <c r="F24" s="453" t="s">
        <v>0</v>
      </c>
      <c r="G24" s="832"/>
      <c r="H24" s="798"/>
      <c r="I24" s="49"/>
      <c r="J24" s="49"/>
      <c r="K24" s="100" t="s">
        <v>858</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1.1834419633477498</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2.9273401403963728</v>
      </c>
      <c r="F29" s="428" t="s">
        <v>97</v>
      </c>
      <c r="G29" s="90"/>
      <c r="H29" s="566"/>
      <c r="I29" s="501"/>
      <c r="J29" s="501"/>
      <c r="K29" s="837" t="str">
        <f>CHOOSE(MODE, "Min Diode Voltage Rating","Min Diode Voltage Rating, Output #1")</f>
        <v>Min Diode Voltage Rating</v>
      </c>
      <c r="L29" s="859">
        <f>(VIN_max/Nps+Vout)*1.3</f>
        <v>16.900000000000002</v>
      </c>
      <c r="M29" s="860" t="s">
        <v>0</v>
      </c>
      <c r="N29" s="49"/>
      <c r="O29" s="566"/>
      <c r="P29" s="501"/>
      <c r="Q29" s="501"/>
      <c r="R29" s="837" t="s">
        <v>877</v>
      </c>
      <c r="S29" s="859">
        <f>(VIN_max/Npri_sec2+Vout2)*1.3</f>
        <v>69.4531914893617</v>
      </c>
      <c r="T29" s="860" t="s">
        <v>0</v>
      </c>
      <c r="U29" s="75"/>
      <c r="V29" s="75"/>
      <c r="W29" s="75"/>
      <c r="X29" s="75"/>
      <c r="Y29" s="75"/>
      <c r="Z29" s="506"/>
      <c r="AA29" s="500"/>
    </row>
    <row r="30" spans="1:27" ht="15.75" customHeight="1" thickBot="1">
      <c r="A30" s="97"/>
      <c r="B30" s="89"/>
      <c r="C30" s="96"/>
      <c r="D30" s="100" t="s">
        <v>141</v>
      </c>
      <c r="E30" s="98">
        <v>10</v>
      </c>
      <c r="F30" s="429" t="s">
        <v>97</v>
      </c>
      <c r="G30" s="90"/>
      <c r="H30" s="425"/>
      <c r="I30" s="82"/>
      <c r="J30" s="82"/>
      <c r="K30" s="836" t="str">
        <f>CHOOSE(MODE, "Min Diode DC Current Rating","Min Diode DC Current Rating, Output #1")</f>
        <v>Min Diode DC Current Rating</v>
      </c>
      <c r="L30" s="861">
        <f>MAX(E11*3,0.5)</f>
        <v>18</v>
      </c>
      <c r="M30" s="862" t="s">
        <v>1</v>
      </c>
      <c r="N30" s="841"/>
      <c r="O30" s="425"/>
      <c r="P30" s="82"/>
      <c r="Q30" s="82"/>
      <c r="R30" s="836" t="s">
        <v>878</v>
      </c>
      <c r="S30" s="861">
        <f>MAX(E13*3,0.5)</f>
        <v>0.5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366.16734783775206</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521.98581560283685</v>
      </c>
      <c r="F33" s="428" t="s">
        <v>97</v>
      </c>
      <c r="G33" s="585"/>
      <c r="H33" s="575"/>
      <c r="I33" s="584"/>
      <c r="J33" s="501"/>
      <c r="K33" s="424" t="str">
        <f>CHOOSE(MODE, "", "Minimum Output Capacitance, Output #2")</f>
        <v/>
      </c>
      <c r="L33" s="621">
        <f>'Variable Mgmt'!B136</f>
        <v>4.7</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100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178.47390559875763</v>
      </c>
      <c r="F36" s="105" t="s">
        <v>103</v>
      </c>
      <c r="G36" s="585"/>
      <c r="H36" s="104"/>
      <c r="I36" s="504"/>
      <c r="J36" s="503"/>
      <c r="K36" s="208" t="str">
        <f>CHOOSE(MODE, "", "Resulting Output Voltage Ripple, Output #2")</f>
        <v/>
      </c>
      <c r="L36" s="209">
        <f>Vripple2_actual</f>
        <v>10.631132147804323</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188</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188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10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47</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f>(450-300)/(-55-25)</f>
        <v>-1.875</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100</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12</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11</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121</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17.400000000000002</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2.9242228591161448</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795.77471636878204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118.99435011121973</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11.899435011121973</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10</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6.6657060659067788</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6.7</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4.0846395107724263</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4</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27.230930071816172</v>
      </c>
      <c r="F63" s="868" t="s">
        <v>15</v>
      </c>
      <c r="G63" s="89"/>
      <c r="H63" s="89"/>
      <c r="I63" s="49"/>
      <c r="J63" s="49"/>
      <c r="K63" s="49"/>
      <c r="L63" s="49"/>
      <c r="M63" s="49"/>
      <c r="N63" s="49"/>
      <c r="O63" s="49"/>
      <c r="P63" s="49"/>
      <c r="Q63" s="49"/>
      <c r="R63" s="82"/>
      <c r="S63" s="82"/>
      <c r="T63" s="75"/>
      <c r="U63" s="75"/>
      <c r="V63" s="812" t="s">
        <v>863</v>
      </c>
      <c r="W63" s="813">
        <f>Vin</f>
        <v>24</v>
      </c>
      <c r="X63" s="734" t="s">
        <v>0</v>
      </c>
      <c r="Y63" s="75"/>
      <c r="Z63" s="506"/>
      <c r="AA63" s="500"/>
    </row>
    <row r="64" spans="1:27" ht="15.75" customHeight="1" thickBot="1">
      <c r="A64" s="787"/>
      <c r="B64" s="151"/>
      <c r="C64" s="151"/>
      <c r="D64" s="510" t="s">
        <v>820</v>
      </c>
      <c r="E64" s="810">
        <v>100</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16.900000000000002</v>
      </c>
      <c r="F68" s="867" t="s">
        <v>0</v>
      </c>
      <c r="G68" s="881"/>
      <c r="H68" s="876"/>
      <c r="I68" s="211"/>
      <c r="J68" s="213"/>
      <c r="K68" s="135" t="s">
        <v>890</v>
      </c>
      <c r="L68" s="865">
        <f>E8/Nps*Nsec1sec2+Vout</f>
        <v>39.425531914893618</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6.5975910000000016E-3</v>
      </c>
      <c r="F70" s="871" t="s">
        <v>45</v>
      </c>
      <c r="G70" s="89"/>
      <c r="H70" s="853"/>
      <c r="I70" s="504"/>
      <c r="J70" s="878"/>
      <c r="K70" s="507" t="s">
        <v>891</v>
      </c>
      <c r="L70" s="879">
        <f>L68*L68*L67*0.000000000001*350000*3</f>
        <v>3.5906006292440014E-2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0.1</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25</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None</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t="str">
        <f>CHOOSE(MODE,IF(OR(E75="Rdmy",E75="Rdmy1"),'Standard Value Calculator'!J23,IF(E75="None","None",ROUND(E74/0.0105,0)/100)),IF(OR(E75="Rdmy",E75="Rdmy1"),'Standard Value Calculator'!J24,IF(E75="None","None",ROUND(E74/0.0105,0)/100)))</f>
        <v>None</v>
      </c>
      <c r="F76" s="867" t="str">
        <f>IF(OR(E75="DZ", E75="DZ1"), "V", IF(OR(E75="Rdmy", E75="Rdmy1"),"Ohm", ""))</f>
        <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t="str">
        <f>IF(OR(E75="Rdmy",E75="Rdmy1"),(Vout*1.08)^2/E76*4, IF(OR(E75="Dz",E75="Dz1"), E76*1.065*E73*4*1*0+'Standard Value Calculator'!I27*5, "N/A"))</f>
        <v>N/A</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0.7</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105.97558739251473</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90.595511014324771</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Sk+SkT6Lk/8Q0+YFQX3UcaCptwzFF7tlQ+F707yXLSKW4rcu2tVjAJdyknIe/5s49J+/wLoSSRxN4R5P9KvPOA==" saltValue="ggJkC+AbmD1efsCHBmxP4Q==" spinCount="100000" sheet="1" selectLockedCells="1"/>
  <phoneticPr fontId="6" type="noConversion"/>
  <conditionalFormatting sqref="E10">
    <cfRule type="cellIs" dxfId="78" priority="148" stopIfTrue="1" operator="notBetween">
      <formula>-200</formula>
      <formula>200</formula>
    </cfRule>
  </conditionalFormatting>
  <conditionalFormatting sqref="E34">
    <cfRule type="cellIs" dxfId="77" priority="145" stopIfTrue="1" operator="lessThan">
      <formula>$E$33</formula>
    </cfRule>
  </conditionalFormatting>
  <conditionalFormatting sqref="E30">
    <cfRule type="cellIs" dxfId="76" priority="141" stopIfTrue="1" operator="lessThan">
      <formula>$E$29</formula>
    </cfRule>
  </conditionalFormatting>
  <conditionalFormatting sqref="E31">
    <cfRule type="cellIs" dxfId="75" priority="140" stopIfTrue="1" operator="equal">
      <formula>0</formula>
    </cfRule>
  </conditionalFormatting>
  <conditionalFormatting sqref="E48">
    <cfRule type="cellIs" dxfId="74" priority="137" operator="notBetween">
      <formula>100</formula>
      <formula>4.5</formula>
    </cfRule>
    <cfRule type="cellIs" dxfId="73" priority="3" operator="greaterThanOrEqual">
      <formula>$E$6</formula>
    </cfRule>
  </conditionalFormatting>
  <conditionalFormatting sqref="E42">
    <cfRule type="cellIs" dxfId="72" priority="135" operator="lessThan">
      <formula>6</formula>
    </cfRule>
  </conditionalFormatting>
  <conditionalFormatting sqref="E42:F42">
    <cfRule type="expression" dxfId="71" priority="119">
      <formula>OR(MODE_SS=2,MODE_SS=3)</formula>
    </cfRule>
  </conditionalFormatting>
  <conditionalFormatting sqref="D42">
    <cfRule type="expression" dxfId="70" priority="118">
      <formula>OR(MODE_SS=2,MODE_SS=3)</formula>
    </cfRule>
  </conditionalFormatting>
  <conditionalFormatting sqref="D43:F43">
    <cfRule type="expression" dxfId="69" priority="117">
      <formula>OR(MODE_SS=2,MODE_SS=3)</formula>
    </cfRule>
  </conditionalFormatting>
  <conditionalFormatting sqref="D48">
    <cfRule type="expression" dxfId="68" priority="115">
      <formula>MODE_UVLO=2</formula>
    </cfRule>
  </conditionalFormatting>
  <conditionalFormatting sqref="E85">
    <cfRule type="cellIs" dxfId="67" priority="97" operator="notBetween">
      <formula>-40</formula>
      <formula>150</formula>
    </cfRule>
  </conditionalFormatting>
  <conditionalFormatting sqref="E83">
    <cfRule type="cellIs" dxfId="66" priority="96" operator="notBetween">
      <formula>-40</formula>
      <formula>150</formula>
    </cfRule>
  </conditionalFormatting>
  <conditionalFormatting sqref="F33">
    <cfRule type="cellIs" dxfId="65" priority="95" stopIfTrue="1" operator="lessThanOrEqual">
      <formula>0</formula>
    </cfRule>
  </conditionalFormatting>
  <conditionalFormatting sqref="F50:F51">
    <cfRule type="expression" dxfId="64" priority="87">
      <formula>MODE_UVLO=2</formula>
    </cfRule>
  </conditionalFormatting>
  <conditionalFormatting sqref="F29">
    <cfRule type="cellIs" dxfId="63" priority="77" stopIfTrue="1" operator="lessThanOrEqual">
      <formula>0</formula>
    </cfRule>
  </conditionalFormatting>
  <conditionalFormatting sqref="J51:J52">
    <cfRule type="cellIs" dxfId="62" priority="159" stopIfTrue="1" operator="notBetween">
      <formula>600</formula>
      <formula>50</formula>
    </cfRule>
    <cfRule type="cellIs" dxfId="61" priority="160" stopIfTrue="1" operator="greaterThan">
      <formula>$E$9</formula>
    </cfRule>
  </conditionalFormatting>
  <conditionalFormatting sqref="E12">
    <cfRule type="cellIs" dxfId="60" priority="75" operator="notBetween">
      <formula>-200</formula>
      <formula>200</formula>
    </cfRule>
  </conditionalFormatting>
  <conditionalFormatting sqref="E13">
    <cfRule type="expression" dxfId="59" priority="74">
      <formula>($E$12*$E$13)&lt;0</formula>
    </cfRule>
  </conditionalFormatting>
  <conditionalFormatting sqref="E35">
    <cfRule type="cellIs" dxfId="58" priority="69" stopIfTrue="1" operator="equal">
      <formula>0</formula>
    </cfRule>
  </conditionalFormatting>
  <conditionalFormatting sqref="D45">
    <cfRule type="expression" dxfId="57" priority="64">
      <formula>OR(TC=2)</formula>
    </cfRule>
  </conditionalFormatting>
  <conditionalFormatting sqref="D46:F46 E45:F45">
    <cfRule type="expression" dxfId="56" priority="63">
      <formula>OR(TC=2)</formula>
    </cfRule>
  </conditionalFormatting>
  <conditionalFormatting sqref="L35">
    <cfRule type="cellIs" dxfId="55" priority="57" stopIfTrue="1" operator="equal">
      <formula>0</formula>
    </cfRule>
  </conditionalFormatting>
  <conditionalFormatting sqref="L34">
    <cfRule type="cellIs" dxfId="54" priority="59" stopIfTrue="1" operator="lessThan">
      <formula>$L$33</formula>
    </cfRule>
  </conditionalFormatting>
  <conditionalFormatting sqref="M33">
    <cfRule type="cellIs" dxfId="53" priority="58" stopIfTrue="1" operator="lessThanOrEqual">
      <formula>0</formula>
    </cfRule>
  </conditionalFormatting>
  <conditionalFormatting sqref="W63">
    <cfRule type="cellIs" dxfId="52" priority="44" stopIfTrue="1" operator="notBetween">
      <formula>100</formula>
      <formula>4.5</formula>
    </cfRule>
  </conditionalFormatting>
  <conditionalFormatting sqref="E7">
    <cfRule type="cellIs" dxfId="51" priority="7" operator="notBetween">
      <formula>$E$6</formula>
      <formula>100</formula>
    </cfRule>
  </conditionalFormatting>
  <conditionalFormatting sqref="E8">
    <cfRule type="cellIs" dxfId="50" priority="41" operator="notBetween">
      <formula>$E$7</formula>
      <formula>100</formula>
    </cfRule>
  </conditionalFormatting>
  <conditionalFormatting sqref="E17">
    <cfRule type="cellIs" dxfId="49" priority="38" stopIfTrue="1" operator="greaterThan">
      <formula>$E$16</formula>
    </cfRule>
  </conditionalFormatting>
  <conditionalFormatting sqref="E58">
    <cfRule type="cellIs" dxfId="48" priority="25" operator="greaterThan">
      <formula>$E$57</formula>
    </cfRule>
  </conditionalFormatting>
  <conditionalFormatting sqref="E23">
    <cfRule type="cellIs" dxfId="47" priority="198" stopIfTrue="1" operator="lessThan">
      <formula>$E$22</formula>
    </cfRule>
  </conditionalFormatting>
  <conditionalFormatting sqref="E48:F49">
    <cfRule type="expression" dxfId="46" priority="21">
      <formula>OR(MODE_UVLO=2)</formula>
    </cfRule>
  </conditionalFormatting>
  <conditionalFormatting sqref="C50:E50">
    <cfRule type="expression" dxfId="45" priority="20">
      <formula>OR(MODE_UVLO=2)</formula>
    </cfRule>
  </conditionalFormatting>
  <conditionalFormatting sqref="C51:E51">
    <cfRule type="expression" dxfId="44" priority="19">
      <formula>OR(MODE_UVLO=2)</formula>
    </cfRule>
  </conditionalFormatting>
  <conditionalFormatting sqref="S31">
    <cfRule type="cellIs" dxfId="43" priority="13" operator="notBetween">
      <formula>0.3</formula>
      <formula>1.5</formula>
    </cfRule>
  </conditionalFormatting>
  <conditionalFormatting sqref="E80">
    <cfRule type="cellIs" dxfId="42" priority="12" operator="greaterThan">
      <formula>$E$81</formula>
    </cfRule>
  </conditionalFormatting>
  <conditionalFormatting sqref="E6">
    <cfRule type="cellIs" dxfId="41" priority="8" operator="notBetween">
      <formula>4.5</formula>
      <formula>100</formula>
    </cfRule>
  </conditionalFormatting>
  <conditionalFormatting sqref="E74">
    <cfRule type="cellIs" dxfId="40" priority="6" operator="lessThan">
      <formula>$E$10*1.03</formula>
    </cfRule>
  </conditionalFormatting>
  <conditionalFormatting sqref="L74">
    <cfRule type="cellIs" dxfId="39" priority="5" operator="lessThan">
      <formula>$E$12*1.03</formula>
    </cfRule>
  </conditionalFormatting>
  <conditionalFormatting sqref="E40">
    <cfRule type="cellIs" dxfId="38" priority="4" operator="notBetween">
      <formula>$E$39*0.969</formula>
      <formula>$E$39*1.031</formula>
    </cfRule>
  </conditionalFormatting>
  <conditionalFormatting sqref="E49">
    <cfRule type="cellIs" dxfId="37" priority="2" operator="greaterThanOrEqual">
      <formula>$E$48</formula>
    </cfRule>
    <cfRule type="cellIs" dxfId="36" priority="1" operator="notBetween">
      <formula>4.5</formula>
      <formula>100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5.0000000000000004E-8</v>
      </c>
      <c r="C3">
        <f>Cout</f>
        <v>100</v>
      </c>
      <c r="D3">
        <f>Cin</f>
        <v>10</v>
      </c>
      <c r="E3">
        <f>Cb</f>
        <v>0</v>
      </c>
      <c r="H3" t="s">
        <v>73</v>
      </c>
      <c r="I3" t="s">
        <v>74</v>
      </c>
      <c r="J3" s="3" t="s">
        <v>70</v>
      </c>
    </row>
    <row r="4" spans="1:11" ht="13">
      <c r="A4" s="6" t="s">
        <v>70</v>
      </c>
      <c r="B4" s="6">
        <f>SUM(B6:B158)/1000000000000</f>
        <v>4.6999999999999997E-8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100266.66666666667</v>
      </c>
      <c r="J9" s="3">
        <f t="shared" si="0"/>
        <v>100000</v>
      </c>
      <c r="K9" s="17" t="s">
        <v>136</v>
      </c>
    </row>
    <row r="10" spans="1:11" ht="13">
      <c r="A10">
        <v>1</v>
      </c>
      <c r="B10">
        <f t="shared" si="1"/>
        <v>0</v>
      </c>
      <c r="C10">
        <f t="shared" si="2"/>
        <v>0</v>
      </c>
      <c r="D10">
        <f t="shared" si="3"/>
        <v>0</v>
      </c>
      <c r="E10">
        <f t="shared" si="4"/>
        <v>0</v>
      </c>
      <c r="H10" t="s">
        <v>17</v>
      </c>
      <c r="I10">
        <f>Rfb</f>
        <v>188000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187000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119.99999999999993</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121</v>
      </c>
      <c r="K16" s="17" t="s">
        <v>113</v>
      </c>
    </row>
    <row r="17" spans="1:11" ht="13">
      <c r="A17">
        <v>3.9</v>
      </c>
      <c r="B17">
        <f t="shared" si="1"/>
        <v>0</v>
      </c>
      <c r="C17">
        <f t="shared" si="2"/>
        <v>0</v>
      </c>
      <c r="D17">
        <f t="shared" si="3"/>
        <v>0</v>
      </c>
      <c r="E17">
        <f t="shared" si="4"/>
        <v>0</v>
      </c>
      <c r="H17" s="76" t="s">
        <v>131</v>
      </c>
      <c r="I17" s="173">
        <f>Ruvlo2</f>
        <v>17.285714285714285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17.400000000000002</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-48.46153846153846</v>
      </c>
      <c r="J23" s="3" t="e">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ht="13">
      <c r="A24">
        <v>15</v>
      </c>
      <c r="B24">
        <f t="shared" si="1"/>
        <v>0</v>
      </c>
      <c r="C24">
        <f t="shared" si="2"/>
        <v>0</v>
      </c>
      <c r="D24">
        <f t="shared" si="3"/>
        <v>0</v>
      </c>
      <c r="E24">
        <f t="shared" si="4"/>
        <v>0</v>
      </c>
      <c r="H24" t="s">
        <v>899</v>
      </c>
      <c r="I24">
        <f>'Calculations - Dual'!H329</f>
        <v>-48.46153846153846</v>
      </c>
      <c r="J24" s="3" t="e">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#NUM!</v>
      </c>
    </row>
    <row r="25" spans="1:11" ht="13">
      <c r="A25">
        <v>18</v>
      </c>
      <c r="B25">
        <f t="shared" si="1"/>
        <v>0</v>
      </c>
      <c r="C25">
        <f t="shared" si="2"/>
        <v>0</v>
      </c>
      <c r="D25">
        <f t="shared" si="3"/>
        <v>0</v>
      </c>
      <c r="E25">
        <f t="shared" si="4"/>
        <v>0</v>
      </c>
      <c r="H25" s="76" t="s">
        <v>900</v>
      </c>
      <c r="I25">
        <f>'Calculations - Dual'!O329</f>
        <v>13230.000000000005</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13300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3.5999999999999997E-2</v>
      </c>
    </row>
    <row r="28" spans="1:11" ht="13">
      <c r="A28">
        <v>33</v>
      </c>
      <c r="B28">
        <f t="shared" si="1"/>
        <v>0</v>
      </c>
      <c r="C28">
        <f t="shared" si="2"/>
        <v>0</v>
      </c>
      <c r="D28">
        <f t="shared" si="3"/>
        <v>0</v>
      </c>
      <c r="E28">
        <f t="shared" si="4"/>
        <v>0</v>
      </c>
      <c r="H28" s="76" t="s">
        <v>902</v>
      </c>
      <c r="I28">
        <f>'Calculations - Dual'!G327</f>
        <v>3.5999999999999997E-2</v>
      </c>
      <c r="K28" s="17"/>
    </row>
    <row r="29" spans="1:11">
      <c r="A29">
        <v>39</v>
      </c>
      <c r="B29">
        <f t="shared" si="1"/>
        <v>0</v>
      </c>
      <c r="C29">
        <f t="shared" si="2"/>
        <v>0</v>
      </c>
      <c r="D29">
        <f t="shared" si="3"/>
        <v>0</v>
      </c>
      <c r="E29">
        <f t="shared" si="4"/>
        <v>0</v>
      </c>
      <c r="H29" s="76" t="s">
        <v>903</v>
      </c>
      <c r="I29">
        <f>'Calculations - Dual'!N327</f>
        <v>3.5999999999999997E-2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5.3191489361702128E-2</v>
      </c>
      <c r="J3" s="639" t="s">
        <v>686</v>
      </c>
      <c r="K3" s="640" t="s">
        <v>687</v>
      </c>
      <c r="L3" s="269">
        <f>1/Rcs_gain</f>
        <v>6.666666666666667</v>
      </c>
      <c r="M3" s="639" t="s">
        <v>688</v>
      </c>
      <c r="N3" s="194" t="s">
        <v>689</v>
      </c>
      <c r="O3" s="641">
        <f>gmEA</f>
        <v>5.9999999999999995E-4</v>
      </c>
      <c r="P3" s="642" t="s">
        <v>690</v>
      </c>
      <c r="Q3" s="643">
        <f>1/(2*Pi*D25*D26)</f>
        <v>795774.71636878198</v>
      </c>
      <c r="R3" s="639" t="s">
        <v>8</v>
      </c>
      <c r="S3" s="642"/>
      <c r="T3" s="643"/>
      <c r="U3" s="639"/>
      <c r="V3" s="644" t="s">
        <v>692</v>
      </c>
      <c r="W3" s="643">
        <f>Am*Afb*Aea</f>
        <v>155844.15584415584</v>
      </c>
      <c r="X3" s="645" t="s">
        <v>686</v>
      </c>
      <c r="AA3" s="170">
        <f>MIN(z_RHP/10,'Calculations - Single'!Y212/10)</f>
        <v>11.61909064749798</v>
      </c>
      <c r="AB3" s="170" t="s">
        <v>2</v>
      </c>
    </row>
    <row r="4" spans="1:44" ht="13">
      <c r="B4" s="170">
        <f>BODE_TYPE*0+IF('Variable Mgmt'!Y17="BCM",2, 1)</f>
        <v>2</v>
      </c>
      <c r="H4" s="646" t="s">
        <v>693</v>
      </c>
      <c r="I4" s="643">
        <f>1/(2*Pi*Rcomp*Ccomp)</f>
        <v>5938.6172863341926</v>
      </c>
      <c r="J4" s="639" t="s">
        <v>8</v>
      </c>
      <c r="K4" s="642" t="s">
        <v>694</v>
      </c>
      <c r="L4" s="269">
        <f>CHOOSE(BODE_TYPE, Rload_pri/Rcs_gain*(Lmag/(2*Vout_eff*Npri_sec)*Fsw_DCM)*SQRT(Iout_eff/(Lmag/(2*Vout_eff*Npri_sec)*Fsw_DCM*Npri_sec)), Rload_pri/(Rcs_gain*2*(2*M+1)))</f>
        <v>16.277056277056278</v>
      </c>
      <c r="M4" s="639" t="s">
        <v>686</v>
      </c>
      <c r="N4" s="647" t="s">
        <v>755</v>
      </c>
      <c r="O4" s="713">
        <f>REAout</f>
        <v>300000000</v>
      </c>
      <c r="P4" s="642" t="s">
        <v>695</v>
      </c>
      <c r="Q4" s="643">
        <f>CHOOSE(BODE_TYPE, 2/(2*Pi*D25*Rload_sec), 1/(2*Pi*D25*[0]!Rload_sec)*(2*M+1)/(M+1))</f>
        <v>2924.2228591161447</v>
      </c>
      <c r="R4" s="639" t="s">
        <v>8</v>
      </c>
      <c r="S4" s="648"/>
      <c r="T4" s="649"/>
      <c r="U4" s="645"/>
      <c r="V4" s="719" t="s">
        <v>696</v>
      </c>
      <c r="W4" s="720">
        <f>AK7</f>
        <v>10.9025</v>
      </c>
      <c r="X4" s="721" t="s">
        <v>2</v>
      </c>
    </row>
    <row r="5" spans="1:44" ht="13">
      <c r="H5" s="638" t="s">
        <v>697</v>
      </c>
      <c r="I5" s="190">
        <f>1/(2*Pi*REAout*Ccomp)</f>
        <v>0.13262911939479696</v>
      </c>
      <c r="J5" s="639" t="s">
        <v>8</v>
      </c>
      <c r="K5" s="642"/>
      <c r="L5" s="190"/>
      <c r="M5" s="639"/>
      <c r="N5" s="647"/>
      <c r="O5" s="647"/>
      <c r="P5" s="648" t="s">
        <v>712</v>
      </c>
      <c r="Q5" s="650">
        <f>Rload_pri/(2*Pi*Lmag*M*(M+1))</f>
        <v>118994.35011121973</v>
      </c>
      <c r="R5" s="645" t="s">
        <v>8</v>
      </c>
      <c r="S5" s="648"/>
      <c r="T5" s="188"/>
      <c r="U5" s="645"/>
      <c r="V5" s="719" t="s">
        <v>698</v>
      </c>
      <c r="W5" s="722">
        <f>AK9</f>
        <v>52.37749534713295</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237544.6914533677</v>
      </c>
      <c r="J7" s="656" t="s">
        <v>8</v>
      </c>
      <c r="K7" s="657"/>
      <c r="L7" s="658"/>
      <c r="M7" s="658"/>
      <c r="N7" s="659"/>
      <c r="O7" s="656"/>
      <c r="P7" s="657"/>
      <c r="Q7" s="657"/>
      <c r="R7" s="656"/>
      <c r="S7" s="657"/>
      <c r="T7" s="657"/>
      <c r="U7" s="656"/>
      <c r="V7" s="657"/>
      <c r="W7" s="657"/>
      <c r="X7" s="656"/>
      <c r="AJ7" s="170" t="s">
        <v>704</v>
      </c>
      <c r="AK7" s="170">
        <f>SUM(AJ12:AJ613)/1000</f>
        <v>10.9025</v>
      </c>
      <c r="AL7" s="197">
        <f>AK7*1000</f>
        <v>10902.5</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52.37749534713295</v>
      </c>
      <c r="AL9" s="443">
        <f>AK9</f>
        <v>52.37749534713295</v>
      </c>
    </row>
    <row r="10" spans="1:44" ht="14">
      <c r="A10" s="714"/>
      <c r="B10" s="259" t="s">
        <v>762</v>
      </c>
      <c r="G10" s="917" t="s">
        <v>706</v>
      </c>
      <c r="H10" s="920" t="s">
        <v>756</v>
      </c>
      <c r="I10" s="922" t="s">
        <v>707</v>
      </c>
      <c r="J10" s="923"/>
      <c r="K10" s="923"/>
      <c r="L10" s="923"/>
      <c r="M10" s="923"/>
      <c r="N10" s="924"/>
      <c r="O10" s="922" t="s">
        <v>708</v>
      </c>
      <c r="P10" s="923"/>
      <c r="Q10" s="923"/>
      <c r="R10" s="923"/>
      <c r="S10" s="923"/>
      <c r="T10" s="924"/>
      <c r="U10" s="925" t="s">
        <v>760</v>
      </c>
      <c r="V10" s="926"/>
      <c r="W10" s="925" t="s">
        <v>709</v>
      </c>
      <c r="X10" s="932"/>
      <c r="Y10" s="933"/>
      <c r="AD10" s="934" t="s">
        <v>710</v>
      </c>
      <c r="AE10" s="935"/>
      <c r="AG10" s="934" t="s">
        <v>711</v>
      </c>
      <c r="AH10" s="935"/>
      <c r="AM10" s="333" t="s">
        <v>761</v>
      </c>
    </row>
    <row r="11" spans="1:44" ht="13">
      <c r="G11" s="918"/>
      <c r="H11" s="921"/>
      <c r="I11" s="936" t="s">
        <v>695</v>
      </c>
      <c r="J11" s="937"/>
      <c r="K11" s="937" t="s">
        <v>690</v>
      </c>
      <c r="L11" s="938"/>
      <c r="M11" s="939" t="s">
        <v>712</v>
      </c>
      <c r="N11" s="940"/>
      <c r="O11" s="936" t="s">
        <v>713</v>
      </c>
      <c r="P11" s="937"/>
      <c r="Q11" s="937" t="s">
        <v>714</v>
      </c>
      <c r="R11" s="938"/>
      <c r="S11" s="939" t="s">
        <v>715</v>
      </c>
      <c r="T11" s="940"/>
      <c r="U11" s="936" t="s">
        <v>691</v>
      </c>
      <c r="V11" s="938"/>
      <c r="W11" s="642"/>
      <c r="X11" s="171"/>
      <c r="Y11" s="664"/>
      <c r="AD11" s="642"/>
      <c r="AE11" s="639"/>
      <c r="AG11" s="642"/>
      <c r="AH11" s="639"/>
    </row>
    <row r="12" spans="1:44" ht="13.5" thickBot="1">
      <c r="A12" s="662"/>
      <c r="B12" s="662"/>
      <c r="C12" s="662"/>
      <c r="D12" s="662"/>
      <c r="E12" s="662"/>
      <c r="F12" s="707"/>
      <c r="G12" s="919"/>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 xml:space="preserve">4 </v>
      </c>
      <c r="D13" s="170" t="s">
        <v>766</v>
      </c>
      <c r="G13" s="675">
        <v>1</v>
      </c>
      <c r="H13" s="676">
        <f>G13/1000</f>
        <v>1E-3</v>
      </c>
      <c r="I13" s="677">
        <f t="shared" ref="I13:I76" si="0">SQRT(1+(G13/pole1)^2)</f>
        <v>1.0000000584721491</v>
      </c>
      <c r="J13" s="678">
        <f t="shared" ref="J13:J76" si="1">ATAN(G13/pole1)</f>
        <v>3.4197118660129138E-4</v>
      </c>
      <c r="K13" s="678">
        <f t="shared" ref="K13:K76" si="2">SQRT(1+(G13/Zero1)^2)</f>
        <v>1.0000000000007896</v>
      </c>
      <c r="L13" s="679">
        <f t="shared" ref="L13:L76" si="3">ATAN(G13/Zero1)</f>
        <v>1.2566370599993384E-6</v>
      </c>
      <c r="M13" s="678">
        <f t="shared" ref="M13:M76" si="4">SQRT(1+(G13/z_RHP)^2)</f>
        <v>1.0000000000353118</v>
      </c>
      <c r="N13" s="679">
        <f t="shared" ref="N13:N76" si="5">-ATAN(G13/z_RHP)</f>
        <v>-8.403760338552167E-6</v>
      </c>
      <c r="O13" s="677">
        <f t="shared" ref="O13:O76" si="6">SQRT(1+(G13/Pole2)^2)</f>
        <v>7.6058478304759678</v>
      </c>
      <c r="P13" s="680">
        <f t="shared" ref="P13:P76" si="7">ATAN(G13/Pole2)</f>
        <v>1.43893677148458</v>
      </c>
      <c r="Q13" s="678">
        <f t="shared" ref="Q13:Q76" si="8">SQRT(1+(G13/Zero2)^2)</f>
        <v>1.0000000141774892</v>
      </c>
      <c r="R13" s="679">
        <f t="shared" ref="R13:R76" si="9">ATAN(G13/Zero2)</f>
        <v>1.6838936444844109E-4</v>
      </c>
      <c r="S13" s="677">
        <f t="shared" ref="S13:S76" si="10">SQRT(1+(G13/pole4)^2)</f>
        <v>1.0000000000088609</v>
      </c>
      <c r="T13" s="680">
        <f t="shared" ref="T13:T76" si="11">ATAN(G13/pole4)</f>
        <v>4.2097341509751324E-6</v>
      </c>
      <c r="U13" s="681">
        <f>IMABS(IMPRODUCT(AO13, AR13))</f>
        <v>0.99959999974914737</v>
      </c>
      <c r="V13" s="682">
        <f>IMARGUMENT(IMPRODUCT(AO13, AR13))</f>
        <v>-2.7579357501251196E-5</v>
      </c>
      <c r="W13" s="683">
        <f t="shared" ref="W13:W76" si="12">20*LOG10(((K13*Q13*M13*U13)/(I13*O13*S13))*Adc)</f>
        <v>86.227382334484659</v>
      </c>
      <c r="X13" s="684">
        <f t="shared" ref="X13:X76" si="13">((L13+R13+N13+V13)-(J13+P13+T13))*radconv</f>
        <v>-82.457180473063389</v>
      </c>
      <c r="Y13" s="685">
        <f t="shared" ref="Y13:Y76" si="14">IF(X13&gt;0,X13,X13+180)</f>
        <v>97.542819526936611</v>
      </c>
      <c r="AA13" s="170">
        <f t="shared" ref="AA13:AA76" si="15">IF(W13&lt;0,G13,1000000000)</f>
        <v>1000000000</v>
      </c>
      <c r="AB13" s="170">
        <f t="shared" ref="AB13:AB76" si="16">G13^2</f>
        <v>1</v>
      </c>
      <c r="AD13" s="686">
        <f t="shared" ref="AD13:AD76" si="17">20*LOG10((Q13/(O13*S13))*Aea)</f>
        <v>87.482497579708465</v>
      </c>
      <c r="AE13" s="687">
        <f t="shared" ref="AE13:AE76" si="18">(R13-(P13+T13))*radconv</f>
        <v>-82.435597286545359</v>
      </c>
      <c r="AG13" s="686">
        <f t="shared" ref="AG13:AG76" si="19">20*LOG10((K13*M13/(I13*U13))*Acs*Am)</f>
        <v>40.713166665119161</v>
      </c>
      <c r="AH13" s="687">
        <f t="shared" ref="AH13:AH76" si="20">(L13+N13-(J13+V13))*radconv</f>
        <v>-1.8422824941402485E-2</v>
      </c>
      <c r="AJ13" s="170">
        <f t="shared" ref="AJ13:AJ76" si="21">SUM((W14&lt;0)*(W13&gt;0))*G13</f>
        <v>0</v>
      </c>
      <c r="AK13" s="170">
        <f t="shared" ref="AK13:AK44" si="22">IF(AJ13&gt;0,Y11,0)</f>
        <v>0</v>
      </c>
      <c r="AM13" s="170" t="str">
        <f>IMSUB(1,IMEXP(COMPLEX(0,-2*Pi*G13*Tsw)))</f>
        <v>7.76144037928361E-10+0.000039399099137695i</v>
      </c>
      <c r="AN13" s="170" t="str">
        <f>COMPLEX(0, 2*Pi*G13*Tsw)</f>
        <v>0.0000393990991478881i</v>
      </c>
      <c r="AO13" s="170" t="str">
        <f>IMDIV(AM13, AN13)</f>
        <v>0.999999999741286-0.0000196995376725502i</v>
      </c>
      <c r="AP13" s="170" t="str">
        <f>IMDIV(IMEXP(COMPLEX(0,-2*Pi*G13*Tsw)),6)</f>
        <v>0.166666666537309-6.56651652294917E-06i</v>
      </c>
      <c r="AQ13" s="170" t="str">
        <f>IMSUB(1, AP13)</f>
        <v>0.833333333462691+6.56651652294917E-06i</v>
      </c>
      <c r="AR13" s="170" t="str">
        <f>IMDIV(0.833, AQ13)</f>
        <v>0.999599999782766-7.87666789667354E-06i</v>
      </c>
    </row>
    <row r="14" spans="1:44" ht="13">
      <c r="A14" s="333" t="s">
        <v>736</v>
      </c>
      <c r="B14" s="711">
        <f>Vout+Vfwd1</f>
        <v>4.7</v>
      </c>
      <c r="C14" s="170" t="s">
        <v>0</v>
      </c>
      <c r="D14" s="170" t="s">
        <v>763</v>
      </c>
      <c r="G14" s="688">
        <v>1.0965</v>
      </c>
      <c r="H14" s="676">
        <f t="shared" ref="H14:H77" si="23">G14/1000</f>
        <v>1.0965E-3</v>
      </c>
      <c r="I14" s="677">
        <f t="shared" si="0"/>
        <v>1.0000000703017806</v>
      </c>
      <c r="J14" s="678">
        <f t="shared" si="1"/>
        <v>3.7497140315113372E-4</v>
      </c>
      <c r="K14" s="678">
        <f t="shared" si="2"/>
        <v>1.0000000000009495</v>
      </c>
      <c r="L14" s="679">
        <f t="shared" si="3"/>
        <v>1.377902536289128E-6</v>
      </c>
      <c r="M14" s="678">
        <f t="shared" si="4"/>
        <v>1.0000000000424556</v>
      </c>
      <c r="N14" s="679">
        <f t="shared" si="5"/>
        <v>-9.2147232111785644E-6</v>
      </c>
      <c r="O14" s="677">
        <f t="shared" si="6"/>
        <v>8.3276740079399705</v>
      </c>
      <c r="P14" s="680">
        <f t="shared" si="7"/>
        <v>1.4504243007486417</v>
      </c>
      <c r="Q14" s="689">
        <f t="shared" si="8"/>
        <v>1.0000000170457688</v>
      </c>
      <c r="R14" s="690">
        <f t="shared" si="9"/>
        <v>1.8463893776465159E-4</v>
      </c>
      <c r="S14" s="677">
        <f t="shared" si="10"/>
        <v>1.0000000000106537</v>
      </c>
      <c r="T14" s="680">
        <f t="shared" si="11"/>
        <v>4.6159734965387163E-6</v>
      </c>
      <c r="U14" s="681">
        <f t="shared" ref="U14:U77" si="24">IMABS(IMPRODUCT(AO14, AR14))</f>
        <v>0.99959999969839541</v>
      </c>
      <c r="V14" s="682">
        <f t="shared" ref="V14:V77" si="25">IMARGUMENT(IMPRODUCT(AO14, AR14))</f>
        <v>-3.0240777137620384E-5</v>
      </c>
      <c r="W14" s="683">
        <f t="shared" si="12"/>
        <v>85.439860579611718</v>
      </c>
      <c r="X14" s="684">
        <f t="shared" si="13"/>
        <v>-83.116542439504585</v>
      </c>
      <c r="Y14" s="687">
        <f t="shared" si="14"/>
        <v>96.883457560495415</v>
      </c>
      <c r="AA14" s="170">
        <f t="shared" si="15"/>
        <v>1000000000</v>
      </c>
      <c r="AB14" s="170">
        <f t="shared" si="16"/>
        <v>1.2023122500000001</v>
      </c>
      <c r="AD14" s="686">
        <f t="shared" si="17"/>
        <v>86.694975927963952</v>
      </c>
      <c r="AE14" s="687">
        <f t="shared" si="18"/>
        <v>-83.092876474990234</v>
      </c>
      <c r="AG14" s="686">
        <f t="shared" si="19"/>
        <v>40.713166562872736</v>
      </c>
      <c r="AH14" s="687">
        <f t="shared" si="20"/>
        <v>-2.0200626712031711E-2</v>
      </c>
      <c r="AJ14" s="170">
        <f t="shared" si="21"/>
        <v>0</v>
      </c>
      <c r="AK14" s="170">
        <f t="shared" si="22"/>
        <v>0</v>
      </c>
      <c r="AM14" s="170" t="str">
        <f t="shared" ref="AM14:AM77" si="26">IMSUB(1,IMEXP(COMPLEX(0,-2*Pi*G14*Tsw)))</f>
        <v>9.3316798732701E-10+0.0000432011122022213i</v>
      </c>
      <c r="AN14" s="170" t="str">
        <f t="shared" ref="AN14:AN77" si="27">COMPLEX(0, 2*Pi*G14*Tsw)</f>
        <v>0.0000432011122156593i</v>
      </c>
      <c r="AO14" s="170" t="str">
        <f t="shared" ref="AO14:AO77" si="28">IMDIV(AM14, AN14)</f>
        <v>0.999999999688943-0.0000216005546956442i</v>
      </c>
      <c r="AP14" s="170" t="str">
        <f t="shared" ref="AP14:AP77" si="29">IMDIV(IMEXP(COMPLEX(0,-2*Pi*G14*Tsw)),6)</f>
        <v>0.166666666511139-7.20018536703688E-06i</v>
      </c>
      <c r="AQ14" s="170" t="str">
        <f t="shared" ref="AQ14:AQ77" si="30">IMSUB(1, AP14)</f>
        <v>0.833333333488861+7.20018536703688E-06i</v>
      </c>
      <c r="AR14" s="170" t="str">
        <f t="shared" ref="AR14:AR77" si="31">IMDIV(0.833, AQ14)</f>
        <v>0.999599999738818-0.0000086367663475995i</v>
      </c>
    </row>
    <row r="15" spans="1:44" ht="13">
      <c r="A15" s="333" t="s">
        <v>735</v>
      </c>
      <c r="B15" s="711">
        <f>'Design Converter'!E11+IF(MODE=2,ABS('Design Converter'!E13*'Design Converter'!L14),0)</f>
        <v>6</v>
      </c>
      <c r="C15" s="170" t="s">
        <v>1</v>
      </c>
      <c r="G15" s="688">
        <v>1.2022999999999999</v>
      </c>
      <c r="H15" s="676">
        <f t="shared" si="23"/>
        <v>1.2022999999999999E-3</v>
      </c>
      <c r="I15" s="677">
        <f>SQRT(1+(G15/pole1)^2)</f>
        <v>1.0000000845229691</v>
      </c>
      <c r="J15" s="678">
        <f t="shared" si="1"/>
        <v>4.1115195051016922E-4</v>
      </c>
      <c r="K15" s="678">
        <f t="shared" si="2"/>
        <v>1.0000000000011413</v>
      </c>
      <c r="L15" s="679">
        <f t="shared" si="3"/>
        <v>1.5108547372368501E-6</v>
      </c>
      <c r="M15" s="678">
        <f t="shared" si="4"/>
        <v>1.0000000000510438</v>
      </c>
      <c r="N15" s="679">
        <f t="shared" si="5"/>
        <v>-1.0103841054935298E-5</v>
      </c>
      <c r="O15" s="677">
        <f t="shared" si="6"/>
        <v>9.1201180547864755</v>
      </c>
      <c r="P15" s="680">
        <f t="shared" si="7"/>
        <v>1.4609277173354858</v>
      </c>
      <c r="Q15" s="689">
        <f t="shared" si="8"/>
        <v>1.0000000204939192</v>
      </c>
      <c r="R15" s="690">
        <f t="shared" si="9"/>
        <v>2.0245453202383416E-4</v>
      </c>
      <c r="S15" s="677">
        <f t="shared" si="10"/>
        <v>1.0000000000128089</v>
      </c>
      <c r="T15" s="680">
        <f t="shared" si="11"/>
        <v>5.0613633697040808E-6</v>
      </c>
      <c r="U15" s="681">
        <f t="shared" si="24"/>
        <v>0.99959999963738522</v>
      </c>
      <c r="V15" s="682">
        <f t="shared" si="25"/>
        <v>-3.3158685847985612E-5</v>
      </c>
      <c r="W15" s="683">
        <f t="shared" si="12"/>
        <v>84.650325606392556</v>
      </c>
      <c r="X15" s="684">
        <f t="shared" si="13"/>
        <v>-83.719632143305176</v>
      </c>
      <c r="Y15" s="687">
        <f t="shared" si="14"/>
        <v>96.280367856694824</v>
      </c>
      <c r="AA15" s="170">
        <f t="shared" si="15"/>
        <v>1000000000</v>
      </c>
      <c r="AB15" s="170">
        <f t="shared" si="16"/>
        <v>1.4455252899999997</v>
      </c>
      <c r="AD15" s="686">
        <f t="shared" si="17"/>
        <v>85.905441078722333</v>
      </c>
      <c r="AE15" s="687">
        <f t="shared" si="18"/>
        <v>-83.693682677170031</v>
      </c>
      <c r="AG15" s="686">
        <f t="shared" si="19"/>
        <v>40.713166439955479</v>
      </c>
      <c r="AH15" s="687">
        <f t="shared" si="20"/>
        <v>-2.2149760624242218E-2</v>
      </c>
      <c r="AJ15" s="170">
        <f t="shared" si="21"/>
        <v>0</v>
      </c>
      <c r="AK15" s="170">
        <f t="shared" si="22"/>
        <v>0</v>
      </c>
      <c r="AM15" s="170" t="str">
        <f t="shared" si="26"/>
        <v>1.12193698775798E-09+0.0000473695368877907i</v>
      </c>
      <c r="AN15" s="170" t="str">
        <f t="shared" si="27"/>
        <v>0.0000473695369055059i</v>
      </c>
      <c r="AO15" s="170" t="str">
        <f t="shared" si="28"/>
        <v>0.999999999626021-0.0000236847784684079i</v>
      </c>
      <c r="AP15" s="170" t="str">
        <f t="shared" si="29"/>
        <v>0.166666666479677-7.89492281463178E-06i</v>
      </c>
      <c r="AQ15" s="170" t="str">
        <f t="shared" si="30"/>
        <v>0.833333333520323+7.89492281463178E-06i</v>
      </c>
      <c r="AR15" s="170" t="str">
        <f t="shared" si="31"/>
        <v>0.999599999685983-9.47011780950717E-06i</v>
      </c>
    </row>
    <row r="16" spans="1:44" ht="13">
      <c r="A16" s="333" t="s">
        <v>3</v>
      </c>
      <c r="B16" s="711">
        <f>VIN_nom</f>
        <v>24</v>
      </c>
      <c r="C16" s="170" t="s">
        <v>0</v>
      </c>
      <c r="G16" s="688">
        <v>1.3183</v>
      </c>
      <c r="H16" s="676">
        <f t="shared" si="23"/>
        <v>1.3183000000000001E-3</v>
      </c>
      <c r="I16" s="677">
        <f t="shared" si="0"/>
        <v>1.0000001016196163</v>
      </c>
      <c r="J16" s="678">
        <f t="shared" si="1"/>
        <v>4.5082060232863819E-4</v>
      </c>
      <c r="K16" s="678">
        <f t="shared" si="2"/>
        <v>1.0000000000013722</v>
      </c>
      <c r="L16" s="679">
        <f t="shared" si="3"/>
        <v>1.6566246361964843E-6</v>
      </c>
      <c r="M16" s="678">
        <f t="shared" si="4"/>
        <v>1.0000000000613687</v>
      </c>
      <c r="N16" s="679">
        <f t="shared" si="5"/>
        <v>-1.1078677254120872E-5</v>
      </c>
      <c r="O16" s="677">
        <f t="shared" si="6"/>
        <v>9.9899242574352698</v>
      </c>
      <c r="P16" s="680">
        <f t="shared" si="7"/>
        <v>1.4705275379589222</v>
      </c>
      <c r="Q16" s="689">
        <f t="shared" si="8"/>
        <v>1.0000000246392695</v>
      </c>
      <c r="R16" s="690">
        <f t="shared" si="9"/>
        <v>2.2198769760412224E-4</v>
      </c>
      <c r="S16" s="677">
        <f t="shared" si="10"/>
        <v>1.0000000000153997</v>
      </c>
      <c r="T16" s="680">
        <f t="shared" si="11"/>
        <v>5.5496925312063259E-6</v>
      </c>
      <c r="U16" s="681">
        <f t="shared" si="24"/>
        <v>0.99959999956403844</v>
      </c>
      <c r="V16" s="682">
        <f t="shared" si="25"/>
        <v>-3.6357881105230746E-5</v>
      </c>
      <c r="W16" s="683">
        <f t="shared" si="12"/>
        <v>83.859090785312148</v>
      </c>
      <c r="X16" s="684">
        <f t="shared" si="13"/>
        <v>-84.271073809706735</v>
      </c>
      <c r="Y16" s="687">
        <f t="shared" si="14"/>
        <v>95.728926190293265</v>
      </c>
      <c r="AA16" s="170">
        <f t="shared" si="15"/>
        <v>1000000000</v>
      </c>
      <c r="AB16" s="170">
        <f t="shared" si="16"/>
        <v>1.7379148900000001</v>
      </c>
      <c r="AD16" s="686">
        <f t="shared" si="17"/>
        <v>85.114206406687174</v>
      </c>
      <c r="AE16" s="687">
        <f t="shared" si="18"/>
        <v>-84.242620694854523</v>
      </c>
      <c r="AG16" s="686">
        <f t="shared" si="19"/>
        <v>40.71316629218493</v>
      </c>
      <c r="AH16" s="687">
        <f t="shared" si="20"/>
        <v>-2.4286808568717434E-2</v>
      </c>
      <c r="AJ16" s="170">
        <f t="shared" si="21"/>
        <v>0</v>
      </c>
      <c r="AK16" s="170">
        <f t="shared" si="22"/>
        <v>0</v>
      </c>
      <c r="AM16" s="170" t="str">
        <f t="shared" si="26"/>
        <v>1.3488730132849E-09+0.0000519398323833075i</v>
      </c>
      <c r="AN16" s="170" t="str">
        <f t="shared" si="27"/>
        <v>0.0000519398324066609i</v>
      </c>
      <c r="AO16" s="170" t="str">
        <f t="shared" si="28"/>
        <v>0.999999999550376-0.000025969914625907i</v>
      </c>
      <c r="AP16" s="170" t="str">
        <f t="shared" si="29"/>
        <v>0.166666666441854-8.65663873055125E-06i</v>
      </c>
      <c r="AQ16" s="170" t="str">
        <f t="shared" si="30"/>
        <v>0.833333333558146+8.65663873055125E-06i</v>
      </c>
      <c r="AR16" s="170" t="str">
        <f t="shared" si="31"/>
        <v>0.999599999622466-0.0000103838112833477i</v>
      </c>
    </row>
    <row r="17" spans="1:44">
      <c r="G17" s="688">
        <v>1.4454</v>
      </c>
      <c r="H17" s="676">
        <f t="shared" si="23"/>
        <v>1.4454000000000001E-3</v>
      </c>
      <c r="I17" s="677">
        <f t="shared" si="0"/>
        <v>1.0000001221589083</v>
      </c>
      <c r="J17" s="678">
        <f t="shared" si="1"/>
        <v>4.9428513212722866E-4</v>
      </c>
      <c r="K17" s="678">
        <f t="shared" si="2"/>
        <v>1.0000000000016496</v>
      </c>
      <c r="L17" s="679">
        <f t="shared" si="3"/>
        <v>1.8163432065220024E-6</v>
      </c>
      <c r="M17" s="678">
        <f t="shared" si="4"/>
        <v>1.0000000000737723</v>
      </c>
      <c r="N17" s="679">
        <f t="shared" si="5"/>
        <v>-1.2146795193031851E-5</v>
      </c>
      <c r="O17" s="677">
        <f t="shared" si="6"/>
        <v>10.943842797659876</v>
      </c>
      <c r="P17" s="680">
        <f t="shared" si="7"/>
        <v>1.4792931084077603</v>
      </c>
      <c r="Q17" s="689">
        <f t="shared" si="8"/>
        <v>1.0000000296193432</v>
      </c>
      <c r="R17" s="690">
        <f t="shared" si="9"/>
        <v>2.4338998486818172E-4</v>
      </c>
      <c r="S17" s="677">
        <f t="shared" si="10"/>
        <v>1.0000000000185121</v>
      </c>
      <c r="T17" s="680">
        <f t="shared" si="11"/>
        <v>6.0847497417803065E-6</v>
      </c>
      <c r="U17" s="681">
        <f t="shared" si="24"/>
        <v>0.99959999947592293</v>
      </c>
      <c r="V17" s="682">
        <f t="shared" si="25"/>
        <v>-3.986321279691264E-5</v>
      </c>
      <c r="W17" s="683">
        <f t="shared" si="12"/>
        <v>83.066937638399224</v>
      </c>
      <c r="X17" s="684">
        <f t="shared" si="13"/>
        <v>-84.774851620090843</v>
      </c>
      <c r="Y17" s="687">
        <f t="shared" si="14"/>
        <v>95.225148379909157</v>
      </c>
      <c r="AA17" s="170">
        <f t="shared" si="15"/>
        <v>1000000000</v>
      </c>
      <c r="AB17" s="170">
        <f t="shared" si="16"/>
        <v>2.0891811599999999</v>
      </c>
      <c r="AD17" s="686">
        <f t="shared" si="17"/>
        <v>84.322053438831759</v>
      </c>
      <c r="AE17" s="687">
        <f t="shared" si="18"/>
        <v>-84.74365528295786</v>
      </c>
      <c r="AG17" s="686">
        <f t="shared" si="19"/>
        <v>40.71316611465874</v>
      </c>
      <c r="AH17" s="687">
        <f t="shared" si="20"/>
        <v>-2.6628349425578346E-2</v>
      </c>
      <c r="AJ17" s="170">
        <f t="shared" si="21"/>
        <v>0</v>
      </c>
      <c r="AK17" s="170">
        <f t="shared" si="22"/>
        <v>0</v>
      </c>
      <c r="AM17" s="170" t="str">
        <f t="shared" si="26"/>
        <v>1.62150604055E-09+0.0000569474578775773i</v>
      </c>
      <c r="AN17" s="170" t="str">
        <f t="shared" si="27"/>
        <v>0.0000569474579083575i</v>
      </c>
      <c r="AO17" s="170" t="str">
        <f t="shared" si="28"/>
        <v>0.999999999459498-0.0000284737212178883i</v>
      </c>
      <c r="AP17" s="170" t="str">
        <f t="shared" si="29"/>
        <v>0.166666666396416-9.49124297959622E-06i</v>
      </c>
      <c r="AQ17" s="170" t="str">
        <f t="shared" si="30"/>
        <v>0.833333333603584+9.49124297959622E-06i</v>
      </c>
      <c r="AR17" s="170" t="str">
        <f t="shared" si="31"/>
        <v>0.99959999954616-0.0000113849357700241i</v>
      </c>
    </row>
    <row r="18" spans="1:44">
      <c r="A18" s="170" t="s">
        <v>742</v>
      </c>
      <c r="B18" s="715">
        <f>Vout_eff*Npri_sec/Vin_eff</f>
        <v>0.78333333333333333</v>
      </c>
      <c r="C18" s="170" t="s">
        <v>686</v>
      </c>
      <c r="G18" s="688">
        <v>1.5849</v>
      </c>
      <c r="H18" s="676">
        <f t="shared" si="23"/>
        <v>1.5849E-3</v>
      </c>
      <c r="I18" s="677">
        <f t="shared" si="0"/>
        <v>1.0000001468766531</v>
      </c>
      <c r="J18" s="678">
        <f t="shared" si="1"/>
        <v>5.4199010170147732E-4</v>
      </c>
      <c r="K18" s="678">
        <f t="shared" si="2"/>
        <v>1.0000000000019833</v>
      </c>
      <c r="L18" s="679">
        <f t="shared" si="3"/>
        <v>1.9916440763913664E-6</v>
      </c>
      <c r="M18" s="678">
        <f t="shared" si="4"/>
        <v>1.0000000000886995</v>
      </c>
      <c r="N18" s="679">
        <f t="shared" si="5"/>
        <v>-1.3319119760097275E-5</v>
      </c>
      <c r="O18" s="677">
        <f t="shared" si="6"/>
        <v>11.991632940232586</v>
      </c>
      <c r="P18" s="680">
        <f t="shared" si="7"/>
        <v>1.4873078919677654</v>
      </c>
      <c r="Q18" s="689">
        <f t="shared" si="8"/>
        <v>1.0000000356125482</v>
      </c>
      <c r="R18" s="690">
        <f t="shared" si="9"/>
        <v>2.6688029990060434E-4</v>
      </c>
      <c r="S18" s="677">
        <f t="shared" si="10"/>
        <v>1.0000000000222578</v>
      </c>
      <c r="T18" s="680">
        <f t="shared" si="11"/>
        <v>6.6720076558208979E-6</v>
      </c>
      <c r="U18" s="681">
        <f t="shared" si="24"/>
        <v>0.99959999936988186</v>
      </c>
      <c r="V18" s="682">
        <f t="shared" si="25"/>
        <v>-4.3710549452577661E-5</v>
      </c>
      <c r="W18" s="683">
        <f t="shared" si="12"/>
        <v>82.272767866508786</v>
      </c>
      <c r="X18" s="684">
        <f t="shared" si="13"/>
        <v>-85.235763498626866</v>
      </c>
      <c r="Y18" s="687">
        <f t="shared" si="14"/>
        <v>94.764236501373134</v>
      </c>
      <c r="AA18" s="170">
        <f t="shared" si="15"/>
        <v>1000000000</v>
      </c>
      <c r="AB18" s="170">
        <f t="shared" si="16"/>
        <v>2.51190801</v>
      </c>
      <c r="AD18" s="686">
        <f t="shared" si="17"/>
        <v>83.527883882425783</v>
      </c>
      <c r="AE18" s="687">
        <f t="shared" si="18"/>
        <v>-85.201556306669389</v>
      </c>
      <c r="AG18" s="686">
        <f t="shared" si="19"/>
        <v>40.713165901017149</v>
      </c>
      <c r="AH18" s="687">
        <f t="shared" si="20"/>
        <v>-2.9198331944107703E-2</v>
      </c>
      <c r="AJ18" s="170">
        <f t="shared" si="21"/>
        <v>0</v>
      </c>
      <c r="AK18" s="170">
        <f t="shared" si="22"/>
        <v>0</v>
      </c>
      <c r="AM18" s="170" t="str">
        <f t="shared" si="26"/>
        <v>1.94960403376854E-09+0.0000624436321989078i</v>
      </c>
      <c r="AN18" s="170" t="str">
        <f t="shared" si="27"/>
        <v>0.0000624436322394879i</v>
      </c>
      <c r="AO18" s="170" t="str">
        <f t="shared" si="28"/>
        <v>0.999999999350133-0.0000312218230081699i</v>
      </c>
      <c r="AP18" s="170" t="str">
        <f t="shared" si="29"/>
        <v>0.166666666341733-0.0000104072720331513i</v>
      </c>
      <c r="AQ18" s="170" t="str">
        <f t="shared" si="30"/>
        <v>0.833333333658267+0.0000104072720331513i</v>
      </c>
      <c r="AR18" s="170" t="str">
        <f t="shared" si="31"/>
        <v>0.99959999945433-0.0000124837309375233i</v>
      </c>
    </row>
    <row r="19" spans="1:44">
      <c r="A19" s="170" t="s">
        <v>759</v>
      </c>
      <c r="B19" s="170">
        <f>1/'Calculations - Single'!AQ105/1000*0+1/CHOOSE(MODE, 'Calculations - Single'!AQ105,'Calculations - Dual'!AP105)/1000</f>
        <v>6.2705613899192334E-6</v>
      </c>
      <c r="C19" s="170" t="s">
        <v>51</v>
      </c>
      <c r="G19" s="688">
        <v>1.7378</v>
      </c>
      <c r="H19" s="676">
        <f t="shared" si="23"/>
        <v>1.7378000000000001E-3</v>
      </c>
      <c r="I19" s="677">
        <f t="shared" si="0"/>
        <v>1.0000001765828883</v>
      </c>
      <c r="J19" s="678">
        <f t="shared" si="1"/>
        <v>5.9427748128202448E-4</v>
      </c>
      <c r="K19" s="678">
        <f t="shared" si="2"/>
        <v>1.0000000000023843</v>
      </c>
      <c r="L19" s="679">
        <f t="shared" si="3"/>
        <v>2.1837838828645283E-6</v>
      </c>
      <c r="M19" s="678">
        <f t="shared" si="4"/>
        <v>1.0000000001066391</v>
      </c>
      <c r="N19" s="679">
        <f t="shared" si="5"/>
        <v>-1.4604054715641507E-5</v>
      </c>
      <c r="O19" s="677">
        <f t="shared" si="6"/>
        <v>13.140807954409253</v>
      </c>
      <c r="P19" s="680">
        <f t="shared" si="7"/>
        <v>1.4946238647092922</v>
      </c>
      <c r="Q19" s="689">
        <f t="shared" si="8"/>
        <v>1.0000000428152913</v>
      </c>
      <c r="R19" s="690">
        <f t="shared" si="9"/>
        <v>2.9262703195170425E-4</v>
      </c>
      <c r="S19" s="677">
        <f t="shared" si="10"/>
        <v>1.0000000000267595</v>
      </c>
      <c r="T19" s="680">
        <f t="shared" si="11"/>
        <v>7.3156760074772921E-6</v>
      </c>
      <c r="U19" s="681">
        <f t="shared" si="24"/>
        <v>0.99959999924243792</v>
      </c>
      <c r="V19" s="682">
        <f t="shared" si="25"/>
        <v>-4.7927431742732877E-5</v>
      </c>
      <c r="W19" s="683">
        <f t="shared" si="12"/>
        <v>81.4778928314132</v>
      </c>
      <c r="X19" s="684">
        <f t="shared" si="13"/>
        <v>-85.656799628906995</v>
      </c>
      <c r="Y19" s="687">
        <f t="shared" si="14"/>
        <v>94.343200371093005</v>
      </c>
      <c r="AA19" s="170">
        <f t="shared" si="15"/>
        <v>1000000000</v>
      </c>
      <c r="AB19" s="170">
        <f t="shared" si="16"/>
        <v>3.0199488400000001</v>
      </c>
      <c r="AD19" s="686">
        <f t="shared" si="17"/>
        <v>82.733009106303328</v>
      </c>
      <c r="AE19" s="687">
        <f t="shared" si="18"/>
        <v>-85.619292368666123</v>
      </c>
      <c r="AG19" s="686">
        <f t="shared" si="19"/>
        <v>40.713165644258815</v>
      </c>
      <c r="AH19" s="687">
        <f t="shared" si="20"/>
        <v>-3.201518111107509E-2</v>
      </c>
      <c r="AJ19" s="170">
        <f t="shared" si="21"/>
        <v>0</v>
      </c>
      <c r="AK19" s="170">
        <f t="shared" si="22"/>
        <v>0</v>
      </c>
      <c r="AM19" s="170" t="str">
        <f t="shared" si="26"/>
        <v>2.34391694942104E-09+0.0000684677544457057i</v>
      </c>
      <c r="AN19" s="170" t="str">
        <f t="shared" si="27"/>
        <v>0.0000684677544991999i</v>
      </c>
      <c r="AO19" s="170" t="str">
        <f t="shared" si="28"/>
        <v>0.999999999218695-0.0000342338808474934i</v>
      </c>
      <c r="AP19" s="170" t="str">
        <f t="shared" si="29"/>
        <v>0.166666666276014-0.0000114112924076176i</v>
      </c>
      <c r="AQ19" s="170" t="str">
        <f t="shared" si="30"/>
        <v>0.833333333723986+0.0000114112924076176i</v>
      </c>
      <c r="AR19" s="170" t="str">
        <f t="shared" si="31"/>
        <v>0.999599999343966-0.0000136880734533853i</v>
      </c>
    </row>
    <row r="20" spans="1:44">
      <c r="G20" s="688">
        <v>1.9055</v>
      </c>
      <c r="H20" s="676">
        <f t="shared" si="23"/>
        <v>1.9055000000000001E-3</v>
      </c>
      <c r="I20" s="677">
        <f t="shared" si="0"/>
        <v>1.0000002123082785</v>
      </c>
      <c r="J20" s="678">
        <f t="shared" si="1"/>
        <v>6.5162602923967967E-4</v>
      </c>
      <c r="K20" s="678">
        <f t="shared" si="2"/>
        <v>1.0000000000028668</v>
      </c>
      <c r="L20" s="679">
        <f t="shared" si="3"/>
        <v>2.3945219178254233E-6</v>
      </c>
      <c r="M20" s="678">
        <f t="shared" si="4"/>
        <v>1.0000000001282139</v>
      </c>
      <c r="N20" s="679">
        <f t="shared" si="5"/>
        <v>-1.6013365324119369E-5</v>
      </c>
      <c r="O20" s="677">
        <f t="shared" si="6"/>
        <v>14.401891116754685</v>
      </c>
      <c r="P20" s="680">
        <f t="shared" si="7"/>
        <v>1.501305085379055</v>
      </c>
      <c r="Q20" s="689">
        <f t="shared" si="8"/>
        <v>1.0000000514774734</v>
      </c>
      <c r="R20" s="690">
        <f t="shared" si="9"/>
        <v>3.2086592597764193E-4</v>
      </c>
      <c r="S20" s="677">
        <f t="shared" si="10"/>
        <v>1.0000000000321734</v>
      </c>
      <c r="T20" s="680">
        <f t="shared" si="11"/>
        <v>8.0216484245584453E-6</v>
      </c>
      <c r="U20" s="681">
        <f t="shared" si="24"/>
        <v>0.99959999908917097</v>
      </c>
      <c r="V20" s="682">
        <f t="shared" si="25"/>
        <v>-5.2552493531057785E-5</v>
      </c>
      <c r="W20" s="683">
        <f t="shared" si="12"/>
        <v>80.681943498941479</v>
      </c>
      <c r="X20" s="684">
        <f t="shared" si="13"/>
        <v>-86.041647354943422</v>
      </c>
      <c r="Y20" s="687">
        <f t="shared" si="14"/>
        <v>93.958352645056578</v>
      </c>
      <c r="AA20" s="170">
        <f t="shared" si="15"/>
        <v>1000000000</v>
      </c>
      <c r="AB20" s="170">
        <f t="shared" si="16"/>
        <v>3.63093025</v>
      </c>
      <c r="AD20" s="686">
        <f t="shared" si="17"/>
        <v>81.937060085278546</v>
      </c>
      <c r="AE20" s="687">
        <f t="shared" si="18"/>
        <v>-86.000520595268881</v>
      </c>
      <c r="AG20" s="686">
        <f t="shared" si="19"/>
        <v>40.713165335475459</v>
      </c>
      <c r="AH20" s="687">
        <f t="shared" si="20"/>
        <v>-3.5104687503227018E-2</v>
      </c>
      <c r="AJ20" s="170">
        <f t="shared" si="21"/>
        <v>0</v>
      </c>
      <c r="AK20" s="170">
        <f t="shared" si="22"/>
        <v>0</v>
      </c>
      <c r="AM20" s="170" t="str">
        <f t="shared" si="26"/>
        <v>2.8181269540184E-09+0.0000750749833557772i</v>
      </c>
      <c r="AN20" s="170" t="str">
        <f t="shared" si="27"/>
        <v>0.0000750749834263008i</v>
      </c>
      <c r="AO20" s="170" t="str">
        <f t="shared" si="28"/>
        <v>0.999999999060625-0.0000375374968518626i</v>
      </c>
      <c r="AP20" s="170" t="str">
        <f t="shared" si="29"/>
        <v>0.166666666196979-0.0000125124972259629i</v>
      </c>
      <c r="AQ20" s="170" t="str">
        <f t="shared" si="30"/>
        <v>0.833333333803021+0.0000125124972259629i</v>
      </c>
      <c r="AR20" s="170" t="str">
        <f t="shared" si="31"/>
        <v>0.99959999921124-0.0000150089906521844i</v>
      </c>
    </row>
    <row r="21" spans="1:44" ht="13">
      <c r="A21" s="333" t="s">
        <v>738</v>
      </c>
      <c r="B21" s="718">
        <f>Vout_eff/Iout_eff</f>
        <v>0.78333333333333333</v>
      </c>
      <c r="C21" s="706" t="s">
        <v>45</v>
      </c>
      <c r="D21" s="706"/>
      <c r="E21" s="706"/>
      <c r="G21" s="688">
        <v>2.0893000000000002</v>
      </c>
      <c r="H21" s="676">
        <f t="shared" si="23"/>
        <v>2.0893000000000001E-3</v>
      </c>
      <c r="I21" s="677">
        <f t="shared" si="0"/>
        <v>1.0000002552411085</v>
      </c>
      <c r="J21" s="678">
        <f t="shared" si="1"/>
        <v>7.1448030644105187E-4</v>
      </c>
      <c r="K21" s="678">
        <f t="shared" si="2"/>
        <v>1.0000000000034466</v>
      </c>
      <c r="L21" s="679">
        <f t="shared" si="3"/>
        <v>2.6254918094519674E-6</v>
      </c>
      <c r="M21" s="678">
        <f t="shared" si="4"/>
        <v>1.0000000001541411</v>
      </c>
      <c r="N21" s="679">
        <f t="shared" si="5"/>
        <v>-1.7557976473946106E-5</v>
      </c>
      <c r="O21" s="677">
        <f t="shared" si="6"/>
        <v>15.784659030055661</v>
      </c>
      <c r="P21" s="680">
        <f t="shared" si="7"/>
        <v>1.5074012204740759</v>
      </c>
      <c r="Q21" s="689">
        <f t="shared" si="8"/>
        <v>1.0000000618872127</v>
      </c>
      <c r="R21" s="690">
        <f t="shared" si="9"/>
        <v>3.5181588795210237E-4</v>
      </c>
      <c r="S21" s="677">
        <f t="shared" si="10"/>
        <v>1.0000000000386795</v>
      </c>
      <c r="T21" s="680">
        <f t="shared" si="11"/>
        <v>8.7953975614575007E-6</v>
      </c>
      <c r="U21" s="681">
        <f t="shared" si="24"/>
        <v>0.99959999890498286</v>
      </c>
      <c r="V21" s="682">
        <f t="shared" si="25"/>
        <v>-5.7621573876027072E-5</v>
      </c>
      <c r="W21" s="683">
        <f t="shared" si="12"/>
        <v>79.885629579009532</v>
      </c>
      <c r="X21" s="684">
        <f t="shared" si="13"/>
        <v>-86.393168185811732</v>
      </c>
      <c r="Y21" s="687">
        <f t="shared" si="14"/>
        <v>93.606831814188268</v>
      </c>
      <c r="AA21" s="170">
        <f t="shared" si="15"/>
        <v>1000000000</v>
      </c>
      <c r="AB21" s="170">
        <f t="shared" si="16"/>
        <v>4.3651744900000002</v>
      </c>
      <c r="AD21" s="686">
        <f t="shared" si="17"/>
        <v>81.140746539626591</v>
      </c>
      <c r="AE21" s="687">
        <f t="shared" si="18"/>
        <v>-86.34807443831501</v>
      </c>
      <c r="AG21" s="686">
        <f t="shared" si="19"/>
        <v>40.713164964396434</v>
      </c>
      <c r="AH21" s="687">
        <f t="shared" si="20"/>
        <v>-3.8490801505189853E-2</v>
      </c>
      <c r="AJ21" s="170">
        <f t="shared" si="21"/>
        <v>0</v>
      </c>
      <c r="AK21" s="170">
        <f t="shared" si="22"/>
        <v>0</v>
      </c>
      <c r="AM21" s="170" t="str">
        <f t="shared" si="26"/>
        <v>3.38800598687072E-09+0.0000823165377567196i</v>
      </c>
      <c r="AN21" s="170" t="str">
        <f t="shared" si="27"/>
        <v>0.0000823165378496826i</v>
      </c>
      <c r="AO21" s="170" t="str">
        <f t="shared" si="28"/>
        <v>0.999999998870664-0.0000411582663140853i</v>
      </c>
      <c r="AP21" s="170" t="str">
        <f t="shared" si="29"/>
        <v>0.166666666101999-0.0000137194229594533i</v>
      </c>
      <c r="AQ21" s="170" t="str">
        <f t="shared" si="30"/>
        <v>0.833333333898001+0.0000137194229594533i</v>
      </c>
      <c r="AR21" s="170" t="str">
        <f t="shared" si="31"/>
        <v>0.999599999051738-0.0000164567222015608i</v>
      </c>
    </row>
    <row r="22" spans="1:44">
      <c r="A22" s="170" t="s">
        <v>737</v>
      </c>
      <c r="B22" s="718">
        <f>Rload_sec*(Npri_sec^2)</f>
        <v>12.533333333333333</v>
      </c>
      <c r="C22" s="706" t="s">
        <v>45</v>
      </c>
      <c r="D22" s="706"/>
      <c r="E22" s="706"/>
      <c r="G22" s="688">
        <v>2.2909000000000002</v>
      </c>
      <c r="H22" s="676">
        <f t="shared" si="23"/>
        <v>2.2909000000000002E-3</v>
      </c>
      <c r="I22" s="677">
        <f t="shared" si="0"/>
        <v>1.0000003068748284</v>
      </c>
      <c r="J22" s="678">
        <f t="shared" si="1"/>
        <v>7.8342166164887845E-4</v>
      </c>
      <c r="K22" s="678">
        <f t="shared" si="2"/>
        <v>1.0000000000041438</v>
      </c>
      <c r="L22" s="679">
        <f t="shared" si="3"/>
        <v>2.8788298407460473E-6</v>
      </c>
      <c r="M22" s="678">
        <f t="shared" si="4"/>
        <v>1.0000000001853231</v>
      </c>
      <c r="N22" s="679">
        <f t="shared" si="5"/>
        <v>-1.9252174557663796E-5</v>
      </c>
      <c r="O22" s="677">
        <f t="shared" si="6"/>
        <v>17.301901776179559</v>
      </c>
      <c r="P22" s="680">
        <f>ATAN(G22/Pole2)</f>
        <v>1.5129669851068348</v>
      </c>
      <c r="Q22" s="689">
        <f t="shared" si="8"/>
        <v>1.00000007440662</v>
      </c>
      <c r="R22" s="690">
        <f t="shared" si="9"/>
        <v>3.8576317952547994E-4</v>
      </c>
      <c r="S22" s="677">
        <f t="shared" si="10"/>
        <v>1.0000000000465041</v>
      </c>
      <c r="T22" s="680">
        <f t="shared" si="11"/>
        <v>9.6440799662269092E-6</v>
      </c>
      <c r="U22" s="681">
        <f t="shared" si="24"/>
        <v>0.99959999868346727</v>
      </c>
      <c r="V22" s="682">
        <f t="shared" si="25"/>
        <v>-6.3181573620610122E-5</v>
      </c>
      <c r="W22" s="683">
        <f t="shared" si="12"/>
        <v>79.088456493691424</v>
      </c>
      <c r="X22" s="684">
        <f t="shared" si="13"/>
        <v>-86.714517767192731</v>
      </c>
      <c r="Y22" s="687">
        <f t="shared" si="14"/>
        <v>93.285482232807269</v>
      </c>
      <c r="AA22" s="170">
        <f t="shared" si="15"/>
        <v>1000000000</v>
      </c>
      <c r="AB22" s="170">
        <f t="shared" si="16"/>
        <v>5.2482228100000006</v>
      </c>
      <c r="AD22" s="686">
        <f t="shared" si="17"/>
        <v>80.343573904441072</v>
      </c>
      <c r="AE22" s="687">
        <f t="shared" si="18"/>
        <v>-86.665072851284378</v>
      </c>
      <c r="AG22" s="686">
        <f t="shared" si="19"/>
        <v>40.713164518113501</v>
      </c>
      <c r="AH22" s="687">
        <f t="shared" si="20"/>
        <v>-4.2204840877168935E-2</v>
      </c>
      <c r="AJ22" s="170">
        <f t="shared" si="21"/>
        <v>0</v>
      </c>
      <c r="AK22" s="170">
        <f t="shared" si="22"/>
        <v>0</v>
      </c>
      <c r="AM22" s="170" t="str">
        <f t="shared" si="26"/>
        <v>4.07337896746185E-09+0.0000902593961153433i</v>
      </c>
      <c r="AN22" s="170" t="str">
        <f t="shared" si="27"/>
        <v>0.0000902593962378969i</v>
      </c>
      <c r="AO22" s="170" t="str">
        <f t="shared" si="28"/>
        <v>0.999999998642207-0.0000451296943835702i</v>
      </c>
      <c r="AP22" s="170" t="str">
        <f t="shared" si="29"/>
        <v>0.16666666598777-0.0000150432326858906i</v>
      </c>
      <c r="AQ22" s="170" t="str">
        <f t="shared" si="30"/>
        <v>0.83333333401223+0.0000150432326858906i</v>
      </c>
      <c r="AR22" s="170" t="str">
        <f t="shared" si="31"/>
        <v>0.99959999885991-0.0000180446584360982i</v>
      </c>
    </row>
    <row r="23" spans="1:44">
      <c r="B23" s="633"/>
      <c r="G23" s="688">
        <v>2.5118999999999998</v>
      </c>
      <c r="H23" s="676">
        <f t="shared" si="23"/>
        <v>2.5118999999999996E-3</v>
      </c>
      <c r="I23" s="677">
        <f t="shared" si="0"/>
        <v>1.0000003689382475</v>
      </c>
      <c r="J23" s="678">
        <f t="shared" si="1"/>
        <v>8.5899724583077741E-4</v>
      </c>
      <c r="K23" s="678">
        <f t="shared" si="2"/>
        <v>1.0000000000049818</v>
      </c>
      <c r="L23" s="679">
        <f t="shared" si="3"/>
        <v>3.1565466310035157E-6</v>
      </c>
      <c r="M23" s="678">
        <f t="shared" si="4"/>
        <v>1.0000000002228036</v>
      </c>
      <c r="N23" s="679">
        <f t="shared" si="5"/>
        <v>-2.1109405591770626E-5</v>
      </c>
      <c r="O23" s="677">
        <f t="shared" si="6"/>
        <v>18.965661570732774</v>
      </c>
      <c r="P23" s="680">
        <f t="shared" si="7"/>
        <v>1.518044993510776</v>
      </c>
      <c r="Q23" s="689">
        <f t="shared" si="8"/>
        <v>1.0000000894548724</v>
      </c>
      <c r="R23" s="690">
        <f t="shared" si="9"/>
        <v>4.2297722333096039E-4</v>
      </c>
      <c r="S23" s="677">
        <f t="shared" si="10"/>
        <v>1.0000000000559093</v>
      </c>
      <c r="T23" s="680">
        <f t="shared" si="11"/>
        <v>1.0574431213502762E-5</v>
      </c>
      <c r="U23" s="681">
        <f t="shared" si="24"/>
        <v>0.99959999841720726</v>
      </c>
      <c r="V23" s="682">
        <f t="shared" si="25"/>
        <v>-6.9276621102797237E-5</v>
      </c>
      <c r="W23" s="683">
        <f t="shared" si="12"/>
        <v>78.290972994685589</v>
      </c>
      <c r="X23" s="684">
        <f t="shared" si="13"/>
        <v>-87.008157196961704</v>
      </c>
      <c r="Y23" s="687">
        <f t="shared" si="14"/>
        <v>92.991842803038296</v>
      </c>
      <c r="AA23" s="170">
        <f t="shared" si="15"/>
        <v>1000000000</v>
      </c>
      <c r="AB23" s="170">
        <f t="shared" si="16"/>
        <v>6.309641609999999</v>
      </c>
      <c r="AD23" s="686">
        <f t="shared" si="17"/>
        <v>79.546090946491844</v>
      </c>
      <c r="AE23" s="687">
        <f t="shared" si="18"/>
        <v>-86.953942399043527</v>
      </c>
      <c r="AG23" s="686">
        <f t="shared" si="19"/>
        <v>40.713163981684133</v>
      </c>
      <c r="AH23" s="687">
        <f t="shared" si="20"/>
        <v>-4.6276281892871911E-2</v>
      </c>
      <c r="AJ23" s="170">
        <f t="shared" si="21"/>
        <v>0</v>
      </c>
      <c r="AK23" s="170">
        <f t="shared" si="22"/>
        <v>0</v>
      </c>
      <c r="AM23" s="170" t="str">
        <f t="shared" si="26"/>
        <v>4.89719398366617E-09+0.0000989665969880272i</v>
      </c>
      <c r="AN23" s="170" t="str">
        <f t="shared" si="27"/>
        <v>0.0000989665971495801i</v>
      </c>
      <c r="AO23" s="170" t="str">
        <f t="shared" si="28"/>
        <v>0.999999998367602-0.0000494833016867747i</v>
      </c>
      <c r="AP23" s="170" t="str">
        <f t="shared" si="29"/>
        <v>0.166666665850468-0.0000164944328313379i</v>
      </c>
      <c r="AQ23" s="170" t="str">
        <f t="shared" si="30"/>
        <v>0.833333334149532+0.0000164944328313379i</v>
      </c>
      <c r="AR23" s="170" t="str">
        <f t="shared" si="31"/>
        <v>0.999599998629334-0.0000197854020233378i</v>
      </c>
    </row>
    <row r="24" spans="1:44">
      <c r="D24" s="712"/>
      <c r="E24" s="189"/>
      <c r="G24" s="688">
        <v>2.7542</v>
      </c>
      <c r="H24" s="676">
        <f t="shared" si="23"/>
        <v>2.7542000000000001E-3</v>
      </c>
      <c r="I24" s="677">
        <f t="shared" si="0"/>
        <v>1.00000044354728</v>
      </c>
      <c r="J24" s="678">
        <f t="shared" si="1"/>
        <v>9.4185680034686965E-4</v>
      </c>
      <c r="K24" s="678">
        <f t="shared" si="2"/>
        <v>1.0000000000059894</v>
      </c>
      <c r="L24" s="679">
        <f t="shared" si="3"/>
        <v>3.4610297906381799E-6</v>
      </c>
      <c r="M24" s="678">
        <f t="shared" si="4"/>
        <v>1.0000000002678604</v>
      </c>
      <c r="N24" s="679">
        <f t="shared" si="5"/>
        <v>-2.3145636720852051E-5</v>
      </c>
      <c r="O24" s="677">
        <f t="shared" si="6"/>
        <v>20.7902424137888</v>
      </c>
      <c r="P24" s="680">
        <f t="shared" si="7"/>
        <v>1.5226782733575721</v>
      </c>
      <c r="Q24" s="689">
        <f t="shared" si="8"/>
        <v>1.0000001075450071</v>
      </c>
      <c r="R24" s="690">
        <f t="shared" si="9"/>
        <v>4.6377795869603224E-4</v>
      </c>
      <c r="S24" s="677">
        <f t="shared" si="10"/>
        <v>1.0000000000672156</v>
      </c>
      <c r="T24" s="680">
        <f t="shared" si="11"/>
        <v>1.159444979816465E-5</v>
      </c>
      <c r="U24" s="681">
        <f t="shared" si="24"/>
        <v>0.99959999809712619</v>
      </c>
      <c r="V24" s="682">
        <f t="shared" si="25"/>
        <v>-7.5959095072177516E-5</v>
      </c>
      <c r="W24" s="683">
        <f t="shared" si="12"/>
        <v>77.493141368863149</v>
      </c>
      <c r="X24" s="684">
        <f t="shared" si="13"/>
        <v>-87.27657491278643</v>
      </c>
      <c r="Y24" s="687">
        <f t="shared" si="14"/>
        <v>92.72342508721357</v>
      </c>
      <c r="AA24" s="170">
        <f t="shared" si="15"/>
        <v>1000000000</v>
      </c>
      <c r="AB24" s="170">
        <f t="shared" si="16"/>
        <v>7.5856176399999997</v>
      </c>
      <c r="AD24" s="686">
        <f t="shared" si="17"/>
        <v>78.748259971096175</v>
      </c>
      <c r="AE24" s="687">
        <f t="shared" si="18"/>
        <v>-87.217130512691185</v>
      </c>
      <c r="AG24" s="686">
        <f t="shared" si="19"/>
        <v>40.713163336819989</v>
      </c>
      <c r="AH24" s="687">
        <f t="shared" si="20"/>
        <v>-5.0740128958756972E-2</v>
      </c>
      <c r="AJ24" s="170">
        <f t="shared" si="21"/>
        <v>0</v>
      </c>
      <c r="AK24" s="170">
        <f t="shared" si="22"/>
        <v>0</v>
      </c>
      <c r="AM24" s="170" t="str">
        <f t="shared" si="26"/>
        <v>5.88753501507E-09+0.000108512998660155i</v>
      </c>
      <c r="AN24" s="170" t="str">
        <f t="shared" si="27"/>
        <v>0.000108512998873113i</v>
      </c>
      <c r="AO24" s="170" t="str">
        <f t="shared" si="28"/>
        <v>0.999999998037489-0.0000542564953158694i</v>
      </c>
      <c r="AP24" s="170" t="str">
        <f t="shared" si="29"/>
        <v>0.166666665685411-0.0000180854997766925i</v>
      </c>
      <c r="AQ24" s="170" t="str">
        <f t="shared" si="30"/>
        <v>0.833333334314589+0.0000180854997766925i</v>
      </c>
      <c r="AR24" s="170" t="str">
        <f t="shared" si="31"/>
        <v>0.99959999835215-0.0000216939186308308i</v>
      </c>
    </row>
    <row r="25" spans="1:44" ht="13">
      <c r="A25" s="333" t="s">
        <v>751</v>
      </c>
      <c r="B25" s="711">
        <f>'Design Converter'!E34+'Design Converter'!E34*0+IF(MODE=2,ABS('Design Converter'!L34*('Design Converter'!L14)^2),0)</f>
        <v>100</v>
      </c>
      <c r="C25" s="170" t="s">
        <v>749</v>
      </c>
      <c r="D25" s="709">
        <f>Cout_sec*0.000001</f>
        <v>9.9999999999999991E-5</v>
      </c>
      <c r="E25" s="170" t="s">
        <v>13</v>
      </c>
      <c r="G25" s="688">
        <v>3.02</v>
      </c>
      <c r="H25" s="676">
        <f t="shared" si="23"/>
        <v>3.0200000000000001E-3</v>
      </c>
      <c r="I25" s="677">
        <f t="shared" si="0"/>
        <v>1.0000005332892619</v>
      </c>
      <c r="J25" s="678">
        <f t="shared" si="1"/>
        <v>1.0327526566234961E-3</v>
      </c>
      <c r="K25" s="678">
        <f t="shared" si="2"/>
        <v>1.0000000000072011</v>
      </c>
      <c r="L25" s="679">
        <f t="shared" si="3"/>
        <v>3.7950439211817805E-6</v>
      </c>
      <c r="M25" s="678">
        <f t="shared" si="4"/>
        <v>1.0000000003220557</v>
      </c>
      <c r="N25" s="679">
        <f t="shared" si="5"/>
        <v>-2.5379356217575953E-5</v>
      </c>
      <c r="O25" s="677">
        <f t="shared" si="6"/>
        <v>22.792211413071236</v>
      </c>
      <c r="P25" s="680">
        <f t="shared" si="7"/>
        <v>1.5269076013555731</v>
      </c>
      <c r="Q25" s="689">
        <f t="shared" si="8"/>
        <v>1.000000129304365</v>
      </c>
      <c r="R25" s="690">
        <f t="shared" si="9"/>
        <v>5.0853584160353085E-4</v>
      </c>
      <c r="S25" s="677">
        <f t="shared" si="10"/>
        <v>1.0000000000808154</v>
      </c>
      <c r="T25" s="680">
        <f t="shared" si="11"/>
        <v>1.2713397135335044E-5</v>
      </c>
      <c r="U25" s="681">
        <f t="shared" si="24"/>
        <v>0.99959999771211705</v>
      </c>
      <c r="V25" s="682">
        <f t="shared" si="25"/>
        <v>-8.3289692818433383E-5</v>
      </c>
      <c r="W25" s="683">
        <f t="shared" si="12"/>
        <v>76.69460254743862</v>
      </c>
      <c r="X25" s="684">
        <f t="shared" si="13"/>
        <v>-87.522134037050193</v>
      </c>
      <c r="Y25" s="687">
        <f t="shared" si="14"/>
        <v>92.477865962949807</v>
      </c>
      <c r="AA25" s="170">
        <f t="shared" si="15"/>
        <v>1000000000</v>
      </c>
      <c r="AB25" s="170">
        <f t="shared" si="16"/>
        <v>9.1204000000000001</v>
      </c>
      <c r="AD25" s="686">
        <f t="shared" si="17"/>
        <v>77.949721932024431</v>
      </c>
      <c r="AE25" s="687">
        <f t="shared" si="18"/>
        <v>-87.456952830596563</v>
      </c>
      <c r="AG25" s="686">
        <f t="shared" si="19"/>
        <v>40.713162561158157</v>
      </c>
      <c r="AH25" s="687">
        <f t="shared" si="20"/>
        <v>-5.563691069186269E-2</v>
      </c>
      <c r="AJ25" s="170">
        <f t="shared" si="21"/>
        <v>0</v>
      </c>
      <c r="AK25" s="170">
        <f t="shared" si="22"/>
        <v>0</v>
      </c>
      <c r="AM25" s="170" t="str">
        <f t="shared" si="26"/>
        <v>7.07874803218544E-09+0.000118985279145866i</v>
      </c>
      <c r="AN25" s="170" t="str">
        <f t="shared" si="27"/>
        <v>0.000118985279426622i</v>
      </c>
      <c r="AO25" s="170" t="str">
        <f t="shared" si="28"/>
        <v>0.999999997640414-0.0000594926369572539i</v>
      </c>
      <c r="AP25" s="170" t="str">
        <f t="shared" si="29"/>
        <v>0.166666665486875-0.0000198308798576443i</v>
      </c>
      <c r="AQ25" s="170" t="str">
        <f t="shared" si="30"/>
        <v>0.833333334513125+0.0000198308798576443i</v>
      </c>
      <c r="AR25" s="170" t="str">
        <f t="shared" si="31"/>
        <v>0.999599998018743-0.0000237875369260162i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1.0000006411298359</v>
      </c>
      <c r="J26" s="678">
        <f t="shared" si="1"/>
        <v>1.1323687503373124E-3</v>
      </c>
      <c r="K26" s="678">
        <f t="shared" si="2"/>
        <v>1.0000000000086575</v>
      </c>
      <c r="L26" s="679">
        <f t="shared" si="3"/>
        <v>4.1611022967539835E-6</v>
      </c>
      <c r="M26" s="678">
        <f t="shared" si="4"/>
        <v>1.0000000003871812</v>
      </c>
      <c r="N26" s="679">
        <f t="shared" si="5"/>
        <v>-2.7827371602520049E-5</v>
      </c>
      <c r="O26" s="677">
        <f t="shared" si="6"/>
        <v>24.986632499659525</v>
      </c>
      <c r="P26" s="680">
        <f t="shared" si="7"/>
        <v>1.530764235848773</v>
      </c>
      <c r="Q26" s="689">
        <f t="shared" si="8"/>
        <v>1.0000001554520139</v>
      </c>
      <c r="R26" s="690">
        <f t="shared" si="9"/>
        <v>5.5758764998283699E-4</v>
      </c>
      <c r="S26" s="677">
        <f t="shared" si="10"/>
        <v>1.0000000000971574</v>
      </c>
      <c r="T26" s="680">
        <f t="shared" si="11"/>
        <v>1.3939692693303406E-5</v>
      </c>
      <c r="U26" s="681">
        <f t="shared" si="24"/>
        <v>0.99959999724947302</v>
      </c>
      <c r="V26" s="682">
        <f t="shared" si="25"/>
        <v>-9.132356854251784E-5</v>
      </c>
      <c r="W26" s="683">
        <f t="shared" si="12"/>
        <v>75.896176540718358</v>
      </c>
      <c r="X26" s="684">
        <f t="shared" si="13"/>
        <v>-87.746649893117237</v>
      </c>
      <c r="Y26" s="687">
        <f t="shared" si="14"/>
        <v>92.253350106882763</v>
      </c>
      <c r="AA26" s="170">
        <f t="shared" si="15"/>
        <v>1000000000</v>
      </c>
      <c r="AB26" s="170">
        <f t="shared" si="16"/>
        <v>10.964707690000001</v>
      </c>
      <c r="AD26" s="686">
        <f t="shared" si="17"/>
        <v>77.151296865436706</v>
      </c>
      <c r="AE26" s="687">
        <f t="shared" si="18"/>
        <v>-87.675181510393131</v>
      </c>
      <c r="AG26" s="686">
        <f t="shared" si="19"/>
        <v>40.713161629065795</v>
      </c>
      <c r="AH26" s="687">
        <f t="shared" si="20"/>
        <v>-6.100347261701828E-2</v>
      </c>
      <c r="AJ26" s="170">
        <f t="shared" si="21"/>
        <v>0</v>
      </c>
      <c r="AK26" s="170">
        <f t="shared" si="22"/>
        <v>0</v>
      </c>
      <c r="AM26" s="170" t="str">
        <f t="shared" si="26"/>
        <v>8.51019799075203E-09+0.000130462236638316i</v>
      </c>
      <c r="AN26" s="170" t="str">
        <f t="shared" si="27"/>
        <v>0.000130462237008402i</v>
      </c>
      <c r="AO26" s="170" t="str">
        <f t="shared" si="28"/>
        <v>0.999999997163271-0.0000652311211726651i</v>
      </c>
      <c r="AP26" s="170" t="str">
        <f t="shared" si="29"/>
        <v>0.1666666652483-0.000021743706106386i</v>
      </c>
      <c r="AQ26" s="170" t="str">
        <f t="shared" si="30"/>
        <v>0.8333333347517+0.000021743706106386i</v>
      </c>
      <c r="AR26" s="170" t="str">
        <f t="shared" si="31"/>
        <v>0.999599997618097-0.0000260820102421898i</v>
      </c>
    </row>
    <row r="27" spans="1:44">
      <c r="A27" s="170" t="s">
        <v>740</v>
      </c>
      <c r="B27" s="717">
        <f>Cout_sec/Npri_sec^2</f>
        <v>6.25</v>
      </c>
      <c r="C27" s="170" t="s">
        <v>749</v>
      </c>
      <c r="D27" s="709">
        <f>Cout_pri*0.000001</f>
        <v>6.2499999999999995E-6</v>
      </c>
      <c r="E27" s="170" t="s">
        <v>13</v>
      </c>
      <c r="G27" s="688">
        <v>3.6307999999999998</v>
      </c>
      <c r="H27" s="676">
        <f t="shared" si="23"/>
        <v>3.6308E-3</v>
      </c>
      <c r="I27" s="677">
        <f t="shared" si="0"/>
        <v>1.0000007708210303</v>
      </c>
      <c r="J27" s="678">
        <f t="shared" si="1"/>
        <v>1.2416283946636093E-3</v>
      </c>
      <c r="K27" s="678">
        <f t="shared" si="2"/>
        <v>1.0000000000104086</v>
      </c>
      <c r="L27" s="679">
        <f t="shared" si="3"/>
        <v>4.5625978374163394E-6</v>
      </c>
      <c r="M27" s="678">
        <f t="shared" si="4"/>
        <v>1.0000000004655023</v>
      </c>
      <c r="N27" s="679">
        <f t="shared" si="5"/>
        <v>-3.0512373028464443E-5</v>
      </c>
      <c r="O27" s="677">
        <f t="shared" si="6"/>
        <v>27.393845384433821</v>
      </c>
      <c r="P27" s="680">
        <f t="shared" si="7"/>
        <v>1.5342836643234077</v>
      </c>
      <c r="Q27" s="689">
        <f t="shared" si="8"/>
        <v>1.0000001868976931</v>
      </c>
      <c r="R27" s="690">
        <f t="shared" si="9"/>
        <v>6.1138803404002377E-4</v>
      </c>
      <c r="S27" s="677">
        <f t="shared" si="10"/>
        <v>1.000000000116811</v>
      </c>
      <c r="T27" s="680">
        <f t="shared" si="11"/>
        <v>1.528470275426052E-5</v>
      </c>
      <c r="U27" s="681">
        <f t="shared" si="24"/>
        <v>0.9995999966930752</v>
      </c>
      <c r="V27" s="682">
        <f t="shared" si="25"/>
        <v>-1.001351754862405E-4</v>
      </c>
      <c r="W27" s="683">
        <f t="shared" si="12"/>
        <v>75.097270265099553</v>
      </c>
      <c r="X27" s="684">
        <f t="shared" si="13"/>
        <v>-87.9521886393334</v>
      </c>
      <c r="Y27" s="687">
        <f t="shared" si="14"/>
        <v>92.0478113606666</v>
      </c>
      <c r="AA27" s="170">
        <f t="shared" si="15"/>
        <v>1000000000</v>
      </c>
      <c r="AB27" s="170">
        <f t="shared" si="16"/>
        <v>13.182708639999998</v>
      </c>
      <c r="AD27" s="686">
        <f t="shared" si="17"/>
        <v>76.352391720439755</v>
      </c>
      <c r="AE27" s="687">
        <f t="shared" si="18"/>
        <v>-87.8738244369721</v>
      </c>
      <c r="AG27" s="686">
        <f t="shared" si="19"/>
        <v>40.713160508113432</v>
      </c>
      <c r="AH27" s="687">
        <f t="shared" si="20"/>
        <v>-6.6889556475857884E-2</v>
      </c>
      <c r="AJ27" s="170">
        <f t="shared" si="21"/>
        <v>0</v>
      </c>
      <c r="AK27" s="170">
        <f t="shared" si="22"/>
        <v>0</v>
      </c>
      <c r="AM27" s="170" t="str">
        <f t="shared" si="26"/>
        <v>1.02316870531638E-08+0.00014305024869827i</v>
      </c>
      <c r="AN27" s="170" t="str">
        <f t="shared" si="27"/>
        <v>0.000143050249186152i</v>
      </c>
      <c r="AO27" s="170" t="str">
        <f t="shared" si="28"/>
        <v>0.999999996589436-0.0000715251256909679i</v>
      </c>
      <c r="AP27" s="170" t="str">
        <f t="shared" si="29"/>
        <v>0.166666664961385-0.0000238417081163783i</v>
      </c>
      <c r="AQ27" s="170" t="str">
        <f t="shared" si="30"/>
        <v>0.833333335038615+0.0000238417081163783i</v>
      </c>
      <c r="AR27" s="170" t="str">
        <f t="shared" si="31"/>
        <v>0.999599997136273-0.0000285986055793043i</v>
      </c>
    </row>
    <row r="28" spans="1:44">
      <c r="B28" s="633"/>
      <c r="D28" s="189"/>
      <c r="G28" s="688">
        <v>3.9811000000000001</v>
      </c>
      <c r="H28" s="676">
        <f t="shared" si="23"/>
        <v>3.9811000000000004E-3</v>
      </c>
      <c r="I28" s="677">
        <f t="shared" si="0"/>
        <v>1.000000926733881</v>
      </c>
      <c r="J28" s="678">
        <f t="shared" si="1"/>
        <v>1.3614207029321263E-3</v>
      </c>
      <c r="K28" s="678">
        <f t="shared" si="2"/>
        <v>1.000000000012514</v>
      </c>
      <c r="L28" s="679">
        <f t="shared" si="3"/>
        <v>5.0027977995242634E-6</v>
      </c>
      <c r="M28" s="678">
        <f t="shared" si="4"/>
        <v>1.000000000559659</v>
      </c>
      <c r="N28" s="679">
        <f t="shared" si="5"/>
        <v>-3.3456210272114912E-5</v>
      </c>
      <c r="O28" s="677">
        <f t="shared" si="6"/>
        <v>30.033439523976057</v>
      </c>
      <c r="P28" s="680">
        <f t="shared" si="7"/>
        <v>1.5374939518043764</v>
      </c>
      <c r="Q28" s="689">
        <f t="shared" si="8"/>
        <v>1.0000002247012314</v>
      </c>
      <c r="R28" s="690">
        <f t="shared" si="9"/>
        <v>6.703748047191488E-4</v>
      </c>
      <c r="S28" s="677">
        <f t="shared" si="10"/>
        <v>1.0000000001404383</v>
      </c>
      <c r="T28" s="680">
        <f t="shared" si="11"/>
        <v>1.6759372626976997E-5</v>
      </c>
      <c r="U28" s="681">
        <f t="shared" si="24"/>
        <v>0.99959999602419047</v>
      </c>
      <c r="V28" s="682">
        <f t="shared" si="25"/>
        <v>-1.0979622571316667E-4</v>
      </c>
      <c r="W28" s="683">
        <f t="shared" si="12"/>
        <v>74.298227801668986</v>
      </c>
      <c r="X28" s="684">
        <f t="shared" si="13"/>
        <v>-88.140389941519757</v>
      </c>
      <c r="Y28" s="687">
        <f t="shared" si="14"/>
        <v>91.859610058480243</v>
      </c>
      <c r="AA28" s="170">
        <f t="shared" si="15"/>
        <v>1000000000</v>
      </c>
      <c r="AB28" s="170">
        <f t="shared" si="16"/>
        <v>15.849157210000001</v>
      </c>
      <c r="AD28" s="686">
        <f t="shared" si="17"/>
        <v>75.553350616225913</v>
      </c>
      <c r="AE28" s="687">
        <f t="shared" si="18"/>
        <v>-88.054465160214562</v>
      </c>
      <c r="AG28" s="686">
        <f t="shared" si="19"/>
        <v>40.713159160521073</v>
      </c>
      <c r="AH28" s="687">
        <f t="shared" si="20"/>
        <v>-7.3343060611145441E-2</v>
      </c>
      <c r="AJ28" s="170">
        <f t="shared" si="21"/>
        <v>0</v>
      </c>
      <c r="AK28" s="170">
        <f t="shared" si="22"/>
        <v>0</v>
      </c>
      <c r="AM28" s="170" t="str">
        <f t="shared" si="26"/>
        <v>1.23012360297992E-08+0.0001568517529745i</v>
      </c>
      <c r="AN28" s="170" t="str">
        <f t="shared" si="27"/>
        <v>0.000156851753617657i</v>
      </c>
      <c r="AO28" s="170" t="str">
        <f t="shared" si="28"/>
        <v>0.999999995899587-0.0000784258750449471i</v>
      </c>
      <c r="AP28" s="170" t="str">
        <f t="shared" si="29"/>
        <v>0.166666664616461-0.0000261419588290833i</v>
      </c>
      <c r="AQ28" s="170" t="str">
        <f t="shared" si="30"/>
        <v>0.833333335383539+0.0000261419588290833i</v>
      </c>
      <c r="AR28" s="170" t="str">
        <f t="shared" si="31"/>
        <v>0.999599996557032-0.0000313578022695069i</v>
      </c>
    </row>
    <row r="29" spans="1:44">
      <c r="B29" s="633"/>
      <c r="D29" s="189"/>
      <c r="G29" s="688">
        <v>4.3651999999999997</v>
      </c>
      <c r="H29" s="676">
        <f t="shared" si="23"/>
        <v>4.3651999999999996E-3</v>
      </c>
      <c r="I29" s="677">
        <f t="shared" si="0"/>
        <v>1.0000011141845193</v>
      </c>
      <c r="J29" s="678">
        <f t="shared" si="1"/>
        <v>1.4927715731270952E-3</v>
      </c>
      <c r="K29" s="678">
        <f t="shared" si="2"/>
        <v>1.0000000000150453</v>
      </c>
      <c r="L29" s="679">
        <f t="shared" si="3"/>
        <v>5.4854720942569797E-6</v>
      </c>
      <c r="M29" s="678">
        <f t="shared" si="4"/>
        <v>1.0000000006728613</v>
      </c>
      <c r="N29" s="679">
        <f t="shared" si="5"/>
        <v>-3.6684094614255961E-5</v>
      </c>
      <c r="O29" s="677">
        <f t="shared" si="6"/>
        <v>32.928020704395891</v>
      </c>
      <c r="P29" s="680">
        <f t="shared" si="7"/>
        <v>1.5404223851525438</v>
      </c>
      <c r="Q29" s="689">
        <f t="shared" si="8"/>
        <v>1.0000002701516115</v>
      </c>
      <c r="R29" s="690">
        <f t="shared" si="9"/>
        <v>7.3505312825395113E-4</v>
      </c>
      <c r="S29" s="677">
        <f t="shared" si="10"/>
        <v>1.0000000001688449</v>
      </c>
      <c r="T29" s="680">
        <f t="shared" si="11"/>
        <v>1.8376331513876702E-5</v>
      </c>
      <c r="U29" s="681">
        <f t="shared" si="24"/>
        <v>0.99959999522000353</v>
      </c>
      <c r="V29" s="682">
        <f t="shared" si="25"/>
        <v>-1.2038946283230505E-4</v>
      </c>
      <c r="W29" s="683">
        <f t="shared" si="12"/>
        <v>73.499015475253103</v>
      </c>
      <c r="X29" s="684">
        <f t="shared" si="13"/>
        <v>-88.312853750332934</v>
      </c>
      <c r="Y29" s="687">
        <f t="shared" si="14"/>
        <v>91.687146249667066</v>
      </c>
      <c r="AA29" s="170">
        <f t="shared" si="15"/>
        <v>1000000000</v>
      </c>
      <c r="AB29" s="170">
        <f t="shared" si="16"/>
        <v>19.054971039999998</v>
      </c>
      <c r="AD29" s="686">
        <f t="shared" si="17"/>
        <v>74.754139923966548</v>
      </c>
      <c r="AE29" s="687">
        <f t="shared" si="18"/>
        <v>-88.218638881792842</v>
      </c>
      <c r="AG29" s="686">
        <f t="shared" si="19"/>
        <v>40.713157540340305</v>
      </c>
      <c r="AH29" s="687">
        <f t="shared" si="20"/>
        <v>-8.0419252288059059E-2</v>
      </c>
      <c r="AJ29" s="170">
        <f t="shared" si="21"/>
        <v>0</v>
      </c>
      <c r="AK29" s="170">
        <f t="shared" si="22"/>
        <v>0</v>
      </c>
      <c r="AM29" s="170" t="str">
        <f t="shared" si="26"/>
        <v>1.47894110291702E-08+0.000171984946752509i</v>
      </c>
      <c r="AN29" s="170" t="str">
        <f t="shared" si="27"/>
        <v>0.000171984947600361i</v>
      </c>
      <c r="AO29" s="170" t="str">
        <f t="shared" si="28"/>
        <v>0.999999995070196-0.0000859924733851485i</v>
      </c>
      <c r="AP29" s="170" t="str">
        <f t="shared" si="29"/>
        <v>0.166666664201765-0.0000286641577920848i</v>
      </c>
      <c r="AQ29" s="170" t="str">
        <f t="shared" si="30"/>
        <v>0.833333335798235+0.0000286641577920848i</v>
      </c>
      <c r="AR29" s="170" t="str">
        <f t="shared" si="31"/>
        <v>0.999599995860622-0.0000343832303106779i</v>
      </c>
    </row>
    <row r="30" spans="1:44">
      <c r="A30" s="170" t="s">
        <v>18</v>
      </c>
      <c r="B30" s="714">
        <f>Vref</f>
        <v>1</v>
      </c>
      <c r="C30" s="170" t="s">
        <v>0</v>
      </c>
      <c r="D30" s="189"/>
      <c r="G30" s="688">
        <v>4.7862999999999998</v>
      </c>
      <c r="H30" s="676">
        <f t="shared" si="23"/>
        <v>4.7862999999999994E-3</v>
      </c>
      <c r="I30" s="677">
        <f t="shared" si="0"/>
        <v>1.0000013395181744</v>
      </c>
      <c r="J30" s="678">
        <f t="shared" si="1"/>
        <v>1.6367752925735585E-3</v>
      </c>
      <c r="K30" s="678">
        <f t="shared" si="2"/>
        <v>1.000000000018088</v>
      </c>
      <c r="L30" s="679">
        <f t="shared" si="3"/>
        <v>6.0146419602054713E-6</v>
      </c>
      <c r="M30" s="678">
        <f t="shared" si="4"/>
        <v>1.0000000008089416</v>
      </c>
      <c r="N30" s="679">
        <f t="shared" si="5"/>
        <v>-4.0222918087667131E-5</v>
      </c>
      <c r="O30" s="677">
        <f t="shared" si="6"/>
        <v>36.101704180995732</v>
      </c>
      <c r="P30" s="680">
        <f t="shared" si="7"/>
        <v>1.543093260024857</v>
      </c>
      <c r="Q30" s="689">
        <f t="shared" si="8"/>
        <v>1.0000003247873381</v>
      </c>
      <c r="R30" s="690">
        <f t="shared" si="9"/>
        <v>8.0596184816645179E-4</v>
      </c>
      <c r="S30" s="677">
        <f t="shared" si="10"/>
        <v>1.0000000002029921</v>
      </c>
      <c r="T30" s="680">
        <f t="shared" si="11"/>
        <v>2.014905056420457E-5</v>
      </c>
      <c r="U30" s="681">
        <f t="shared" si="24"/>
        <v>0.99959999425329127</v>
      </c>
      <c r="V30" s="682">
        <f t="shared" si="25"/>
        <v>-1.3200313793459542E-4</v>
      </c>
      <c r="W30" s="683">
        <f t="shared" si="12"/>
        <v>72.699772443020194</v>
      </c>
      <c r="X30" s="684">
        <f t="shared" si="13"/>
        <v>-88.471011067618917</v>
      </c>
      <c r="Y30" s="687">
        <f t="shared" si="14"/>
        <v>91.528988932381083</v>
      </c>
      <c r="AA30" s="170">
        <f t="shared" si="15"/>
        <v>1000000000</v>
      </c>
      <c r="AB30" s="170">
        <f t="shared" si="16"/>
        <v>22.908667689999998</v>
      </c>
      <c r="AD30" s="686">
        <f t="shared" si="17"/>
        <v>73.954898856146215</v>
      </c>
      <c r="AE30" s="687">
        <f t="shared" si="18"/>
        <v>-88.367707538692471</v>
      </c>
      <c r="AG30" s="686">
        <f t="shared" si="19"/>
        <v>40.713155592727965</v>
      </c>
      <c r="AH30" s="687">
        <f t="shared" si="20"/>
        <v>-8.8177083536898515E-2</v>
      </c>
      <c r="AJ30" s="170">
        <f t="shared" si="21"/>
        <v>0</v>
      </c>
      <c r="AK30" s="170">
        <f t="shared" si="22"/>
        <v>0</v>
      </c>
      <c r="AM30" s="170" t="str">
        <f t="shared" si="26"/>
        <v>1.77804370116164E-08+0.000188575907133883i</v>
      </c>
      <c r="AN30" s="170" t="str">
        <f t="shared" si="27"/>
        <v>0.000188575908251537i</v>
      </c>
      <c r="AO30" s="170" t="str">
        <f t="shared" si="28"/>
        <v>0.999999994073188-0.0000942879563804062i</v>
      </c>
      <c r="AP30" s="170" t="str">
        <f t="shared" si="29"/>
        <v>0.16666666370326-0.0000314293178556472i</v>
      </c>
      <c r="AQ30" s="170" t="str">
        <f t="shared" si="30"/>
        <v>0.83333333629674+0.0000314293178556472i</v>
      </c>
      <c r="AR30" s="170" t="str">
        <f t="shared" si="31"/>
        <v>0.999599995023468-0.0000377000950324503i</v>
      </c>
    </row>
    <row r="31" spans="1:44">
      <c r="A31" s="170" t="s">
        <v>745</v>
      </c>
      <c r="B31" s="714">
        <v>600</v>
      </c>
      <c r="C31" s="170" t="s">
        <v>753</v>
      </c>
      <c r="D31" s="708">
        <f>B31*0.000001</f>
        <v>5.9999999999999995E-4</v>
      </c>
      <c r="E31" s="170" t="s">
        <v>754</v>
      </c>
      <c r="G31" s="688">
        <v>5.2481</v>
      </c>
      <c r="H31" s="676">
        <f t="shared" si="23"/>
        <v>5.2481000000000003E-3</v>
      </c>
      <c r="I31" s="677">
        <f t="shared" si="0"/>
        <v>1.000001610471051</v>
      </c>
      <c r="J31" s="678">
        <f t="shared" si="1"/>
        <v>1.7946971274904321E-3</v>
      </c>
      <c r="K31" s="678">
        <f t="shared" si="2"/>
        <v>1.0000000000217466</v>
      </c>
      <c r="L31" s="679">
        <f t="shared" si="3"/>
        <v>6.5949569544903871E-6</v>
      </c>
      <c r="M31" s="678">
        <f t="shared" si="4"/>
        <v>1.0000000009725714</v>
      </c>
      <c r="N31" s="679">
        <f t="shared" si="5"/>
        <v>-4.4103774605197829E-5</v>
      </c>
      <c r="O31" s="677">
        <f t="shared" si="6"/>
        <v>39.582375628331377</v>
      </c>
      <c r="P31" s="680">
        <f t="shared" si="7"/>
        <v>1.5455298694126032</v>
      </c>
      <c r="Q31" s="689">
        <f t="shared" si="8"/>
        <v>1.0000003904841828</v>
      </c>
      <c r="R31" s="690">
        <f t="shared" si="9"/>
        <v>8.8372400186103066E-4</v>
      </c>
      <c r="S31" s="677">
        <f t="shared" si="10"/>
        <v>1.0000000002440528</v>
      </c>
      <c r="T31" s="680">
        <f t="shared" si="11"/>
        <v>2.2093105794268514E-5</v>
      </c>
      <c r="U31" s="681">
        <f t="shared" si="24"/>
        <v>0.999599993090869</v>
      </c>
      <c r="V31" s="682">
        <f t="shared" si="25"/>
        <v>-1.4473928968686866E-4</v>
      </c>
      <c r="W31" s="683">
        <f t="shared" si="12"/>
        <v>71.900287599491676</v>
      </c>
      <c r="X31" s="684">
        <f t="shared" si="13"/>
        <v>-88.616241534447695</v>
      </c>
      <c r="Y31" s="687">
        <f t="shared" si="14"/>
        <v>91.383758465552305</v>
      </c>
      <c r="AA31" s="170">
        <f t="shared" si="15"/>
        <v>1000000000</v>
      </c>
      <c r="AB31" s="170">
        <f t="shared" si="16"/>
        <v>27.542553609999999</v>
      </c>
      <c r="AD31" s="686">
        <f t="shared" si="17"/>
        <v>73.155416374728659</v>
      </c>
      <c r="AE31" s="687">
        <f t="shared" si="18"/>
        <v>-88.502970916034116</v>
      </c>
      <c r="AG31" s="686">
        <f t="shared" si="19"/>
        <v>40.713153250818408</v>
      </c>
      <c r="AH31" s="687">
        <f t="shared" si="20"/>
        <v>-9.6684717537064743E-2</v>
      </c>
      <c r="AJ31" s="170">
        <f t="shared" si="21"/>
        <v>0</v>
      </c>
      <c r="AK31" s="170">
        <f t="shared" si="22"/>
        <v>0</v>
      </c>
      <c r="AM31" s="170" t="str">
        <f t="shared" si="26"/>
        <v>2.13770019463766E-08+0.000206770410764655i</v>
      </c>
      <c r="AN31" s="170" t="str">
        <f t="shared" si="27"/>
        <v>0.000206770412238032i</v>
      </c>
      <c r="AO31" s="170" t="str">
        <f t="shared" si="28"/>
        <v>0.999999992874334-0.000103385207365973i</v>
      </c>
      <c r="AP31" s="170" t="str">
        <f t="shared" si="29"/>
        <v>0.166666663103833-0.0000344617351274425i</v>
      </c>
      <c r="AQ31" s="170" t="str">
        <f t="shared" si="30"/>
        <v>0.833333336896167+0.0000344617351274425i</v>
      </c>
      <c r="AR31" s="170" t="str">
        <f t="shared" si="31"/>
        <v>0.999599994016834-0.0000413375400959069i</v>
      </c>
    </row>
    <row r="32" spans="1:44">
      <c r="A32" s="170" t="s">
        <v>741</v>
      </c>
      <c r="B32" s="714">
        <v>300</v>
      </c>
      <c r="C32" s="706" t="s">
        <v>747</v>
      </c>
      <c r="D32" s="708">
        <f>B32*1000000</f>
        <v>300000000</v>
      </c>
      <c r="E32" s="706" t="s">
        <v>45</v>
      </c>
      <c r="G32" s="688">
        <v>5.7544000000000004</v>
      </c>
      <c r="H32" s="676">
        <f t="shared" si="23"/>
        <v>5.7544000000000007E-3</v>
      </c>
      <c r="I32" s="677">
        <f t="shared" si="0"/>
        <v>1.000001936193434</v>
      </c>
      <c r="J32" s="678">
        <f t="shared" si="1"/>
        <v>1.967836532813036E-3</v>
      </c>
      <c r="K32" s="678">
        <f t="shared" si="2"/>
        <v>1.0000000000261451</v>
      </c>
      <c r="L32" s="679">
        <f t="shared" si="3"/>
        <v>7.23119229793796E-6</v>
      </c>
      <c r="M32" s="678">
        <f t="shared" si="4"/>
        <v>1.0000000011692769</v>
      </c>
      <c r="N32" s="679">
        <f t="shared" si="5"/>
        <v>-4.8358598455606604E-5</v>
      </c>
      <c r="O32" s="677">
        <f t="shared" si="6"/>
        <v>43.398676406739469</v>
      </c>
      <c r="P32" s="680">
        <f t="shared" si="7"/>
        <v>1.5477521099137355</v>
      </c>
      <c r="Q32" s="689">
        <f t="shared" si="8"/>
        <v>1.0000004694607851</v>
      </c>
      <c r="R32" s="690">
        <f t="shared" si="9"/>
        <v>9.6897946467534076E-4</v>
      </c>
      <c r="S32" s="677">
        <f t="shared" si="10"/>
        <v>1.0000000002934131</v>
      </c>
      <c r="T32" s="680">
        <f t="shared" si="11"/>
        <v>2.4224494193775882E-5</v>
      </c>
      <c r="U32" s="681">
        <f t="shared" si="24"/>
        <v>0.99959999169347402</v>
      </c>
      <c r="V32" s="682">
        <f t="shared" si="25"/>
        <v>-1.587027245106889E-4</v>
      </c>
      <c r="W32" s="683">
        <f t="shared" si="12"/>
        <v>71.100792874445645</v>
      </c>
      <c r="X32" s="684">
        <f t="shared" si="13"/>
        <v>-88.749731410662775</v>
      </c>
      <c r="Y32" s="687">
        <f t="shared" si="14"/>
        <v>91.250268589337225</v>
      </c>
      <c r="AA32" s="170">
        <f t="shared" si="15"/>
        <v>1000000000</v>
      </c>
      <c r="AB32" s="170">
        <f t="shared" si="16"/>
        <v>33.113119360000006</v>
      </c>
      <c r="AD32" s="686">
        <f t="shared" si="17"/>
        <v>72.355924489261994</v>
      </c>
      <c r="AE32" s="687">
        <f t="shared" si="18"/>
        <v>-88.625533259312164</v>
      </c>
      <c r="AG32" s="686">
        <f t="shared" si="19"/>
        <v>40.713150435524</v>
      </c>
      <c r="AH32" s="687">
        <f t="shared" si="20"/>
        <v>-0.10601215870644552</v>
      </c>
      <c r="AJ32" s="170">
        <f t="shared" si="21"/>
        <v>0</v>
      </c>
      <c r="AK32" s="170">
        <f t="shared" si="22"/>
        <v>0</v>
      </c>
      <c r="AM32" s="170" t="str">
        <f t="shared" si="26"/>
        <v>2.57005660087017E-08+0.000226718174194345i</v>
      </c>
      <c r="AN32" s="170" t="str">
        <f t="shared" si="27"/>
        <v>0.000226718176136607i</v>
      </c>
      <c r="AO32" s="170" t="str">
        <f t="shared" si="28"/>
        <v>0.999999991433144-0.000113359089450402i</v>
      </c>
      <c r="AP32" s="170" t="str">
        <f t="shared" si="29"/>
        <v>0.166666662383239-0.0000377863623657242i</v>
      </c>
      <c r="AQ32" s="170" t="str">
        <f t="shared" si="30"/>
        <v>0.833333337616761+0.0000377863623657242i</v>
      </c>
      <c r="AR32" s="170" t="str">
        <f t="shared" si="31"/>
        <v>0.99959999280672-0.0000453254968257858i</v>
      </c>
    </row>
    <row r="33" spans="1:44">
      <c r="A33" s="170" t="s">
        <v>771</v>
      </c>
      <c r="B33" s="633">
        <f>RCS/1000</f>
        <v>1.4999999999999999E-2</v>
      </c>
      <c r="C33" s="706" t="s">
        <v>45</v>
      </c>
      <c r="D33" s="189"/>
      <c r="G33" s="688">
        <v>6.3095999999999997</v>
      </c>
      <c r="H33" s="676">
        <f t="shared" si="23"/>
        <v>6.3095999999999994E-3</v>
      </c>
      <c r="I33" s="677">
        <f t="shared" si="0"/>
        <v>1.0000023278351355</v>
      </c>
      <c r="J33" s="678">
        <f t="shared" si="1"/>
        <v>2.1576981345797063E-3</v>
      </c>
      <c r="K33" s="678">
        <f t="shared" si="2"/>
        <v>1.0000000000314335</v>
      </c>
      <c r="L33" s="679">
        <f t="shared" si="3"/>
        <v>7.9288771936098427E-6</v>
      </c>
      <c r="M33" s="678">
        <f t="shared" si="4"/>
        <v>1.0000000014057917</v>
      </c>
      <c r="N33" s="679">
        <f t="shared" si="5"/>
        <v>-5.3024366183682856E-5</v>
      </c>
      <c r="O33" s="677">
        <f t="shared" si="6"/>
        <v>47.583772107130414</v>
      </c>
      <c r="P33" s="680">
        <f t="shared" si="7"/>
        <v>1.5497792115187417</v>
      </c>
      <c r="Q33" s="689">
        <f t="shared" si="8"/>
        <v>1.0000005644206067</v>
      </c>
      <c r="R33" s="690">
        <f t="shared" si="9"/>
        <v>1.0624691441796725E-3</v>
      </c>
      <c r="S33" s="677">
        <f t="shared" si="10"/>
        <v>1.0000000003527629</v>
      </c>
      <c r="T33" s="680">
        <f t="shared" si="11"/>
        <v>2.6561738592902938E-5</v>
      </c>
      <c r="U33" s="681">
        <f t="shared" si="24"/>
        <v>0.99959999001327859</v>
      </c>
      <c r="V33" s="682">
        <f t="shared" si="25"/>
        <v>-1.7401478731090612E-4</v>
      </c>
      <c r="W33" s="683">
        <f t="shared" si="12"/>
        <v>70.301142634808485</v>
      </c>
      <c r="X33" s="684">
        <f t="shared" si="13"/>
        <v>-88.872636067036368</v>
      </c>
      <c r="Y33" s="687">
        <f t="shared" si="14"/>
        <v>91.127363932963632</v>
      </c>
      <c r="AA33" s="170">
        <f t="shared" si="15"/>
        <v>1000000000</v>
      </c>
      <c r="AB33" s="170">
        <f t="shared" si="16"/>
        <v>39.811052159999996</v>
      </c>
      <c r="AD33" s="686">
        <f t="shared" si="17"/>
        <v>71.556277663873743</v>
      </c>
      <c r="AE33" s="687">
        <f t="shared" si="18"/>
        <v>-88.736454976226099</v>
      </c>
      <c r="AG33" s="686">
        <f t="shared" si="19"/>
        <v>40.713147050474767</v>
      </c>
      <c r="AH33" s="687">
        <f t="shared" si="20"/>
        <v>-0.11624046501592022</v>
      </c>
      <c r="AJ33" s="170">
        <f t="shared" si="21"/>
        <v>0</v>
      </c>
      <c r="AK33" s="170">
        <f t="shared" si="22"/>
        <v>0</v>
      </c>
      <c r="AM33" s="170" t="str">
        <f t="shared" si="26"/>
        <v>3.08991290332017E-08+0.000248592553423084i</v>
      </c>
      <c r="AN33" s="170" t="str">
        <f t="shared" si="27"/>
        <v>0.000248592555983515i</v>
      </c>
      <c r="AO33" s="170" t="str">
        <f t="shared" si="28"/>
        <v>0.999999989700291-0.0001242962763344i</v>
      </c>
      <c r="AP33" s="170" t="str">
        <f t="shared" si="29"/>
        <v>0.166666661516812-0.0000414320922371807i</v>
      </c>
      <c r="AQ33" s="170" t="str">
        <f t="shared" si="30"/>
        <v>0.833333338483188+0.0000414320922371807i</v>
      </c>
      <c r="AR33" s="170" t="str">
        <f t="shared" si="31"/>
        <v>0.999599991351705-0.0000496986225432338i</v>
      </c>
    </row>
    <row r="34" spans="1:44">
      <c r="A34" s="170" t="s">
        <v>752</v>
      </c>
      <c r="B34" s="715">
        <f>10*B33</f>
        <v>0.15</v>
      </c>
      <c r="C34" s="706" t="s">
        <v>45</v>
      </c>
      <c r="D34" s="189"/>
      <c r="E34" s="706"/>
      <c r="G34" s="688">
        <v>6.9183000000000003</v>
      </c>
      <c r="H34" s="676">
        <f t="shared" si="23"/>
        <v>6.9183000000000005E-3</v>
      </c>
      <c r="I34" s="677">
        <f t="shared" si="0"/>
        <v>1.0000027986413218</v>
      </c>
      <c r="J34" s="678">
        <f t="shared" si="1"/>
        <v>2.3658549383691152E-3</v>
      </c>
      <c r="K34" s="678">
        <f t="shared" si="2"/>
        <v>1.0000000000377911</v>
      </c>
      <c r="L34" s="679">
        <f t="shared" si="3"/>
        <v>8.6937921719789687E-6</v>
      </c>
      <c r="M34" s="678">
        <f t="shared" si="4"/>
        <v>1.0000000016901143</v>
      </c>
      <c r="N34" s="679">
        <f t="shared" si="5"/>
        <v>-5.8139735086065592E-5</v>
      </c>
      <c r="O34" s="677">
        <f t="shared" si="6"/>
        <v>52.172337536297576</v>
      </c>
      <c r="P34" s="680">
        <f t="shared" si="7"/>
        <v>1.5516279075156374</v>
      </c>
      <c r="Q34" s="689">
        <f t="shared" si="8"/>
        <v>1.0000006785751663</v>
      </c>
      <c r="R34" s="690">
        <f t="shared" si="9"/>
        <v>1.164967624062478E-3</v>
      </c>
      <c r="S34" s="677">
        <f t="shared" si="10"/>
        <v>1.0000000004241096</v>
      </c>
      <c r="T34" s="680">
        <f t="shared" si="11"/>
        <v>2.9124203768628735E-5</v>
      </c>
      <c r="U34" s="681">
        <f t="shared" si="24"/>
        <v>0.99959998799345295</v>
      </c>
      <c r="V34" s="682">
        <f t="shared" si="25"/>
        <v>-1.9080234966437138E-4</v>
      </c>
      <c r="W34" s="683">
        <f t="shared" si="12"/>
        <v>69.501510952046132</v>
      </c>
      <c r="X34" s="684">
        <f t="shared" si="13"/>
        <v>-88.9859702589807</v>
      </c>
      <c r="Y34" s="687">
        <f t="shared" si="14"/>
        <v>91.0140297410193</v>
      </c>
      <c r="AA34" s="170">
        <f t="shared" si="15"/>
        <v>1000000000</v>
      </c>
      <c r="AB34" s="170">
        <f t="shared" si="16"/>
        <v>47.862874890000008</v>
      </c>
      <c r="AD34" s="686">
        <f t="shared" si="17"/>
        <v>70.756650085497668</v>
      </c>
      <c r="AE34" s="687">
        <f t="shared" si="18"/>
        <v>-88.836651542701389</v>
      </c>
      <c r="AG34" s="686">
        <f t="shared" si="19"/>
        <v>40.713142981190487</v>
      </c>
      <c r="AH34" s="687">
        <f t="shared" si="20"/>
        <v>-0.12745437754044572</v>
      </c>
      <c r="AJ34" s="170">
        <f t="shared" si="21"/>
        <v>0</v>
      </c>
      <c r="AK34" s="170">
        <f t="shared" si="22"/>
        <v>0</v>
      </c>
      <c r="AM34" s="170" t="str">
        <f t="shared" si="26"/>
        <v>3.71485070482791E-08+0.000272574784259585i</v>
      </c>
      <c r="AN34" s="170" t="str">
        <f t="shared" si="27"/>
        <v>0.000272574787634834i</v>
      </c>
      <c r="AO34" s="170" t="str">
        <f t="shared" si="28"/>
        <v>0.999999987617163-0.000136287392427676i</v>
      </c>
      <c r="AP34" s="170" t="str">
        <f t="shared" si="29"/>
        <v>0.166666660475249-0.0000454291307099308i</v>
      </c>
      <c r="AQ34" s="170" t="str">
        <f t="shared" si="30"/>
        <v>0.833333339524751+0.0000454291307099308i</v>
      </c>
      <c r="AR34" s="170" t="str">
        <f t="shared" si="31"/>
        <v>0.999599989602579-0.0000544931498974934i</v>
      </c>
    </row>
    <row r="35" spans="1:44">
      <c r="B35" s="633"/>
      <c r="D35" s="189"/>
      <c r="G35" s="688">
        <v>7.5857999999999999</v>
      </c>
      <c r="H35" s="676">
        <f t="shared" si="23"/>
        <v>7.5858000000000002E-3</v>
      </c>
      <c r="I35" s="677">
        <f t="shared" si="0"/>
        <v>1.0000033647369302</v>
      </c>
      <c r="J35" s="678">
        <f t="shared" si="1"/>
        <v>2.5941193094240773E-3</v>
      </c>
      <c r="K35" s="678">
        <f t="shared" si="2"/>
        <v>1.0000000000454352</v>
      </c>
      <c r="L35" s="679">
        <f t="shared" si="3"/>
        <v>9.5325974094592564E-6</v>
      </c>
      <c r="M35" s="678">
        <f t="shared" si="4"/>
        <v>1.000000002031983</v>
      </c>
      <c r="N35" s="679">
        <f t="shared" si="5"/>
        <v>-6.3749245091331483E-5</v>
      </c>
      <c r="O35" s="677">
        <f t="shared" si="6"/>
        <v>57.204325724092186</v>
      </c>
      <c r="P35" s="680">
        <f t="shared" si="7"/>
        <v>1.5533142408445919</v>
      </c>
      <c r="Q35" s="689">
        <f t="shared" si="8"/>
        <v>1.0000008158342386</v>
      </c>
      <c r="R35" s="690">
        <f t="shared" si="9"/>
        <v>1.2773673581595671E-3</v>
      </c>
      <c r="S35" s="677">
        <f t="shared" si="10"/>
        <v>1.0000000005098966</v>
      </c>
      <c r="T35" s="680">
        <f t="shared" si="11"/>
        <v>3.1934201311800376E-5</v>
      </c>
      <c r="U35" s="681">
        <f t="shared" si="24"/>
        <v>0.99959998556482521</v>
      </c>
      <c r="V35" s="682">
        <f t="shared" si="25"/>
        <v>-2.0921157925155338E-4</v>
      </c>
      <c r="W35" s="683">
        <f t="shared" si="12"/>
        <v>68.701735697838856</v>
      </c>
      <c r="X35" s="684">
        <f t="shared" si="13"/>
        <v>-89.090717709801837</v>
      </c>
      <c r="Y35" s="687">
        <f t="shared" si="14"/>
        <v>90.909282290198163</v>
      </c>
      <c r="AA35" s="170">
        <f t="shared" si="15"/>
        <v>1000000000</v>
      </c>
      <c r="AB35" s="170">
        <f t="shared" si="16"/>
        <v>57.544361639999998</v>
      </c>
      <c r="AD35" s="686">
        <f t="shared" si="17"/>
        <v>69.956879766386621</v>
      </c>
      <c r="AE35" s="687">
        <f t="shared" si="18"/>
        <v>-88.926992296023442</v>
      </c>
      <c r="AG35" s="686">
        <f t="shared" si="19"/>
        <v>40.713138088300731</v>
      </c>
      <c r="AH35" s="687">
        <f t="shared" si="20"/>
        <v>-0.13975153271821897</v>
      </c>
      <c r="AJ35" s="170">
        <f t="shared" si="21"/>
        <v>0</v>
      </c>
      <c r="AK35" s="170">
        <f t="shared" si="22"/>
        <v>0</v>
      </c>
      <c r="AM35" s="170" t="str">
        <f t="shared" si="26"/>
        <v>4.46627399508515E-08+0.000298873681866544i</v>
      </c>
      <c r="AN35" s="170" t="str">
        <f t="shared" si="27"/>
        <v>0.00029887368631605i</v>
      </c>
      <c r="AO35" s="170" t="str">
        <f t="shared" si="28"/>
        <v>0.99999998511242-0.000149436842371001i</v>
      </c>
      <c r="AP35" s="170" t="str">
        <f t="shared" si="29"/>
        <v>0.166666659222877-0.0000498122803110907i</v>
      </c>
      <c r="AQ35" s="170" t="str">
        <f t="shared" si="30"/>
        <v>0.833333340777123+0.0000498122803110907i</v>
      </c>
      <c r="AR35" s="170" t="str">
        <f t="shared" si="31"/>
        <v>0.999599987499436-0.0000597508251978145i</v>
      </c>
    </row>
    <row r="36" spans="1:44">
      <c r="B36" s="633"/>
      <c r="D36" s="189"/>
      <c r="G36" s="688">
        <v>8.3176000000000005</v>
      </c>
      <c r="H36" s="676">
        <f t="shared" si="23"/>
        <v>8.3176000000000014E-3</v>
      </c>
      <c r="I36" s="677">
        <f t="shared" si="0"/>
        <v>1.0000040452396219</v>
      </c>
      <c r="J36" s="678">
        <f t="shared" si="1"/>
        <v>2.8443719817764315E-3</v>
      </c>
      <c r="K36" s="678">
        <f t="shared" si="2"/>
        <v>1.0000000000546243</v>
      </c>
      <c r="L36" s="679">
        <f t="shared" si="3"/>
        <v>1.0452204409875371E-5</v>
      </c>
      <c r="M36" s="678">
        <f t="shared" si="4"/>
        <v>1.0000000024429432</v>
      </c>
      <c r="N36" s="679">
        <f t="shared" si="5"/>
        <v>-6.9899116879747284E-5</v>
      </c>
      <c r="O36" s="677">
        <f t="shared" si="6"/>
        <v>62.721198754614868</v>
      </c>
      <c r="P36" s="680">
        <f t="shared" si="7"/>
        <v>1.5548520784234354</v>
      </c>
      <c r="Q36" s="689">
        <f t="shared" si="8"/>
        <v>1.0000009808332435</v>
      </c>
      <c r="R36" s="690">
        <f t="shared" si="9"/>
        <v>1.400594475141253E-3</v>
      </c>
      <c r="S36" s="677">
        <f t="shared" si="10"/>
        <v>1.000000000613021</v>
      </c>
      <c r="T36" s="680">
        <f t="shared" si="11"/>
        <v>3.5014884760047697E-5</v>
      </c>
      <c r="U36" s="681">
        <f t="shared" si="24"/>
        <v>0.99959998264536942</v>
      </c>
      <c r="V36" s="682">
        <f t="shared" si="25"/>
        <v>-2.2939415969577546E-4</v>
      </c>
      <c r="W36" s="683">
        <f t="shared" si="12"/>
        <v>67.90202161154582</v>
      </c>
      <c r="X36" s="684">
        <f t="shared" si="13"/>
        <v>-89.187739899906916</v>
      </c>
      <c r="Y36" s="687">
        <f t="shared" si="14"/>
        <v>90.812260100093084</v>
      </c>
      <c r="AA36" s="170">
        <f t="shared" si="15"/>
        <v>1000000000</v>
      </c>
      <c r="AB36" s="170">
        <f t="shared" si="16"/>
        <v>69.182469760000004</v>
      </c>
      <c r="AD36" s="686">
        <f t="shared" si="17"/>
        <v>69.157171612561811</v>
      </c>
      <c r="AE36" s="687">
        <f t="shared" si="18"/>
        <v>-89.008220015395608</v>
      </c>
      <c r="AG36" s="686">
        <f t="shared" si="19"/>
        <v>40.713132206568936</v>
      </c>
      <c r="AH36" s="687">
        <f t="shared" si="20"/>
        <v>-0.15323325009023528</v>
      </c>
      <c r="AJ36" s="170">
        <f t="shared" si="21"/>
        <v>0</v>
      </c>
      <c r="AK36" s="170">
        <f t="shared" si="22"/>
        <v>0</v>
      </c>
      <c r="AM36" s="170" t="str">
        <f t="shared" si="26"/>
        <v>5.36955929719696E-08+0.000327705941207019i</v>
      </c>
      <c r="AN36" s="170" t="str">
        <f t="shared" si="27"/>
        <v>0.000327705947072474i</v>
      </c>
      <c r="AO36" s="170" t="str">
        <f t="shared" si="28"/>
        <v>0.999999982101469-0.00016385297078571i</v>
      </c>
      <c r="AP36" s="170" t="str">
        <f t="shared" si="29"/>
        <v>0.166666657717401-0.0000546176568678365i</v>
      </c>
      <c r="AQ36" s="170" t="str">
        <f t="shared" si="30"/>
        <v>0.833333342282599+0.0000546176568678365i</v>
      </c>
      <c r="AR36" s="170" t="str">
        <f t="shared" si="31"/>
        <v>0.999599984971248-0.0000655149700775319i</v>
      </c>
    </row>
    <row r="37" spans="1:44">
      <c r="A37" s="189" t="s">
        <v>743</v>
      </c>
      <c r="B37" s="714">
        <f>'Design Converter'!E60*0.001</f>
        <v>6.7000000000000002E-3</v>
      </c>
      <c r="C37" s="706" t="s">
        <v>747</v>
      </c>
      <c r="D37" s="189">
        <f>B37*1000000</f>
        <v>6700</v>
      </c>
      <c r="E37" s="706" t="s">
        <v>45</v>
      </c>
      <c r="G37" s="688">
        <v>9.1201000000000008</v>
      </c>
      <c r="H37" s="676">
        <f t="shared" si="23"/>
        <v>9.1201000000000008E-3</v>
      </c>
      <c r="I37" s="677">
        <f t="shared" si="0"/>
        <v>1.0000048634808858</v>
      </c>
      <c r="J37" s="678">
        <f t="shared" si="1"/>
        <v>3.1188014283457252E-3</v>
      </c>
      <c r="K37" s="678">
        <f t="shared" si="2"/>
        <v>1.0000000000656732</v>
      </c>
      <c r="L37" s="679">
        <f t="shared" si="3"/>
        <v>1.1460655650404229E-5</v>
      </c>
      <c r="M37" s="678">
        <f t="shared" si="4"/>
        <v>1.000000002937085</v>
      </c>
      <c r="N37" s="679">
        <f t="shared" si="5"/>
        <v>-7.6643134515362273E-5</v>
      </c>
      <c r="O37" s="677">
        <f t="shared" si="6"/>
        <v>68.771204774608776</v>
      </c>
      <c r="P37" s="680">
        <f t="shared" si="7"/>
        <v>1.5562548446935252</v>
      </c>
      <c r="Q37" s="689">
        <f t="shared" si="8"/>
        <v>1.0000011792293304</v>
      </c>
      <c r="R37" s="690">
        <f t="shared" si="9"/>
        <v>1.5357266499055123E-3</v>
      </c>
      <c r="S37" s="677">
        <f t="shared" si="10"/>
        <v>1.0000000007370187</v>
      </c>
      <c r="T37" s="680">
        <f t="shared" si="11"/>
        <v>3.8393196411670771E-5</v>
      </c>
      <c r="U37" s="681">
        <f t="shared" si="24"/>
        <v>0.99959997913499377</v>
      </c>
      <c r="V37" s="682">
        <f t="shared" si="25"/>
        <v>-2.5152660533363474E-4</v>
      </c>
      <c r="W37" s="683">
        <f t="shared" si="12"/>
        <v>67.10217055134035</v>
      </c>
      <c r="X37" s="684">
        <f t="shared" si="13"/>
        <v>-89.277883915173902</v>
      </c>
      <c r="Y37" s="687">
        <f t="shared" si="14"/>
        <v>90.722116084826098</v>
      </c>
      <c r="AA37" s="170">
        <f t="shared" si="15"/>
        <v>1000000000</v>
      </c>
      <c r="AB37" s="170">
        <f t="shared" si="16"/>
        <v>83.176224010000013</v>
      </c>
      <c r="AD37" s="686">
        <f t="shared" si="17"/>
        <v>68.357327685592907</v>
      </c>
      <c r="AE37" s="687">
        <f t="shared" si="18"/>
        <v>-89.081043662107376</v>
      </c>
      <c r="AG37" s="686">
        <f t="shared" si="19"/>
        <v>40.713125134338249</v>
      </c>
      <c r="AH37" s="687">
        <f t="shared" si="20"/>
        <v>-0.16801742719186355</v>
      </c>
      <c r="AJ37" s="170">
        <f t="shared" si="21"/>
        <v>0</v>
      </c>
      <c r="AK37" s="170">
        <f t="shared" si="22"/>
        <v>0</v>
      </c>
      <c r="AM37" s="170" t="str">
        <f t="shared" si="26"/>
        <v>6.45567690416016E-08+0.000359323716406394i</v>
      </c>
      <c r="AN37" s="170" t="str">
        <f t="shared" si="27"/>
        <v>0.000359323724138654i</v>
      </c>
      <c r="AO37" s="170" t="str">
        <f t="shared" si="28"/>
        <v>0.999999978481076-0.000179661861170878i</v>
      </c>
      <c r="AP37" s="170" t="str">
        <f t="shared" si="29"/>
        <v>0.166666655907205-0.0000598872860677323i</v>
      </c>
      <c r="AQ37" s="170" t="str">
        <f t="shared" si="30"/>
        <v>0.833333344092795+0.0000598872860677323i</v>
      </c>
      <c r="AR37" s="170" t="str">
        <f t="shared" si="31"/>
        <v>0.999599981931335-0.0000718359951579663i</v>
      </c>
    </row>
    <row r="38" spans="1:44">
      <c r="A38" s="189" t="s">
        <v>744</v>
      </c>
      <c r="B38" s="714">
        <f>'Design Converter'!E62*1000</f>
        <v>4000</v>
      </c>
      <c r="C38" s="170" t="s">
        <v>15</v>
      </c>
      <c r="D38" s="189">
        <f>B38*0.000000000001</f>
        <v>4.0000000000000002E-9</v>
      </c>
      <c r="E38" s="170" t="s">
        <v>13</v>
      </c>
      <c r="G38" s="688">
        <v>10</v>
      </c>
      <c r="H38" s="676">
        <f t="shared" si="23"/>
        <v>0.01</v>
      </c>
      <c r="I38" s="677">
        <f t="shared" si="0"/>
        <v>1.0000058471979842</v>
      </c>
      <c r="J38" s="678">
        <f t="shared" si="1"/>
        <v>3.4196986688840038E-3</v>
      </c>
      <c r="K38" s="678">
        <f t="shared" si="2"/>
        <v>1.0000000000789568</v>
      </c>
      <c r="L38" s="679">
        <f t="shared" si="3"/>
        <v>1.2566370599338533E-5</v>
      </c>
      <c r="M38" s="678">
        <f t="shared" si="4"/>
        <v>1.0000000035311594</v>
      </c>
      <c r="N38" s="679">
        <f t="shared" si="5"/>
        <v>-8.4037603189666558E-5</v>
      </c>
      <c r="O38" s="677">
        <f t="shared" si="6"/>
        <v>75.404854764369105</v>
      </c>
      <c r="P38" s="680">
        <f t="shared" si="7"/>
        <v>1.5575341924434534</v>
      </c>
      <c r="Q38" s="689">
        <f t="shared" si="8"/>
        <v>1.0000014177479248</v>
      </c>
      <c r="R38" s="690">
        <f t="shared" si="9"/>
        <v>1.6838920688437514E-3</v>
      </c>
      <c r="S38" s="677">
        <f t="shared" si="10"/>
        <v>1.000000000886093</v>
      </c>
      <c r="T38" s="680">
        <f t="shared" si="11"/>
        <v>4.20973414851319E-5</v>
      </c>
      <c r="U38" s="681">
        <f t="shared" si="24"/>
        <v>0.99959997491470154</v>
      </c>
      <c r="V38" s="682">
        <f t="shared" si="25"/>
        <v>-2.7579369136886605E-4</v>
      </c>
      <c r="W38" s="683">
        <f t="shared" si="12"/>
        <v>66.302310542711325</v>
      </c>
      <c r="X38" s="684">
        <f t="shared" si="13"/>
        <v>-89.361898983182556</v>
      </c>
      <c r="Y38" s="687">
        <f t="shared" si="14"/>
        <v>90.638101016817444</v>
      </c>
      <c r="AA38" s="170">
        <f t="shared" si="15"/>
        <v>1000000000</v>
      </c>
      <c r="AB38" s="170">
        <f t="shared" si="16"/>
        <v>100</v>
      </c>
      <c r="AD38" s="686">
        <f t="shared" si="17"/>
        <v>67.557476252772489</v>
      </c>
      <c r="AE38" s="687">
        <f t="shared" si="18"/>
        <v>-89.146067867486579</v>
      </c>
      <c r="AG38" s="686">
        <f t="shared" si="19"/>
        <v>40.713116631872957</v>
      </c>
      <c r="AH38" s="687">
        <f t="shared" si="20"/>
        <v>-0.18422748659632363</v>
      </c>
      <c r="AJ38" s="170">
        <f t="shared" si="21"/>
        <v>0</v>
      </c>
      <c r="AK38" s="170">
        <f t="shared" si="22"/>
        <v>0</v>
      </c>
      <c r="AM38" s="170" t="str">
        <f t="shared" si="26"/>
        <v>7.7614449978114E-08+0.00039399098128575i</v>
      </c>
      <c r="AN38" s="170" t="str">
        <f t="shared" si="27"/>
        <v>0.000393990991478881i</v>
      </c>
      <c r="AO38" s="170" t="str">
        <f t="shared" si="28"/>
        <v>0.999999974128518-0.000196995493949699i</v>
      </c>
      <c r="AP38" s="170" t="str">
        <f t="shared" si="29"/>
        <v>0.166666653730925-0.000065665163547625i</v>
      </c>
      <c r="AQ38" s="170" t="str">
        <f t="shared" si="30"/>
        <v>0.833333346269075+0.000065665163547625i</v>
      </c>
      <c r="AR38" s="170" t="str">
        <f t="shared" si="31"/>
        <v>0.999599978276648-0.0000787666740441998i</v>
      </c>
    </row>
    <row r="39" spans="1:44">
      <c r="A39" s="189" t="s">
        <v>750</v>
      </c>
      <c r="B39" s="714">
        <f>'Design Converter'!E64</f>
        <v>100</v>
      </c>
      <c r="C39" s="170" t="s">
        <v>15</v>
      </c>
      <c r="D39" s="189">
        <f>B39*0.000000000001</f>
        <v>1E-10</v>
      </c>
      <c r="E39" s="170" t="s">
        <v>13</v>
      </c>
      <c r="G39" s="688">
        <v>10.965</v>
      </c>
      <c r="H39" s="676">
        <f t="shared" si="23"/>
        <v>1.0964999999999999E-2</v>
      </c>
      <c r="I39" s="677">
        <f t="shared" si="0"/>
        <v>1.0000070301536066</v>
      </c>
      <c r="J39" s="678">
        <f t="shared" si="1"/>
        <v>3.7496966332942975E-3</v>
      </c>
      <c r="K39" s="678">
        <f t="shared" si="2"/>
        <v>1.0000000000949307</v>
      </c>
      <c r="L39" s="679">
        <f t="shared" si="3"/>
        <v>1.3779025362027963E-5</v>
      </c>
      <c r="M39" s="678">
        <f t="shared" si="4"/>
        <v>1.0000000042455561</v>
      </c>
      <c r="N39" s="679">
        <f t="shared" si="5"/>
        <v>-9.214723185358292E-5</v>
      </c>
      <c r="O39" s="677">
        <f t="shared" si="6"/>
        <v>82.680199795669921</v>
      </c>
      <c r="P39" s="680">
        <f t="shared" si="7"/>
        <v>1.5587012377076561</v>
      </c>
      <c r="Q39" s="689">
        <f t="shared" si="8"/>
        <v>1.000001704575453</v>
      </c>
      <c r="R39" s="690">
        <f t="shared" si="9"/>
        <v>1.846387300424407E-3</v>
      </c>
      <c r="S39" s="677">
        <f t="shared" si="10"/>
        <v>1.0000000010653605</v>
      </c>
      <c r="T39" s="680">
        <f t="shared" si="11"/>
        <v>4.6159734932930502E-5</v>
      </c>
      <c r="U39" s="681">
        <f t="shared" si="24"/>
        <v>0.99959996983963595</v>
      </c>
      <c r="V39" s="682">
        <f t="shared" si="25"/>
        <v>-3.0240777999769499E-4</v>
      </c>
      <c r="W39" s="683">
        <f t="shared" si="12"/>
        <v>65.502258527307816</v>
      </c>
      <c r="X39" s="684">
        <f t="shared" si="13"/>
        <v>-89.440515751509238</v>
      </c>
      <c r="Y39" s="687">
        <f t="shared" si="14"/>
        <v>90.559484248490762</v>
      </c>
      <c r="AA39" s="170">
        <f t="shared" si="15"/>
        <v>1000000000</v>
      </c>
      <c r="AB39" s="170">
        <f t="shared" si="16"/>
        <v>120.23122499999999</v>
      </c>
      <c r="AD39" s="686">
        <f t="shared" si="17"/>
        <v>66.757434550079992</v>
      </c>
      <c r="AE39" s="687">
        <f t="shared" si="18"/>
        <v>-89.203857102730865</v>
      </c>
      <c r="AG39" s="686">
        <f t="shared" si="19"/>
        <v>40.713106407360158</v>
      </c>
      <c r="AH39" s="687">
        <f t="shared" si="20"/>
        <v>-0.20200526976718902</v>
      </c>
      <c r="AJ39" s="170">
        <f t="shared" si="21"/>
        <v>0</v>
      </c>
      <c r="AK39" s="170">
        <f t="shared" si="22"/>
        <v>0</v>
      </c>
      <c r="AM39" s="170" t="str">
        <f t="shared" si="26"/>
        <v>9.33168029515485E-08+0.000432011108718627i</v>
      </c>
      <c r="AN39" s="170" t="str">
        <f t="shared" si="27"/>
        <v>0.000432011122156593i</v>
      </c>
      <c r="AO39" s="170" t="str">
        <f t="shared" si="28"/>
        <v>0.999999968894398-0.000216005556722041i</v>
      </c>
      <c r="AP39" s="170" t="str">
        <f t="shared" si="29"/>
        <v>0.166666651113866-0.0000720018514531045i</v>
      </c>
      <c r="AQ39" s="170" t="str">
        <f t="shared" si="30"/>
        <v>0.833333348886134+0.0000720018514531045i</v>
      </c>
      <c r="AR39" s="170" t="str">
        <f t="shared" si="31"/>
        <v>0.999599973881748-0.0000863676569864421i</v>
      </c>
    </row>
    <row r="40" spans="1:44">
      <c r="B40" s="633"/>
      <c r="D40" s="189"/>
      <c r="G40" s="688">
        <v>12.023</v>
      </c>
      <c r="H40" s="676">
        <f t="shared" si="23"/>
        <v>1.2022999999999999E-2</v>
      </c>
      <c r="I40" s="677">
        <f t="shared" si="0"/>
        <v>1.0000084522615527</v>
      </c>
      <c r="J40" s="678">
        <f t="shared" si="1"/>
        <v>4.1114965691571937E-3</v>
      </c>
      <c r="K40" s="678">
        <f t="shared" si="2"/>
        <v>1.000000000114134</v>
      </c>
      <c r="L40" s="679">
        <f t="shared" si="3"/>
        <v>1.5108547371230398E-5</v>
      </c>
      <c r="M40" s="678">
        <f t="shared" si="4"/>
        <v>1.0000000051043803</v>
      </c>
      <c r="N40" s="679">
        <f t="shared" si="5"/>
        <v>-1.0103841020896561E-4</v>
      </c>
      <c r="O40" s="677">
        <f t="shared" si="6"/>
        <v>90.656799708153301</v>
      </c>
      <c r="P40" s="680">
        <f t="shared" si="7"/>
        <v>1.5597654909017558</v>
      </c>
      <c r="Q40" s="689">
        <f t="shared" si="8"/>
        <v>1.0000020493898327</v>
      </c>
      <c r="R40" s="690">
        <f t="shared" si="9"/>
        <v>2.0245425818477868E-3</v>
      </c>
      <c r="S40" s="677">
        <f t="shared" si="10"/>
        <v>1.0000000012808699</v>
      </c>
      <c r="T40" s="680">
        <f t="shared" si="11"/>
        <v>5.0613633654253354E-5</v>
      </c>
      <c r="U40" s="681">
        <f t="shared" si="24"/>
        <v>0.99959996373856452</v>
      </c>
      <c r="V40" s="682">
        <f t="shared" si="25"/>
        <v>-3.3158675197162926E-4</v>
      </c>
      <c r="W40" s="683">
        <f t="shared" si="12"/>
        <v>64.702271793632192</v>
      </c>
      <c r="X40" s="684">
        <f t="shared" si="13"/>
        <v>-89.514375304116882</v>
      </c>
      <c r="Y40" s="687">
        <f t="shared" si="14"/>
        <v>90.485624695883118</v>
      </c>
      <c r="AA40" s="170">
        <f t="shared" si="15"/>
        <v>1000000000</v>
      </c>
      <c r="AB40" s="170">
        <f t="shared" si="16"/>
        <v>144.55252899999999</v>
      </c>
      <c r="AD40" s="686">
        <f t="shared" si="17"/>
        <v>65.957460213969426</v>
      </c>
      <c r="AE40" s="687">
        <f t="shared" si="18"/>
        <v>-89.254881963019997</v>
      </c>
      <c r="AG40" s="686">
        <f t="shared" si="19"/>
        <v>40.713094115823992</v>
      </c>
      <c r="AH40" s="687">
        <f t="shared" si="20"/>
        <v>-0.22149629819263611</v>
      </c>
      <c r="AJ40" s="170">
        <f t="shared" si="21"/>
        <v>0</v>
      </c>
      <c r="AK40" s="170">
        <f t="shared" si="22"/>
        <v>0</v>
      </c>
      <c r="AM40" s="170" t="str">
        <f t="shared" si="26"/>
        <v>1.12193649037806E-07+0.000473695351339855i</v>
      </c>
      <c r="AN40" s="170" t="str">
        <f t="shared" si="27"/>
        <v>0.000473695369055059i</v>
      </c>
      <c r="AO40" s="170" t="str">
        <f t="shared" si="28"/>
        <v>0.999999962602117-0.000236847679684125i</v>
      </c>
      <c r="AP40" s="170" t="str">
        <f t="shared" si="29"/>
        <v>0.166666647967725-0.0000789492252233092i</v>
      </c>
      <c r="AQ40" s="170" t="str">
        <f t="shared" si="30"/>
        <v>0.833333352032275+0.0000789492252233092i</v>
      </c>
      <c r="AR40" s="170" t="str">
        <f t="shared" si="31"/>
        <v>0.999599968598345-0.0000947011695399263i</v>
      </c>
    </row>
    <row r="41" spans="1:44" ht="13">
      <c r="A41" s="333" t="str">
        <f>V3</f>
        <v>Adc</v>
      </c>
      <c r="B41" s="170">
        <f>Adc</f>
        <v>155844.15584415584</v>
      </c>
      <c r="C41" s="170" t="str">
        <f>X3</f>
        <v>V/V</v>
      </c>
      <c r="D41" s="172">
        <f>10*LOG10(B41)</f>
        <v>51.926905208751428</v>
      </c>
      <c r="E41" s="170" t="s">
        <v>781</v>
      </c>
      <c r="G41" s="688">
        <v>13.183</v>
      </c>
      <c r="H41" s="676">
        <f t="shared" si="23"/>
        <v>1.3183E-2</v>
      </c>
      <c r="I41" s="677">
        <f t="shared" si="0"/>
        <v>1.0000101619105188</v>
      </c>
      <c r="J41" s="678">
        <f t="shared" si="1"/>
        <v>4.5081757875921986E-3</v>
      </c>
      <c r="K41" s="678">
        <f t="shared" si="2"/>
        <v>1.0000000001372202</v>
      </c>
      <c r="L41" s="679">
        <f t="shared" si="3"/>
        <v>1.6566246360464513E-5</v>
      </c>
      <c r="M41" s="678">
        <f t="shared" si="4"/>
        <v>1.0000000061368544</v>
      </c>
      <c r="N41" s="679">
        <f t="shared" si="5"/>
        <v>-1.1078677209248639E-4</v>
      </c>
      <c r="O41" s="677">
        <f t="shared" si="6"/>
        <v>99.402508353307496</v>
      </c>
      <c r="P41" s="680">
        <f t="shared" si="7"/>
        <v>1.5607360487902036</v>
      </c>
      <c r="Q41" s="689">
        <f t="shared" si="8"/>
        <v>1.00000246392394</v>
      </c>
      <c r="R41" s="690">
        <f t="shared" si="9"/>
        <v>2.2198733661061999E-3</v>
      </c>
      <c r="S41" s="677">
        <f t="shared" si="10"/>
        <v>1.0000000015399544</v>
      </c>
      <c r="T41" s="680">
        <f t="shared" si="11"/>
        <v>5.5496925255657849E-5</v>
      </c>
      <c r="U41" s="681">
        <f t="shared" si="24"/>
        <v>0.99959995640388488</v>
      </c>
      <c r="V41" s="682">
        <f t="shared" si="25"/>
        <v>-3.6357881804157261E-4</v>
      </c>
      <c r="W41" s="683">
        <f t="shared" si="12"/>
        <v>63.90232129234051</v>
      </c>
      <c r="X41" s="684">
        <f t="shared" si="13"/>
        <v>-89.584108412823468</v>
      </c>
      <c r="Y41" s="687">
        <f t="shared" si="14"/>
        <v>90.415891587176532</v>
      </c>
      <c r="AA41" s="170">
        <f t="shared" si="15"/>
        <v>1000000000</v>
      </c>
      <c r="AB41" s="170">
        <f t="shared" si="16"/>
        <v>173.79148899999998</v>
      </c>
      <c r="AD41" s="686">
        <f t="shared" si="17"/>
        <v>65.157524616927006</v>
      </c>
      <c r="AE41" s="687">
        <f t="shared" si="18"/>
        <v>-89.299578996304149</v>
      </c>
      <c r="AG41" s="686">
        <f t="shared" si="19"/>
        <v>40.713079339042153</v>
      </c>
      <c r="AH41" s="687">
        <f t="shared" si="20"/>
        <v>-0.24286635288342573</v>
      </c>
      <c r="AJ41" s="170">
        <f t="shared" si="21"/>
        <v>0</v>
      </c>
      <c r="AK41" s="170">
        <f t="shared" si="22"/>
        <v>0</v>
      </c>
      <c r="AM41" s="170" t="str">
        <f t="shared" si="26"/>
        <v>1.34887305991427E-07+0.000519398300713195i</v>
      </c>
      <c r="AN41" s="170" t="str">
        <f t="shared" si="27"/>
        <v>0.000519398324066609i</v>
      </c>
      <c r="AO41" s="170" t="str">
        <f t="shared" si="28"/>
        <v>0.999999955037564-0.000259699155236644i</v>
      </c>
      <c r="AP41" s="170" t="str">
        <f t="shared" si="29"/>
        <v>0.166666644185449-0.0000865663834521992i</v>
      </c>
      <c r="AQ41" s="170" t="str">
        <f t="shared" si="30"/>
        <v>0.833333355814551+0.0000865663834521992i</v>
      </c>
      <c r="AR41" s="170" t="str">
        <f t="shared" si="31"/>
        <v>0.999599962246664-0.00010383810155549i</v>
      </c>
    </row>
    <row r="42" spans="1:44" ht="13">
      <c r="A42" s="333" t="str">
        <f>V4</f>
        <v>Crossover</v>
      </c>
      <c r="B42" s="332">
        <f>W4</f>
        <v>10.9025</v>
      </c>
      <c r="C42" s="170" t="str">
        <f>X4</f>
        <v>kHz</v>
      </c>
      <c r="G42" s="688">
        <v>14.454000000000001</v>
      </c>
      <c r="H42" s="676">
        <f t="shared" si="23"/>
        <v>1.4454E-2</v>
      </c>
      <c r="I42" s="677">
        <f t="shared" si="0"/>
        <v>1.0000122158169689</v>
      </c>
      <c r="J42" s="678">
        <f t="shared" si="1"/>
        <v>4.9428114701774032E-3</v>
      </c>
      <c r="K42" s="678">
        <f t="shared" si="2"/>
        <v>1.0000000001649552</v>
      </c>
      <c r="L42" s="679">
        <f t="shared" si="3"/>
        <v>1.8163432063242564E-5</v>
      </c>
      <c r="M42" s="678">
        <f t="shared" si="4"/>
        <v>1.0000000073772317</v>
      </c>
      <c r="N42" s="679">
        <f t="shared" si="5"/>
        <v>-1.2146795133889436E-4</v>
      </c>
      <c r="O42" s="677">
        <f t="shared" si="6"/>
        <v>108.98518026772813</v>
      </c>
      <c r="P42" s="680">
        <f t="shared" si="7"/>
        <v>1.5616206385968294</v>
      </c>
      <c r="Q42" s="689">
        <f t="shared" si="8"/>
        <v>1.0000029619299671</v>
      </c>
      <c r="R42" s="690">
        <f t="shared" si="9"/>
        <v>2.4338950907247642E-3</v>
      </c>
      <c r="S42" s="677">
        <f t="shared" si="10"/>
        <v>1.000000001851209</v>
      </c>
      <c r="T42" s="680">
        <f t="shared" si="11"/>
        <v>6.0847497343459725E-5</v>
      </c>
      <c r="U42" s="681">
        <f t="shared" si="24"/>
        <v>0.99959994759226489</v>
      </c>
      <c r="V42" s="682">
        <f t="shared" si="25"/>
        <v>-3.9863219553254382E-4</v>
      </c>
      <c r="W42" s="683">
        <f t="shared" si="12"/>
        <v>63.10290564538483</v>
      </c>
      <c r="X42" s="684">
        <f t="shared" si="13"/>
        <v>-89.650267374389884</v>
      </c>
      <c r="Y42" s="687">
        <f t="shared" si="14"/>
        <v>90.349732625610116</v>
      </c>
      <c r="AA42" s="170">
        <f t="shared" si="15"/>
        <v>1000000000</v>
      </c>
      <c r="AB42" s="170">
        <f t="shared" si="16"/>
        <v>208.91811600000003</v>
      </c>
      <c r="AD42" s="686">
        <f t="shared" si="17"/>
        <v>64.358126875329162</v>
      </c>
      <c r="AE42" s="687">
        <f t="shared" si="18"/>
        <v>-89.338306282522211</v>
      </c>
      <c r="AG42" s="686">
        <f t="shared" si="19"/>
        <v>40.71306158681908</v>
      </c>
      <c r="AH42" s="687">
        <f t="shared" si="20"/>
        <v>-0.2662812070513636</v>
      </c>
      <c r="AJ42" s="170">
        <f t="shared" si="21"/>
        <v>0</v>
      </c>
      <c r="AK42" s="170">
        <f t="shared" si="22"/>
        <v>0</v>
      </c>
      <c r="AM42" s="170" t="str">
        <f t="shared" si="26"/>
        <v>1.62150644023029E-07+0.000569474548303351i</v>
      </c>
      <c r="AN42" s="170" t="str">
        <f t="shared" si="27"/>
        <v>0.000569474579083575i</v>
      </c>
      <c r="AO42" s="170" t="str">
        <f t="shared" si="28"/>
        <v>0.999999945949784-0.000284737282362927i</v>
      </c>
      <c r="AP42" s="170" t="str">
        <f t="shared" si="29"/>
        <v>0.166666639641559-0.0000949124247172252i</v>
      </c>
      <c r="AQ42" s="170" t="str">
        <f t="shared" si="30"/>
        <v>0.833333360358441+0.0000949124247172252i</v>
      </c>
      <c r="AR42" s="170" t="str">
        <f t="shared" si="31"/>
        <v>0.999599954615984-0.000113849342835649i</v>
      </c>
    </row>
    <row r="43" spans="1:44" ht="13">
      <c r="A43" s="333" t="str">
        <f>V5</f>
        <v>Phase Margin</v>
      </c>
      <c r="B43" s="531">
        <f>W5</f>
        <v>52.37749534713295</v>
      </c>
      <c r="C43" s="170" t="str">
        <f>X5</f>
        <v>°</v>
      </c>
      <c r="G43" s="688">
        <v>15.849</v>
      </c>
      <c r="H43" s="676">
        <f t="shared" si="23"/>
        <v>1.5848999999999999E-2</v>
      </c>
      <c r="I43" s="677">
        <f t="shared" si="0"/>
        <v>1.0000146875585312</v>
      </c>
      <c r="J43" s="678">
        <f t="shared" si="1"/>
        <v>5.4198484781841985E-3</v>
      </c>
      <c r="K43" s="678">
        <f t="shared" si="2"/>
        <v>1.0000000001983325</v>
      </c>
      <c r="L43" s="679">
        <f t="shared" si="3"/>
        <v>1.9916440761306617E-5</v>
      </c>
      <c r="M43" s="678">
        <f t="shared" si="4"/>
        <v>1.0000000088699474</v>
      </c>
      <c r="N43" s="679">
        <f t="shared" si="5"/>
        <v>-1.3319119682124946E-4</v>
      </c>
      <c r="O43" s="677">
        <f t="shared" si="6"/>
        <v>119.50282865826699</v>
      </c>
      <c r="P43" s="680">
        <f t="shared" si="7"/>
        <v>1.5624282263727236</v>
      </c>
      <c r="Q43" s="689">
        <f t="shared" si="8"/>
        <v>1.0000035612485516</v>
      </c>
      <c r="R43" s="690">
        <f t="shared" si="9"/>
        <v>2.6687967262030623E-3</v>
      </c>
      <c r="S43" s="677">
        <f t="shared" si="10"/>
        <v>1.0000000022257842</v>
      </c>
      <c r="T43" s="680">
        <f t="shared" si="11"/>
        <v>6.6720076460196015E-5</v>
      </c>
      <c r="U43" s="681">
        <f t="shared" si="24"/>
        <v>0.99959993698803673</v>
      </c>
      <c r="V43" s="682">
        <f t="shared" si="25"/>
        <v>-4.3710541195154956E-4</v>
      </c>
      <c r="W43" s="683">
        <f>20*LOG10(((K43*Q43*M43*U43)/(I43*O43*S43))*Adc)</f>
        <v>62.30267453243485</v>
      </c>
      <c r="X43" s="684">
        <f t="shared" si="13"/>
        <v>-89.713524159935801</v>
      </c>
      <c r="Y43" s="687">
        <f t="shared" si="14"/>
        <v>90.286475840064199</v>
      </c>
      <c r="AA43" s="170">
        <f t="shared" si="15"/>
        <v>1000000000</v>
      </c>
      <c r="AB43" s="170">
        <f t="shared" si="16"/>
        <v>251.19080099999999</v>
      </c>
      <c r="AD43" s="686">
        <f t="shared" si="17"/>
        <v>63.557917310253352</v>
      </c>
      <c r="AE43" s="687">
        <f t="shared" si="18"/>
        <v>-89.371455255389805</v>
      </c>
      <c r="AG43" s="686">
        <f t="shared" si="19"/>
        <v>40.713040223232952</v>
      </c>
      <c r="AH43" s="687">
        <f t="shared" si="20"/>
        <v>-0.29198031387445039</v>
      </c>
      <c r="AJ43" s="170">
        <f t="shared" si="21"/>
        <v>0</v>
      </c>
      <c r="AK43" s="170">
        <f t="shared" si="22"/>
        <v>0</v>
      </c>
      <c r="AM43" s="170" t="str">
        <f t="shared" si="26"/>
        <v>1.94960353971929E-07+0.00062443628181477i</v>
      </c>
      <c r="AN43" s="170" t="str">
        <f t="shared" si="27"/>
        <v>0.000624436322394879i</v>
      </c>
      <c r="AO43" s="170" t="str">
        <f t="shared" si="28"/>
        <v>0.999999935013215-0.000312218150962462i</v>
      </c>
      <c r="AP43" s="170" t="str">
        <f t="shared" si="29"/>
        <v>0.166666634173274-0.000104072713635795i</v>
      </c>
      <c r="AQ43" s="170" t="str">
        <f t="shared" si="30"/>
        <v>0.833333365826726+0.000104072713635795i</v>
      </c>
      <c r="AR43" s="170" t="str">
        <f t="shared" si="31"/>
        <v>0.999599945432941-0.000124837289778014i</v>
      </c>
    </row>
    <row r="44" spans="1:44">
      <c r="G44" s="688">
        <v>17.378</v>
      </c>
      <c r="H44" s="676">
        <f t="shared" si="23"/>
        <v>1.7378000000000001E-2</v>
      </c>
      <c r="I44" s="677">
        <f t="shared" si="0"/>
        <v>1.0000176581344906</v>
      </c>
      <c r="J44" s="678">
        <f t="shared" si="1"/>
        <v>5.9427055543937006E-3</v>
      </c>
      <c r="K44" s="678">
        <f t="shared" si="2"/>
        <v>1.0000000002384457</v>
      </c>
      <c r="L44" s="679">
        <f t="shared" si="3"/>
        <v>2.1837838825208574E-5</v>
      </c>
      <c r="M44" s="678">
        <f t="shared" si="4"/>
        <v>1.0000000106639206</v>
      </c>
      <c r="N44" s="679">
        <f t="shared" si="5"/>
        <v>-1.460405461285543E-4</v>
      </c>
      <c r="O44" s="677">
        <f t="shared" si="6"/>
        <v>131.03084892294086</v>
      </c>
      <c r="P44" s="680">
        <f t="shared" si="7"/>
        <v>1.5631644621168785</v>
      </c>
      <c r="Q44" s="689">
        <f t="shared" si="8"/>
        <v>1.00000428152007</v>
      </c>
      <c r="R44" s="690">
        <f t="shared" si="9"/>
        <v>2.9262620504778461E-3</v>
      </c>
      <c r="S44" s="677">
        <f t="shared" si="10"/>
        <v>1.0000000026759557</v>
      </c>
      <c r="T44" s="680">
        <f t="shared" si="11"/>
        <v>7.3156759945568499E-5</v>
      </c>
      <c r="U44" s="681">
        <f t="shared" si="24"/>
        <v>0.99959992424368194</v>
      </c>
      <c r="V44" s="682">
        <f t="shared" si="25"/>
        <v>-4.7927426325410956E-4</v>
      </c>
      <c r="W44" s="683">
        <f t="shared" si="12"/>
        <v>61.502747498487849</v>
      </c>
      <c r="X44" s="684">
        <f t="shared" si="13"/>
        <v>-89.774324205664755</v>
      </c>
      <c r="Y44" s="687">
        <f t="shared" si="14"/>
        <v>90.225675794335245</v>
      </c>
      <c r="AA44" s="170">
        <f t="shared" si="15"/>
        <v>1000000000</v>
      </c>
      <c r="AB44" s="170">
        <f t="shared" si="16"/>
        <v>301.99488400000001</v>
      </c>
      <c r="AD44" s="686">
        <f t="shared" si="17"/>
        <v>62.75801617279371</v>
      </c>
      <c r="AE44" s="687">
        <f t="shared" si="18"/>
        <v>-89.399255574634182</v>
      </c>
      <c r="AG44" s="686">
        <f t="shared" si="19"/>
        <v>40.713014548226319</v>
      </c>
      <c r="AH44" s="687">
        <f t="shared" si="20"/>
        <v>-0.32014784594041129</v>
      </c>
      <c r="AJ44" s="170">
        <f t="shared" si="21"/>
        <v>0</v>
      </c>
      <c r="AK44" s="170">
        <f t="shared" si="22"/>
        <v>0</v>
      </c>
      <c r="AM44" s="170" t="str">
        <f t="shared" si="26"/>
        <v>2.3439166096928E-07+0.000684677491497762i</v>
      </c>
      <c r="AN44" s="170" t="str">
        <f t="shared" si="27"/>
        <v>0.000684677544991999i</v>
      </c>
      <c r="AO44" s="170" t="str">
        <f t="shared" si="28"/>
        <v>0.999999921869445-0.000342338758856213i</v>
      </c>
      <c r="AP44" s="170" t="str">
        <f t="shared" si="29"/>
        <v>0.16666662760139-0.000114112915249627i</v>
      </c>
      <c r="AQ44" s="170" t="str">
        <f t="shared" si="30"/>
        <v>0.83333337239861+0.000114112915249627i</v>
      </c>
      <c r="AR44" s="170" t="str">
        <f t="shared" si="31"/>
        <v>0.999599934396594-0.000136880708700058i</v>
      </c>
    </row>
    <row r="45" spans="1:44">
      <c r="G45" s="688">
        <v>19.055</v>
      </c>
      <c r="H45" s="676">
        <f t="shared" si="23"/>
        <v>1.9054999999999999E-2</v>
      </c>
      <c r="I45" s="677">
        <f t="shared" si="0"/>
        <v>1.0000212306047398</v>
      </c>
      <c r="J45" s="678">
        <f t="shared" si="1"/>
        <v>6.51616898662728E-3</v>
      </c>
      <c r="K45" s="678">
        <f t="shared" si="2"/>
        <v>1.0000000002866867</v>
      </c>
      <c r="L45" s="679">
        <f t="shared" si="3"/>
        <v>2.394521917372348E-5</v>
      </c>
      <c r="M45" s="678">
        <f t="shared" si="4"/>
        <v>1.0000000128213935</v>
      </c>
      <c r="N45" s="679">
        <f t="shared" si="5"/>
        <v>-1.6013365188612355E-4</v>
      </c>
      <c r="O45" s="677">
        <f t="shared" si="6"/>
        <v>143.67479519347069</v>
      </c>
      <c r="P45" s="680">
        <f t="shared" si="7"/>
        <v>1.5638361075524909</v>
      </c>
      <c r="Q45" s="689">
        <f t="shared" si="8"/>
        <v>1.0000051477342264</v>
      </c>
      <c r="R45" s="690">
        <f t="shared" si="9"/>
        <v>3.2086483583814401E-3</v>
      </c>
      <c r="S45" s="677">
        <f t="shared" si="10"/>
        <v>1.0000000032173422</v>
      </c>
      <c r="T45" s="680">
        <f t="shared" si="11"/>
        <v>8.0216484075249089E-5</v>
      </c>
      <c r="U45" s="681">
        <f t="shared" si="24"/>
        <v>0.99959990891703365</v>
      </c>
      <c r="V45" s="682">
        <f t="shared" si="25"/>
        <v>-5.2552486083688678E-4</v>
      </c>
      <c r="W45" s="683">
        <f t="shared" si="12"/>
        <v>60.702583234349646</v>
      </c>
      <c r="X45" s="684">
        <f t="shared" si="13"/>
        <v>-89.833225333177737</v>
      </c>
      <c r="Y45" s="687">
        <f t="shared" si="14"/>
        <v>90.166774666822263</v>
      </c>
      <c r="AA45" s="170">
        <f t="shared" si="15"/>
        <v>1000000000</v>
      </c>
      <c r="AB45" s="170">
        <f t="shared" si="16"/>
        <v>363.09302500000001</v>
      </c>
      <c r="AD45" s="686">
        <f t="shared" si="17"/>
        <v>61.957883052154742</v>
      </c>
      <c r="AE45" s="687">
        <f t="shared" si="18"/>
        <v>-89.421962972211944</v>
      </c>
      <c r="AG45" s="686">
        <f t="shared" si="19"/>
        <v>40.7129836710848</v>
      </c>
      <c r="AH45" s="687">
        <f t="shared" si="20"/>
        <v>-0.35104164778667368</v>
      </c>
      <c r="AJ45" s="170">
        <f t="shared" si="21"/>
        <v>0</v>
      </c>
      <c r="AK45" s="170">
        <f t="shared" ref="AK45:AK53" si="32">IF(AJ45&gt;0,Y43,0)</f>
        <v>0</v>
      </c>
      <c r="AM45" s="170" t="str">
        <f t="shared" si="26"/>
        <v>2.81812643998514E-07+0.000750749763739408i</v>
      </c>
      <c r="AN45" s="170" t="str">
        <f t="shared" si="27"/>
        <v>0.000750749834263008i</v>
      </c>
      <c r="AO45" s="170" t="str">
        <f t="shared" si="28"/>
        <v>0.99999990606245-0.000375374900049312i</v>
      </c>
      <c r="AP45" s="170" t="str">
        <f t="shared" si="29"/>
        <v>0.166666619697893-0.000125124960623235i</v>
      </c>
      <c r="AQ45" s="170" t="str">
        <f t="shared" si="30"/>
        <v>0.833333380302107+0.000125124960623235i</v>
      </c>
      <c r="AR45" s="170" t="str">
        <f t="shared" si="31"/>
        <v>0.999599921124034-0.000150089872464116i</v>
      </c>
    </row>
    <row r="46" spans="1:44">
      <c r="G46" s="688">
        <v>20.893000000000001</v>
      </c>
      <c r="H46" s="676">
        <f t="shared" si="23"/>
        <v>2.0893000000000002E-2</v>
      </c>
      <c r="I46" s="677">
        <f t="shared" si="0"/>
        <v>1.0000255237883691</v>
      </c>
      <c r="J46" s="678">
        <f t="shared" si="1"/>
        <v>7.1446827073659829E-3</v>
      </c>
      <c r="K46" s="678">
        <f t="shared" si="2"/>
        <v>1.0000000003446603</v>
      </c>
      <c r="L46" s="679">
        <f t="shared" si="3"/>
        <v>2.6254918088547311E-5</v>
      </c>
      <c r="M46" s="678">
        <f t="shared" si="4"/>
        <v>1.0000000154141266</v>
      </c>
      <c r="N46" s="679">
        <f t="shared" si="5"/>
        <v>-1.7557976295323128E-4</v>
      </c>
      <c r="O46" s="677">
        <f t="shared" si="6"/>
        <v>157.53268254400979</v>
      </c>
      <c r="P46" s="680">
        <f t="shared" si="7"/>
        <v>1.5644483950519597</v>
      </c>
      <c r="Q46" s="689">
        <f t="shared" si="8"/>
        <v>1.0000061887023113</v>
      </c>
      <c r="R46" s="690">
        <f t="shared" si="9"/>
        <v>3.5181445095106767E-3</v>
      </c>
      <c r="S46" s="677">
        <f t="shared" si="10"/>
        <v>1.0000000038679508</v>
      </c>
      <c r="T46" s="680">
        <f t="shared" si="11"/>
        <v>8.7953975390041904E-5</v>
      </c>
      <c r="U46" s="681">
        <f t="shared" si="24"/>
        <v>0.99959989049830211</v>
      </c>
      <c r="V46" s="682">
        <f t="shared" si="25"/>
        <v>-5.7621573367772777E-4</v>
      </c>
      <c r="W46" s="683">
        <f t="shared" si="12"/>
        <v>59.902753209617401</v>
      </c>
      <c r="X46" s="684">
        <f t="shared" si="13"/>
        <v>-89.890685542784965</v>
      </c>
      <c r="Y46" s="687">
        <f t="shared" si="14"/>
        <v>90.109314457215035</v>
      </c>
      <c r="AA46" s="170">
        <f t="shared" si="15"/>
        <v>1000000000</v>
      </c>
      <c r="AB46" s="170">
        <f t="shared" si="16"/>
        <v>436.51744900000006</v>
      </c>
      <c r="AD46" s="686">
        <f t="shared" si="17"/>
        <v>61.158090453693333</v>
      </c>
      <c r="AE46" s="687">
        <f t="shared" si="18"/>
        <v>-89.439754964161565</v>
      </c>
      <c r="AG46" s="686">
        <f t="shared" si="19"/>
        <v>40.712946564908165</v>
      </c>
      <c r="AH46" s="687">
        <f t="shared" si="20"/>
        <v>-0.38490111929041115</v>
      </c>
      <c r="AJ46" s="170">
        <f t="shared" si="21"/>
        <v>0</v>
      </c>
      <c r="AK46" s="170">
        <f t="shared" si="32"/>
        <v>0</v>
      </c>
      <c r="AM46" s="170" t="str">
        <f t="shared" si="26"/>
        <v>3.38800601018541E-07+0.000823165285533849i</v>
      </c>
      <c r="AN46" s="170" t="str">
        <f t="shared" si="27"/>
        <v>0.000823165378496826i</v>
      </c>
      <c r="AO46" s="170" t="str">
        <f t="shared" si="28"/>
        <v>0.999999887066464-0.000411582665973175i</v>
      </c>
      <c r="AP46" s="170" t="str">
        <f t="shared" si="29"/>
        <v>0.1666666101999-0.000137194214255642i</v>
      </c>
      <c r="AQ46" s="170" t="str">
        <f t="shared" si="30"/>
        <v>0.8333333898001+0.000137194214255642i</v>
      </c>
      <c r="AR46" s="170" t="str">
        <f t="shared" si="31"/>
        <v>0.999599905173793-0.000164567177121308i</v>
      </c>
    </row>
    <row r="47" spans="1:44">
      <c r="G47" s="688">
        <v>22.909000000000002</v>
      </c>
      <c r="H47" s="676">
        <f t="shared" si="23"/>
        <v>2.2909000000000002E-2</v>
      </c>
      <c r="I47" s="677">
        <f t="shared" si="0"/>
        <v>1.0000306870167068</v>
      </c>
      <c r="J47" s="678">
        <f t="shared" si="1"/>
        <v>7.834057950157158E-3</v>
      </c>
      <c r="K47" s="678">
        <f t="shared" si="2"/>
        <v>1.000000000414383</v>
      </c>
      <c r="L47" s="679">
        <f t="shared" si="3"/>
        <v>2.8788298399587079E-5</v>
      </c>
      <c r="M47" s="678">
        <f t="shared" si="4"/>
        <v>1.000000018532311</v>
      </c>
      <c r="N47" s="679">
        <f t="shared" si="5"/>
        <v>-1.9252174322184187E-4</v>
      </c>
      <c r="O47" s="677">
        <f t="shared" si="6"/>
        <v>172.73268511563333</v>
      </c>
      <c r="P47" s="680">
        <f t="shared" si="7"/>
        <v>1.565007002178082</v>
      </c>
      <c r="Q47" s="689">
        <f t="shared" si="8"/>
        <v>1.0000074406345907</v>
      </c>
      <c r="R47" s="690">
        <f t="shared" si="9"/>
        <v>3.8576128512233616E-3</v>
      </c>
      <c r="S47" s="677">
        <f t="shared" si="10"/>
        <v>1.0000000046504138</v>
      </c>
      <c r="T47" s="680">
        <f t="shared" si="11"/>
        <v>9.6440799366265934E-5</v>
      </c>
      <c r="U47" s="681">
        <f t="shared" si="24"/>
        <v>0.99959986834677583</v>
      </c>
      <c r="V47" s="682">
        <f t="shared" si="25"/>
        <v>-6.3181573266009523E-4</v>
      </c>
      <c r="W47" s="683">
        <f t="shared" si="12"/>
        <v>59.102641952186339</v>
      </c>
      <c r="X47" s="684">
        <f t="shared" si="13"/>
        <v>-89.947237018680809</v>
      </c>
      <c r="Y47" s="687">
        <f t="shared" si="14"/>
        <v>90.052762981319191</v>
      </c>
      <c r="AA47" s="170">
        <f t="shared" si="15"/>
        <v>1000000000</v>
      </c>
      <c r="AB47" s="170">
        <f t="shared" si="16"/>
        <v>524.82228100000009</v>
      </c>
      <c r="AD47" s="686">
        <f t="shared" si="17"/>
        <v>60.358024207026304</v>
      </c>
      <c r="AE47" s="687">
        <f t="shared" si="18"/>
        <v>-89.452796950846079</v>
      </c>
      <c r="AG47" s="686">
        <f t="shared" si="19"/>
        <v>40.712901939109599</v>
      </c>
      <c r="AH47" s="687">
        <f t="shared" si="20"/>
        <v>-0.42203931792922839</v>
      </c>
      <c r="AJ47" s="170">
        <f t="shared" si="21"/>
        <v>0</v>
      </c>
      <c r="AK47" s="170">
        <f t="shared" si="32"/>
        <v>0</v>
      </c>
      <c r="AM47" s="170" t="str">
        <f t="shared" si="26"/>
        <v>4.07337902963434E-07+0.000902593839825387i</v>
      </c>
      <c r="AN47" s="170" t="str">
        <f t="shared" si="27"/>
        <v>0.000902593962378968i</v>
      </c>
      <c r="AO47" s="170" t="str">
        <f t="shared" si="28"/>
        <v>0.999999864220695-0.000451296950723904i</v>
      </c>
      <c r="AP47" s="170" t="str">
        <f t="shared" si="29"/>
        <v>0.166666598777016-0.000150432306637565i</v>
      </c>
      <c r="AQ47" s="170" t="str">
        <f t="shared" si="30"/>
        <v>0.833333401222984+0.000150432306637565i</v>
      </c>
      <c r="AR47" s="170" t="str">
        <f t="shared" si="31"/>
        <v>0.999599885991031-0.000180446525176591i</v>
      </c>
    </row>
    <row r="48" spans="1:44">
      <c r="A48" s="170" t="s">
        <v>802</v>
      </c>
      <c r="G48" s="688">
        <v>25.119</v>
      </c>
      <c r="H48" s="676">
        <f t="shared" si="23"/>
        <v>2.5118999999999999E-2</v>
      </c>
      <c r="I48" s="677">
        <f t="shared" si="0"/>
        <v>1.0000368931510135</v>
      </c>
      <c r="J48" s="678">
        <f t="shared" si="1"/>
        <v>8.5897633023906874E-3</v>
      </c>
      <c r="K48" s="678">
        <f t="shared" si="2"/>
        <v>1.0000000004981893</v>
      </c>
      <c r="L48" s="679">
        <f t="shared" si="3"/>
        <v>3.1565466299656277E-5</v>
      </c>
      <c r="M48" s="678">
        <f t="shared" si="4"/>
        <v>1.00000002228035</v>
      </c>
      <c r="N48" s="679">
        <f t="shared" si="5"/>
        <v>-2.1109405281356165E-4</v>
      </c>
      <c r="O48" s="677">
        <f t="shared" si="6"/>
        <v>189.39543785835235</v>
      </c>
      <c r="P48" s="680">
        <f t="shared" si="7"/>
        <v>1.5655163440366389</v>
      </c>
      <c r="Q48" s="689">
        <f t="shared" si="8"/>
        <v>1.0000089454476293</v>
      </c>
      <c r="R48" s="690">
        <f t="shared" si="9"/>
        <v>4.22974726091121E-3</v>
      </c>
      <c r="S48" s="677">
        <f t="shared" si="10"/>
        <v>1.0000000055909297</v>
      </c>
      <c r="T48" s="680">
        <f t="shared" si="11"/>
        <v>1.0574431174482967E-4</v>
      </c>
      <c r="U48" s="681">
        <f t="shared" si="24"/>
        <v>0.99959984172077621</v>
      </c>
      <c r="V48" s="682">
        <f t="shared" si="25"/>
        <v>-6.9276612615024123E-4</v>
      </c>
      <c r="W48" s="683">
        <f t="shared" si="12"/>
        <v>58.302701124557458</v>
      </c>
      <c r="X48" s="684">
        <f t="shared" si="13"/>
        <v>-90.003327400977611</v>
      </c>
      <c r="Y48" s="687">
        <f t="shared" si="14"/>
        <v>89.996672599022389</v>
      </c>
      <c r="AA48" s="170">
        <f t="shared" si="15"/>
        <v>1000000000</v>
      </c>
      <c r="AB48" s="170">
        <f t="shared" si="16"/>
        <v>630.96416099999999</v>
      </c>
      <c r="AD48" s="686">
        <f t="shared" si="17"/>
        <v>59.558137481453755</v>
      </c>
      <c r="AE48" s="687">
        <f t="shared" si="18"/>
        <v>-89.461191410587574</v>
      </c>
      <c r="AG48" s="686">
        <f t="shared" si="19"/>
        <v>40.712848299779409</v>
      </c>
      <c r="AH48" s="687">
        <f t="shared" si="20"/>
        <v>-0.46275083986327226</v>
      </c>
      <c r="AJ48" s="170">
        <f t="shared" si="21"/>
        <v>0</v>
      </c>
      <c r="AK48" s="170">
        <f t="shared" si="32"/>
        <v>0</v>
      </c>
      <c r="AM48" s="170" t="str">
        <f t="shared" si="26"/>
        <v>4.89719327978477E-07+0.000989665809942944i</v>
      </c>
      <c r="AN48" s="170" t="str">
        <f t="shared" si="27"/>
        <v>0.000989665971495801i</v>
      </c>
      <c r="AO48" s="170" t="str">
        <f t="shared" si="28"/>
        <v>0.999999836760218-0.000494832945744619i</v>
      </c>
      <c r="AP48" s="170" t="str">
        <f t="shared" si="29"/>
        <v>0.166666585046779-0.000164944301657157i</v>
      </c>
      <c r="AQ48" s="170" t="str">
        <f t="shared" si="30"/>
        <v>0.833333414953221+0.000164944301657157i</v>
      </c>
      <c r="AR48" s="170" t="str">
        <f t="shared" si="31"/>
        <v>0.999599862933469-0.000197853942215201i</v>
      </c>
    </row>
    <row r="49" spans="1:44" ht="13">
      <c r="A49" s="170">
        <v>0.1</v>
      </c>
      <c r="C49" s="333" t="s">
        <v>803</v>
      </c>
      <c r="D49" s="761">
        <f>Fco_desire*1000</f>
        <v>10000</v>
      </c>
      <c r="E49" s="761" t="s">
        <v>8</v>
      </c>
      <c r="G49" s="688">
        <v>27.542000000000002</v>
      </c>
      <c r="H49" s="676">
        <f t="shared" si="23"/>
        <v>2.7542000000000001E-2</v>
      </c>
      <c r="I49" s="677">
        <f t="shared" si="0"/>
        <v>1.0000443537542214</v>
      </c>
      <c r="J49" s="678">
        <f t="shared" si="1"/>
        <v>9.4182922978526835E-3</v>
      </c>
      <c r="K49" s="678">
        <f t="shared" si="2"/>
        <v>1.0000000005989362</v>
      </c>
      <c r="L49" s="679">
        <f t="shared" si="3"/>
        <v>3.4610297892700418E-5</v>
      </c>
      <c r="M49" s="678">
        <f t="shared" si="4"/>
        <v>1.0000000267860245</v>
      </c>
      <c r="N49" s="679">
        <f t="shared" si="5"/>
        <v>-2.3145636311665529E-4</v>
      </c>
      <c r="O49" s="677">
        <f t="shared" si="6"/>
        <v>207.66419518638804</v>
      </c>
      <c r="P49" s="680">
        <f t="shared" si="7"/>
        <v>1.5659808415643819</v>
      </c>
      <c r="Q49" s="689">
        <f t="shared" si="8"/>
        <v>1.0000107544434618</v>
      </c>
      <c r="R49" s="690">
        <f t="shared" si="9"/>
        <v>4.6377466685627094E-3</v>
      </c>
      <c r="S49" s="677">
        <f t="shared" si="10"/>
        <v>1.0000000067215633</v>
      </c>
      <c r="T49" s="680">
        <f t="shared" si="11"/>
        <v>1.1594449746728984E-4</v>
      </c>
      <c r="U49" s="681">
        <f t="shared" si="24"/>
        <v>0.99959980971255047</v>
      </c>
      <c r="V49" s="682">
        <f t="shared" si="25"/>
        <v>-7.5959092010842433E-4</v>
      </c>
      <c r="W49" s="683">
        <f t="shared" si="12"/>
        <v>57.502809594970159</v>
      </c>
      <c r="X49" s="684">
        <f t="shared" si="13"/>
        <v>-90.059441144212258</v>
      </c>
      <c r="Y49" s="687">
        <f t="shared" si="14"/>
        <v>89.940558855787742</v>
      </c>
      <c r="AA49" s="170">
        <f t="shared" si="15"/>
        <v>1000000000</v>
      </c>
      <c r="AB49" s="170">
        <f t="shared" si="16"/>
        <v>758.56176400000004</v>
      </c>
      <c r="AD49" s="686">
        <f t="shared" si="17"/>
        <v>58.758310989330546</v>
      </c>
      <c r="AE49" s="687">
        <f t="shared" si="18"/>
        <v>-89.465012942015733</v>
      </c>
      <c r="AG49" s="686">
        <f t="shared" si="19"/>
        <v>40.712783818577769</v>
      </c>
      <c r="AH49" s="687">
        <f t="shared" si="20"/>
        <v>-0.50738549433971913</v>
      </c>
      <c r="AJ49" s="170">
        <f t="shared" si="21"/>
        <v>0</v>
      </c>
      <c r="AK49" s="170">
        <f t="shared" si="32"/>
        <v>0</v>
      </c>
      <c r="AM49" s="170" t="str">
        <f t="shared" si="26"/>
        <v>5.88753487962279E-07+0.0010851297757731i</v>
      </c>
      <c r="AN49" s="170" t="str">
        <f t="shared" si="27"/>
        <v>0.00108512998873113i</v>
      </c>
      <c r="AO49" s="170" t="str">
        <f t="shared" si="28"/>
        <v>0.99999980374883-0.000542564940676576i</v>
      </c>
      <c r="AP49" s="170" t="str">
        <f t="shared" si="29"/>
        <v>0.166666568541085-0.00018085496262885i</v>
      </c>
      <c r="AQ49" s="170" t="str">
        <f t="shared" si="30"/>
        <v>0.833333431458915+0.00018085496262885i</v>
      </c>
      <c r="AR49" s="170" t="str">
        <f t="shared" si="31"/>
        <v>0.99959983521501-0.00021693908346521i</v>
      </c>
    </row>
    <row r="50" spans="1:44">
      <c r="A50" s="170">
        <v>0.2</v>
      </c>
      <c r="C50" s="760" t="s">
        <v>810</v>
      </c>
      <c r="D50" s="170">
        <f>SQRT(1+(D49/Zero1)^2)*SQRT(1+(D49/z_RHP)^2)/SQRT(1+(D49/pole1)^2)/D58</f>
        <v>0.28879161201629272</v>
      </c>
      <c r="G50" s="688">
        <v>30.2</v>
      </c>
      <c r="H50" s="676">
        <f t="shared" si="23"/>
        <v>3.0199999999999998E-2</v>
      </c>
      <c r="I50" s="677">
        <f t="shared" si="0"/>
        <v>1.0000533275184957</v>
      </c>
      <c r="J50" s="678">
        <f t="shared" si="1"/>
        <v>1.032716309060637E-2</v>
      </c>
      <c r="K50" s="678">
        <f t="shared" si="2"/>
        <v>1.000000000720118</v>
      </c>
      <c r="L50" s="679">
        <f t="shared" si="3"/>
        <v>3.7950439193780805E-5</v>
      </c>
      <c r="M50" s="678">
        <f t="shared" si="4"/>
        <v>1.0000000322055855</v>
      </c>
      <c r="N50" s="679">
        <f t="shared" si="5"/>
        <v>-2.5379355678120322E-4</v>
      </c>
      <c r="O50" s="677">
        <f t="shared" si="6"/>
        <v>227.70483110775993</v>
      </c>
      <c r="P50" s="680">
        <f t="shared" si="7"/>
        <v>1.5664046623335186</v>
      </c>
      <c r="Q50" s="689">
        <f t="shared" si="8"/>
        <v>1.0000129303537419</v>
      </c>
      <c r="R50" s="690">
        <f t="shared" si="9"/>
        <v>5.0853150178121814E-3</v>
      </c>
      <c r="S50" s="677">
        <f t="shared" si="10"/>
        <v>1.0000000080815232</v>
      </c>
      <c r="T50" s="680">
        <f t="shared" si="11"/>
        <v>1.2713397067524258E-4</v>
      </c>
      <c r="U50" s="681">
        <f t="shared" si="24"/>
        <v>0.99959977121209298</v>
      </c>
      <c r="V50" s="682">
        <f t="shared" si="25"/>
        <v>-8.3289686126602298E-4</v>
      </c>
      <c r="W50" s="683">
        <f t="shared" si="12"/>
        <v>56.70253782192372</v>
      </c>
      <c r="X50" s="684">
        <f t="shared" si="13"/>
        <v>-90.116084650265336</v>
      </c>
      <c r="Y50" s="687">
        <f t="shared" si="14"/>
        <v>89.883915349734664</v>
      </c>
      <c r="AA50" s="170">
        <f t="shared" si="15"/>
        <v>1000000000</v>
      </c>
      <c r="AB50" s="170">
        <f t="shared" si="16"/>
        <v>912.04</v>
      </c>
      <c r="AD50" s="686">
        <f t="shared" si="17"/>
        <v>57.958117444021852</v>
      </c>
      <c r="AE50" s="687">
        <f t="shared" si="18"/>
        <v>-89.464293415490587</v>
      </c>
      <c r="AG50" s="686">
        <f t="shared" si="19"/>
        <v>40.712706259929234</v>
      </c>
      <c r="AH50" s="687">
        <f t="shared" si="20"/>
        <v>-0.55634828482521381</v>
      </c>
      <c r="AJ50" s="170">
        <f t="shared" si="21"/>
        <v>0</v>
      </c>
      <c r="AK50" s="170">
        <f t="shared" si="32"/>
        <v>0</v>
      </c>
      <c r="AM50" s="170" t="str">
        <f t="shared" si="26"/>
        <v>7.07874752037263E-07+0.00118985251351062i</v>
      </c>
      <c r="AN50" s="170" t="str">
        <f t="shared" si="27"/>
        <v>0.00118985279426622i</v>
      </c>
      <c r="AO50" s="170" t="str">
        <f t="shared" si="28"/>
        <v>0.999999764041736-0.000594926326557739i</v>
      </c>
      <c r="AP50" s="170" t="str">
        <f t="shared" si="29"/>
        <v>0.166666548687541-0.00019830875225177i</v>
      </c>
      <c r="AQ50" s="170" t="str">
        <f t="shared" si="30"/>
        <v>0.833333451312459+0.00019830875225177i</v>
      </c>
      <c r="AR50" s="170" t="str">
        <f t="shared" si="31"/>
        <v>0.999599801874418-0.000237875233675824i</v>
      </c>
    </row>
    <row r="51" spans="1:44" ht="13">
      <c r="A51" s="170">
        <v>0.3</v>
      </c>
      <c r="C51" s="333" t="s">
        <v>811</v>
      </c>
      <c r="D51" s="761">
        <f>20*LOG(D50*Acs*Am)</f>
        <v>29.921383618605432</v>
      </c>
      <c r="E51" s="333" t="s">
        <v>781</v>
      </c>
      <c r="G51" s="688">
        <v>33.113</v>
      </c>
      <c r="H51" s="676">
        <f t="shared" si="23"/>
        <v>3.3112999999999997E-2</v>
      </c>
      <c r="I51" s="677">
        <f t="shared" si="0"/>
        <v>1.0000641109490365</v>
      </c>
      <c r="J51" s="678">
        <f t="shared" si="1"/>
        <v>1.132320838328609E-2</v>
      </c>
      <c r="K51" s="678">
        <f t="shared" si="2"/>
        <v>1.0000000008657386</v>
      </c>
      <c r="L51" s="679">
        <f t="shared" si="3"/>
        <v>4.1611022943763817E-5</v>
      </c>
      <c r="M51" s="678">
        <f t="shared" si="4"/>
        <v>1.0000000387181298</v>
      </c>
      <c r="N51" s="679">
        <f t="shared" si="5"/>
        <v>-2.782737089142037E-4</v>
      </c>
      <c r="O51" s="677">
        <f t="shared" si="6"/>
        <v>249.66814047311715</v>
      </c>
      <c r="P51" s="680">
        <f t="shared" si="7"/>
        <v>1.566790999275395</v>
      </c>
      <c r="Q51" s="689">
        <f t="shared" si="8"/>
        <v>1.000015545081768</v>
      </c>
      <c r="R51" s="690">
        <f t="shared" si="9"/>
        <v>5.5758192933345703E-3</v>
      </c>
      <c r="S51" s="677">
        <f t="shared" si="10"/>
        <v>1.0000000097157515</v>
      </c>
      <c r="T51" s="680">
        <f t="shared" si="11"/>
        <v>1.3939692603916575E-4</v>
      </c>
      <c r="U51" s="681">
        <f t="shared" si="24"/>
        <v>0.99959972494711669</v>
      </c>
      <c r="V51" s="682">
        <f t="shared" si="25"/>
        <v>-9.1323553503249181E-4</v>
      </c>
      <c r="W51" s="683">
        <f t="shared" si="12"/>
        <v>55.902648881933565</v>
      </c>
      <c r="X51" s="684">
        <f t="shared" si="13"/>
        <v>-90.173684049149387</v>
      </c>
      <c r="Y51" s="687">
        <f t="shared" si="14"/>
        <v>89.826315950850613</v>
      </c>
      <c r="AA51" s="170">
        <f t="shared" si="15"/>
        <v>1000000000</v>
      </c>
      <c r="AB51" s="170">
        <f t="shared" si="16"/>
        <v>1096.470769</v>
      </c>
      <c r="AD51" s="686">
        <f t="shared" si="17"/>
        <v>57.158322506401056</v>
      </c>
      <c r="AE51" s="687">
        <f t="shared" si="18"/>
        <v>-89.459027682490245</v>
      </c>
      <c r="AG51" s="686">
        <f t="shared" si="19"/>
        <v>40.712613061586644</v>
      </c>
      <c r="AH51" s="687">
        <f t="shared" si="20"/>
        <v>-0.61000728282208283</v>
      </c>
      <c r="AJ51" s="170">
        <f t="shared" si="21"/>
        <v>0</v>
      </c>
      <c r="AK51" s="170">
        <f t="shared" si="32"/>
        <v>0</v>
      </c>
      <c r="AM51" s="170" t="str">
        <f t="shared" si="26"/>
        <v>8.51019643977047E-07+0.00130462199999758i</v>
      </c>
      <c r="AN51" s="170" t="str">
        <f t="shared" si="27"/>
        <v>0.00130462237008402i</v>
      </c>
      <c r="AO51" s="170" t="str">
        <f t="shared" si="28"/>
        <v>0.999999716326771-0.000652311092843088i</v>
      </c>
      <c r="AP51" s="170" t="str">
        <f t="shared" si="29"/>
        <v>0.166666524830059-0.000217436999999597i</v>
      </c>
      <c r="AQ51" s="170" t="str">
        <f t="shared" si="30"/>
        <v>0.833333475169941+0.000217436999999597i</v>
      </c>
      <c r="AR51" s="170" t="str">
        <f t="shared" si="31"/>
        <v>0.999599761809911-0.000260819923697335i</v>
      </c>
    </row>
    <row r="52" spans="1:44">
      <c r="A52" s="170">
        <v>0.4</v>
      </c>
      <c r="C52" s="170" t="s">
        <v>694</v>
      </c>
      <c r="D52" s="170" t="str">
        <f>IMSUB(1,IMEXP(COMPLEX(0,-2*Pi*D49*Tsw)))</f>
        <v>0.076615630811791+0.383876681681622i</v>
      </c>
      <c r="G52" s="688">
        <v>36.308</v>
      </c>
      <c r="H52" s="676">
        <f t="shared" si="23"/>
        <v>3.6308E-2</v>
      </c>
      <c r="I52" s="677">
        <f t="shared" si="0"/>
        <v>1.0000770791621452</v>
      </c>
      <c r="J52" s="678">
        <f t="shared" si="1"/>
        <v>1.2415652336710487E-2</v>
      </c>
      <c r="K52" s="678">
        <f t="shared" si="2"/>
        <v>1.0000000010408649</v>
      </c>
      <c r="L52" s="679">
        <f t="shared" si="3"/>
        <v>4.5625978342819672E-5</v>
      </c>
      <c r="M52" s="678">
        <f t="shared" si="4"/>
        <v>1.0000000465502443</v>
      </c>
      <c r="N52" s="679">
        <f t="shared" si="5"/>
        <v>-3.051237209102792E-4</v>
      </c>
      <c r="O52" s="677">
        <f t="shared" si="6"/>
        <v>273.75769668563959</v>
      </c>
      <c r="P52" s="680">
        <f t="shared" si="7"/>
        <v>1.5671434533377318</v>
      </c>
      <c r="Q52" s="689">
        <f t="shared" si="8"/>
        <v>1.0000186895964154</v>
      </c>
      <c r="R52" s="690">
        <f t="shared" si="9"/>
        <v>6.1138049258633595E-3</v>
      </c>
      <c r="S52" s="677">
        <f t="shared" si="10"/>
        <v>1.000000011681107</v>
      </c>
      <c r="T52" s="680">
        <f t="shared" si="11"/>
        <v>1.528470263642264E-4</v>
      </c>
      <c r="U52" s="681">
        <f t="shared" si="24"/>
        <v>0.99959966930793998</v>
      </c>
      <c r="V52" s="682">
        <f t="shared" si="25"/>
        <v>-1.0013515802994562E-3</v>
      </c>
      <c r="W52" s="683">
        <f t="shared" si="12"/>
        <v>55.10249890015406</v>
      </c>
      <c r="X52" s="684">
        <f t="shared" si="13"/>
        <v>-90.232773965016051</v>
      </c>
      <c r="Y52" s="687">
        <f t="shared" si="14"/>
        <v>89.767226034983949</v>
      </c>
      <c r="AA52" s="170">
        <f t="shared" si="15"/>
        <v>1000000000</v>
      </c>
      <c r="AB52" s="170">
        <f t="shared" si="16"/>
        <v>1318.2708640000001</v>
      </c>
      <c r="AD52" s="686">
        <f t="shared" si="17"/>
        <v>56.358285571057394</v>
      </c>
      <c r="AE52" s="687">
        <f t="shared" si="18"/>
        <v>-89.449168140523199</v>
      </c>
      <c r="AG52" s="686">
        <f t="shared" si="19"/>
        <v>40.712500982089367</v>
      </c>
      <c r="AH52" s="687">
        <f t="shared" si="20"/>
        <v>-0.66885938564190617</v>
      </c>
      <c r="AJ52" s="170">
        <f t="shared" si="21"/>
        <v>0</v>
      </c>
      <c r="AK52" s="170">
        <f t="shared" si="32"/>
        <v>0</v>
      </c>
      <c r="AM52" s="170" t="str">
        <f t="shared" si="26"/>
        <v>1.02316851502415E-06+0.00143050200397978i</v>
      </c>
      <c r="AN52" s="170" t="str">
        <f t="shared" si="27"/>
        <v>0.00143050249186152i</v>
      </c>
      <c r="AO52" s="170" t="str">
        <f t="shared" si="28"/>
        <v>0.999999658943803-0.000715251123884933i</v>
      </c>
      <c r="AP52" s="170" t="str">
        <f t="shared" si="29"/>
        <v>0.166666496138581-0.000238417000663297i</v>
      </c>
      <c r="AQ52" s="170" t="str">
        <f t="shared" si="30"/>
        <v>0.833333503861419+0.000238417000663297i</v>
      </c>
      <c r="AR52" s="170" t="str">
        <f t="shared" si="31"/>
        <v>0.999599713627551-0.000285985820182028i</v>
      </c>
    </row>
    <row r="53" spans="1:44">
      <c r="A53" s="170">
        <v>0.5</v>
      </c>
      <c r="C53" s="170" t="s">
        <v>804</v>
      </c>
      <c r="D53" s="170" t="str">
        <f>COMPLEX(0, 2*Pi*D49*Tsw)</f>
        <v>0.393990991478881i</v>
      </c>
      <c r="G53" s="688">
        <v>39.811</v>
      </c>
      <c r="H53" s="676">
        <f t="shared" si="23"/>
        <v>3.9810999999999999E-2</v>
      </c>
      <c r="I53" s="677">
        <f t="shared" si="0"/>
        <v>1.0000926691372456</v>
      </c>
      <c r="J53" s="678">
        <f t="shared" si="1"/>
        <v>1.3613374416641875E-2</v>
      </c>
      <c r="K53" s="678">
        <f t="shared" si="2"/>
        <v>1.0000000012513992</v>
      </c>
      <c r="L53" s="679">
        <f t="shared" si="3"/>
        <v>5.0027977953923342E-5</v>
      </c>
      <c r="M53" s="678">
        <f t="shared" si="4"/>
        <v>1.0000000559658988</v>
      </c>
      <c r="N53" s="679">
        <f t="shared" si="5"/>
        <v>-3.3456209036326423E-4</v>
      </c>
      <c r="O53" s="677">
        <f t="shared" si="6"/>
        <v>300.16953370392662</v>
      </c>
      <c r="P53" s="680">
        <f t="shared" si="7"/>
        <v>1.5674648699430622</v>
      </c>
      <c r="Q53" s="689">
        <f t="shared" si="8"/>
        <v>1.0000224698732247</v>
      </c>
      <c r="R53" s="690">
        <f t="shared" si="9"/>
        <v>6.7036486314037275E-3</v>
      </c>
      <c r="S53" s="677">
        <f t="shared" si="10"/>
        <v>1.0000000140438285</v>
      </c>
      <c r="T53" s="680">
        <f t="shared" si="11"/>
        <v>1.6759372471635602E-4</v>
      </c>
      <c r="U53" s="681">
        <f t="shared" si="24"/>
        <v>0.9995996024193472</v>
      </c>
      <c r="V53" s="682">
        <f t="shared" si="25"/>
        <v>-1.0979620589697098E-3</v>
      </c>
      <c r="W53" s="683">
        <f t="shared" si="12"/>
        <v>54.302390367445497</v>
      </c>
      <c r="X53" s="684">
        <f t="shared" si="13"/>
        <v>-90.293833419934685</v>
      </c>
      <c r="Y53" s="687">
        <f t="shared" si="14"/>
        <v>89.706166580065315</v>
      </c>
      <c r="AA53" s="170">
        <f t="shared" si="15"/>
        <v>1000000000</v>
      </c>
      <c r="AB53" s="170">
        <f t="shared" si="16"/>
        <v>1584.9157210000001</v>
      </c>
      <c r="AD53" s="686">
        <f t="shared" si="17"/>
        <v>55.558312937267573</v>
      </c>
      <c r="AE53" s="687">
        <f t="shared" si="18"/>
        <v>-89.43463332413495</v>
      </c>
      <c r="AG53" s="686">
        <f t="shared" si="19"/>
        <v>40.712366245609893</v>
      </c>
      <c r="AH53" s="687">
        <f t="shared" si="20"/>
        <v>-0.73338291156705837</v>
      </c>
      <c r="AJ53" s="170">
        <f t="shared" si="21"/>
        <v>0</v>
      </c>
      <c r="AK53" s="170">
        <f t="shared" si="32"/>
        <v>0</v>
      </c>
      <c r="AM53" s="170" t="str">
        <f t="shared" si="26"/>
        <v>1.23012337804873E-06+0.00156851689301982i</v>
      </c>
      <c r="AN53" s="170" t="str">
        <f t="shared" si="27"/>
        <v>0.00156851753617657i</v>
      </c>
      <c r="AO53" s="170" t="str">
        <f t="shared" si="28"/>
        <v>0.99999958995884-0.000784258607045789i</v>
      </c>
      <c r="AP53" s="170" t="str">
        <f t="shared" si="29"/>
        <v>0.166666461646104-0.00026141948216997i</v>
      </c>
      <c r="AQ53" s="170" t="str">
        <f t="shared" si="30"/>
        <v>0.833333538353896+0.00026141948216997i</v>
      </c>
      <c r="AR53" s="170" t="str">
        <f t="shared" si="31"/>
        <v>0.999599655703432-0.000313577712097671i</v>
      </c>
    </row>
    <row r="54" spans="1:44">
      <c r="A54" s="170">
        <v>0.6</v>
      </c>
      <c r="C54" s="170" t="s">
        <v>805</v>
      </c>
      <c r="D54" s="170" t="str">
        <f>IMDIV(D52, D53)</f>
        <v>0.974328575992832-0.194460361959565i</v>
      </c>
      <c r="G54" s="688">
        <v>43.652000000000001</v>
      </c>
      <c r="H54" s="676">
        <f t="shared" si="23"/>
        <v>4.3652000000000003E-2</v>
      </c>
      <c r="I54" s="677">
        <f t="shared" si="0"/>
        <v>1.0001114123076464</v>
      </c>
      <c r="J54" s="678">
        <f t="shared" si="1"/>
        <v>1.492661815089167E-2</v>
      </c>
      <c r="K54" s="678">
        <f t="shared" si="2"/>
        <v>1.0000000015045201</v>
      </c>
      <c r="L54" s="679">
        <f t="shared" si="3"/>
        <v>5.4854720888099974E-5</v>
      </c>
      <c r="M54" s="678">
        <f t="shared" si="4"/>
        <v>1.0000000672861378</v>
      </c>
      <c r="N54" s="679">
        <f t="shared" si="5"/>
        <v>-3.6684092985157552E-4</v>
      </c>
      <c r="O54" s="677">
        <f t="shared" si="6"/>
        <v>329.12984481950662</v>
      </c>
      <c r="P54" s="680">
        <f t="shared" si="7"/>
        <v>1.5677580075591737</v>
      </c>
      <c r="Q54" s="689">
        <f t="shared" si="8"/>
        <v>1.0000270147998991</v>
      </c>
      <c r="R54" s="690">
        <f t="shared" si="9"/>
        <v>7.3504002267697497E-3</v>
      </c>
      <c r="S54" s="677">
        <f t="shared" si="10"/>
        <v>1.0000000168844778</v>
      </c>
      <c r="T54" s="680">
        <f t="shared" si="11"/>
        <v>1.8376331309095364E-4</v>
      </c>
      <c r="U54" s="681">
        <f t="shared" si="24"/>
        <v>0.99959952200063895</v>
      </c>
      <c r="V54" s="682">
        <f t="shared" si="25"/>
        <v>-1.2038943485975732E-3</v>
      </c>
      <c r="W54" s="683">
        <f t="shared" si="12"/>
        <v>53.502253346963606</v>
      </c>
      <c r="X54" s="684">
        <f t="shared" si="13"/>
        <v>-90.357384966415211</v>
      </c>
      <c r="Y54" s="687">
        <f t="shared" si="14"/>
        <v>89.642615033584789</v>
      </c>
      <c r="AA54" s="170">
        <f t="shared" si="15"/>
        <v>1000000000</v>
      </c>
      <c r="AB54" s="170">
        <f t="shared" si="16"/>
        <v>1905.497104</v>
      </c>
      <c r="AD54" s="686">
        <f t="shared" si="17"/>
        <v>54.758339299547529</v>
      </c>
      <c r="AE54" s="687">
        <f t="shared" si="18"/>
        <v>-89.415299184695087</v>
      </c>
      <c r="AG54" s="686">
        <f t="shared" si="19"/>
        <v>40.712204260423732</v>
      </c>
      <c r="AH54" s="687">
        <f t="shared" si="20"/>
        <v>-0.804129651253915</v>
      </c>
      <c r="AJ54" s="170">
        <f t="shared" si="21"/>
        <v>0</v>
      </c>
      <c r="AK54" s="170">
        <f t="shared" ref="AK54:AK85" si="33">IF(AJ54&gt;0,Y54,0)</f>
        <v>0</v>
      </c>
      <c r="AM54" s="170" t="str">
        <f t="shared" si="26"/>
        <v>1.47894074598032E-06+0.0017198486281517i</v>
      </c>
      <c r="AN54" s="170" t="str">
        <f t="shared" si="27"/>
        <v>0.00171984947600361i</v>
      </c>
      <c r="AO54" s="170" t="str">
        <f t="shared" si="28"/>
        <v>0.9999995070197-0.000859924526311985i</v>
      </c>
      <c r="AP54" s="170" t="str">
        <f t="shared" si="29"/>
        <v>0.166666420176542-0.000286641438025283i</v>
      </c>
      <c r="AQ54" s="170" t="str">
        <f t="shared" si="30"/>
        <v>0.833333579823458+0.000286641438025283i</v>
      </c>
      <c r="AR54" s="170" t="str">
        <f t="shared" si="31"/>
        <v>0.999599586062526-0.000343831893656728i</v>
      </c>
    </row>
    <row r="55" spans="1:44">
      <c r="A55" s="170">
        <v>0.7</v>
      </c>
      <c r="C55" s="170" t="s">
        <v>806</v>
      </c>
      <c r="D55" s="170" t="str">
        <f>IMDIV(IMEXP(COMPLEX(0,-2*Pi*D49*Tsw)),6)</f>
        <v>0.153897394864701-0.063979446946937i</v>
      </c>
      <c r="G55" s="688">
        <v>47.863</v>
      </c>
      <c r="H55" s="676">
        <f t="shared" si="23"/>
        <v>4.7863000000000003E-2</v>
      </c>
      <c r="I55" s="677">
        <f t="shared" si="0"/>
        <v>1.0001339429368048</v>
      </c>
      <c r="J55" s="678">
        <f t="shared" si="1"/>
        <v>1.6366306114790462E-2</v>
      </c>
      <c r="K55" s="678">
        <f t="shared" si="2"/>
        <v>1.0000000018087958</v>
      </c>
      <c r="L55" s="679">
        <f t="shared" si="3"/>
        <v>6.0146419530251599E-5</v>
      </c>
      <c r="M55" s="678">
        <f t="shared" si="4"/>
        <v>1.0000000808941538</v>
      </c>
      <c r="N55" s="679">
        <f t="shared" si="5"/>
        <v>-4.0222915940159965E-4</v>
      </c>
      <c r="O55" s="677">
        <f t="shared" si="6"/>
        <v>360.87990312181762</v>
      </c>
      <c r="P55" s="680">
        <f t="shared" si="7"/>
        <v>1.5680253182929031</v>
      </c>
      <c r="Q55" s="689">
        <f t="shared" si="8"/>
        <v>1.0000324782116827</v>
      </c>
      <c r="R55" s="690">
        <f t="shared" si="9"/>
        <v>8.0594457227052847E-3</v>
      </c>
      <c r="S55" s="677">
        <f t="shared" si="10"/>
        <v>1.0000000202992119</v>
      </c>
      <c r="T55" s="680">
        <f t="shared" si="11"/>
        <v>2.0149050294258078E-4</v>
      </c>
      <c r="U55" s="681">
        <f t="shared" si="24"/>
        <v>0.99959942532964885</v>
      </c>
      <c r="V55" s="682">
        <f t="shared" si="25"/>
        <v>-1.320030982341782E-3</v>
      </c>
      <c r="W55" s="683">
        <f t="shared" si="12"/>
        <v>52.702195726956987</v>
      </c>
      <c r="X55" s="684">
        <f t="shared" si="13"/>
        <v>-90.423957709420378</v>
      </c>
      <c r="Y55" s="687">
        <f t="shared" si="14"/>
        <v>89.576042290579622</v>
      </c>
      <c r="AA55" s="170">
        <f t="shared" si="15"/>
        <v>1000000000</v>
      </c>
      <c r="AB55" s="170">
        <f t="shared" si="16"/>
        <v>2290.8667689999997</v>
      </c>
      <c r="AD55" s="686">
        <f t="shared" si="17"/>
        <v>53.958478073263755</v>
      </c>
      <c r="AE55" s="687">
        <f t="shared" si="18"/>
        <v>-89.391005340289823</v>
      </c>
      <c r="AG55" s="686">
        <f t="shared" si="19"/>
        <v>40.712009546720893</v>
      </c>
      <c r="AH55" s="687">
        <f t="shared" si="20"/>
        <v>-0.88168796072832833</v>
      </c>
      <c r="AJ55" s="170">
        <f t="shared" si="21"/>
        <v>0</v>
      </c>
      <c r="AK55" s="170">
        <f t="shared" si="33"/>
        <v>0</v>
      </c>
      <c r="AM55" s="170" t="str">
        <f t="shared" si="26"/>
        <v>1.77804313195029E-06+0.00188575796486158i</v>
      </c>
      <c r="AN55" s="170" t="str">
        <f t="shared" si="27"/>
        <v>0.00188575908251537i</v>
      </c>
      <c r="AO55" s="170" t="str">
        <f t="shared" si="28"/>
        <v>0.999999407318888-0.000942879261956729i</v>
      </c>
      <c r="AP55" s="170" t="str">
        <f t="shared" si="29"/>
        <v>0.166666370326145-0.000314292994143597i</v>
      </c>
      <c r="AQ55" s="170" t="str">
        <f t="shared" si="30"/>
        <v>0.833333629673855+0.000314292994143597i</v>
      </c>
      <c r="AR55" s="170" t="str">
        <f t="shared" si="31"/>
        <v>0.999599502347489-0.000377000410580092i</v>
      </c>
    </row>
    <row r="56" spans="1:44">
      <c r="A56" s="170">
        <v>0.8</v>
      </c>
      <c r="C56" s="170" t="s">
        <v>807</v>
      </c>
      <c r="D56" s="170" t="str">
        <f>IMSUB(1, D55)</f>
        <v>0.846102605135299+0.063979446946937i</v>
      </c>
      <c r="G56" s="688">
        <v>52.481000000000002</v>
      </c>
      <c r="H56" s="676">
        <f t="shared" si="23"/>
        <v>5.2481E-2</v>
      </c>
      <c r="I56" s="677">
        <f t="shared" si="0"/>
        <v>1.0001610342687686</v>
      </c>
      <c r="J56" s="678">
        <f t="shared" si="1"/>
        <v>1.7945064040451129E-2</v>
      </c>
      <c r="K56" s="678">
        <f t="shared" si="2"/>
        <v>1.0000000021746729</v>
      </c>
      <c r="L56" s="679">
        <f t="shared" si="3"/>
        <v>6.5949569450247497E-5</v>
      </c>
      <c r="M56" s="678">
        <f t="shared" si="4"/>
        <v>1.0000000972571421</v>
      </c>
      <c r="N56" s="679">
        <f t="shared" si="5"/>
        <v>-4.4103771774189351E-4</v>
      </c>
      <c r="O56" s="677">
        <f t="shared" si="6"/>
        <v>395.69868086491289</v>
      </c>
      <c r="P56" s="680">
        <f t="shared" si="7"/>
        <v>1.5682691486343496</v>
      </c>
      <c r="Q56" s="689">
        <f t="shared" si="8"/>
        <v>1.0000390476635437</v>
      </c>
      <c r="R56" s="690">
        <f t="shared" si="9"/>
        <v>8.8370122763232559E-3</v>
      </c>
      <c r="S56" s="677">
        <f t="shared" si="10"/>
        <v>1.0000000244052658</v>
      </c>
      <c r="T56" s="680">
        <f t="shared" si="11"/>
        <v>2.2093105438404363E-4</v>
      </c>
      <c r="U56" s="681">
        <f t="shared" si="24"/>
        <v>0.99959930908743055</v>
      </c>
      <c r="V56" s="682">
        <f t="shared" si="25"/>
        <v>-1.4473923905239199E-3</v>
      </c>
      <c r="W56" s="683">
        <f t="shared" si="12"/>
        <v>51.901978509125385</v>
      </c>
      <c r="X56" s="684">
        <f t="shared" si="13"/>
        <v>-90.494135246497294</v>
      </c>
      <c r="Y56" s="687">
        <f t="shared" si="14"/>
        <v>89.505864753502706</v>
      </c>
      <c r="AA56" s="170">
        <f t="shared" si="15"/>
        <v>1000000000</v>
      </c>
      <c r="AB56" s="170">
        <f t="shared" si="16"/>
        <v>2754.255361</v>
      </c>
      <c r="AD56" s="686">
        <f t="shared" si="17"/>
        <v>53.158496997817664</v>
      </c>
      <c r="AE56" s="687">
        <f t="shared" si="18"/>
        <v>-89.361538369474431</v>
      </c>
      <c r="AG56" s="686">
        <f t="shared" si="19"/>
        <v>40.711775424478873</v>
      </c>
      <c r="AH56" s="687">
        <f t="shared" si="20"/>
        <v>-0.96673792628060584</v>
      </c>
      <c r="AJ56" s="170">
        <f t="shared" si="21"/>
        <v>0</v>
      </c>
      <c r="AK56" s="170">
        <f t="shared" si="33"/>
        <v>0</v>
      </c>
      <c r="AM56" s="170" t="str">
        <f t="shared" si="26"/>
        <v>2.13769940704545E-06+0.00206770264900348i</v>
      </c>
      <c r="AN56" s="170" t="str">
        <f t="shared" si="27"/>
        <v>0.00206770412238032i</v>
      </c>
      <c r="AO56" s="170" t="str">
        <f t="shared" si="28"/>
        <v>0.999999287433427-0.00103385169275793i</v>
      </c>
      <c r="AP56" s="170" t="str">
        <f t="shared" si="29"/>
        <v>0.166666310383432-0.000344617108167247i</v>
      </c>
      <c r="AQ56" s="170" t="str">
        <f t="shared" si="30"/>
        <v>0.833333689616568+0.000344617108167247i</v>
      </c>
      <c r="AR56" s="170" t="str">
        <f t="shared" si="31"/>
        <v>0.999599401684202-0.000413374689426778i</v>
      </c>
    </row>
    <row r="57" spans="1:44">
      <c r="A57" s="170">
        <v>0.9</v>
      </c>
      <c r="C57" s="170" t="s">
        <v>808</v>
      </c>
      <c r="D57" s="170" t="str">
        <f>IMDIV(0.833,D56)</f>
        <v>0.978916838004995-0.0740224146840781i</v>
      </c>
      <c r="G57" s="688">
        <v>57.544000000000004</v>
      </c>
      <c r="H57" s="676">
        <f t="shared" si="23"/>
        <v>5.7544000000000005E-2</v>
      </c>
      <c r="I57" s="677">
        <f t="shared" si="0"/>
        <v>1.0001936007902061</v>
      </c>
      <c r="J57" s="678">
        <f t="shared" si="1"/>
        <v>1.9675851238363993E-2</v>
      </c>
      <c r="K57" s="678">
        <f t="shared" si="2"/>
        <v>1.0000000026145071</v>
      </c>
      <c r="L57" s="679">
        <f t="shared" si="3"/>
        <v>7.2311922854599982E-5</v>
      </c>
      <c r="M57" s="678">
        <f t="shared" si="4"/>
        <v>1.0000001169276955</v>
      </c>
      <c r="N57" s="679">
        <f t="shared" si="5"/>
        <v>-4.8358594723663654E-4</v>
      </c>
      <c r="O57" s="677">
        <f t="shared" si="6"/>
        <v>433.87269029715213</v>
      </c>
      <c r="P57" s="680">
        <f t="shared" si="7"/>
        <v>1.5684915011911329</v>
      </c>
      <c r="Q57" s="689">
        <f t="shared" si="8"/>
        <v>1.0000469449876179</v>
      </c>
      <c r="R57" s="690">
        <f t="shared" si="9"/>
        <v>9.6894944310828846E-3</v>
      </c>
      <c r="S57" s="677">
        <f t="shared" si="10"/>
        <v>1.0000000293413056</v>
      </c>
      <c r="T57" s="680">
        <f t="shared" si="11"/>
        <v>2.4224493724662224E-4</v>
      </c>
      <c r="U57" s="681">
        <f t="shared" si="24"/>
        <v>0.99959916934841975</v>
      </c>
      <c r="V57" s="682">
        <f t="shared" si="25"/>
        <v>-1.5870265805012858E-3</v>
      </c>
      <c r="W57" s="683">
        <f t="shared" si="12"/>
        <v>51.101808954551487</v>
      </c>
      <c r="X57" s="684">
        <f t="shared" si="13"/>
        <v>-90.568493225020063</v>
      </c>
      <c r="Y57" s="687">
        <f t="shared" si="14"/>
        <v>89.431506774979937</v>
      </c>
      <c r="AA57" s="170">
        <f t="shared" si="15"/>
        <v>1000000000</v>
      </c>
      <c r="AB57" s="170">
        <f t="shared" si="16"/>
        <v>3311.3119360000005</v>
      </c>
      <c r="AD57" s="686">
        <f t="shared" si="17"/>
        <v>52.358611301873779</v>
      </c>
      <c r="AE57" s="687">
        <f t="shared" si="18"/>
        <v>-89.32665579845731</v>
      </c>
      <c r="AG57" s="686">
        <f t="shared" si="19"/>
        <v>40.71149399433736</v>
      </c>
      <c r="AH57" s="687">
        <f t="shared" si="20"/>
        <v>-1.0599775762793606</v>
      </c>
      <c r="AJ57" s="170">
        <f t="shared" si="21"/>
        <v>0</v>
      </c>
      <c r="AK57" s="170">
        <f t="shared" si="33"/>
        <v>0</v>
      </c>
      <c r="AM57" s="170" t="str">
        <f t="shared" si="26"/>
        <v>0.0000025700554689978+0.00226717981910478i</v>
      </c>
      <c r="AN57" s="170" t="str">
        <f t="shared" si="27"/>
        <v>0.00226718176136607i</v>
      </c>
      <c r="AO57" s="170" t="str">
        <f t="shared" si="28"/>
        <v>0.999999143314699-0.00113359039526202i</v>
      </c>
      <c r="AP57" s="170" t="str">
        <f t="shared" si="29"/>
        <v>0.166666238324089-0.00037786330318413i</v>
      </c>
      <c r="AQ57" s="170" t="str">
        <f t="shared" si="30"/>
        <v>0.833333761675911+0.00037786330318413i</v>
      </c>
      <c r="AR57" s="170" t="str">
        <f t="shared" si="31"/>
        <v>0.999599280673203-0.000453254030289188i</v>
      </c>
    </row>
    <row r="58" spans="1:44">
      <c r="A58" s="170">
        <v>1</v>
      </c>
      <c r="C58" s="170" t="s">
        <v>809</v>
      </c>
      <c r="D58" s="170">
        <f>IMABS(IMPRODUCT(D54, D57))</f>
        <v>0.97537423820755309</v>
      </c>
      <c r="G58" s="688">
        <v>63.095999999999997</v>
      </c>
      <c r="H58" s="676">
        <f t="shared" si="23"/>
        <v>6.3095999999999999E-2</v>
      </c>
      <c r="I58" s="677">
        <f t="shared" si="0"/>
        <v>1.0002327566966664</v>
      </c>
      <c r="J58" s="678">
        <f t="shared" si="1"/>
        <v>2.1573667246517159E-2</v>
      </c>
      <c r="K58" s="678">
        <f t="shared" si="2"/>
        <v>1.0000000031433547</v>
      </c>
      <c r="L58" s="679">
        <f t="shared" si="3"/>
        <v>7.9288771771604839E-5</v>
      </c>
      <c r="M58" s="678">
        <f t="shared" si="4"/>
        <v>1.0000001405791608</v>
      </c>
      <c r="N58" s="679">
        <f t="shared" si="5"/>
        <v>-5.3024361263963543E-4</v>
      </c>
      <c r="O58" s="677">
        <f t="shared" si="6"/>
        <v>475.733682635918</v>
      </c>
      <c r="P58" s="680">
        <f t="shared" si="7"/>
        <v>1.5686943088531085</v>
      </c>
      <c r="Q58" s="689">
        <f t="shared" si="8"/>
        <v>1.0000564404838286</v>
      </c>
      <c r="R58" s="690">
        <f t="shared" si="9"/>
        <v>1.0624295680152881E-2</v>
      </c>
      <c r="S58" s="677">
        <f t="shared" si="10"/>
        <v>1.0000000352762972</v>
      </c>
      <c r="T58" s="680">
        <f t="shared" si="11"/>
        <v>2.6561737974483096E-4</v>
      </c>
      <c r="U58" s="681">
        <f t="shared" si="24"/>
        <v>0.99959900132919322</v>
      </c>
      <c r="V58" s="682">
        <f t="shared" si="25"/>
        <v>-1.7401470314777354E-3</v>
      </c>
      <c r="W58" s="683">
        <f t="shared" si="12"/>
        <v>50.301518365192791</v>
      </c>
      <c r="X58" s="684">
        <f t="shared" si="13"/>
        <v>-90.647675770721378</v>
      </c>
      <c r="Y58" s="687">
        <f t="shared" si="14"/>
        <v>89.352324229278622</v>
      </c>
      <c r="AA58" s="170">
        <f t="shared" si="15"/>
        <v>1000000000</v>
      </c>
      <c r="AB58" s="170">
        <f t="shared" si="16"/>
        <v>3981.1052159999995</v>
      </c>
      <c r="AD58" s="686">
        <f t="shared" si="17"/>
        <v>51.558661993864135</v>
      </c>
      <c r="AE58" s="687">
        <f t="shared" si="18"/>
        <v>-89.286054797551827</v>
      </c>
      <c r="AG58" s="686">
        <f t="shared" si="19"/>
        <v>40.711155632951879</v>
      </c>
      <c r="AH58" s="687">
        <f t="shared" si="20"/>
        <v>-1.1622148116699158</v>
      </c>
      <c r="AJ58" s="170">
        <f t="shared" si="21"/>
        <v>0</v>
      </c>
      <c r="AK58" s="170">
        <f t="shared" si="33"/>
        <v>0</v>
      </c>
      <c r="AM58" s="170" t="str">
        <f t="shared" si="26"/>
        <v>3.08991135300474E-06+0.00248592299940475i</v>
      </c>
      <c r="AN58" s="170" t="str">
        <f t="shared" si="27"/>
        <v>0.00248592555983515i</v>
      </c>
      <c r="AO58" s="170" t="str">
        <f t="shared" si="28"/>
        <v>0.999998970029336-0.00124296213970689i</v>
      </c>
      <c r="AP58" s="170" t="str">
        <f t="shared" si="29"/>
        <v>0.166666151681441-0.000414320499900792i</v>
      </c>
      <c r="AQ58" s="170" t="str">
        <f t="shared" si="30"/>
        <v>0.833333848318559+0.000414320499900792i</v>
      </c>
      <c r="AR58" s="170" t="str">
        <f t="shared" si="31"/>
        <v>0.999599135172174-0.000496984988934009i</v>
      </c>
    </row>
    <row r="59" spans="1:44">
      <c r="A59" s="170">
        <v>1.2</v>
      </c>
      <c r="G59" s="688">
        <v>69.183000000000007</v>
      </c>
      <c r="H59" s="676">
        <f t="shared" si="23"/>
        <v>6.9183000000000008E-2</v>
      </c>
      <c r="I59" s="677">
        <f t="shared" si="0"/>
        <v>1.0002798253726681</v>
      </c>
      <c r="J59" s="678">
        <f t="shared" si="1"/>
        <v>2.3654180872715074E-2</v>
      </c>
      <c r="K59" s="678">
        <f t="shared" si="2"/>
        <v>1.000000003779101</v>
      </c>
      <c r="L59" s="679">
        <f t="shared" si="3"/>
        <v>8.6937921502948544E-5</v>
      </c>
      <c r="M59" s="678">
        <f t="shared" si="4"/>
        <v>1.000000169011426</v>
      </c>
      <c r="N59" s="679">
        <f t="shared" si="5"/>
        <v>-5.8139728600721877E-4</v>
      </c>
      <c r="O59" s="677">
        <f t="shared" si="6"/>
        <v>521.62848886936433</v>
      </c>
      <c r="P59" s="680">
        <f t="shared" si="7"/>
        <v>1.5688792524136703</v>
      </c>
      <c r="Q59" s="689">
        <f t="shared" si="8"/>
        <v>1.0000678552374842</v>
      </c>
      <c r="R59" s="690">
        <f t="shared" si="9"/>
        <v>1.164915454117193E-2</v>
      </c>
      <c r="S59" s="677">
        <f t="shared" si="10"/>
        <v>1.0000000424109614</v>
      </c>
      <c r="T59" s="680">
        <f t="shared" si="11"/>
        <v>2.9124202953406344E-4</v>
      </c>
      <c r="U59" s="681">
        <f t="shared" si="24"/>
        <v>0.99959879934742879</v>
      </c>
      <c r="V59" s="682">
        <f t="shared" si="25"/>
        <v>-1.9080223794647958E-3</v>
      </c>
      <c r="W59" s="683">
        <f t="shared" si="12"/>
        <v>49.50125918749098</v>
      </c>
      <c r="X59" s="684">
        <f t="shared" si="13"/>
        <v>-90.732336177756508</v>
      </c>
      <c r="Y59" s="687">
        <f t="shared" si="14"/>
        <v>89.267663822243492</v>
      </c>
      <c r="AA59" s="170">
        <f t="shared" si="15"/>
        <v>1000000000</v>
      </c>
      <c r="AB59" s="170">
        <f t="shared" si="16"/>
        <v>4786.2874890000012</v>
      </c>
      <c r="AD59" s="686">
        <f t="shared" si="17"/>
        <v>50.758813047347864</v>
      </c>
      <c r="AE59" s="687">
        <f t="shared" si="18"/>
        <v>-89.239399379918268</v>
      </c>
      <c r="AG59" s="686">
        <f t="shared" si="19"/>
        <v>40.710748911956898</v>
      </c>
      <c r="AH59" s="687">
        <f t="shared" si="20"/>
        <v>-1.2742935384687184</v>
      </c>
      <c r="AJ59" s="170">
        <f t="shared" si="21"/>
        <v>0</v>
      </c>
      <c r="AK59" s="170">
        <f t="shared" si="33"/>
        <v>0</v>
      </c>
      <c r="AM59" s="170" t="str">
        <f t="shared" si="26"/>
        <v>3.71484844297054E-06+0.00272574450110075i</v>
      </c>
      <c r="AN59" s="170" t="str">
        <f t="shared" si="27"/>
        <v>0.00272574787634834i</v>
      </c>
      <c r="AO59" s="170" t="str">
        <f t="shared" si="28"/>
        <v>0.999998761716878-0.0013628730944651i</v>
      </c>
      <c r="AP59" s="170" t="str">
        <f t="shared" si="29"/>
        <v>0.16666604752526-0.000454290750183458i</v>
      </c>
      <c r="AQ59" s="170" t="str">
        <f t="shared" si="30"/>
        <v>0.83333395247474+0.000454290750183458i</v>
      </c>
      <c r="AR59" s="170" t="str">
        <f t="shared" si="31"/>
        <v>0.999598960260354-0.000544929868980762i</v>
      </c>
    </row>
    <row r="60" spans="1:44">
      <c r="A60" s="170">
        <v>1.5</v>
      </c>
      <c r="C60" s="170" t="s">
        <v>743</v>
      </c>
      <c r="D60" s="170">
        <f>10^(-D51/20)/O3*'Design Converter'!E40/10*Acs</f>
        <v>6665.7060659067793</v>
      </c>
      <c r="G60" s="688">
        <v>75.858000000000004</v>
      </c>
      <c r="H60" s="676">
        <f t="shared" si="23"/>
        <v>7.5858000000000009E-2</v>
      </c>
      <c r="I60" s="677">
        <f t="shared" si="0"/>
        <v>1.0003364176706764</v>
      </c>
      <c r="J60" s="678">
        <f t="shared" si="1"/>
        <v>2.5935434590644523E-2</v>
      </c>
      <c r="K60" s="678">
        <f t="shared" si="2"/>
        <v>1.0000000045435207</v>
      </c>
      <c r="L60" s="679">
        <f t="shared" si="3"/>
        <v>9.5325973808736312E-5</v>
      </c>
      <c r="M60" s="678">
        <f t="shared" si="4"/>
        <v>1.0000002031982924</v>
      </c>
      <c r="N60" s="679">
        <f t="shared" si="5"/>
        <v>-6.3749236541865803E-4</v>
      </c>
      <c r="O60" s="677">
        <f t="shared" si="6"/>
        <v>571.95671877756945</v>
      </c>
      <c r="P60" s="680">
        <f t="shared" si="7"/>
        <v>1.5690479418618331</v>
      </c>
      <c r="Q60" s="689">
        <f t="shared" si="8"/>
        <v>1.0000815801294705</v>
      </c>
      <c r="R60" s="690">
        <f t="shared" si="9"/>
        <v>1.2772985849725048E-2</v>
      </c>
      <c r="S60" s="677">
        <f t="shared" si="10"/>
        <v>1.0000000509896594</v>
      </c>
      <c r="T60" s="680">
        <f t="shared" si="11"/>
        <v>3.1934200237113147E-4</v>
      </c>
      <c r="U60" s="681">
        <f t="shared" si="24"/>
        <v>0.9995985564853308</v>
      </c>
      <c r="V60" s="682">
        <f t="shared" si="25"/>
        <v>-2.0921143091610049E-3</v>
      </c>
      <c r="W60" s="683">
        <f t="shared" si="12"/>
        <v>48.700847836275145</v>
      </c>
      <c r="X60" s="684">
        <f t="shared" si="13"/>
        <v>-90.823207902227864</v>
      </c>
      <c r="Y60" s="687">
        <f t="shared" si="14"/>
        <v>89.176792097772136</v>
      </c>
      <c r="AA60" s="170">
        <f t="shared" si="15"/>
        <v>1000000000</v>
      </c>
      <c r="AB60" s="170">
        <f t="shared" si="16"/>
        <v>5754.4361640000006</v>
      </c>
      <c r="AD60" s="686">
        <f t="shared" si="17"/>
        <v>49.958894905912523</v>
      </c>
      <c r="AE60" s="687">
        <f t="shared" si="18"/>
        <v>-89.186283792268938</v>
      </c>
      <c r="AG60" s="686">
        <f t="shared" si="19"/>
        <v>40.710259922817009</v>
      </c>
      <c r="AH60" s="687">
        <f t="shared" si="20"/>
        <v>-1.3971854693372863</v>
      </c>
      <c r="AJ60" s="170">
        <f t="shared" si="21"/>
        <v>0</v>
      </c>
      <c r="AK60" s="170">
        <f t="shared" si="33"/>
        <v>0</v>
      </c>
      <c r="AM60" s="170" t="str">
        <f t="shared" si="26"/>
        <v>0.000004466270693948+0.00298873241365655i</v>
      </c>
      <c r="AN60" s="170" t="str">
        <f t="shared" si="27"/>
        <v>0.0029887368631605i</v>
      </c>
      <c r="AO60" s="170" t="str">
        <f t="shared" si="28"/>
        <v>0.999998511242657-0.00149436731918415i</v>
      </c>
      <c r="AP60" s="170" t="str">
        <f t="shared" si="29"/>
        <v>0.166665922288218-0.000498122068942758i</v>
      </c>
      <c r="AQ60" s="170" t="str">
        <f t="shared" si="30"/>
        <v>0.833334077711782+0.000498122068942758i</v>
      </c>
      <c r="AR60" s="170" t="str">
        <f t="shared" si="31"/>
        <v>0.999598749947108-0.000597506103198698i</v>
      </c>
    </row>
    <row r="61" spans="1:44">
      <c r="A61" s="170">
        <v>1.8</v>
      </c>
      <c r="C61" s="170" t="s">
        <v>744</v>
      </c>
      <c r="D61" s="170">
        <f>1/(6.28*D60*pole1*2)</f>
        <v>4.084639510772426E-9</v>
      </c>
      <c r="G61" s="688">
        <v>83.176000000000002</v>
      </c>
      <c r="H61" s="676">
        <f t="shared" si="23"/>
        <v>8.3176E-2</v>
      </c>
      <c r="I61" s="677">
        <f t="shared" si="0"/>
        <v>1.0004044429933254</v>
      </c>
      <c r="J61" s="678">
        <f t="shared" si="1"/>
        <v>2.8436129433324114E-2</v>
      </c>
      <c r="K61" s="678">
        <f t="shared" si="2"/>
        <v>1.0000000054624287</v>
      </c>
      <c r="L61" s="679">
        <f t="shared" si="3"/>
        <v>1.0452204372193051E-4</v>
      </c>
      <c r="M61" s="678">
        <f t="shared" si="4"/>
        <v>1.0000002442942981</v>
      </c>
      <c r="N61" s="679">
        <f t="shared" si="5"/>
        <v>-6.9899105609618471E-4</v>
      </c>
      <c r="O61" s="677">
        <f t="shared" si="6"/>
        <v>627.13306189483421</v>
      </c>
      <c r="P61" s="680">
        <f t="shared" si="7"/>
        <v>1.569201768184403</v>
      </c>
      <c r="Q61" s="689">
        <f t="shared" si="8"/>
        <v>1.0000980785627587</v>
      </c>
      <c r="R61" s="690">
        <f t="shared" si="9"/>
        <v>1.4005038183392328E-2</v>
      </c>
      <c r="S61" s="677">
        <f t="shared" si="10"/>
        <v>1.0000000613021061</v>
      </c>
      <c r="T61" s="680">
        <f t="shared" si="11"/>
        <v>3.5014883343366886E-4</v>
      </c>
      <c r="U61" s="681">
        <f t="shared" si="24"/>
        <v>0.9995982645412077</v>
      </c>
      <c r="V61" s="682">
        <f t="shared" si="25"/>
        <v>-2.2939396587169781E-3</v>
      </c>
      <c r="W61" s="683">
        <f t="shared" si="12"/>
        <v>47.900467604312666</v>
      </c>
      <c r="X61" s="684">
        <f t="shared" si="13"/>
        <v>-90.921034924433869</v>
      </c>
      <c r="Y61" s="687">
        <f t="shared" si="14"/>
        <v>89.078965075566131</v>
      </c>
      <c r="AA61" s="170">
        <f t="shared" si="15"/>
        <v>1000000000</v>
      </c>
      <c r="AB61" s="170">
        <f t="shared" si="16"/>
        <v>6918.2469760000004</v>
      </c>
      <c r="AD61" s="686">
        <f t="shared" si="17"/>
        <v>49.159107487480178</v>
      </c>
      <c r="AE61" s="687">
        <f t="shared" si="18"/>
        <v>-89.126271093803311</v>
      </c>
      <c r="AG61" s="686">
        <f t="shared" si="19"/>
        <v>40.709672182913259</v>
      </c>
      <c r="AH61" s="687">
        <f t="shared" si="20"/>
        <v>-1.5318977085258489</v>
      </c>
      <c r="AJ61" s="170">
        <f t="shared" si="21"/>
        <v>0</v>
      </c>
      <c r="AK61" s="170">
        <f t="shared" si="33"/>
        <v>0</v>
      </c>
      <c r="AM61" s="170" t="str">
        <f t="shared" si="26"/>
        <v>5.36955458196875E-06+0.00327705360527274i</v>
      </c>
      <c r="AN61" s="170" t="str">
        <f t="shared" si="27"/>
        <v>0.00327705947072474i</v>
      </c>
      <c r="AO61" s="170" t="str">
        <f t="shared" si="28"/>
        <v>0.999998210147832-0.00163852826899759i</v>
      </c>
      <c r="AP61" s="170" t="str">
        <f t="shared" si="29"/>
        <v>0.166665771740903-0.00054617560087879i</v>
      </c>
      <c r="AQ61" s="170" t="str">
        <f t="shared" si="30"/>
        <v>0.833334228259097+0.00054617560087879i</v>
      </c>
      <c r="AR61" s="170" t="str">
        <f t="shared" si="31"/>
        <v>0.999598497129981-0.000655146868199629i</v>
      </c>
    </row>
    <row r="62" spans="1:44">
      <c r="A62" s="170">
        <v>2</v>
      </c>
      <c r="C62" s="170" t="s">
        <v>812</v>
      </c>
      <c r="D62" s="170">
        <f>D61/150</f>
        <v>2.7230930071816173E-11</v>
      </c>
      <c r="G62" s="688">
        <v>91.201000000000008</v>
      </c>
      <c r="H62" s="676">
        <f t="shared" si="23"/>
        <v>9.1201000000000004E-2</v>
      </c>
      <c r="I62" s="677">
        <f t="shared" si="0"/>
        <v>1.0004862310609348</v>
      </c>
      <c r="J62" s="678">
        <f t="shared" si="1"/>
        <v>3.1178009091098399E-2</v>
      </c>
      <c r="K62" s="678">
        <f t="shared" si="2"/>
        <v>1.0000000065673313</v>
      </c>
      <c r="L62" s="679">
        <f t="shared" si="3"/>
        <v>1.1460655600728719E-4</v>
      </c>
      <c r="M62" s="678">
        <f t="shared" si="4"/>
        <v>1.0000002937084613</v>
      </c>
      <c r="N62" s="679">
        <f t="shared" si="5"/>
        <v>-7.664311965827886E-4</v>
      </c>
      <c r="O62" s="677">
        <f t="shared" si="6"/>
        <v>687.64006617933296</v>
      </c>
      <c r="P62" s="680">
        <f t="shared" si="7"/>
        <v>1.5693420771057678</v>
      </c>
      <c r="Q62" s="689">
        <f t="shared" si="8"/>
        <v>1.0001179160504747</v>
      </c>
      <c r="R62" s="690">
        <f t="shared" si="9"/>
        <v>1.5356071425429505E-2</v>
      </c>
      <c r="S62" s="677">
        <f t="shared" si="10"/>
        <v>1.0000000737018739</v>
      </c>
      <c r="T62" s="680">
        <f t="shared" si="11"/>
        <v>3.8393194544101525E-4</v>
      </c>
      <c r="U62" s="681">
        <f t="shared" si="24"/>
        <v>0.99959791350557758</v>
      </c>
      <c r="V62" s="682">
        <f t="shared" si="25"/>
        <v>-2.5152634708094043E-3</v>
      </c>
      <c r="W62" s="683">
        <f t="shared" si="12"/>
        <v>47.099897557871387</v>
      </c>
      <c r="X62" s="684">
        <f t="shared" si="13"/>
        <v>-91.026666448652179</v>
      </c>
      <c r="Y62" s="687">
        <f t="shared" si="14"/>
        <v>88.973333551347821</v>
      </c>
      <c r="AA62" s="170">
        <f t="shared" si="15"/>
        <v>1000000000</v>
      </c>
      <c r="AB62" s="170">
        <f t="shared" si="16"/>
        <v>8317.6224010000005</v>
      </c>
      <c r="AD62" s="686">
        <f t="shared" si="17"/>
        <v>48.359250138420478</v>
      </c>
      <c r="AE62" s="687">
        <f t="shared" si="18"/>
        <v>-89.058837329734729</v>
      </c>
      <c r="AG62" s="686">
        <f t="shared" si="19"/>
        <v>40.708965586097044</v>
      </c>
      <c r="AH62" s="687">
        <f t="shared" si="20"/>
        <v>-1.6796011561064763</v>
      </c>
      <c r="AJ62" s="170">
        <f t="shared" si="21"/>
        <v>0</v>
      </c>
      <c r="AK62" s="170">
        <f t="shared" si="33"/>
        <v>0</v>
      </c>
      <c r="AM62" s="170" t="str">
        <f t="shared" si="26"/>
        <v>6.45566999002423E-06+0.00359322950913194i</v>
      </c>
      <c r="AN62" s="170" t="str">
        <f t="shared" si="27"/>
        <v>0.00359323724138654i</v>
      </c>
      <c r="AO62" s="170" t="str">
        <f t="shared" si="28"/>
        <v>0.999997848109078-0.00179661668750075i</v>
      </c>
      <c r="AP62" s="170" t="str">
        <f t="shared" si="29"/>
        <v>0.166665590721668-0.000598871584855323i</v>
      </c>
      <c r="AQ62" s="170" t="str">
        <f t="shared" si="30"/>
        <v>0.833334409278332+0.000598871584855323i</v>
      </c>
      <c r="AR62" s="170" t="str">
        <f t="shared" si="31"/>
        <v>0.999598193141036-0.000718356217479732i</v>
      </c>
    </row>
    <row r="63" spans="1:44">
      <c r="A63" s="170">
        <v>2.5</v>
      </c>
      <c r="G63" s="688">
        <v>100</v>
      </c>
      <c r="H63" s="676">
        <f t="shared" si="23"/>
        <v>0.1</v>
      </c>
      <c r="I63" s="677">
        <f t="shared" si="0"/>
        <v>1.0005845506581781</v>
      </c>
      <c r="J63" s="678">
        <f t="shared" si="1"/>
        <v>3.4183798811238751E-2</v>
      </c>
      <c r="K63" s="678">
        <f t="shared" si="2"/>
        <v>1.0000000078956834</v>
      </c>
      <c r="L63" s="679">
        <f t="shared" si="3"/>
        <v>1.2566370533853279E-4</v>
      </c>
      <c r="M63" s="678">
        <f t="shared" si="4"/>
        <v>1.0000003531158768</v>
      </c>
      <c r="N63" s="679">
        <f t="shared" si="5"/>
        <v>-8.4037583604163553E-4</v>
      </c>
      <c r="O63" s="677">
        <f t="shared" si="6"/>
        <v>753.98289914530551</v>
      </c>
      <c r="P63" s="680">
        <f t="shared" si="7"/>
        <v>1.569470036378618</v>
      </c>
      <c r="Q63" s="689">
        <f t="shared" si="8"/>
        <v>1.0001417648443411</v>
      </c>
      <c r="R63" s="690">
        <f t="shared" si="9"/>
        <v>1.683734531576031E-2</v>
      </c>
      <c r="S63" s="677">
        <f t="shared" si="10"/>
        <v>1.0000000886093041</v>
      </c>
      <c r="T63" s="680">
        <f t="shared" si="11"/>
        <v>4.20973390231894E-4</v>
      </c>
      <c r="U63" s="681">
        <f t="shared" si="24"/>
        <v>0.99959749147884835</v>
      </c>
      <c r="V63" s="682">
        <f t="shared" si="25"/>
        <v>-2.757933515389797E-3</v>
      </c>
      <c r="W63" s="683">
        <f t="shared" si="12"/>
        <v>46.299241424948001</v>
      </c>
      <c r="X63" s="684">
        <f t="shared" si="13"/>
        <v>-91.140975773506398</v>
      </c>
      <c r="Y63" s="687">
        <f t="shared" si="14"/>
        <v>88.859024226493602</v>
      </c>
      <c r="AA63" s="170">
        <f t="shared" si="15"/>
        <v>1000000000</v>
      </c>
      <c r="AB63" s="170">
        <f t="shared" si="16"/>
        <v>10000</v>
      </c>
      <c r="AD63" s="686">
        <f t="shared" si="17"/>
        <v>47.559450681302096</v>
      </c>
      <c r="AE63" s="687">
        <f t="shared" si="18"/>
        <v>-88.983420432167136</v>
      </c>
      <c r="AG63" s="686">
        <f t="shared" si="19"/>
        <v>40.708116244597804</v>
      </c>
      <c r="AH63" s="687">
        <f t="shared" si="20"/>
        <v>-1.8415194397591199</v>
      </c>
      <c r="AJ63" s="170">
        <f t="shared" si="21"/>
        <v>0</v>
      </c>
      <c r="AK63" s="170">
        <f t="shared" si="33"/>
        <v>0</v>
      </c>
      <c r="AM63" s="170" t="str">
        <f t="shared" si="26"/>
        <v>7.76143502800863E-06+0.00393989972166526i</v>
      </c>
      <c r="AN63" s="170" t="str">
        <f t="shared" si="27"/>
        <v>0.00393990991478881i</v>
      </c>
      <c r="AO63" s="170" t="str">
        <f t="shared" si="28"/>
        <v>0.999997412853651-0.00196995240903234i</v>
      </c>
      <c r="AP63" s="170" t="str">
        <f t="shared" si="29"/>
        <v>0.166665373094162-0.000656649953610877i</v>
      </c>
      <c r="AQ63" s="170" t="str">
        <f t="shared" si="30"/>
        <v>0.833334626905838+0.000656649953610877i</v>
      </c>
      <c r="AR63" s="170" t="str">
        <f t="shared" si="31"/>
        <v>0.999597827675566-0.000787661817930028i</v>
      </c>
    </row>
    <row r="64" spans="1:44">
      <c r="A64" s="170">
        <v>3</v>
      </c>
      <c r="C64" s="170" t="s">
        <v>743</v>
      </c>
      <c r="D64" s="172">
        <f>D60/1000</f>
        <v>6.6657060659067788</v>
      </c>
      <c r="G64" s="688">
        <v>109.65</v>
      </c>
      <c r="H64" s="676">
        <f t="shared" si="23"/>
        <v>0.10965000000000001</v>
      </c>
      <c r="I64" s="677">
        <f t="shared" si="0"/>
        <v>1.0007027708883427</v>
      </c>
      <c r="J64" s="678">
        <f t="shared" si="1"/>
        <v>3.7479582777196714E-2</v>
      </c>
      <c r="K64" s="678">
        <f t="shared" si="2"/>
        <v>1.000000009493077</v>
      </c>
      <c r="L64" s="679">
        <f t="shared" si="3"/>
        <v>1.3779025275696433E-4</v>
      </c>
      <c r="M64" s="678">
        <f t="shared" si="4"/>
        <v>1.0000004245555292</v>
      </c>
      <c r="N64" s="679">
        <f t="shared" si="5"/>
        <v>-9.214720603332357E-4</v>
      </c>
      <c r="O64" s="677">
        <f t="shared" si="6"/>
        <v>826.7421265577251</v>
      </c>
      <c r="P64" s="680">
        <f t="shared" si="7"/>
        <v>1.5695867594924466</v>
      </c>
      <c r="Q64" s="689">
        <f t="shared" si="8"/>
        <v>1.0001704431651322</v>
      </c>
      <c r="R64" s="690">
        <f t="shared" si="9"/>
        <v>1.8461796206883246E-2</v>
      </c>
      <c r="S64" s="677">
        <f t="shared" si="10"/>
        <v>1.0000001065360509</v>
      </c>
      <c r="T64" s="680">
        <f t="shared" si="11"/>
        <v>4.6159731687264667E-4</v>
      </c>
      <c r="U64" s="681">
        <f t="shared" si="24"/>
        <v>0.99959698397646579</v>
      </c>
      <c r="V64" s="682">
        <f t="shared" si="25"/>
        <v>-3.0240733399478567E-3</v>
      </c>
      <c r="W64" s="683">
        <f t="shared" si="12"/>
        <v>45.4982889294496</v>
      </c>
      <c r="X64" s="684">
        <f t="shared" si="13"/>
        <v>-91.264951786441245</v>
      </c>
      <c r="Y64" s="687">
        <f t="shared" si="14"/>
        <v>88.735048213558755</v>
      </c>
      <c r="AA64" s="170">
        <f t="shared" si="15"/>
        <v>1000000000</v>
      </c>
      <c r="AB64" s="170">
        <f t="shared" si="16"/>
        <v>12023.122500000001</v>
      </c>
      <c r="AD64" s="686">
        <f t="shared" si="17"/>
        <v>46.75952814865488</v>
      </c>
      <c r="AE64" s="687">
        <f t="shared" si="18"/>
        <v>-88.899361573321244</v>
      </c>
      <c r="AG64" s="686">
        <f t="shared" si="19"/>
        <v>40.707095101518263</v>
      </c>
      <c r="AH64" s="687">
        <f t="shared" si="20"/>
        <v>-2.0190569340899502</v>
      </c>
      <c r="AJ64" s="170">
        <f t="shared" si="21"/>
        <v>0</v>
      </c>
      <c r="AK64" s="170">
        <f t="shared" si="33"/>
        <v>0</v>
      </c>
      <c r="AM64" s="170" t="str">
        <f t="shared" si="26"/>
        <v>9.33166596994717E-06+0.00432009778361261i</v>
      </c>
      <c r="AN64" s="170" t="str">
        <f t="shared" si="27"/>
        <v>0.00432011122156593i</v>
      </c>
      <c r="AO64" s="170" t="str">
        <f t="shared" si="28"/>
        <v>0.999996889442741-0.00216005225128548i</v>
      </c>
      <c r="AP64" s="170" t="str">
        <f t="shared" si="29"/>
        <v>0.166665111389005-0.000720016297268768i</v>
      </c>
      <c r="AQ64" s="170" t="str">
        <f t="shared" si="30"/>
        <v>0.833334888610995+0.000720016297268768i</v>
      </c>
      <c r="AR64" s="170" t="str">
        <f t="shared" si="31"/>
        <v>0.999597388190374-0.000863670080349097i</v>
      </c>
    </row>
    <row r="65" spans="1:44">
      <c r="A65" s="170">
        <v>4</v>
      </c>
      <c r="C65" s="170" t="s">
        <v>744</v>
      </c>
      <c r="D65" s="172">
        <f>D61*1000000000</f>
        <v>4.0846395107724263</v>
      </c>
      <c r="G65" s="688">
        <v>120.23</v>
      </c>
      <c r="H65" s="676">
        <f t="shared" si="23"/>
        <v>0.12023</v>
      </c>
      <c r="I65" s="677">
        <f t="shared" si="0"/>
        <v>1.0008448728222539</v>
      </c>
      <c r="J65" s="678">
        <f t="shared" si="1"/>
        <v>4.1092052980021387E-2</v>
      </c>
      <c r="K65" s="678">
        <f t="shared" si="2"/>
        <v>1.0000000114134102</v>
      </c>
      <c r="L65" s="679">
        <f t="shared" si="3"/>
        <v>1.5108547257419968E-4</v>
      </c>
      <c r="M65" s="678">
        <f t="shared" si="4"/>
        <v>1.0000005104378902</v>
      </c>
      <c r="N65" s="679">
        <f t="shared" si="5"/>
        <v>-1.0103837617024814E-3</v>
      </c>
      <c r="O65" s="677">
        <f t="shared" si="6"/>
        <v>906.51339390679857</v>
      </c>
      <c r="P65" s="680">
        <f t="shared" si="7"/>
        <v>1.5696931989100393</v>
      </c>
      <c r="Q65" s="689">
        <f t="shared" si="8"/>
        <v>1.000204918197551</v>
      </c>
      <c r="R65" s="690">
        <f t="shared" si="9"/>
        <v>2.0242688101102746E-2</v>
      </c>
      <c r="S65" s="677">
        <f t="shared" si="10"/>
        <v>1.0000001280869877</v>
      </c>
      <c r="T65" s="680">
        <f t="shared" si="11"/>
        <v>5.0613629375508148E-4</v>
      </c>
      <c r="U65" s="681">
        <f t="shared" si="24"/>
        <v>0.99959637387499511</v>
      </c>
      <c r="V65" s="682">
        <f t="shared" si="25"/>
        <v>-3.3158616310699279E-3</v>
      </c>
      <c r="W65" s="683">
        <f t="shared" si="12"/>
        <v>44.697267113468357</v>
      </c>
      <c r="X65" s="684">
        <f t="shared" si="13"/>
        <v>-91.399594661174163</v>
      </c>
      <c r="Y65" s="687">
        <f t="shared" si="14"/>
        <v>88.600405338825837</v>
      </c>
      <c r="AA65" s="170">
        <f t="shared" si="15"/>
        <v>1000000000</v>
      </c>
      <c r="AB65" s="170">
        <f t="shared" si="16"/>
        <v>14455.252900000001</v>
      </c>
      <c r="AD65" s="686">
        <f t="shared" si="17"/>
        <v>45.959744198783412</v>
      </c>
      <c r="AE65" s="687">
        <f t="shared" si="18"/>
        <v>-88.805974408707783</v>
      </c>
      <c r="AG65" s="686">
        <f t="shared" si="19"/>
        <v>40.705867838232912</v>
      </c>
      <c r="AH65" s="687">
        <f t="shared" si="20"/>
        <v>-2.2136504982128575</v>
      </c>
      <c r="AJ65" s="170">
        <f t="shared" si="21"/>
        <v>0</v>
      </c>
      <c r="AK65" s="170">
        <f t="shared" si="33"/>
        <v>0</v>
      </c>
      <c r="AM65" s="170" t="str">
        <f t="shared" si="26"/>
        <v>0.0000112193441540454+0.00473693597536611i</v>
      </c>
      <c r="AN65" s="170" t="str">
        <f t="shared" si="27"/>
        <v>0.00473695369055059i</v>
      </c>
      <c r="AO65" s="170" t="str">
        <f t="shared" si="28"/>
        <v>0.999996260215819-0.00236847241644479i</v>
      </c>
      <c r="AP65" s="170" t="str">
        <f t="shared" si="29"/>
        <v>0.166664796775974-0.000789489329227685i</v>
      </c>
      <c r="AQ65" s="170" t="str">
        <f t="shared" si="30"/>
        <v>0.833335203224026+0.000789489329227685i</v>
      </c>
      <c r="AR65" s="170" t="str">
        <f t="shared" si="31"/>
        <v>0.999596859857114-0.000947003140313202i</v>
      </c>
    </row>
    <row r="66" spans="1:44">
      <c r="A66" s="170">
        <v>5</v>
      </c>
      <c r="C66" s="170" t="s">
        <v>812</v>
      </c>
      <c r="D66" s="172">
        <f>D62*1000000000000</f>
        <v>27.230930071816172</v>
      </c>
      <c r="G66" s="688">
        <v>131.83000000000001</v>
      </c>
      <c r="H66" s="676">
        <f t="shared" si="23"/>
        <v>0.13183</v>
      </c>
      <c r="I66" s="677">
        <f t="shared" si="0"/>
        <v>1.0010156804117576</v>
      </c>
      <c r="J66" s="678">
        <f t="shared" si="1"/>
        <v>4.5051558995008081E-2</v>
      </c>
      <c r="K66" s="678">
        <f t="shared" si="2"/>
        <v>1.000000013722026</v>
      </c>
      <c r="L66" s="679">
        <f t="shared" si="3"/>
        <v>1.6566246210431696E-4</v>
      </c>
      <c r="M66" s="678">
        <f t="shared" si="4"/>
        <v>1.0000006136852602</v>
      </c>
      <c r="N66" s="679">
        <f t="shared" si="5"/>
        <v>-1.1078672722028785E-3</v>
      </c>
      <c r="O66" s="677">
        <f t="shared" si="6"/>
        <v>993.97528474954379</v>
      </c>
      <c r="P66" s="680">
        <f t="shared" si="7"/>
        <v>1.5697902653927309</v>
      </c>
      <c r="Q66" s="689">
        <f t="shared" si="8"/>
        <v>1.0002463623503286</v>
      </c>
      <c r="R66" s="690">
        <f t="shared" si="9"/>
        <v>2.2195124792910376E-2</v>
      </c>
      <c r="S66" s="677">
        <f t="shared" si="10"/>
        <v>1.0000001539954242</v>
      </c>
      <c r="T66" s="680">
        <f t="shared" si="11"/>
        <v>5.5496919615118589E-4</v>
      </c>
      <c r="U66" s="681">
        <f t="shared" si="24"/>
        <v>0.99959564041520543</v>
      </c>
      <c r="V66" s="682">
        <f t="shared" si="25"/>
        <v>-3.6357804217850135E-3</v>
      </c>
      <c r="W66" s="683">
        <f t="shared" si="12"/>
        <v>43.8961118828324</v>
      </c>
      <c r="X66" s="684">
        <f t="shared" si="13"/>
        <v>-91.546030871989529</v>
      </c>
      <c r="Y66" s="687">
        <f t="shared" si="14"/>
        <v>88.453969128010471</v>
      </c>
      <c r="AA66" s="170">
        <f t="shared" si="15"/>
        <v>1000000000</v>
      </c>
      <c r="AB66" s="170">
        <f t="shared" si="16"/>
        <v>17379.148900000004</v>
      </c>
      <c r="AD66" s="686">
        <f t="shared" si="17"/>
        <v>45.160076661610859</v>
      </c>
      <c r="AE66" s="687">
        <f t="shared" si="18"/>
        <v>-88.702467445381529</v>
      </c>
      <c r="AG66" s="686">
        <f t="shared" si="19"/>
        <v>40.704392891420646</v>
      </c>
      <c r="AH66" s="687">
        <f t="shared" si="20"/>
        <v>-2.4269336793227767</v>
      </c>
      <c r="AJ66" s="170">
        <f t="shared" si="21"/>
        <v>0</v>
      </c>
      <c r="AK66" s="170">
        <f t="shared" si="33"/>
        <v>0</v>
      </c>
      <c r="AM66" s="170" t="str">
        <f t="shared" si="26"/>
        <v>0.000013488700628006+0.00519395988728342i</v>
      </c>
      <c r="AN66" s="170" t="str">
        <f t="shared" si="27"/>
        <v>0.00519398324066609i</v>
      </c>
      <c r="AO66" s="170" t="str">
        <f t="shared" si="28"/>
        <v>0.999995503762414-0.0025969857820096i</v>
      </c>
      <c r="AP66" s="170" t="str">
        <f t="shared" si="29"/>
        <v>0.166664418549895-0.000865659981213903i</v>
      </c>
      <c r="AQ66" s="170" t="str">
        <f t="shared" si="30"/>
        <v>0.833335581450105+0.000865659981213903i</v>
      </c>
      <c r="AR66" s="170" t="str">
        <f t="shared" si="31"/>
        <v>0.999596224699002-0.0010383697376616i</v>
      </c>
    </row>
    <row r="67" spans="1:44">
      <c r="A67" s="170">
        <v>6</v>
      </c>
      <c r="G67" s="688">
        <v>144.54</v>
      </c>
      <c r="H67" s="676">
        <f t="shared" si="23"/>
        <v>0.14454</v>
      </c>
      <c r="I67" s="677">
        <f t="shared" si="0"/>
        <v>1.0012208439282322</v>
      </c>
      <c r="J67" s="678">
        <f t="shared" si="1"/>
        <v>4.9388321917139752E-2</v>
      </c>
      <c r="K67" s="678">
        <f t="shared" si="2"/>
        <v>1.000000016495513</v>
      </c>
      <c r="L67" s="679">
        <f t="shared" si="3"/>
        <v>1.8163431865496579E-4</v>
      </c>
      <c r="M67" s="678">
        <f t="shared" si="4"/>
        <v>1.0000007377228952</v>
      </c>
      <c r="N67" s="679">
        <f t="shared" si="5"/>
        <v>-1.2146789219653056E-3</v>
      </c>
      <c r="O67" s="677">
        <f t="shared" si="6"/>
        <v>1089.8063827115895</v>
      </c>
      <c r="P67" s="680">
        <f t="shared" si="7"/>
        <v>1.5698787324807197</v>
      </c>
      <c r="Q67" s="689">
        <f t="shared" si="8"/>
        <v>1.0002961495830802</v>
      </c>
      <c r="R67" s="690">
        <f t="shared" si="9"/>
        <v>2.4334194640439778E-2</v>
      </c>
      <c r="S67" s="677">
        <f t="shared" si="10"/>
        <v>1.00000018512088</v>
      </c>
      <c r="T67" s="680">
        <f t="shared" si="11"/>
        <v>6.0847489909126803E-4</v>
      </c>
      <c r="U67" s="681">
        <f t="shared" si="24"/>
        <v>0.9995947592652169</v>
      </c>
      <c r="V67" s="682">
        <f t="shared" si="25"/>
        <v>-3.9863117115384993E-3</v>
      </c>
      <c r="W67" s="683">
        <f t="shared" si="12"/>
        <v>43.095282122298393</v>
      </c>
      <c r="X67" s="684">
        <f t="shared" si="13"/>
        <v>-91.705372551990394</v>
      </c>
      <c r="Y67" s="687">
        <f t="shared" si="14"/>
        <v>88.294627448009606</v>
      </c>
      <c r="AA67" s="170">
        <f t="shared" si="15"/>
        <v>1000000000</v>
      </c>
      <c r="AB67" s="170">
        <f t="shared" si="16"/>
        <v>20891.811599999997</v>
      </c>
      <c r="AD67" s="686">
        <f t="shared" si="17"/>
        <v>44.361033493401052</v>
      </c>
      <c r="AE67" s="687">
        <f t="shared" si="18"/>
        <v>-88.588042212629574</v>
      </c>
      <c r="AG67" s="686">
        <f t="shared" si="19"/>
        <v>40.702621612438385</v>
      </c>
      <c r="AH67" s="687">
        <f t="shared" si="20"/>
        <v>-2.6605326650493932</v>
      </c>
      <c r="AJ67" s="170">
        <f t="shared" si="21"/>
        <v>0</v>
      </c>
      <c r="AK67" s="170">
        <f t="shared" si="33"/>
        <v>0</v>
      </c>
      <c r="AM67" s="170" t="str">
        <f t="shared" si="26"/>
        <v>0.0000162150209900291+0.00569471501066163i</v>
      </c>
      <c r="AN67" s="170" t="str">
        <f t="shared" si="27"/>
        <v>0.00569474579083575i</v>
      </c>
      <c r="AO67" s="170" t="str">
        <f t="shared" si="28"/>
        <v>0.99999459498716-0.00284736520041387i</v>
      </c>
      <c r="AP67" s="170" t="str">
        <f t="shared" si="29"/>
        <v>0.166663964163168-0.000949119168443605i</v>
      </c>
      <c r="AQ67" s="170" t="str">
        <f t="shared" si="30"/>
        <v>0.833336035836832+0.000949119168443605i</v>
      </c>
      <c r="AR67" s="170" t="str">
        <f t="shared" si="31"/>
        <v>0.999595461645528-0.00113847856391364i</v>
      </c>
    </row>
    <row r="68" spans="1:44">
      <c r="A68" s="170">
        <v>7</v>
      </c>
      <c r="G68" s="688">
        <v>158.49</v>
      </c>
      <c r="H68" s="676">
        <f t="shared" si="23"/>
        <v>0.15849000000000002</v>
      </c>
      <c r="I68" s="677">
        <f t="shared" si="0"/>
        <v>1.0014676895829926</v>
      </c>
      <c r="J68" s="678">
        <f t="shared" si="1"/>
        <v>5.4146038348595084E-2</v>
      </c>
      <c r="K68" s="678">
        <f t="shared" si="2"/>
        <v>1.0000000198332304</v>
      </c>
      <c r="L68" s="679">
        <f t="shared" si="3"/>
        <v>1.9916440500601765E-4</v>
      </c>
      <c r="M68" s="678">
        <f t="shared" si="4"/>
        <v>1.0000008869943626</v>
      </c>
      <c r="N68" s="679">
        <f t="shared" si="5"/>
        <v>-1.3319111884900338E-3</v>
      </c>
      <c r="O68" s="677">
        <f t="shared" si="6"/>
        <v>1194.9868642511146</v>
      </c>
      <c r="P68" s="680">
        <f t="shared" si="7"/>
        <v>1.5699594974149012</v>
      </c>
      <c r="Q68" s="689">
        <f t="shared" si="8"/>
        <v>1.000356062099176</v>
      </c>
      <c r="R68" s="690">
        <f t="shared" si="9"/>
        <v>2.6681697138102204E-2</v>
      </c>
      <c r="S68" s="677">
        <f t="shared" si="10"/>
        <v>1.0000002225784059</v>
      </c>
      <c r="T68" s="680">
        <f t="shared" si="11"/>
        <v>6.6720066658901701E-4</v>
      </c>
      <c r="U68" s="681">
        <f t="shared" si="24"/>
        <v>0.99959369885958438</v>
      </c>
      <c r="V68" s="682">
        <f t="shared" si="25"/>
        <v>-4.3710406219302639E-3</v>
      </c>
      <c r="W68" s="683">
        <f t="shared" si="12"/>
        <v>42.293377251139646</v>
      </c>
      <c r="X68" s="684">
        <f t="shared" si="13"/>
        <v>-91.879215723760836</v>
      </c>
      <c r="Y68" s="687">
        <f t="shared" si="14"/>
        <v>88.120784276239164</v>
      </c>
      <c r="AA68" s="170">
        <f t="shared" si="15"/>
        <v>1000000000</v>
      </c>
      <c r="AB68" s="170">
        <f t="shared" si="16"/>
        <v>25119.080100000003</v>
      </c>
      <c r="AD68" s="686">
        <f t="shared" si="17"/>
        <v>43.561277706789454</v>
      </c>
      <c r="AE68" s="687">
        <f t="shared" si="18"/>
        <v>-88.461532455460059</v>
      </c>
      <c r="AG68" s="686">
        <f t="shared" si="19"/>
        <v>40.700490956501632</v>
      </c>
      <c r="AH68" s="687">
        <f t="shared" si="20"/>
        <v>-2.9167989082947434</v>
      </c>
      <c r="AJ68" s="170">
        <f t="shared" si="21"/>
        <v>0</v>
      </c>
      <c r="AK68" s="170">
        <f t="shared" si="33"/>
        <v>0</v>
      </c>
      <c r="AM68" s="170" t="str">
        <f t="shared" si="26"/>
        <v>0.0000194959726870225+0.00624432264391776i</v>
      </c>
      <c r="AN68" s="170" t="str">
        <f t="shared" si="27"/>
        <v>0.00624436322394879i</v>
      </c>
      <c r="AO68" s="170" t="str">
        <f t="shared" si="28"/>
        <v>0.999993501333991-0.00312217146694002i</v>
      </c>
      <c r="AP68" s="170" t="str">
        <f t="shared" si="29"/>
        <v>0.166663417337886-0.00104072044065296i</v>
      </c>
      <c r="AQ68" s="170" t="str">
        <f t="shared" si="30"/>
        <v>0.833336582662114+0.00104072044065296i</v>
      </c>
      <c r="AR68" s="170" t="str">
        <f t="shared" si="31"/>
        <v>0.999594543362261-0.00124835330079835i</v>
      </c>
    </row>
    <row r="69" spans="1:44">
      <c r="A69" s="170">
        <v>8</v>
      </c>
      <c r="G69" s="688">
        <v>173.78</v>
      </c>
      <c r="H69" s="676">
        <f t="shared" si="23"/>
        <v>0.17377999999999999</v>
      </c>
      <c r="I69" s="677">
        <f t="shared" si="0"/>
        <v>1.0017642727104497</v>
      </c>
      <c r="J69" s="678">
        <f t="shared" si="1"/>
        <v>5.9357943491206391E-2</v>
      </c>
      <c r="K69" s="678">
        <f t="shared" si="2"/>
        <v>1.0000000238445599</v>
      </c>
      <c r="L69" s="679">
        <f t="shared" si="3"/>
        <v>2.1837838481537567E-4</v>
      </c>
      <c r="M69" s="678">
        <f t="shared" si="4"/>
        <v>1.0000010663915022</v>
      </c>
      <c r="N69" s="679">
        <f t="shared" si="5"/>
        <v>-1.4604044334260934E-3</v>
      </c>
      <c r="O69" s="677">
        <f t="shared" si="6"/>
        <v>1310.2707113213874</v>
      </c>
      <c r="P69" s="680">
        <f t="shared" si="7"/>
        <v>1.5700331256575752</v>
      </c>
      <c r="Q69" s="689">
        <f t="shared" si="8"/>
        <v>1.0004280613053458</v>
      </c>
      <c r="R69" s="690">
        <f t="shared" si="9"/>
        <v>2.9254355711052001E-2</v>
      </c>
      <c r="S69" s="677">
        <f t="shared" si="10"/>
        <v>1.0000002675955415</v>
      </c>
      <c r="T69" s="680">
        <f t="shared" si="11"/>
        <v>7.3156747025131914E-4</v>
      </c>
      <c r="U69" s="681">
        <f t="shared" si="24"/>
        <v>0.99959242444900098</v>
      </c>
      <c r="V69" s="682">
        <f t="shared" si="25"/>
        <v>-4.7927248410119336E-3</v>
      </c>
      <c r="W69" s="683">
        <f t="shared" si="12"/>
        <v>41.491462541250073</v>
      </c>
      <c r="X69" s="684">
        <f t="shared" si="13"/>
        <v>-92.068761913982897</v>
      </c>
      <c r="Y69" s="687">
        <f t="shared" si="14"/>
        <v>87.931238086017103</v>
      </c>
      <c r="AA69" s="170">
        <f t="shared" si="15"/>
        <v>1000000000</v>
      </c>
      <c r="AB69" s="170">
        <f t="shared" si="16"/>
        <v>30199.488400000002</v>
      </c>
      <c r="AD69" s="686">
        <f t="shared" si="17"/>
        <v>42.761944409870331</v>
      </c>
      <c r="AE69" s="687">
        <f t="shared" si="18"/>
        <v>-88.322036510691277</v>
      </c>
      <c r="AG69" s="686">
        <f t="shared" si="19"/>
        <v>40.697931691323326</v>
      </c>
      <c r="AH69" s="687">
        <f t="shared" si="20"/>
        <v>-3.1975195911490726</v>
      </c>
      <c r="AJ69" s="170">
        <f t="shared" si="21"/>
        <v>0</v>
      </c>
      <c r="AK69" s="170">
        <f t="shared" si="33"/>
        <v>0</v>
      </c>
      <c r="AM69" s="170" t="str">
        <f t="shared" si="26"/>
        <v>0.0000234390754649816+0.00684672195580758i</v>
      </c>
      <c r="AN69" s="170" t="str">
        <f t="shared" si="27"/>
        <v>0.00684677544991999i</v>
      </c>
      <c r="AO69" s="170" t="str">
        <f t="shared" si="28"/>
        <v>0.999992186962636-0.00342337435138982i</v>
      </c>
      <c r="AP69" s="170" t="str">
        <f t="shared" si="29"/>
        <v>0.166662760154089-0.00114112032596793i</v>
      </c>
      <c r="AQ69" s="170" t="str">
        <f t="shared" si="30"/>
        <v>0.833337239845911+0.00114112032596793i</v>
      </c>
      <c r="AR69" s="170" t="str">
        <f t="shared" si="31"/>
        <v>0.999593439757854-0.00136878125358084i</v>
      </c>
    </row>
    <row r="70" spans="1:44">
      <c r="A70" s="170">
        <v>9</v>
      </c>
      <c r="G70" s="688">
        <v>190.55</v>
      </c>
      <c r="H70" s="676">
        <f t="shared" si="23"/>
        <v>0.19055000000000002</v>
      </c>
      <c r="I70" s="677">
        <f t="shared" si="0"/>
        <v>1.002120834042393</v>
      </c>
      <c r="J70" s="678">
        <f t="shared" si="1"/>
        <v>6.5070615988894992E-2</v>
      </c>
      <c r="K70" s="678">
        <f t="shared" si="2"/>
        <v>1.0000000286686757</v>
      </c>
      <c r="L70" s="679">
        <f t="shared" si="3"/>
        <v>2.3945218720648192E-4</v>
      </c>
      <c r="M70" s="678">
        <f t="shared" si="4"/>
        <v>1.0000012821385234</v>
      </c>
      <c r="N70" s="679">
        <f t="shared" si="5"/>
        <v>-1.6013351637932029E-3</v>
      </c>
      <c r="O70" s="677">
        <f t="shared" si="6"/>
        <v>1436.7134987145403</v>
      </c>
      <c r="P70" s="680">
        <f t="shared" si="7"/>
        <v>1.5701002937433255</v>
      </c>
      <c r="Q70" s="689">
        <f t="shared" si="8"/>
        <v>1.0005146423192415</v>
      </c>
      <c r="R70" s="690">
        <f t="shared" si="9"/>
        <v>3.2075588917321166E-2</v>
      </c>
      <c r="S70" s="677">
        <f t="shared" si="10"/>
        <v>1.0000003217341655</v>
      </c>
      <c r="T70" s="680">
        <f t="shared" si="11"/>
        <v>8.0216467041719817E-4</v>
      </c>
      <c r="U70" s="681">
        <f t="shared" si="24"/>
        <v>0.99959089182008087</v>
      </c>
      <c r="V70" s="682">
        <f t="shared" si="25"/>
        <v>-5.2552251442297554E-3</v>
      </c>
      <c r="W70" s="683">
        <f t="shared" si="12"/>
        <v>40.688928521362755</v>
      </c>
      <c r="X70" s="684">
        <f t="shared" si="13"/>
        <v>-92.275689163298722</v>
      </c>
      <c r="Y70" s="687">
        <f t="shared" si="14"/>
        <v>87.724310836701278</v>
      </c>
      <c r="AA70" s="170">
        <f t="shared" si="15"/>
        <v>1000000000</v>
      </c>
      <c r="AB70" s="170">
        <f t="shared" si="16"/>
        <v>36309.302500000005</v>
      </c>
      <c r="AD70" s="686">
        <f t="shared" si="17"/>
        <v>41.962512839698135</v>
      </c>
      <c r="AE70" s="687">
        <f t="shared" si="18"/>
        <v>-88.168285124220617</v>
      </c>
      <c r="AG70" s="686">
        <f t="shared" si="19"/>
        <v>40.694855876975858</v>
      </c>
      <c r="AH70" s="687">
        <f t="shared" si="20"/>
        <v>-3.5051995960791897</v>
      </c>
      <c r="AJ70" s="170">
        <f t="shared" si="21"/>
        <v>0</v>
      </c>
      <c r="AK70" s="170">
        <f t="shared" si="33"/>
        <v>0</v>
      </c>
      <c r="AM70" s="170" t="str">
        <f t="shared" si="26"/>
        <v>0.0000281811333190385+0.00750742781922702i</v>
      </c>
      <c r="AN70" s="170" t="str">
        <f t="shared" si="27"/>
        <v>0.00750749834263008i</v>
      </c>
      <c r="AO70" s="170" t="str">
        <f t="shared" si="28"/>
        <v>0.999990606271245-0.00375373154050752i</v>
      </c>
      <c r="AP70" s="170" t="str">
        <f t="shared" si="29"/>
        <v>0.166661969811114-0.00125123796987117i</v>
      </c>
      <c r="AQ70" s="170" t="str">
        <f t="shared" si="30"/>
        <v>0.833338030188886+0.00125123796987117i</v>
      </c>
      <c r="AR70" s="170" t="str">
        <f t="shared" si="31"/>
        <v>0.999592112545651-0.00150086466750757i</v>
      </c>
    </row>
    <row r="71" spans="1:44">
      <c r="A71" s="170">
        <v>10</v>
      </c>
      <c r="G71" s="688">
        <v>208.93</v>
      </c>
      <c r="H71" s="676">
        <f t="shared" si="23"/>
        <v>0.20893</v>
      </c>
      <c r="I71" s="677">
        <f t="shared" si="0"/>
        <v>1.0025491622958953</v>
      </c>
      <c r="J71" s="678">
        <f t="shared" si="1"/>
        <v>7.1326837292206707E-2</v>
      </c>
      <c r="K71" s="678">
        <f t="shared" si="2"/>
        <v>1.0000000344660356</v>
      </c>
      <c r="L71" s="679">
        <f t="shared" si="3"/>
        <v>2.6254917491311388E-4</v>
      </c>
      <c r="M71" s="678">
        <f t="shared" si="4"/>
        <v>1.0000015414115015</v>
      </c>
      <c r="N71" s="679">
        <f t="shared" si="5"/>
        <v>-1.7557958433058586E-3</v>
      </c>
      <c r="O71" s="677">
        <f t="shared" si="6"/>
        <v>1575.2954030756187</v>
      </c>
      <c r="P71" s="680">
        <f t="shared" si="7"/>
        <v>1.5701615251791428</v>
      </c>
      <c r="Q71" s="689">
        <f t="shared" si="8"/>
        <v>1.0006186807632014</v>
      </c>
      <c r="R71" s="690">
        <f t="shared" si="9"/>
        <v>3.5167085746091654E-2</v>
      </c>
      <c r="S71" s="677">
        <f t="shared" si="10"/>
        <v>1.0000003867950165</v>
      </c>
      <c r="T71" s="680">
        <f t="shared" si="11"/>
        <v>8.7953952936742862E-4</v>
      </c>
      <c r="U71" s="681">
        <f t="shared" si="24"/>
        <v>0.99958904999880271</v>
      </c>
      <c r="V71" s="682">
        <f t="shared" si="25"/>
        <v>-5.7621264142740346E-3</v>
      </c>
      <c r="W71" s="683">
        <f t="shared" si="12"/>
        <v>39.88626899455528</v>
      </c>
      <c r="X71" s="684">
        <f t="shared" si="13"/>
        <v>-92.501525963498963</v>
      </c>
      <c r="Y71" s="687">
        <f t="shared" si="14"/>
        <v>87.498474036501037</v>
      </c>
      <c r="AA71" s="170">
        <f t="shared" si="15"/>
        <v>1000000000</v>
      </c>
      <c r="AB71" s="170">
        <f t="shared" si="16"/>
        <v>43651.744900000005</v>
      </c>
      <c r="AD71" s="686">
        <f t="shared" si="17"/>
        <v>41.163578760018197</v>
      </c>
      <c r="AE71" s="687">
        <f t="shared" si="18"/>
        <v>-87.999096959064786</v>
      </c>
      <c r="AG71" s="686">
        <f t="shared" si="19"/>
        <v>40.691162438685573</v>
      </c>
      <c r="AH71" s="687">
        <f t="shared" si="20"/>
        <v>-3.8421379545621783</v>
      </c>
      <c r="AJ71" s="170">
        <f t="shared" si="21"/>
        <v>0</v>
      </c>
      <c r="AK71" s="170">
        <f t="shared" si="33"/>
        <v>0</v>
      </c>
      <c r="AM71" s="170" t="str">
        <f t="shared" si="26"/>
        <v>0.0000338798707080201+0.00823156082230297i</v>
      </c>
      <c r="AN71" s="170" t="str">
        <f t="shared" si="27"/>
        <v>0.00823165378496826i</v>
      </c>
      <c r="AO71" s="170" t="str">
        <f t="shared" si="28"/>
        <v>0.999988706684256-0.00411580365173858i</v>
      </c>
      <c r="AP71" s="170" t="str">
        <f t="shared" si="29"/>
        <v>0.166661020021549-0.00137192680371716i</v>
      </c>
      <c r="AQ71" s="170" t="str">
        <f t="shared" si="30"/>
        <v>0.833338979978451+0.00137192680371716i</v>
      </c>
      <c r="AR71" s="170" t="str">
        <f t="shared" si="31"/>
        <v>0.999590517584954-0.0016456268778544i</v>
      </c>
    </row>
    <row r="72" spans="1:44">
      <c r="A72" s="170">
        <v>11</v>
      </c>
      <c r="G72" s="688">
        <v>229.09</v>
      </c>
      <c r="H72" s="676">
        <f t="shared" si="23"/>
        <v>0.22909000000000002</v>
      </c>
      <c r="I72" s="677">
        <f t="shared" si="0"/>
        <v>1.0030640545402194</v>
      </c>
      <c r="J72" s="678">
        <f t="shared" si="1"/>
        <v>7.8182494846878031E-2</v>
      </c>
      <c r="K72" s="678">
        <f t="shared" si="2"/>
        <v>1.0000000414383055</v>
      </c>
      <c r="L72" s="679">
        <f t="shared" si="3"/>
        <v>2.878829761224782E-4</v>
      </c>
      <c r="M72" s="678">
        <f t="shared" si="4"/>
        <v>1.0000018532294093</v>
      </c>
      <c r="N72" s="679">
        <f t="shared" si="5"/>
        <v>-1.9252150774275842E-3</v>
      </c>
      <c r="O72" s="677">
        <f t="shared" si="6"/>
        <v>1727.2981939218409</v>
      </c>
      <c r="P72" s="680">
        <f t="shared" si="7"/>
        <v>1.5702173879299222</v>
      </c>
      <c r="Q72" s="689">
        <f t="shared" si="8"/>
        <v>1.0007437896157099</v>
      </c>
      <c r="R72" s="690">
        <f t="shared" si="9"/>
        <v>3.8557201375855235E-2</v>
      </c>
      <c r="S72" s="677">
        <f t="shared" si="10"/>
        <v>1.0000004650412839</v>
      </c>
      <c r="T72" s="680">
        <f t="shared" si="11"/>
        <v>9.6440769765966552E-4</v>
      </c>
      <c r="U72" s="681">
        <f t="shared" si="24"/>
        <v>0.99958683492141975</v>
      </c>
      <c r="V72" s="682">
        <f t="shared" si="25"/>
        <v>-6.3181165593470629E-3</v>
      </c>
      <c r="W72" s="683">
        <f t="shared" si="12"/>
        <v>39.082771732671333</v>
      </c>
      <c r="X72" s="684">
        <f t="shared" si="13"/>
        <v>-92.748261553472304</v>
      </c>
      <c r="Y72" s="687">
        <f t="shared" si="14"/>
        <v>87.251738446527696</v>
      </c>
      <c r="AA72" s="170">
        <f t="shared" si="15"/>
        <v>1000000000</v>
      </c>
      <c r="AB72" s="170">
        <f t="shared" si="16"/>
        <v>52482.2281</v>
      </c>
      <c r="AD72" s="686">
        <f t="shared" si="17"/>
        <v>40.364557757462052</v>
      </c>
      <c r="AE72" s="687">
        <f t="shared" si="18"/>
        <v>-87.812920928915062</v>
      </c>
      <c r="AG72" s="686">
        <f t="shared" si="19"/>
        <v>40.686724675055586</v>
      </c>
      <c r="AH72" s="687">
        <f t="shared" si="20"/>
        <v>-4.2113377970853385</v>
      </c>
      <c r="AJ72" s="170">
        <f t="shared" si="21"/>
        <v>0</v>
      </c>
      <c r="AK72" s="170">
        <f t="shared" si="33"/>
        <v>0</v>
      </c>
      <c r="AM72" s="170" t="str">
        <f t="shared" si="26"/>
        <v>0.0000407335165070188+0.00902581707070333i</v>
      </c>
      <c r="AN72" s="170" t="str">
        <f t="shared" si="27"/>
        <v>0.00902593962378968i</v>
      </c>
      <c r="AO72" s="170" t="str">
        <f t="shared" si="28"/>
        <v>0.999986422124293-0.0045129391736299i</v>
      </c>
      <c r="AP72" s="170" t="str">
        <f t="shared" si="29"/>
        <v>0.166659877747249-0.00150430284511722i</v>
      </c>
      <c r="AQ72" s="170" t="str">
        <f t="shared" si="30"/>
        <v>0.833340122252751+0.00150430284511722i</v>
      </c>
      <c r="AR72" s="170" t="str">
        <f t="shared" si="31"/>
        <v>0.999588599400438-0.0018044060688689i</v>
      </c>
    </row>
    <row r="73" spans="1:44">
      <c r="A73" s="170">
        <v>12</v>
      </c>
      <c r="G73" s="688">
        <v>251.19</v>
      </c>
      <c r="H73" s="676">
        <f t="shared" si="23"/>
        <v>0.25119000000000002</v>
      </c>
      <c r="I73" s="677">
        <f t="shared" si="0"/>
        <v>1.0036826023764649</v>
      </c>
      <c r="J73" s="678">
        <f t="shared" si="1"/>
        <v>8.5689398141844605E-2</v>
      </c>
      <c r="K73" s="678">
        <f t="shared" si="2"/>
        <v>1.0000000498189319</v>
      </c>
      <c r="L73" s="679">
        <f t="shared" si="3"/>
        <v>3.1565465261768153E-4</v>
      </c>
      <c r="M73" s="678">
        <f t="shared" si="4"/>
        <v>1.0000022280325407</v>
      </c>
      <c r="N73" s="679">
        <f t="shared" si="5"/>
        <v>-2.1109374239993307E-3</v>
      </c>
      <c r="O73" s="677">
        <f t="shared" si="6"/>
        <v>1893.928242609973</v>
      </c>
      <c r="P73" s="680">
        <f t="shared" si="7"/>
        <v>1.5702683236615327</v>
      </c>
      <c r="Q73" s="689">
        <f t="shared" si="8"/>
        <v>1.000894149012751</v>
      </c>
      <c r="R73" s="690">
        <f t="shared" si="9"/>
        <v>4.2272526980609709E-2</v>
      </c>
      <c r="S73" s="677">
        <f t="shared" si="10"/>
        <v>1.0000005590928212</v>
      </c>
      <c r="T73" s="680">
        <f t="shared" si="11"/>
        <v>1.0574427272506057E-3</v>
      </c>
      <c r="U73" s="681">
        <f t="shared" si="24"/>
        <v>0.99958417243010145</v>
      </c>
      <c r="V73" s="682">
        <f t="shared" si="25"/>
        <v>-6.9276075197656755E-3</v>
      </c>
      <c r="W73" s="683">
        <f t="shared" si="12"/>
        <v>38.278777439990108</v>
      </c>
      <c r="X73" s="684">
        <f t="shared" si="13"/>
        <v>-93.017723036565457</v>
      </c>
      <c r="Y73" s="687">
        <f t="shared" si="14"/>
        <v>86.982276963434543</v>
      </c>
      <c r="AA73" s="170">
        <f t="shared" si="15"/>
        <v>1000000000</v>
      </c>
      <c r="AB73" s="170">
        <f t="shared" si="16"/>
        <v>63096.416100000002</v>
      </c>
      <c r="AD73" s="686">
        <f t="shared" si="17"/>
        <v>39.565937847860212</v>
      </c>
      <c r="AE73" s="687">
        <f t="shared" si="18"/>
        <v>-87.608297369002059</v>
      </c>
      <c r="AG73" s="686">
        <f t="shared" si="19"/>
        <v>40.681396563367038</v>
      </c>
      <c r="AH73" s="687">
        <f t="shared" si="20"/>
        <v>-4.6155803206449768</v>
      </c>
      <c r="AJ73" s="170">
        <f t="shared" si="21"/>
        <v>0</v>
      </c>
      <c r="AK73" s="170">
        <f t="shared" si="33"/>
        <v>0</v>
      </c>
      <c r="AM73" s="170" t="str">
        <f t="shared" si="26"/>
        <v>0.0000489715370499688+0.00989649816288461i</v>
      </c>
      <c r="AN73" s="170" t="str">
        <f t="shared" si="27"/>
        <v>0.00989665971495801i</v>
      </c>
      <c r="AO73" s="170" t="str">
        <f t="shared" si="28"/>
        <v>0.999983676101023-0.0049482894694209i</v>
      </c>
      <c r="AP73" s="170" t="str">
        <f t="shared" si="29"/>
        <v>0.166658504743825-0.00164941636048077i</v>
      </c>
      <c r="AQ73" s="170" t="str">
        <f t="shared" si="30"/>
        <v>0.833341495256175+0.00164941636048077i</v>
      </c>
      <c r="AR73" s="170" t="str">
        <f t="shared" si="31"/>
        <v>0.999586293776621-0.00197846140634178i</v>
      </c>
    </row>
    <row r="74" spans="1:44">
      <c r="A74" s="170">
        <v>13</v>
      </c>
      <c r="G74" s="688">
        <v>275.42</v>
      </c>
      <c r="H74" s="676">
        <f t="shared" si="23"/>
        <v>0.27542</v>
      </c>
      <c r="I74" s="677">
        <f t="shared" si="0"/>
        <v>1.004425680461148</v>
      </c>
      <c r="J74" s="678">
        <f t="shared" si="1"/>
        <v>9.3908675429131824E-2</v>
      </c>
      <c r="K74" s="678">
        <f t="shared" si="2"/>
        <v>1.0000000598936343</v>
      </c>
      <c r="L74" s="679">
        <f t="shared" si="3"/>
        <v>3.4610296524562376E-4</v>
      </c>
      <c r="M74" s="678">
        <f t="shared" si="4"/>
        <v>1.0000026785989096</v>
      </c>
      <c r="N74" s="679">
        <f t="shared" si="5"/>
        <v>-2.3145595393144554E-3</v>
      </c>
      <c r="O74" s="677">
        <f t="shared" si="6"/>
        <v>2076.6181151673095</v>
      </c>
      <c r="P74" s="680">
        <f t="shared" si="7"/>
        <v>1.5703147745868402</v>
      </c>
      <c r="Q74" s="689">
        <f t="shared" si="8"/>
        <v>1.0010748724536778</v>
      </c>
      <c r="R74" s="690">
        <f t="shared" si="9"/>
        <v>4.6344590701021281E-2</v>
      </c>
      <c r="S74" s="677">
        <f t="shared" si="10"/>
        <v>1.0000006721561048</v>
      </c>
      <c r="T74" s="680">
        <f t="shared" si="11"/>
        <v>1.1594444603166504E-3</v>
      </c>
      <c r="U74" s="681">
        <f t="shared" si="24"/>
        <v>0.99958097176435179</v>
      </c>
      <c r="V74" s="682">
        <f t="shared" si="25"/>
        <v>-7.5958383688936211E-3</v>
      </c>
      <c r="W74" s="683">
        <f t="shared" si="12"/>
        <v>37.474030256303543</v>
      </c>
      <c r="X74" s="684">
        <f t="shared" si="13"/>
        <v>-93.312055517217161</v>
      </c>
      <c r="Y74" s="687">
        <f t="shared" si="14"/>
        <v>86.687944482782839</v>
      </c>
      <c r="AA74" s="170">
        <f t="shared" si="15"/>
        <v>1000000000</v>
      </c>
      <c r="AB74" s="170">
        <f t="shared" si="16"/>
        <v>75856.176400000011</v>
      </c>
      <c r="AD74" s="686">
        <f t="shared" si="17"/>
        <v>38.767642708907502</v>
      </c>
      <c r="AE74" s="687">
        <f t="shared" si="18"/>
        <v>-87.383491014439556</v>
      </c>
      <c r="AG74" s="686">
        <f t="shared" si="19"/>
        <v>40.675000143111333</v>
      </c>
      <c r="AH74" s="687">
        <f t="shared" si="20"/>
        <v>-5.058145540980707</v>
      </c>
      <c r="AJ74" s="170">
        <f t="shared" si="21"/>
        <v>0</v>
      </c>
      <c r="AK74" s="170">
        <f t="shared" si="33"/>
        <v>0</v>
      </c>
      <c r="AM74" s="170" t="str">
        <f t="shared" si="26"/>
        <v>0.0000588747769070253+0.0108510869305221i</v>
      </c>
      <c r="AN74" s="170" t="str">
        <f t="shared" si="27"/>
        <v>0.0108512998873113i</v>
      </c>
      <c r="AO74" s="170" t="str">
        <f t="shared" si="28"/>
        <v>0.999980374997336-0.00542559670439751i</v>
      </c>
      <c r="AP74" s="170" t="str">
        <f t="shared" si="29"/>
        <v>0.166656854203849-0.00180851448842035i</v>
      </c>
      <c r="AQ74" s="170" t="str">
        <f t="shared" si="30"/>
        <v>0.833343145796151+0.00180851448842035i</v>
      </c>
      <c r="AR74" s="170" t="str">
        <f t="shared" si="31"/>
        <v>0.999583522122104-0.00216928799530353i</v>
      </c>
    </row>
    <row r="75" spans="1:44">
      <c r="A75" s="170">
        <v>14</v>
      </c>
      <c r="G75" s="688">
        <v>302</v>
      </c>
      <c r="H75" s="676">
        <f t="shared" si="23"/>
        <v>0.30199999999999999</v>
      </c>
      <c r="I75" s="677">
        <f t="shared" si="0"/>
        <v>1.0053187494926961</v>
      </c>
      <c r="J75" s="678">
        <f t="shared" si="1"/>
        <v>0.10291046349563479</v>
      </c>
      <c r="K75" s="678">
        <f t="shared" si="2"/>
        <v>1.0000000720117892</v>
      </c>
      <c r="L75" s="679">
        <f t="shared" si="3"/>
        <v>3.7950437390080736E-4</v>
      </c>
      <c r="M75" s="678">
        <f t="shared" si="4"/>
        <v>1.0000032205534255</v>
      </c>
      <c r="N75" s="679">
        <f t="shared" si="5"/>
        <v>-2.5379301732766095E-3</v>
      </c>
      <c r="O75" s="677">
        <f t="shared" si="6"/>
        <v>2277.0265723046246</v>
      </c>
      <c r="P75" s="680">
        <f t="shared" si="7"/>
        <v>1.5703571575536115</v>
      </c>
      <c r="Q75" s="689">
        <f t="shared" si="8"/>
        <v>1.0012922088320724</v>
      </c>
      <c r="R75" s="690">
        <f t="shared" si="9"/>
        <v>5.0809819162893947E-2</v>
      </c>
      <c r="S75" s="677">
        <f t="shared" si="10"/>
        <v>1.0000008081520071</v>
      </c>
      <c r="T75" s="680">
        <f t="shared" si="11"/>
        <v>1.2713390286452268E-3</v>
      </c>
      <c r="U75" s="681">
        <f t="shared" si="24"/>
        <v>0.99957712194585568</v>
      </c>
      <c r="V75" s="682">
        <f t="shared" si="25"/>
        <v>-8.3288752285329021E-3</v>
      </c>
      <c r="W75" s="683">
        <f t="shared" si="12"/>
        <v>36.667937263541049</v>
      </c>
      <c r="X75" s="684">
        <f t="shared" si="13"/>
        <v>-93.633705041206753</v>
      </c>
      <c r="Y75" s="687">
        <f t="shared" si="14"/>
        <v>86.366294958793247</v>
      </c>
      <c r="AA75" s="170">
        <f t="shared" si="15"/>
        <v>1000000000</v>
      </c>
      <c r="AB75" s="170">
        <f t="shared" si="16"/>
        <v>91204</v>
      </c>
      <c r="AD75" s="686">
        <f t="shared" si="17"/>
        <v>37.96929784527569</v>
      </c>
      <c r="AE75" s="687">
        <f t="shared" si="18"/>
        <v>-87.136491720365228</v>
      </c>
      <c r="AG75" s="686">
        <f t="shared" si="19"/>
        <v>40.667318920342268</v>
      </c>
      <c r="AH75" s="687">
        <f t="shared" si="20"/>
        <v>-5.5427945223789541</v>
      </c>
      <c r="AJ75" s="170">
        <f t="shared" si="21"/>
        <v>0</v>
      </c>
      <c r="AK75" s="170">
        <f t="shared" si="33"/>
        <v>0</v>
      </c>
      <c r="AM75" s="170" t="str">
        <f t="shared" si="26"/>
        <v>0.0000707866484600528+0.0118982471890324i</v>
      </c>
      <c r="AN75" s="170" t="str">
        <f t="shared" si="27"/>
        <v>0.0118985279426622i</v>
      </c>
      <c r="AO75" s="170" t="str">
        <f t="shared" si="28"/>
        <v>0.999976404339162-0.00594919378272392i</v>
      </c>
      <c r="AP75" s="170" t="str">
        <f t="shared" si="29"/>
        <v>0.166654868891923-0.00198304119817207i</v>
      </c>
      <c r="AQ75" s="170" t="str">
        <f t="shared" si="30"/>
        <v>0.833345131108077+0.00198304119817207i</v>
      </c>
      <c r="AR75" s="170" t="str">
        <f t="shared" si="31"/>
        <v>0.999580188339688-0.00237861675836338i</v>
      </c>
    </row>
    <row r="76" spans="1:44">
      <c r="A76" s="170">
        <v>15</v>
      </c>
      <c r="G76" s="688">
        <v>331.13</v>
      </c>
      <c r="H76" s="676">
        <f t="shared" si="23"/>
        <v>0.33112999999999998</v>
      </c>
      <c r="I76" s="677">
        <f t="shared" si="0"/>
        <v>1.006390878748743</v>
      </c>
      <c r="J76" s="678">
        <f t="shared" si="1"/>
        <v>0.11275661603800935</v>
      </c>
      <c r="K76" s="678">
        <f t="shared" si="2"/>
        <v>1.0000000865738579</v>
      </c>
      <c r="L76" s="679">
        <f t="shared" si="3"/>
        <v>4.1611020566162285E-4</v>
      </c>
      <c r="M76" s="678">
        <f t="shared" si="4"/>
        <v>1.0000038718055582</v>
      </c>
      <c r="N76" s="679">
        <f t="shared" si="5"/>
        <v>-2.7827299781782834E-3</v>
      </c>
      <c r="O76" s="677">
        <f t="shared" si="6"/>
        <v>2496.661578334239</v>
      </c>
      <c r="P76" s="680">
        <f t="shared" si="7"/>
        <v>1.5703957919224831</v>
      </c>
      <c r="Q76" s="689">
        <f t="shared" si="8"/>
        <v>1.0015533138672861</v>
      </c>
      <c r="R76" s="690">
        <f t="shared" si="9"/>
        <v>5.5701092906487545E-2</v>
      </c>
      <c r="S76" s="677">
        <f t="shared" si="10"/>
        <v>1.00000097157469</v>
      </c>
      <c r="T76" s="680">
        <f t="shared" si="11"/>
        <v>1.3939683665244037E-3</v>
      </c>
      <c r="U76" s="681">
        <f t="shared" si="24"/>
        <v>0.99957249577569751</v>
      </c>
      <c r="V76" s="682">
        <f t="shared" si="25"/>
        <v>-9.1322322456125534E-3</v>
      </c>
      <c r="W76" s="683">
        <f t="shared" si="12"/>
        <v>35.861076360513053</v>
      </c>
      <c r="X76" s="684">
        <f t="shared" si="13"/>
        <v>-93.984796017064326</v>
      </c>
      <c r="Y76" s="687">
        <f t="shared" si="14"/>
        <v>86.015203982935674</v>
      </c>
      <c r="AA76" s="170">
        <f t="shared" si="15"/>
        <v>1000000000</v>
      </c>
      <c r="AB76" s="170">
        <f t="shared" si="16"/>
        <v>109647.0769</v>
      </c>
      <c r="AD76" s="686">
        <f t="shared" si="17"/>
        <v>37.171729550857528</v>
      </c>
      <c r="AE76" s="687">
        <f t="shared" si="18"/>
        <v>-86.865482107889946</v>
      </c>
      <c r="AG76" s="686">
        <f t="shared" si="19"/>
        <v>40.658106710724262</v>
      </c>
      <c r="AH76" s="687">
        <f t="shared" si="20"/>
        <v>-6.072837177564832</v>
      </c>
      <c r="AJ76" s="170">
        <f t="shared" si="21"/>
        <v>0</v>
      </c>
      <c r="AK76" s="170">
        <f t="shared" si="33"/>
        <v>0</v>
      </c>
      <c r="AM76" s="170" t="str">
        <f t="shared" si="26"/>
        <v>0.0000851007693749573+0.0130458536175157i</v>
      </c>
      <c r="AN76" s="170" t="str">
        <f t="shared" si="27"/>
        <v>0.0130462237008402i</v>
      </c>
      <c r="AO76" s="170" t="str">
        <f t="shared" si="28"/>
        <v>0.999971632915931-0.00652301932930038i</v>
      </c>
      <c r="AP76" s="170" t="str">
        <f t="shared" si="29"/>
        <v>0.166652483205104-0.00217430893625262i</v>
      </c>
      <c r="AQ76" s="170" t="str">
        <f t="shared" si="30"/>
        <v>0.833347516794896+0.00217430893625262i</v>
      </c>
      <c r="AR76" s="170" t="str">
        <f t="shared" si="31"/>
        <v>0.999576182288776-0.00260802052182832i</v>
      </c>
    </row>
    <row r="77" spans="1:44">
      <c r="A77" s="170">
        <v>16</v>
      </c>
      <c r="G77" s="688">
        <v>363.08</v>
      </c>
      <c r="H77" s="676">
        <f t="shared" si="23"/>
        <v>0.36307999999999996</v>
      </c>
      <c r="I77" s="677">
        <f t="shared" ref="I77:I140" si="34">SQRT(1+(G77/pole1)^2)</f>
        <v>1.0076787318132423</v>
      </c>
      <c r="J77" s="678">
        <f t="shared" ref="J77:J140" si="35">ATAN(G77/pole1)</f>
        <v>0.12353069149018651</v>
      </c>
      <c r="K77" s="678">
        <f t="shared" ref="K77:K140" si="36">SQRT(1+(G77/Zero1)^2)</f>
        <v>1.0000001040864896</v>
      </c>
      <c r="L77" s="679">
        <f t="shared" ref="L77:L140" si="37">ATAN(G77/Zero1)</f>
        <v>4.5625975208448273E-4</v>
      </c>
      <c r="M77" s="678">
        <f t="shared" ref="M77:M140" si="38">SQRT(1+(G77/z_RHP)^2)</f>
        <v>1.0000046550137074</v>
      </c>
      <c r="N77" s="679">
        <f t="shared" ref="N77:N140" si="39">-ATAN(G77/z_RHP)</f>
        <v>-3.0512278347898888E-3</v>
      </c>
      <c r="O77" s="677">
        <f t="shared" ref="O77:O140" si="40">SQRT(1+(G77/Pole2)^2)</f>
        <v>2737.5588851132793</v>
      </c>
      <c r="P77" s="680">
        <f t="shared" ref="P77:P140" si="41">ATAN(G77/Pole2)</f>
        <v>1.5704310378406836</v>
      </c>
      <c r="Q77" s="689">
        <f t="shared" ref="Q77:Q140" si="42">SQRT(1+(G77/Zero2)^2)</f>
        <v>1.0018672338255004</v>
      </c>
      <c r="R77" s="690">
        <f t="shared" ref="R77:R140" si="43">ATAN(G77/Zero2)</f>
        <v>6.1062803391528621E-2</v>
      </c>
      <c r="S77" s="677">
        <f t="shared" ref="S77:S140" si="44">SQRT(1+(G77/pole4)^2)</f>
        <v>1.0000011681100094</v>
      </c>
      <c r="T77" s="680">
        <f t="shared" ref="T77:T140" si="45">ATAN(G77/pole4)</f>
        <v>1.5284690852651014E-3</v>
      </c>
      <c r="U77" s="681">
        <f t="shared" si="24"/>
        <v>0.99956693233241023</v>
      </c>
      <c r="V77" s="682">
        <f t="shared" si="25"/>
        <v>-1.0013353521278294E-2</v>
      </c>
      <c r="W77" s="683">
        <f t="shared" ref="W77:W140" si="46">20*LOG10(((K77*Q77*M77*U77)/(I77*O77*S77))*Adc)</f>
        <v>35.052571438553606</v>
      </c>
      <c r="X77" s="684">
        <f t="shared" ref="X77:X140" si="47">((L77+R77+N77+V77)-(J77+P77+T77))*radconv</f>
        <v>-94.368195377954621</v>
      </c>
      <c r="Y77" s="687">
        <f t="shared" ref="Y77:Y140" si="48">IF(X77&gt;0,X77,X77+180)</f>
        <v>85.631804622045379</v>
      </c>
      <c r="AA77" s="170">
        <f t="shared" ref="AA77:AA140" si="49">IF(W77&lt;0,G77,1000000000)</f>
        <v>1000000000</v>
      </c>
      <c r="AB77" s="170">
        <f t="shared" ref="AB77:AB140" si="50">G77^2</f>
        <v>131827.0864</v>
      </c>
      <c r="AD77" s="686">
        <f t="shared" ref="AD77:AD140" si="51">20*LOG10((Q77/(O77*S77))*Aea)</f>
        <v>36.374374026647452</v>
      </c>
      <c r="AE77" s="687">
        <f t="shared" ref="AE77:AE140" si="52">(R77-(P77+T77))*radconv</f>
        <v>-86.568004491669399</v>
      </c>
      <c r="AG77" s="686">
        <f t="shared" ref="AG77:AG140" si="53">20*LOG10((K77*M77/(I77*U77))*Acs*Am)</f>
        <v>40.647054001487398</v>
      </c>
      <c r="AH77" s="687">
        <f t="shared" ref="AH77:AH140" si="54">(L77+N77-(J77+V77))*radconv</f>
        <v>-6.6527450938906583</v>
      </c>
      <c r="AJ77" s="170">
        <f t="shared" ref="AJ77:AJ140" si="55">SUM((W78&lt;0)*(W77&gt;0))*G77</f>
        <v>0</v>
      </c>
      <c r="AK77" s="170">
        <f t="shared" si="33"/>
        <v>0</v>
      </c>
      <c r="AM77" s="170" t="str">
        <f t="shared" si="26"/>
        <v>0.000102315124183017+0.0143045370418203i</v>
      </c>
      <c r="AN77" s="170" t="str">
        <f t="shared" si="27"/>
        <v>0.0143050249186152i</v>
      </c>
      <c r="AO77" s="170" t="str">
        <f t="shared" si="28"/>
        <v>0.999965894725967-0.00715239048971343i</v>
      </c>
      <c r="AP77" s="170" t="str">
        <f t="shared" si="29"/>
        <v>0.166649614145969-0.00238408950697005i</v>
      </c>
      <c r="AQ77" s="170" t="str">
        <f t="shared" si="30"/>
        <v>0.833350385854031+0.00238408950697005i</v>
      </c>
      <c r="AR77" s="170" t="str">
        <f t="shared" si="31"/>
        <v>0.999571364630841-0.00285962260573254i</v>
      </c>
    </row>
    <row r="78" spans="1:44">
      <c r="A78" s="170">
        <v>17</v>
      </c>
      <c r="G78" s="688">
        <v>398.11</v>
      </c>
      <c r="H78" s="676">
        <f t="shared" ref="H78:H141" si="56">G78/1000</f>
        <v>0.39811000000000002</v>
      </c>
      <c r="I78" s="677">
        <f t="shared" si="34"/>
        <v>1.0092247946845121</v>
      </c>
      <c r="J78" s="678">
        <f t="shared" si="35"/>
        <v>0.13531026886393596</v>
      </c>
      <c r="K78" s="678">
        <f t="shared" si="36"/>
        <v>1.0000001251399213</v>
      </c>
      <c r="L78" s="679">
        <f t="shared" si="37"/>
        <v>5.002797382199555E-4</v>
      </c>
      <c r="M78" s="678">
        <f t="shared" si="38"/>
        <v>1.0000055965743722</v>
      </c>
      <c r="N78" s="679">
        <f t="shared" si="39"/>
        <v>-3.3456085458307269E-3</v>
      </c>
      <c r="O78" s="677">
        <f t="shared" si="40"/>
        <v>3001.6788463130547</v>
      </c>
      <c r="P78" s="680">
        <f t="shared" si="41"/>
        <v>1.5704631798895485</v>
      </c>
      <c r="Q78" s="689">
        <f t="shared" si="42"/>
        <v>1.0022444936912547</v>
      </c>
      <c r="R78" s="690">
        <f t="shared" si="43"/>
        <v>6.6937337706901578E-2</v>
      </c>
      <c r="S78" s="677">
        <f t="shared" si="44"/>
        <v>1.0000014043818684</v>
      </c>
      <c r="T78" s="680">
        <f t="shared" si="45"/>
        <v>1.6759356937522164E-3</v>
      </c>
      <c r="U78" s="681">
        <f t="shared" ref="U78:U141" si="57">IMABS(IMPRODUCT(AO78, AR78))</f>
        <v>0.99956024415802225</v>
      </c>
      <c r="V78" s="682">
        <f t="shared" ref="V78:V141" si="58">IMARGUMENT(IMPRODUCT(AO78, AR78))</f>
        <v>-1.0979406662830052E-2</v>
      </c>
      <c r="W78" s="683">
        <f t="shared" si="46"/>
        <v>34.24245825727791</v>
      </c>
      <c r="X78" s="684">
        <f t="shared" si="47"/>
        <v>-94.786515622240088</v>
      </c>
      <c r="Y78" s="687">
        <f t="shared" si="48"/>
        <v>85.213484377759912</v>
      </c>
      <c r="AA78" s="170">
        <f t="shared" si="49"/>
        <v>1000000000</v>
      </c>
      <c r="AB78" s="170">
        <f t="shared" si="50"/>
        <v>158491.57210000002</v>
      </c>
      <c r="AD78" s="686">
        <f t="shared" si="51"/>
        <v>35.577626989514037</v>
      </c>
      <c r="AE78" s="687">
        <f t="shared" si="52"/>
        <v>-86.241709286451183</v>
      </c>
      <c r="AG78" s="686">
        <f t="shared" si="53"/>
        <v>40.633804093561196</v>
      </c>
      <c r="AH78" s="687">
        <f t="shared" si="54"/>
        <v>-7.2866590076752953</v>
      </c>
      <c r="AJ78" s="170">
        <f t="shared" si="55"/>
        <v>0</v>
      </c>
      <c r="AK78" s="170">
        <f t="shared" si="33"/>
        <v>0</v>
      </c>
      <c r="AM78" s="170" t="str">
        <f t="shared" ref="AM78:AM141" si="59">IMSUB(1,IMEXP(COMPLEX(0,-2*Pi*G78*Tsw)))</f>
        <v>0.000123009841078048+0.0156845322128485i</v>
      </c>
      <c r="AN78" s="170" t="str">
        <f t="shared" ref="AN78:AN141" si="60">COMPLEX(0, 2*Pi*G78*Tsw)</f>
        <v>0.0156851753617657i</v>
      </c>
      <c r="AO78" s="170" t="str">
        <f t="shared" ref="AO78:AO141" si="61">IMDIV(AM78, AN78)</f>
        <v>0.999958996383377-0.00784242689296912i</v>
      </c>
      <c r="AP78" s="170" t="str">
        <f t="shared" ref="AP78:AP141" si="62">IMDIV(IMEXP(COMPLEX(0,-2*Pi*G78*Tsw)),6)</f>
        <v>0.166646165026487-0.00261408870214142i</v>
      </c>
      <c r="AQ78" s="170" t="str">
        <f t="shared" ref="AQ78:AQ141" si="63">IMSUB(1, AP78)</f>
        <v>0.833353834973513+0.00261408870214142i</v>
      </c>
      <c r="AR78" s="170" t="str">
        <f t="shared" ref="AR78:AR141" si="64">IMDIV(0.833, AQ78)</f>
        <v>0.99956557305433-0.00313546654723667i</v>
      </c>
    </row>
    <row r="79" spans="1:44">
      <c r="A79" s="170">
        <v>18</v>
      </c>
      <c r="G79" s="688">
        <v>436.52</v>
      </c>
      <c r="H79" s="676">
        <f t="shared" si="56"/>
        <v>0.43651999999999996</v>
      </c>
      <c r="I79" s="677">
        <f t="shared" si="34"/>
        <v>1.011080463068857</v>
      </c>
      <c r="J79" s="678">
        <f t="shared" si="35"/>
        <v>0.14818304460649537</v>
      </c>
      <c r="K79" s="678">
        <f t="shared" si="36"/>
        <v>1.0000001504520093</v>
      </c>
      <c r="L79" s="679">
        <f t="shared" si="37"/>
        <v>5.4854715441118591E-4</v>
      </c>
      <c r="M79" s="678">
        <f t="shared" si="38"/>
        <v>1.0000067285913574</v>
      </c>
      <c r="N79" s="679">
        <f t="shared" si="39"/>
        <v>-3.6683930076631828E-3</v>
      </c>
      <c r="O79" s="677">
        <f t="shared" si="40"/>
        <v>3291.2834085036261</v>
      </c>
      <c r="P79" s="680">
        <f t="shared" si="41"/>
        <v>1.5704924939457405</v>
      </c>
      <c r="Q79" s="689">
        <f t="shared" si="42"/>
        <v>1.0026978772091535</v>
      </c>
      <c r="R79" s="690">
        <f t="shared" si="43"/>
        <v>7.3373369679362324E-2</v>
      </c>
      <c r="S79" s="677">
        <f t="shared" si="44"/>
        <v>1.0000016884463745</v>
      </c>
      <c r="T79" s="680">
        <f t="shared" si="45"/>
        <v>1.8376310831002766E-3</v>
      </c>
      <c r="U79" s="681">
        <f t="shared" si="57"/>
        <v>0.99955220327792615</v>
      </c>
      <c r="V79" s="682">
        <f t="shared" si="58"/>
        <v>-1.2038661470105561E-2</v>
      </c>
      <c r="W79" s="683">
        <f t="shared" si="46"/>
        <v>33.43034704518319</v>
      </c>
      <c r="X79" s="684">
        <f t="shared" si="47"/>
        <v>-95.242677407677164</v>
      </c>
      <c r="Y79" s="687">
        <f t="shared" si="48"/>
        <v>84.757322592322836</v>
      </c>
      <c r="AA79" s="170">
        <f t="shared" si="49"/>
        <v>1000000000</v>
      </c>
      <c r="AB79" s="170">
        <f t="shared" si="50"/>
        <v>190549.71039999998</v>
      </c>
      <c r="AD79" s="686">
        <f t="shared" si="51"/>
        <v>34.781531736823304</v>
      </c>
      <c r="AE79" s="687">
        <f t="shared" si="52"/>
        <v>-85.883895852285647</v>
      </c>
      <c r="AG79" s="686">
        <f t="shared" si="53"/>
        <v>40.617927880567564</v>
      </c>
      <c r="AH79" s="687">
        <f t="shared" si="54"/>
        <v>-7.9792525673675492</v>
      </c>
      <c r="AJ79" s="170">
        <f t="shared" si="55"/>
        <v>0</v>
      </c>
      <c r="AK79" s="170">
        <f t="shared" si="33"/>
        <v>0</v>
      </c>
      <c r="AM79" s="170" t="str">
        <f t="shared" si="59"/>
        <v>0.000147890465597045+0.0171976469205442i</v>
      </c>
      <c r="AN79" s="170" t="str">
        <f t="shared" si="60"/>
        <v>0.0171984947600361i</v>
      </c>
      <c r="AO79" s="170" t="str">
        <f t="shared" si="61"/>
        <v>0.999950702692083-0.00859903541911679i</v>
      </c>
      <c r="AP79" s="170" t="str">
        <f t="shared" si="62"/>
        <v>0.166642018255734-0.00286627448675737i</v>
      </c>
      <c r="AQ79" s="170" t="str">
        <f t="shared" si="63"/>
        <v>0.833357981744266+0.00286627448675737i</v>
      </c>
      <c r="AR79" s="170" t="str">
        <f t="shared" si="64"/>
        <v>0.999558610171522-0.00343790952401591i</v>
      </c>
    </row>
    <row r="80" spans="1:44">
      <c r="A80" s="170">
        <v>19</v>
      </c>
      <c r="G80" s="688">
        <v>478.63</v>
      </c>
      <c r="H80" s="676">
        <f t="shared" si="56"/>
        <v>0.47863</v>
      </c>
      <c r="I80" s="677">
        <f t="shared" si="34"/>
        <v>1.0133066571536953</v>
      </c>
      <c r="J80" s="678">
        <f t="shared" si="35"/>
        <v>0.16223906763365059</v>
      </c>
      <c r="K80" s="678">
        <f t="shared" si="36"/>
        <v>1.0000001808795731</v>
      </c>
      <c r="L80" s="679">
        <f t="shared" si="37"/>
        <v>6.0146412349941774E-4</v>
      </c>
      <c r="M80" s="678">
        <f t="shared" si="38"/>
        <v>1.000008089382987</v>
      </c>
      <c r="N80" s="679">
        <f t="shared" si="39"/>
        <v>-4.0222701191527811E-3</v>
      </c>
      <c r="O80" s="677">
        <f t="shared" si="40"/>
        <v>3608.7853147175779</v>
      </c>
      <c r="P80" s="680">
        <f t="shared" si="41"/>
        <v>1.5705192252425491</v>
      </c>
      <c r="Q80" s="689">
        <f t="shared" si="42"/>
        <v>1.0032426166286896</v>
      </c>
      <c r="R80" s="690">
        <f t="shared" si="43"/>
        <v>8.0422368406587008E-2</v>
      </c>
      <c r="S80" s="677">
        <f t="shared" si="44"/>
        <v>1.0000020299191335</v>
      </c>
      <c r="T80" s="680">
        <f t="shared" si="45"/>
        <v>2.0149023299674538E-3</v>
      </c>
      <c r="U80" s="681">
        <f t="shared" si="57"/>
        <v>0.99954253760963452</v>
      </c>
      <c r="V80" s="682">
        <f t="shared" si="58"/>
        <v>-1.3199938071797633E-2</v>
      </c>
      <c r="W80" s="683">
        <f t="shared" si="46"/>
        <v>32.615970834250263</v>
      </c>
      <c r="X80" s="684">
        <f t="shared" si="47"/>
        <v>-95.739618806424687</v>
      </c>
      <c r="Y80" s="687">
        <f t="shared" si="48"/>
        <v>84.260381193575313</v>
      </c>
      <c r="AA80" s="170">
        <f t="shared" si="49"/>
        <v>1000000000</v>
      </c>
      <c r="AB80" s="170">
        <f t="shared" si="50"/>
        <v>229086.67689999999</v>
      </c>
      <c r="AD80" s="686">
        <f t="shared" si="51"/>
        <v>33.986330978667119</v>
      </c>
      <c r="AE80" s="687">
        <f t="shared" si="52"/>
        <v>-85.491706459736989</v>
      </c>
      <c r="AG80" s="686">
        <f t="shared" si="53"/>
        <v>40.598920413682308</v>
      </c>
      <c r="AH80" s="687">
        <f t="shared" si="54"/>
        <v>-8.7353108622631677</v>
      </c>
      <c r="AJ80" s="170">
        <f t="shared" si="55"/>
        <v>0</v>
      </c>
      <c r="AK80" s="170">
        <f t="shared" si="33"/>
        <v>0</v>
      </c>
      <c r="AM80" s="170" t="str">
        <f t="shared" si="59"/>
        <v>0.000177799096861997+0.0188564731910331i</v>
      </c>
      <c r="AN80" s="170" t="str">
        <f t="shared" si="60"/>
        <v>0.0188575908251537i</v>
      </c>
      <c r="AO80" s="170" t="str">
        <f t="shared" si="61"/>
        <v>0.999940732931849-0.00942851600241718i</v>
      </c>
      <c r="AP80" s="170" t="str">
        <f t="shared" si="62"/>
        <v>0.166637033483856-0.00314274553183885i</v>
      </c>
      <c r="AQ80" s="170" t="str">
        <f t="shared" si="63"/>
        <v>0.833362966516144+0.00314274553183885i</v>
      </c>
      <c r="AR80" s="170" t="str">
        <f t="shared" si="64"/>
        <v>0.999550240413038-0.00376946442081389i</v>
      </c>
    </row>
    <row r="81" spans="1:44">
      <c r="A81" s="170">
        <v>20</v>
      </c>
      <c r="G81" s="688">
        <v>524.80999999999995</v>
      </c>
      <c r="H81" s="676">
        <f t="shared" si="56"/>
        <v>0.52481</v>
      </c>
      <c r="I81" s="677">
        <f t="shared" si="34"/>
        <v>1.0159770897797278</v>
      </c>
      <c r="J81" s="678">
        <f t="shared" si="35"/>
        <v>0.1775794323086918</v>
      </c>
      <c r="K81" s="678">
        <f t="shared" si="36"/>
        <v>1.0000002174672626</v>
      </c>
      <c r="L81" s="679">
        <f t="shared" si="37"/>
        <v>6.5949559984613204E-4</v>
      </c>
      <c r="M81" s="678">
        <f t="shared" si="38"/>
        <v>1.0000097256673903</v>
      </c>
      <c r="N81" s="679">
        <f t="shared" si="39"/>
        <v>-4.4103488676645493E-3</v>
      </c>
      <c r="O81" s="677">
        <f t="shared" si="40"/>
        <v>3956.9742991107751</v>
      </c>
      <c r="P81" s="680">
        <f t="shared" si="41"/>
        <v>1.5705436084462157</v>
      </c>
      <c r="Q81" s="689">
        <f t="shared" si="42"/>
        <v>1.0038972483181381</v>
      </c>
      <c r="R81" s="690">
        <f t="shared" si="43"/>
        <v>8.8143441600817163E-2</v>
      </c>
      <c r="S81" s="677">
        <f t="shared" si="44"/>
        <v>1.000002440523641</v>
      </c>
      <c r="T81" s="680">
        <f t="shared" si="45"/>
        <v>2.2093069852093176E-3</v>
      </c>
      <c r="U81" s="681">
        <f t="shared" si="57"/>
        <v>0.99953091545732753</v>
      </c>
      <c r="V81" s="682">
        <f t="shared" si="58"/>
        <v>-1.4473433843000245E-2</v>
      </c>
      <c r="W81" s="683">
        <f t="shared" si="46"/>
        <v>31.798642603338799</v>
      </c>
      <c r="X81" s="684">
        <f t="shared" si="47"/>
        <v>-96.280583921349987</v>
      </c>
      <c r="Y81" s="687">
        <f t="shared" si="48"/>
        <v>83.719416078650013</v>
      </c>
      <c r="AA81" s="170">
        <f t="shared" si="49"/>
        <v>1000000000</v>
      </c>
      <c r="AB81" s="170">
        <f t="shared" si="50"/>
        <v>275425.53609999997</v>
      </c>
      <c r="AD81" s="686">
        <f t="shared" si="51"/>
        <v>33.191949590727752</v>
      </c>
      <c r="AE81" s="687">
        <f t="shared" si="52"/>
        <v>-85.061857172829008</v>
      </c>
      <c r="AG81" s="686">
        <f t="shared" si="53"/>
        <v>40.57617556175191</v>
      </c>
      <c r="AH81" s="687">
        <f t="shared" si="54"/>
        <v>-9.5601933980943681</v>
      </c>
      <c r="AJ81" s="170">
        <f t="shared" si="55"/>
        <v>0</v>
      </c>
      <c r="AK81" s="170">
        <f t="shared" si="33"/>
        <v>0</v>
      </c>
      <c r="AM81" s="170" t="str">
        <f t="shared" si="59"/>
        <v>0.000213762400724016+0.0206755678781486i</v>
      </c>
      <c r="AN81" s="170" t="str">
        <f t="shared" si="60"/>
        <v>0.0206770412238031i</v>
      </c>
      <c r="AO81" s="170" t="str">
        <f t="shared" si="61"/>
        <v>0.999928744850941-0.0103381522728666i</v>
      </c>
      <c r="AP81" s="170" t="str">
        <f t="shared" si="62"/>
        <v>0.166631039599879-0.00344592797969143i</v>
      </c>
      <c r="AQ81" s="170" t="str">
        <f t="shared" si="63"/>
        <v>0.833368960400121+0.00344592797969143i</v>
      </c>
      <c r="AR81" s="170" t="str">
        <f t="shared" si="64"/>
        <v>0.999540176607422-0.0041330354561604i</v>
      </c>
    </row>
    <row r="82" spans="1:44">
      <c r="A82" s="170">
        <v>21</v>
      </c>
      <c r="G82" s="688">
        <v>575.44000000000005</v>
      </c>
      <c r="H82" s="676">
        <f t="shared" si="56"/>
        <v>0.57544000000000006</v>
      </c>
      <c r="I82" s="677">
        <f t="shared" si="34"/>
        <v>1.0191780542024211</v>
      </c>
      <c r="J82" s="678">
        <f t="shared" si="35"/>
        <v>0.19430125912059107</v>
      </c>
      <c r="K82" s="678">
        <f t="shared" si="36"/>
        <v>1.0000002614506762</v>
      </c>
      <c r="L82" s="679">
        <f t="shared" si="37"/>
        <v>7.2311910376641531E-4</v>
      </c>
      <c r="M82" s="678">
        <f t="shared" si="38"/>
        <v>1.0000116927018816</v>
      </c>
      <c r="N82" s="679">
        <f t="shared" si="39"/>
        <v>-4.835822153460464E-3</v>
      </c>
      <c r="O82" s="677">
        <f t="shared" si="40"/>
        <v>4338.7154940798837</v>
      </c>
      <c r="P82" s="680">
        <f t="shared" si="41"/>
        <v>1.5705658438304759</v>
      </c>
      <c r="Q82" s="689">
        <f t="shared" si="42"/>
        <v>1.0046836407082489</v>
      </c>
      <c r="R82" s="690">
        <f t="shared" si="43"/>
        <v>9.6596408467904502E-2</v>
      </c>
      <c r="S82" s="677">
        <f t="shared" si="44"/>
        <v>1.0000029341262913</v>
      </c>
      <c r="T82" s="680">
        <f t="shared" si="45"/>
        <v>2.4224446813461515E-3</v>
      </c>
      <c r="U82" s="681">
        <f t="shared" si="57"/>
        <v>0.99951694454602424</v>
      </c>
      <c r="V82" s="682">
        <f t="shared" si="58"/>
        <v>-1.5869619794676038E-2</v>
      </c>
      <c r="W82" s="683">
        <f t="shared" si="46"/>
        <v>30.978053872852321</v>
      </c>
      <c r="X82" s="684">
        <f t="shared" si="47"/>
        <v>-96.868568610127767</v>
      </c>
      <c r="Y82" s="687">
        <f t="shared" si="48"/>
        <v>83.131431389872233</v>
      </c>
      <c r="AA82" s="170">
        <f t="shared" si="49"/>
        <v>1000000000</v>
      </c>
      <c r="AB82" s="170">
        <f t="shared" si="50"/>
        <v>331131.19360000006</v>
      </c>
      <c r="AD82" s="686">
        <f t="shared" si="51"/>
        <v>32.398787775613144</v>
      </c>
      <c r="AE82" s="687">
        <f t="shared" si="52"/>
        <v>-84.591023730560721</v>
      </c>
      <c r="AG82" s="686">
        <f t="shared" si="53"/>
        <v>40.548991461564512</v>
      </c>
      <c r="AH82" s="687">
        <f t="shared" si="54"/>
        <v>-10.459020404064679</v>
      </c>
      <c r="AJ82" s="170">
        <f t="shared" si="55"/>
        <v>0</v>
      </c>
      <c r="AK82" s="170">
        <f t="shared" si="33"/>
        <v>0</v>
      </c>
      <c r="AM82" s="170" t="str">
        <f t="shared" si="59"/>
        <v>0.000256994648491049+0.0226698754017839i</v>
      </c>
      <c r="AN82" s="170" t="str">
        <f t="shared" si="60"/>
        <v>0.0226718176136607i</v>
      </c>
      <c r="AO82" s="170" t="str">
        <f t="shared" si="61"/>
        <v>0.999914333649384-0.0113354232497089i</v>
      </c>
      <c r="AP82" s="170" t="str">
        <f t="shared" si="62"/>
        <v>0.166623834225251-0.00377831256696398i</v>
      </c>
      <c r="AQ82" s="170" t="str">
        <f t="shared" si="63"/>
        <v>0.833376165774749+0.00377831256696398i</v>
      </c>
      <c r="AR82" s="170" t="str">
        <f t="shared" si="64"/>
        <v>0.999528079153793-0.0045316024834827i</v>
      </c>
    </row>
    <row r="83" spans="1:44">
      <c r="A83" s="170">
        <v>22</v>
      </c>
      <c r="G83" s="688">
        <v>630.96</v>
      </c>
      <c r="H83" s="676">
        <f t="shared" si="56"/>
        <v>0.63096000000000008</v>
      </c>
      <c r="I83" s="677">
        <f t="shared" si="34"/>
        <v>1.0230135663329589</v>
      </c>
      <c r="J83" s="678">
        <f t="shared" si="35"/>
        <v>0.21251216451320867</v>
      </c>
      <c r="K83" s="678">
        <f t="shared" si="36"/>
        <v>1.0000003143354184</v>
      </c>
      <c r="L83" s="679">
        <f t="shared" si="37"/>
        <v>7.9288755322250788E-4</v>
      </c>
      <c r="M83" s="678">
        <f t="shared" si="38"/>
        <v>1.000014057818261</v>
      </c>
      <c r="N83" s="679">
        <f t="shared" si="39"/>
        <v>-5.3023869300331114E-3</v>
      </c>
      <c r="O83" s="677">
        <f t="shared" si="40"/>
        <v>4757.3264213666516</v>
      </c>
      <c r="P83" s="680">
        <f t="shared" si="41"/>
        <v>1.5705861246942223</v>
      </c>
      <c r="Q83" s="689">
        <f t="shared" si="42"/>
        <v>1.0056283683938878</v>
      </c>
      <c r="R83" s="690">
        <f t="shared" si="43"/>
        <v>0.10584985394500712</v>
      </c>
      <c r="S83" s="677">
        <f t="shared" si="44"/>
        <v>1.000003527623565</v>
      </c>
      <c r="T83" s="680">
        <f t="shared" si="45"/>
        <v>2.6561676132760515E-3</v>
      </c>
      <c r="U83" s="681">
        <f t="shared" si="57"/>
        <v>0.99950014694626255</v>
      </c>
      <c r="V83" s="682">
        <f t="shared" si="58"/>
        <v>-1.7400618717112147E-2</v>
      </c>
      <c r="W83" s="683">
        <f t="shared" si="46"/>
        <v>30.153425293522901</v>
      </c>
      <c r="X83" s="684">
        <f t="shared" si="47"/>
        <v>-97.506801136210981</v>
      </c>
      <c r="Y83" s="687">
        <f t="shared" si="48"/>
        <v>82.493198863789019</v>
      </c>
      <c r="AA83" s="170">
        <f t="shared" si="49"/>
        <v>1000000000</v>
      </c>
      <c r="AB83" s="170">
        <f t="shared" si="50"/>
        <v>398110.52160000004</v>
      </c>
      <c r="AD83" s="686">
        <f t="shared" si="51"/>
        <v>31.606910757787471</v>
      </c>
      <c r="AE83" s="687">
        <f t="shared" si="52"/>
        <v>-84.075393703651685</v>
      </c>
      <c r="AG83" s="686">
        <f t="shared" si="53"/>
        <v>40.516531847735124</v>
      </c>
      <c r="AH83" s="687">
        <f t="shared" si="54"/>
        <v>-11.437443403467118</v>
      </c>
      <c r="AJ83" s="170">
        <f t="shared" si="55"/>
        <v>0</v>
      </c>
      <c r="AK83" s="170">
        <f t="shared" si="33"/>
        <v>0</v>
      </c>
      <c r="AM83" s="170" t="str">
        <f t="shared" si="59"/>
        <v>0.000308975382177001+0.0248566952462766i</v>
      </c>
      <c r="AN83" s="170" t="str">
        <f t="shared" si="60"/>
        <v>0.0248592555983515i</v>
      </c>
      <c r="AO83" s="170" t="str">
        <f t="shared" si="61"/>
        <v>0.999897006084323-0.0124289877045832i</v>
      </c>
      <c r="AP83" s="170" t="str">
        <f t="shared" si="62"/>
        <v>0.166615170769637-0.0041427825410461i</v>
      </c>
      <c r="AQ83" s="170" t="str">
        <f t="shared" si="63"/>
        <v>0.833384829230363+0.0041427825410461i</v>
      </c>
      <c r="AR83" s="170" t="str">
        <f t="shared" si="64"/>
        <v>0.999513534321801-0.00496861362757427i</v>
      </c>
    </row>
    <row r="84" spans="1:44">
      <c r="A84" s="170">
        <v>23</v>
      </c>
      <c r="G84" s="688">
        <v>691.83</v>
      </c>
      <c r="H84" s="676">
        <f t="shared" si="56"/>
        <v>0.69183000000000006</v>
      </c>
      <c r="I84" s="677">
        <f t="shared" si="34"/>
        <v>1.0276054226976246</v>
      </c>
      <c r="J84" s="678">
        <f t="shared" si="35"/>
        <v>0.23231436426675334</v>
      </c>
      <c r="K84" s="678">
        <f t="shared" si="36"/>
        <v>1.0000003779100402</v>
      </c>
      <c r="L84" s="679">
        <f t="shared" si="37"/>
        <v>8.6937899818843455E-4</v>
      </c>
      <c r="M84" s="678">
        <f t="shared" si="38"/>
        <v>1.0000169010011954</v>
      </c>
      <c r="N84" s="679">
        <f t="shared" si="39"/>
        <v>-5.8139080079501887E-3</v>
      </c>
      <c r="O84" s="677">
        <f t="shared" si="40"/>
        <v>5216.2753991726368</v>
      </c>
      <c r="P84" s="680">
        <f t="shared" si="41"/>
        <v>1.5706046191242695</v>
      </c>
      <c r="Q84" s="689">
        <f t="shared" si="42"/>
        <v>1.0067628856539061</v>
      </c>
      <c r="R84" s="690">
        <f t="shared" si="43"/>
        <v>0.11597405287018434</v>
      </c>
      <c r="S84" s="677">
        <f t="shared" si="44"/>
        <v>1.0000042410872347</v>
      </c>
      <c r="T84" s="680">
        <f t="shared" si="45"/>
        <v>2.9124121431581863E-3</v>
      </c>
      <c r="U84" s="681">
        <f t="shared" si="57"/>
        <v>0.99947995501678333</v>
      </c>
      <c r="V84" s="682">
        <f t="shared" si="58"/>
        <v>-1.9079101214260451E-2</v>
      </c>
      <c r="W84" s="683">
        <f t="shared" si="46"/>
        <v>29.324211375373885</v>
      </c>
      <c r="X84" s="684">
        <f t="shared" si="47"/>
        <v>-98.198146446466694</v>
      </c>
      <c r="Y84" s="687">
        <f t="shared" si="48"/>
        <v>81.801853553533306</v>
      </c>
      <c r="AA84" s="170">
        <f t="shared" si="49"/>
        <v>1000000000</v>
      </c>
      <c r="AB84" s="170">
        <f t="shared" si="50"/>
        <v>478628.74890000006</v>
      </c>
      <c r="AD84" s="686">
        <f t="shared" si="51"/>
        <v>30.81674695438408</v>
      </c>
      <c r="AE84" s="687">
        <f t="shared" si="52"/>
        <v>-83.511061216515074</v>
      </c>
      <c r="AG84" s="686">
        <f t="shared" si="53"/>
        <v>40.477832681697528</v>
      </c>
      <c r="AH84" s="687">
        <f t="shared" si="54"/>
        <v>-12.500781274493315</v>
      </c>
      <c r="AJ84" s="170">
        <f t="shared" si="55"/>
        <v>0</v>
      </c>
      <c r="AK84" s="170">
        <f t="shared" si="33"/>
        <v>0</v>
      </c>
      <c r="AM84" s="170" t="str">
        <f t="shared" si="59"/>
        <v>0.000371462074647+0.0272541036400257i</v>
      </c>
      <c r="AN84" s="170" t="str">
        <f t="shared" si="60"/>
        <v>0.0272574787634834i</v>
      </c>
      <c r="AO84" s="170" t="str">
        <f t="shared" si="61"/>
        <v>0.999876176241868-0.0136278955904258i</v>
      </c>
      <c r="AP84" s="170" t="str">
        <f t="shared" si="62"/>
        <v>0.166604756320892-0.00454235060667095i</v>
      </c>
      <c r="AQ84" s="170" t="str">
        <f t="shared" si="63"/>
        <v>0.833395243679108+0.00454235060667095i</v>
      </c>
      <c r="AR84" s="170" t="str">
        <f t="shared" si="64"/>
        <v>0.999496050757188-0.00544766907053557i</v>
      </c>
    </row>
    <row r="85" spans="1:44">
      <c r="A85" s="170">
        <v>24</v>
      </c>
      <c r="G85" s="688">
        <v>758.58</v>
      </c>
      <c r="H85" s="676">
        <f t="shared" si="56"/>
        <v>0.75858000000000003</v>
      </c>
      <c r="I85" s="677">
        <f t="shared" si="34"/>
        <v>1.0330996330558748</v>
      </c>
      <c r="J85" s="678">
        <f t="shared" si="35"/>
        <v>0.2538176921585179</v>
      </c>
      <c r="K85" s="678">
        <f t="shared" si="36"/>
        <v>1.0000004543519636</v>
      </c>
      <c r="L85" s="679">
        <f t="shared" si="37"/>
        <v>9.5325945223126841E-4</v>
      </c>
      <c r="M85" s="678">
        <f t="shared" si="38"/>
        <v>1.00002031962486</v>
      </c>
      <c r="N85" s="679">
        <f t="shared" si="39"/>
        <v>-6.3748381616141412E-3</v>
      </c>
      <c r="O85" s="677">
        <f t="shared" si="40"/>
        <v>5719.5585332681358</v>
      </c>
      <c r="P85" s="680">
        <f t="shared" si="41"/>
        <v>1.5706214881252198</v>
      </c>
      <c r="Q85" s="689">
        <f t="shared" si="42"/>
        <v>1.0081253351770576</v>
      </c>
      <c r="R85" s="690">
        <f t="shared" si="43"/>
        <v>0.12704878125400296</v>
      </c>
      <c r="S85" s="677">
        <f t="shared" si="44"/>
        <v>1.0000050989530709</v>
      </c>
      <c r="T85" s="680">
        <f t="shared" si="45"/>
        <v>3.193409276904733E-3</v>
      </c>
      <c r="U85" s="681">
        <f t="shared" si="57"/>
        <v>0.99945567783736289</v>
      </c>
      <c r="V85" s="682">
        <f t="shared" si="58"/>
        <v>-2.0919663267168768E-2</v>
      </c>
      <c r="W85" s="683">
        <f t="shared" si="46"/>
        <v>28.489413617236295</v>
      </c>
      <c r="X85" s="684">
        <f t="shared" si="47"/>
        <v>-98.945517029706053</v>
      </c>
      <c r="Y85" s="687">
        <f t="shared" si="48"/>
        <v>81.054482970293947</v>
      </c>
      <c r="AA85" s="170">
        <f t="shared" si="49"/>
        <v>1000000000</v>
      </c>
      <c r="AB85" s="170">
        <f t="shared" si="50"/>
        <v>575443.61640000006</v>
      </c>
      <c r="AD85" s="686">
        <f t="shared" si="51"/>
        <v>30.028446218360145</v>
      </c>
      <c r="AE85" s="687">
        <f t="shared" si="52"/>
        <v>-82.893592492540975</v>
      </c>
      <c r="AG85" s="686">
        <f t="shared" si="53"/>
        <v>40.431757621947675</v>
      </c>
      <c r="AH85" s="687">
        <f t="shared" si="54"/>
        <v>-13.654707706338616</v>
      </c>
      <c r="AJ85" s="170">
        <f t="shared" si="55"/>
        <v>0</v>
      </c>
      <c r="AK85" s="170">
        <f t="shared" si="33"/>
        <v>0</v>
      </c>
      <c r="AM85" s="170" t="str">
        <f t="shared" si="59"/>
        <v>0.000446594156845004+0.0298829193243944i</v>
      </c>
      <c r="AN85" s="170" t="str">
        <f t="shared" si="60"/>
        <v>0.029887368631605i</v>
      </c>
      <c r="AO85" s="170" t="str">
        <f t="shared" si="61"/>
        <v>0.999851130848438-0.0149425719724534i</v>
      </c>
      <c r="AP85" s="170" t="str">
        <f t="shared" si="62"/>
        <v>0.166592234307192-0.00498048655406573i</v>
      </c>
      <c r="AQ85" s="170" t="str">
        <f t="shared" si="63"/>
        <v>0.833407765692808+0.00498048655406573i</v>
      </c>
      <c r="AR85" s="170" t="str">
        <f t="shared" si="64"/>
        <v>0.999475030443752-0.00597291284670411i</v>
      </c>
    </row>
    <row r="86" spans="1:44">
      <c r="A86" s="170">
        <v>25</v>
      </c>
      <c r="G86" s="688">
        <v>831.76</v>
      </c>
      <c r="H86" s="676">
        <f t="shared" si="56"/>
        <v>0.83175999999999994</v>
      </c>
      <c r="I86" s="677">
        <f t="shared" si="34"/>
        <v>1.0396657905685698</v>
      </c>
      <c r="J86" s="678">
        <f t="shared" si="35"/>
        <v>0.27711926720776031</v>
      </c>
      <c r="K86" s="678">
        <f t="shared" si="36"/>
        <v>1.0000005462427359</v>
      </c>
      <c r="L86" s="679">
        <f t="shared" si="37"/>
        <v>1.0452200603963632E-3</v>
      </c>
      <c r="M86" s="678">
        <f t="shared" si="38"/>
        <v>1.0000244291343912</v>
      </c>
      <c r="N86" s="679">
        <f t="shared" si="39"/>
        <v>-6.9897978629771549E-3</v>
      </c>
      <c r="O86" s="677">
        <f t="shared" si="40"/>
        <v>6271.3227258815996</v>
      </c>
      <c r="P86" s="680">
        <f t="shared" si="41"/>
        <v>1.5706368708000535</v>
      </c>
      <c r="Q86" s="689">
        <f t="shared" si="42"/>
        <v>1.0097607015982473</v>
      </c>
      <c r="R86" s="690">
        <f t="shared" si="43"/>
        <v>0.1391543355685958</v>
      </c>
      <c r="S86" s="677">
        <f t="shared" si="44"/>
        <v>1.0000061301919891</v>
      </c>
      <c r="T86" s="680">
        <f t="shared" si="45"/>
        <v>3.5014741676327558E-3</v>
      </c>
      <c r="U86" s="681">
        <f t="shared" si="57"/>
        <v>0.99942649647469173</v>
      </c>
      <c r="V86" s="682">
        <f t="shared" si="58"/>
        <v>-2.2937445912635482E-2</v>
      </c>
      <c r="W86" s="683">
        <f t="shared" si="46"/>
        <v>27.648302487405076</v>
      </c>
      <c r="X86" s="684">
        <f t="shared" si="47"/>
        <v>-99.751110016752818</v>
      </c>
      <c r="Y86" s="687">
        <f t="shared" si="48"/>
        <v>80.248889983247182</v>
      </c>
      <c r="AA86" s="170">
        <f t="shared" si="49"/>
        <v>1000000000</v>
      </c>
      <c r="AB86" s="170">
        <f t="shared" si="50"/>
        <v>691824.69759999996</v>
      </c>
      <c r="AD86" s="686">
        <f t="shared" si="51"/>
        <v>29.242583139877766</v>
      </c>
      <c r="AE86" s="687">
        <f t="shared" si="52"/>
        <v>-82.218527501277492</v>
      </c>
      <c r="AG86" s="686">
        <f t="shared" si="53"/>
        <v>40.377016786279533</v>
      </c>
      <c r="AH86" s="687">
        <f t="shared" si="54"/>
        <v>-14.904144825264666</v>
      </c>
      <c r="AJ86" s="170">
        <f t="shared" si="55"/>
        <v>0</v>
      </c>
      <c r="AK86" s="170">
        <f>IF(AJ86&gt;0,Y86,0)</f>
        <v>0</v>
      </c>
      <c r="AM86" s="170" t="str">
        <f t="shared" si="59"/>
        <v>0.000536907886840021+0.0327647295670405i</v>
      </c>
      <c r="AN86" s="170" t="str">
        <f t="shared" si="60"/>
        <v>0.0327705947072474i</v>
      </c>
      <c r="AO86" s="170" t="str">
        <f t="shared" si="61"/>
        <v>0.999821024297566-0.0163838310423241i</v>
      </c>
      <c r="AP86" s="170" t="str">
        <f t="shared" si="62"/>
        <v>0.16657718201886-0.00546078826117342i</v>
      </c>
      <c r="AQ86" s="170" t="str">
        <f t="shared" si="63"/>
        <v>0.83342281798114+0.00546078826117342i</v>
      </c>
      <c r="AR86" s="170" t="str">
        <f t="shared" si="64"/>
        <v>0.999449764643391-0.00654863704790079i</v>
      </c>
    </row>
    <row r="87" spans="1:44">
      <c r="A87" s="170">
        <v>26</v>
      </c>
      <c r="G87" s="688">
        <v>912.01</v>
      </c>
      <c r="H87" s="676">
        <f t="shared" si="56"/>
        <v>0.91200999999999999</v>
      </c>
      <c r="I87" s="677">
        <f t="shared" si="34"/>
        <v>1.0475064936559801</v>
      </c>
      <c r="J87" s="678">
        <f t="shared" si="35"/>
        <v>0.30232098060547552</v>
      </c>
      <c r="K87" s="678">
        <f t="shared" si="36"/>
        <v>1.000000656732924</v>
      </c>
      <c r="L87" s="679">
        <f t="shared" si="37"/>
        <v>1.1460650633181707E-3</v>
      </c>
      <c r="M87" s="678">
        <f t="shared" si="38"/>
        <v>1.0000293704191461</v>
      </c>
      <c r="N87" s="679">
        <f t="shared" si="39"/>
        <v>-7.6641634002293227E-3</v>
      </c>
      <c r="O87" s="677">
        <f t="shared" si="40"/>
        <v>6876.3934632561368</v>
      </c>
      <c r="P87" s="680">
        <f t="shared" si="41"/>
        <v>1.5706509017244918</v>
      </c>
      <c r="Q87" s="689">
        <f t="shared" si="42"/>
        <v>1.0117235791037285</v>
      </c>
      <c r="R87" s="690">
        <f t="shared" si="43"/>
        <v>0.15238226995597709</v>
      </c>
      <c r="S87" s="677">
        <f t="shared" si="44"/>
        <v>1.000007370160501</v>
      </c>
      <c r="T87" s="680">
        <f t="shared" si="45"/>
        <v>3.8393007788828431E-3</v>
      </c>
      <c r="U87" s="681">
        <f t="shared" si="57"/>
        <v>0.99939141177523139</v>
      </c>
      <c r="V87" s="682">
        <f t="shared" si="58"/>
        <v>-2.5150063301056912E-2</v>
      </c>
      <c r="W87" s="683">
        <f t="shared" si="46"/>
        <v>26.799608051056062</v>
      </c>
      <c r="X87" s="684">
        <f t="shared" si="47"/>
        <v>-100.6169509157565</v>
      </c>
      <c r="Y87" s="687">
        <f t="shared" si="48"/>
        <v>79.383049084243495</v>
      </c>
      <c r="AA87" s="170">
        <f t="shared" si="49"/>
        <v>1000000000</v>
      </c>
      <c r="AB87" s="170">
        <f t="shared" si="50"/>
        <v>831762.24009999994</v>
      </c>
      <c r="AD87" s="686">
        <f t="shared" si="51"/>
        <v>28.459409144301876</v>
      </c>
      <c r="AE87" s="687">
        <f t="shared" si="52"/>
        <v>-81.480782640146401</v>
      </c>
      <c r="AG87" s="686">
        <f t="shared" si="53"/>
        <v>40.312106189607306</v>
      </c>
      <c r="AH87" s="687">
        <f t="shared" si="54"/>
        <v>-16.254183309042102</v>
      </c>
      <c r="AJ87" s="170">
        <f t="shared" si="55"/>
        <v>0</v>
      </c>
      <c r="AK87" s="170">
        <f t="shared" ref="AK87:AK150" si="65">IF(AJ87&gt;0,Y87,0)</f>
        <v>0</v>
      </c>
      <c r="AM87" s="170" t="str">
        <f t="shared" si="59"/>
        <v>0.000645498237025977+0.0359246406534243i</v>
      </c>
      <c r="AN87" s="170" t="str">
        <f t="shared" si="60"/>
        <v>0.0359323724138654i</v>
      </c>
      <c r="AO87" s="170" t="str">
        <f t="shared" si="61"/>
        <v>0.99978482466028-0.0179642532252308i</v>
      </c>
      <c r="AP87" s="170" t="str">
        <f t="shared" si="62"/>
        <v>0.166559083627162-0.00598744010890405i</v>
      </c>
      <c r="AQ87" s="170" t="str">
        <f t="shared" si="63"/>
        <v>0.833440916372838+0.00598744010890405i</v>
      </c>
      <c r="AR87" s="170" t="str">
        <f t="shared" si="64"/>
        <v>0.999419388749872-0.00717982956711528i</v>
      </c>
    </row>
    <row r="88" spans="1:44">
      <c r="A88" s="170">
        <v>27</v>
      </c>
      <c r="G88" s="688">
        <v>1000</v>
      </c>
      <c r="H88" s="676">
        <f t="shared" si="56"/>
        <v>1</v>
      </c>
      <c r="I88" s="677">
        <f t="shared" si="34"/>
        <v>1.0568558565778057</v>
      </c>
      <c r="J88" s="678">
        <f t="shared" si="35"/>
        <v>0.32950438556938483</v>
      </c>
      <c r="K88" s="678">
        <f t="shared" si="36"/>
        <v>1.0000007895680385</v>
      </c>
      <c r="L88" s="679">
        <f t="shared" si="37"/>
        <v>1.2566363985333931E-3</v>
      </c>
      <c r="M88" s="678">
        <f t="shared" si="38"/>
        <v>1.0000353109704831</v>
      </c>
      <c r="N88" s="679">
        <f t="shared" si="39"/>
        <v>-8.4035625136842564E-3</v>
      </c>
      <c r="O88" s="677">
        <f t="shared" si="40"/>
        <v>7539.8224263145603</v>
      </c>
      <c r="P88" s="680">
        <f t="shared" si="41"/>
        <v>1.5706636976762796</v>
      </c>
      <c r="Q88" s="689">
        <f t="shared" si="42"/>
        <v>1.0140783887823235</v>
      </c>
      <c r="R88" s="690">
        <f t="shared" si="43"/>
        <v>0.16682434766700577</v>
      </c>
      <c r="S88" s="677">
        <f t="shared" si="44"/>
        <v>1.0000088608915534</v>
      </c>
      <c r="T88" s="680">
        <f t="shared" si="45"/>
        <v>4.2097092831557261E-3</v>
      </c>
      <c r="U88" s="681">
        <f t="shared" si="57"/>
        <v>0.99934923636542716</v>
      </c>
      <c r="V88" s="682">
        <f t="shared" si="58"/>
        <v>-2.7575945542377231E-2</v>
      </c>
      <c r="W88" s="683">
        <f t="shared" si="46"/>
        <v>25.942285739062243</v>
      </c>
      <c r="X88" s="684">
        <f t="shared" si="47"/>
        <v>-101.54395318358083</v>
      </c>
      <c r="Y88" s="687">
        <f t="shared" si="48"/>
        <v>78.456046816419175</v>
      </c>
      <c r="AA88" s="170">
        <f t="shared" si="49"/>
        <v>1000000000</v>
      </c>
      <c r="AB88" s="170">
        <f t="shared" si="50"/>
        <v>1000000</v>
      </c>
      <c r="AD88" s="686">
        <f t="shared" si="51"/>
        <v>27.679581332742707</v>
      </c>
      <c r="AE88" s="687">
        <f t="shared" si="52"/>
        <v>-80.675268537006943</v>
      </c>
      <c r="AG88" s="686">
        <f t="shared" si="53"/>
        <v>40.235344812713009</v>
      </c>
      <c r="AH88" s="687">
        <f t="shared" si="54"/>
        <v>-17.708714051641454</v>
      </c>
      <c r="AJ88" s="170">
        <f t="shared" si="55"/>
        <v>0</v>
      </c>
      <c r="AK88" s="170">
        <f t="shared" si="65"/>
        <v>0</v>
      </c>
      <c r="AM88" s="170" t="str">
        <f t="shared" si="59"/>
        <v>0.000776044111977958+0.0393889068075339i</v>
      </c>
      <c r="AN88" s="170" t="str">
        <f t="shared" si="60"/>
        <v>0.0393990991478881i</v>
      </c>
      <c r="AO88" s="170" t="str">
        <f t="shared" si="61"/>
        <v>0.999741305243657-0.0196970014229261i</v>
      </c>
      <c r="AP88" s="170" t="str">
        <f t="shared" si="62"/>
        <v>0.166537325981337-0.00656481780125565i</v>
      </c>
      <c r="AQ88" s="170" t="str">
        <f t="shared" si="63"/>
        <v>0.833462674018663+0.00656481780125565i</v>
      </c>
      <c r="AR88" s="170" t="str">
        <f t="shared" si="64"/>
        <v>0.999382875444738-0.00787169803220578i</v>
      </c>
    </row>
    <row r="89" spans="1:44">
      <c r="A89" s="170">
        <v>28</v>
      </c>
      <c r="G89" s="688">
        <v>1096.5</v>
      </c>
      <c r="H89" s="676">
        <f t="shared" si="56"/>
        <v>1.0965</v>
      </c>
      <c r="I89" s="677">
        <f t="shared" si="34"/>
        <v>1.0679904336466239</v>
      </c>
      <c r="J89" s="678">
        <f t="shared" si="35"/>
        <v>0.35874561423262225</v>
      </c>
      <c r="K89" s="678">
        <f t="shared" si="36"/>
        <v>1.0000009493072493</v>
      </c>
      <c r="L89" s="679">
        <f t="shared" si="37"/>
        <v>1.3779016642553352E-3</v>
      </c>
      <c r="M89" s="678">
        <f t="shared" si="38"/>
        <v>1.0000424546607327</v>
      </c>
      <c r="N89" s="679">
        <f t="shared" si="39"/>
        <v>-9.2144624138913566E-3</v>
      </c>
      <c r="O89" s="677">
        <f t="shared" si="40"/>
        <v>8267.4152782183955</v>
      </c>
      <c r="P89" s="680">
        <f t="shared" si="41"/>
        <v>1.5706753700062528</v>
      </c>
      <c r="Q89" s="689">
        <f t="shared" si="42"/>
        <v>1.0169029147925974</v>
      </c>
      <c r="R89" s="690">
        <f t="shared" si="43"/>
        <v>0.18258263191370602</v>
      </c>
      <c r="S89" s="677">
        <f t="shared" si="44"/>
        <v>1.0000106535489115</v>
      </c>
      <c r="T89" s="680">
        <f t="shared" si="45"/>
        <v>4.6159407124830411E-3</v>
      </c>
      <c r="U89" s="681">
        <f t="shared" si="57"/>
        <v>0.99929852553947673</v>
      </c>
      <c r="V89" s="682">
        <f t="shared" si="58"/>
        <v>-3.0236265028558206E-2</v>
      </c>
      <c r="W89" s="683">
        <f t="shared" si="46"/>
        <v>25.074847338651544</v>
      </c>
      <c r="X89" s="684">
        <f t="shared" si="47"/>
        <v>-102.53235134951449</v>
      </c>
      <c r="Y89" s="687">
        <f t="shared" si="48"/>
        <v>77.467648650485515</v>
      </c>
      <c r="AA89" s="170">
        <f t="shared" si="49"/>
        <v>1000000000</v>
      </c>
      <c r="AB89" s="170">
        <f t="shared" si="50"/>
        <v>1202312.25</v>
      </c>
      <c r="AD89" s="686">
        <f t="shared" si="51"/>
        <v>26.903552348468654</v>
      </c>
      <c r="AE89" s="687">
        <f t="shared" si="52"/>
        <v>-79.796329477949769</v>
      </c>
      <c r="AG89" s="686">
        <f t="shared" si="53"/>
        <v>40.144816929873322</v>
      </c>
      <c r="AH89" s="687">
        <f t="shared" si="54"/>
        <v>-19.271201118854798</v>
      </c>
      <c r="AJ89" s="170">
        <f t="shared" si="55"/>
        <v>0</v>
      </c>
      <c r="AK89" s="170">
        <f t="shared" si="65"/>
        <v>0</v>
      </c>
      <c r="AM89" s="170" t="str">
        <f t="shared" si="59"/>
        <v>0.000933022923595983+0.0431876755037342i</v>
      </c>
      <c r="AN89" s="170" t="str">
        <f t="shared" si="60"/>
        <v>0.0432011122156593i</v>
      </c>
      <c r="AO89" s="170" t="str">
        <f t="shared" si="61"/>
        <v>0.999688973009352-0.0215971968253583i</v>
      </c>
      <c r="AP89" s="170" t="str">
        <f t="shared" si="62"/>
        <v>0.166511162846067-0.00719794591728903i</v>
      </c>
      <c r="AQ89" s="170" t="str">
        <f t="shared" si="63"/>
        <v>0.833488837153933+0.00719794591728903i</v>
      </c>
      <c r="AR89" s="170" t="str">
        <f t="shared" si="64"/>
        <v>0.999338974980277-0.00863021503624363i</v>
      </c>
    </row>
    <row r="90" spans="1:44">
      <c r="A90" s="170">
        <v>29</v>
      </c>
      <c r="G90" s="688">
        <v>1202.3</v>
      </c>
      <c r="H90" s="676">
        <f t="shared" si="56"/>
        <v>1.2022999999999999</v>
      </c>
      <c r="I90" s="677">
        <f t="shared" si="34"/>
        <v>1.0812242808313803</v>
      </c>
      <c r="J90" s="678">
        <f t="shared" si="35"/>
        <v>0.39008302653903909</v>
      </c>
      <c r="K90" s="678">
        <f t="shared" si="36"/>
        <v>1.0000011413403671</v>
      </c>
      <c r="L90" s="679">
        <f t="shared" si="37"/>
        <v>1.5108535876392512E-3</v>
      </c>
      <c r="M90" s="678">
        <f t="shared" si="38"/>
        <v>1.0000510424993667</v>
      </c>
      <c r="N90" s="679">
        <f t="shared" si="39"/>
        <v>-1.0103497250696045E-2</v>
      </c>
      <c r="O90" s="677">
        <f t="shared" si="40"/>
        <v>9065.1284785844182</v>
      </c>
      <c r="P90" s="680">
        <f t="shared" si="41"/>
        <v>1.5706860139621122</v>
      </c>
      <c r="Q90" s="689">
        <f t="shared" si="42"/>
        <v>1.0202881155129622</v>
      </c>
      <c r="R90" s="690">
        <f t="shared" si="43"/>
        <v>0.19975457156287749</v>
      </c>
      <c r="S90" s="677">
        <f t="shared" si="44"/>
        <v>1.0000128086175499</v>
      </c>
      <c r="T90" s="680">
        <f t="shared" si="45"/>
        <v>5.0613201507563469E-3</v>
      </c>
      <c r="U90" s="681">
        <f t="shared" si="57"/>
        <v>0.99923757234977562</v>
      </c>
      <c r="V90" s="682">
        <f t="shared" si="58"/>
        <v>-3.3152726115004853E-2</v>
      </c>
      <c r="W90" s="683">
        <f t="shared" si="46"/>
        <v>24.196189013261797</v>
      </c>
      <c r="X90" s="684">
        <f t="shared" si="47"/>
        <v>-103.58052263589185</v>
      </c>
      <c r="Y90" s="687">
        <f t="shared" si="48"/>
        <v>76.419477364108147</v>
      </c>
      <c r="AA90" s="170">
        <f t="shared" si="49"/>
        <v>1000000000</v>
      </c>
      <c r="AB90" s="170">
        <f t="shared" si="50"/>
        <v>1445525.2899999998</v>
      </c>
      <c r="AD90" s="686">
        <f t="shared" si="51"/>
        <v>26.132316134281027</v>
      </c>
      <c r="AE90" s="687">
        <f t="shared" si="52"/>
        <v>-78.838578024747534</v>
      </c>
      <c r="AG90" s="686">
        <f t="shared" si="53"/>
        <v>40.038454459634522</v>
      </c>
      <c r="AH90" s="687">
        <f t="shared" si="54"/>
        <v>-20.942922035317462</v>
      </c>
      <c r="AJ90" s="170">
        <f t="shared" si="55"/>
        <v>0</v>
      </c>
      <c r="AK90" s="170">
        <f t="shared" si="65"/>
        <v>0</v>
      </c>
      <c r="AM90" s="170" t="str">
        <f t="shared" si="59"/>
        <v>0.00112172673875499+0.0473518236885754i</v>
      </c>
      <c r="AN90" s="170" t="str">
        <f t="shared" si="60"/>
        <v>0.0473695369055059i</v>
      </c>
      <c r="AO90" s="170" t="str">
        <f t="shared" si="61"/>
        <v>0.999626063118036-0.0236803399829017i</v>
      </c>
      <c r="AP90" s="170" t="str">
        <f t="shared" si="62"/>
        <v>0.166479712210207-0.00789197061476257i</v>
      </c>
      <c r="AQ90" s="170" t="str">
        <f t="shared" si="63"/>
        <v>0.833520287789793+0.00789197061476257i</v>
      </c>
      <c r="AR90" s="170" t="str">
        <f t="shared" si="64"/>
        <v>0.999286211099535-0.00946148225695476i</v>
      </c>
    </row>
    <row r="91" spans="1:44">
      <c r="A91" s="170">
        <v>30</v>
      </c>
      <c r="G91" s="688">
        <v>1318.3</v>
      </c>
      <c r="H91" s="676">
        <f t="shared" si="56"/>
        <v>1.3183</v>
      </c>
      <c r="I91" s="677">
        <f t="shared" si="34"/>
        <v>1.0969226239901391</v>
      </c>
      <c r="J91" s="678">
        <f t="shared" si="35"/>
        <v>0.42353615549333251</v>
      </c>
      <c r="K91" s="678">
        <f t="shared" si="36"/>
        <v>1.0000013722016512</v>
      </c>
      <c r="L91" s="679">
        <f t="shared" si="37"/>
        <v>1.6566231207174149E-3</v>
      </c>
      <c r="M91" s="678">
        <f t="shared" si="38"/>
        <v>1.0000613666619218</v>
      </c>
      <c r="N91" s="679">
        <f t="shared" si="39"/>
        <v>-1.1078224033081884E-2</v>
      </c>
      <c r="O91" s="677">
        <f t="shared" si="40"/>
        <v>9939.7478674910872</v>
      </c>
      <c r="P91" s="680">
        <f t="shared" si="41"/>
        <v>1.5706957206210763</v>
      </c>
      <c r="Q91" s="689">
        <f t="shared" si="42"/>
        <v>1.0243429794294954</v>
      </c>
      <c r="R91" s="690">
        <f t="shared" si="43"/>
        <v>0.21844545008746313</v>
      </c>
      <c r="S91" s="677">
        <f t="shared" si="44"/>
        <v>1.0000153994250247</v>
      </c>
      <c r="T91" s="680">
        <f t="shared" si="45"/>
        <v>5.5496355571614288E-3</v>
      </c>
      <c r="U91" s="681">
        <f t="shared" si="57"/>
        <v>0.99916430868238404</v>
      </c>
      <c r="V91" s="682">
        <f t="shared" si="58"/>
        <v>-3.6350040041737454E-2</v>
      </c>
      <c r="W91" s="683">
        <f t="shared" si="46"/>
        <v>23.304840493598867</v>
      </c>
      <c r="X91" s="684">
        <f t="shared" si="47"/>
        <v>-104.68556019090431</v>
      </c>
      <c r="Y91" s="687">
        <f t="shared" si="48"/>
        <v>75.314439809095688</v>
      </c>
      <c r="AA91" s="170">
        <f t="shared" si="49"/>
        <v>1000000000</v>
      </c>
      <c r="AB91" s="170">
        <f t="shared" si="50"/>
        <v>1737914.89</v>
      </c>
      <c r="AD91" s="686">
        <f t="shared" si="51"/>
        <v>25.366716886621955</v>
      </c>
      <c r="AE91" s="687">
        <f t="shared" si="52"/>
        <v>-77.796204131156017</v>
      </c>
      <c r="AG91" s="686">
        <f t="shared" si="53"/>
        <v>39.913978925682592</v>
      </c>
      <c r="AH91" s="687">
        <f t="shared" si="54"/>
        <v>-22.723948295942414</v>
      </c>
      <c r="AJ91" s="170">
        <f t="shared" si="55"/>
        <v>0</v>
      </c>
      <c r="AK91" s="170">
        <f t="shared" si="65"/>
        <v>0</v>
      </c>
      <c r="AM91" s="170" t="str">
        <f t="shared" si="59"/>
        <v>0.00134856987937904+0.05191648214237i</v>
      </c>
      <c r="AN91" s="170" t="str">
        <f t="shared" si="60"/>
        <v>0.0519398324066609i</v>
      </c>
      <c r="AO91" s="170" t="str">
        <f t="shared" si="61"/>
        <v>0.999550436279654-0.0259640783747715i</v>
      </c>
      <c r="AP91" s="170" t="str">
        <f t="shared" si="62"/>
        <v>0.166441905020104-0.00865274702372833i</v>
      </c>
      <c r="AQ91" s="170" t="str">
        <f t="shared" si="63"/>
        <v>0.833558094979896+0.00865274702372833i</v>
      </c>
      <c r="AR91" s="170" t="str">
        <f t="shared" si="64"/>
        <v>0.999222795643089-0.0103724288962136i</v>
      </c>
    </row>
    <row r="92" spans="1:44">
      <c r="A92" s="170">
        <v>31</v>
      </c>
      <c r="G92" s="688">
        <v>1445.4</v>
      </c>
      <c r="H92" s="676">
        <f t="shared" si="56"/>
        <v>1.4454</v>
      </c>
      <c r="I92" s="677">
        <f t="shared" si="34"/>
        <v>1.1154899513828709</v>
      </c>
      <c r="J92" s="678">
        <f t="shared" si="35"/>
        <v>0.45906530407215868</v>
      </c>
      <c r="K92" s="678">
        <f t="shared" si="36"/>
        <v>1.0000016495499615</v>
      </c>
      <c r="L92" s="679">
        <f t="shared" si="37"/>
        <v>1.8163412090937288E-3</v>
      </c>
      <c r="M92" s="678">
        <f t="shared" si="38"/>
        <v>1.0000737695957613</v>
      </c>
      <c r="N92" s="679">
        <f t="shared" si="39"/>
        <v>-1.2146197848361164E-2</v>
      </c>
      <c r="O92" s="677">
        <f t="shared" si="40"/>
        <v>10898.05928502373</v>
      </c>
      <c r="P92" s="680">
        <f t="shared" si="41"/>
        <v>1.5707045673379834</v>
      </c>
      <c r="Q92" s="689">
        <f t="shared" si="42"/>
        <v>1.0291932214475643</v>
      </c>
      <c r="R92" s="690">
        <f t="shared" si="43"/>
        <v>0.23874786670995107</v>
      </c>
      <c r="S92" s="677">
        <f t="shared" si="44"/>
        <v>1.0000185119183649</v>
      </c>
      <c r="T92" s="680">
        <f t="shared" si="45"/>
        <v>6.0846746492348152E-3</v>
      </c>
      <c r="U92" s="681">
        <f t="shared" si="57"/>
        <v>0.99907631253963747</v>
      </c>
      <c r="V92" s="682">
        <f t="shared" si="58"/>
        <v>-3.9852884882604321E-2</v>
      </c>
      <c r="W92" s="683">
        <f t="shared" si="46"/>
        <v>22.399919703054106</v>
      </c>
      <c r="X92" s="684">
        <f t="shared" si="47"/>
        <v>-105.84188747603338</v>
      </c>
      <c r="Y92" s="687">
        <f t="shared" si="48"/>
        <v>74.158112523966622</v>
      </c>
      <c r="AA92" s="170">
        <f t="shared" si="49"/>
        <v>1000000000</v>
      </c>
      <c r="AB92" s="170">
        <f t="shared" si="50"/>
        <v>2089181.1600000001</v>
      </c>
      <c r="AD92" s="686">
        <f t="shared" si="51"/>
        <v>24.608244331951035</v>
      </c>
      <c r="AE92" s="687">
        <f t="shared" si="52"/>
        <v>-76.664123704869269</v>
      </c>
      <c r="AG92" s="686">
        <f t="shared" si="53"/>
        <v>39.769060685299472</v>
      </c>
      <c r="AH92" s="687">
        <f t="shared" si="54"/>
        <v>-24.610959555557884</v>
      </c>
      <c r="AJ92" s="170">
        <f t="shared" si="55"/>
        <v>0</v>
      </c>
      <c r="AK92" s="170">
        <f t="shared" si="65"/>
        <v>0</v>
      </c>
      <c r="AM92" s="170" t="str">
        <f t="shared" si="59"/>
        <v>0.00162106831460196+0.0569166826749783i</v>
      </c>
      <c r="AN92" s="170" t="str">
        <f t="shared" si="60"/>
        <v>0.0569474579083575i</v>
      </c>
      <c r="AO92" s="170" t="str">
        <f t="shared" si="61"/>
        <v>0.999459585475637-0.0284660347299551i</v>
      </c>
      <c r="AP92" s="170" t="str">
        <f t="shared" si="62"/>
        <v>0.166396488614233-0.00948611377916305i</v>
      </c>
      <c r="AQ92" s="170" t="str">
        <f t="shared" si="63"/>
        <v>0.833603511385767+0.00948611377916305i</v>
      </c>
      <c r="AR92" s="170" t="str">
        <f t="shared" si="64"/>
        <v>0.999146635200512-0.0113699361076633i</v>
      </c>
    </row>
    <row r="93" spans="1:44">
      <c r="A93" s="170">
        <v>32</v>
      </c>
      <c r="G93" s="688">
        <v>1584.9</v>
      </c>
      <c r="H93" s="676">
        <f t="shared" si="56"/>
        <v>1.5849000000000002</v>
      </c>
      <c r="I93" s="677">
        <f t="shared" si="34"/>
        <v>1.137432779494995</v>
      </c>
      <c r="J93" s="678">
        <f t="shared" si="35"/>
        <v>0.49667282576109334</v>
      </c>
      <c r="K93" s="678">
        <f t="shared" si="36"/>
        <v>1.0000019833210967</v>
      </c>
      <c r="L93" s="679">
        <f t="shared" si="37"/>
        <v>1.9916414430178465E-3</v>
      </c>
      <c r="M93" s="678">
        <f t="shared" si="38"/>
        <v>1.0000886955421529</v>
      </c>
      <c r="N93" s="679">
        <f t="shared" si="39"/>
        <v>-1.3318332245413645E-2</v>
      </c>
      <c r="O93" s="677">
        <f t="shared" si="40"/>
        <v>11949.864500205482</v>
      </c>
      <c r="P93" s="680">
        <f t="shared" si="41"/>
        <v>1.5707126438375585</v>
      </c>
      <c r="Q93" s="689">
        <f t="shared" si="42"/>
        <v>1.0350000472739342</v>
      </c>
      <c r="R93" s="690">
        <f t="shared" si="43"/>
        <v>0.26080183716674232</v>
      </c>
      <c r="S93" s="677">
        <f t="shared" si="44"/>
        <v>1.0000222575953801</v>
      </c>
      <c r="T93" s="680">
        <f t="shared" si="45"/>
        <v>6.6719086555645053E-3</v>
      </c>
      <c r="U93" s="681">
        <f t="shared" si="57"/>
        <v>0.99897044389910084</v>
      </c>
      <c r="V93" s="682">
        <f t="shared" si="58"/>
        <v>-4.3696917955800482E-2</v>
      </c>
      <c r="W93" s="683">
        <f t="shared" si="46"/>
        <v>21.478490444412799</v>
      </c>
      <c r="X93" s="684">
        <f t="shared" si="47"/>
        <v>-107.04451036076259</v>
      </c>
      <c r="Y93" s="687">
        <f t="shared" si="48"/>
        <v>72.955489639237413</v>
      </c>
      <c r="AA93" s="170">
        <f t="shared" si="49"/>
        <v>1000000000</v>
      </c>
      <c r="AB93" s="170">
        <f t="shared" si="50"/>
        <v>2511908.0100000002</v>
      </c>
      <c r="AD93" s="686">
        <f t="shared" si="51"/>
        <v>23.856804553055134</v>
      </c>
      <c r="AE93" s="687">
        <f t="shared" si="52"/>
        <v>-75.434633054272169</v>
      </c>
      <c r="AG93" s="686">
        <f t="shared" si="53"/>
        <v>39.600912130098465</v>
      </c>
      <c r="AH93" s="687">
        <f t="shared" si="54"/>
        <v>-26.602579347575169</v>
      </c>
      <c r="AJ93" s="170">
        <f t="shared" si="55"/>
        <v>0</v>
      </c>
      <c r="AK93" s="170">
        <f t="shared" si="65"/>
        <v>0</v>
      </c>
      <c r="AM93" s="170" t="str">
        <f t="shared" si="59"/>
        <v>0.00194897019359297+0.0624030600401203i</v>
      </c>
      <c r="AN93" s="170" t="str">
        <f t="shared" si="60"/>
        <v>0.0624436322394878i</v>
      </c>
      <c r="AO93" s="170" t="str">
        <f t="shared" si="61"/>
        <v>0.999350258818835-0.0312116724106976i</v>
      </c>
      <c r="AP93" s="170" t="str">
        <f t="shared" si="62"/>
        <v>0.166341838301068-0.0104005100066867i</v>
      </c>
      <c r="AQ93" s="170" t="str">
        <f t="shared" si="63"/>
        <v>0.833658161698932+0.0104005100066867i</v>
      </c>
      <c r="AR93" s="170" t="str">
        <f t="shared" si="64"/>
        <v>0.999055016465655-0.0124639596580044i</v>
      </c>
    </row>
    <row r="94" spans="1:44">
      <c r="A94" s="170">
        <v>33</v>
      </c>
      <c r="G94" s="688">
        <v>1737.8</v>
      </c>
      <c r="H94" s="676">
        <f t="shared" si="56"/>
        <v>1.7378</v>
      </c>
      <c r="I94" s="677">
        <f t="shared" si="34"/>
        <v>1.1632565529192647</v>
      </c>
      <c r="J94" s="678">
        <f t="shared" si="35"/>
        <v>0.53620119273698541</v>
      </c>
      <c r="K94" s="678">
        <f t="shared" si="36"/>
        <v>1.0000023844531807</v>
      </c>
      <c r="L94" s="679">
        <f t="shared" si="37"/>
        <v>2.1837804114535103E-3</v>
      </c>
      <c r="M94" s="678">
        <f t="shared" si="38"/>
        <v>1.0001066335217299</v>
      </c>
      <c r="N94" s="679">
        <f t="shared" si="39"/>
        <v>-1.4603016606310302E-2</v>
      </c>
      <c r="O94" s="677">
        <f t="shared" si="40"/>
        <v>13102.703335368065</v>
      </c>
      <c r="P94" s="680">
        <f t="shared" si="41"/>
        <v>1.5707200066664944</v>
      </c>
      <c r="Q94" s="689">
        <f t="shared" si="42"/>
        <v>1.0419359791835876</v>
      </c>
      <c r="R94" s="690">
        <f t="shared" si="43"/>
        <v>0.28467896089870887</v>
      </c>
      <c r="S94" s="677">
        <f t="shared" si="44"/>
        <v>1.0000267591996967</v>
      </c>
      <c r="T94" s="680">
        <f t="shared" si="45"/>
        <v>7.3155455022955477E-3</v>
      </c>
      <c r="U94" s="681">
        <f t="shared" si="57"/>
        <v>0.99884325118794937</v>
      </c>
      <c r="V94" s="682">
        <f t="shared" si="58"/>
        <v>-4.7909470414895634E-2</v>
      </c>
      <c r="W94" s="683">
        <f t="shared" si="46"/>
        <v>20.540564037416019</v>
      </c>
      <c r="X94" s="684">
        <f t="shared" si="47"/>
        <v>-108.282519794865</v>
      </c>
      <c r="Y94" s="687">
        <f t="shared" si="48"/>
        <v>71.717480205135004</v>
      </c>
      <c r="AA94" s="170">
        <f t="shared" si="49"/>
        <v>1000000000</v>
      </c>
      <c r="AB94" s="170">
        <f t="shared" si="50"/>
        <v>3019948.84</v>
      </c>
      <c r="AD94" s="686">
        <f t="shared" si="51"/>
        <v>23.114820215508288</v>
      </c>
      <c r="AE94" s="687">
        <f t="shared" si="52"/>
        <v>-74.10387416987831</v>
      </c>
      <c r="AG94" s="686">
        <f t="shared" si="53"/>
        <v>39.407182042388442</v>
      </c>
      <c r="AH94" s="687">
        <f t="shared" si="54"/>
        <v>-28.688624711752613</v>
      </c>
      <c r="AJ94" s="170">
        <f t="shared" si="55"/>
        <v>0</v>
      </c>
      <c r="AK94" s="170">
        <f t="shared" si="65"/>
        <v>0</v>
      </c>
      <c r="AM94" s="170" t="str">
        <f t="shared" si="59"/>
        <v>0.00234300118856601+0.0684142727986065i</v>
      </c>
      <c r="AN94" s="170" t="str">
        <f t="shared" si="60"/>
        <v>0.0684677544991999i</v>
      </c>
      <c r="AO94" s="170" t="str">
        <f t="shared" si="61"/>
        <v>0.999218877543384-0.0342205057797447i</v>
      </c>
      <c r="AP94" s="170" t="str">
        <f t="shared" si="62"/>
        <v>0.166276166468572-0.0114023787997677i</v>
      </c>
      <c r="AQ94" s="170" t="str">
        <f t="shared" si="63"/>
        <v>0.833723833531428+0.0114023787997677i</v>
      </c>
      <c r="AR94" s="170" t="str">
        <f t="shared" si="64"/>
        <v>0.998944958769278-0.0136620165597992i</v>
      </c>
    </row>
    <row r="95" spans="1:44">
      <c r="A95" s="170">
        <v>34</v>
      </c>
      <c r="G95" s="688">
        <v>1905.5</v>
      </c>
      <c r="H95" s="676">
        <f t="shared" si="56"/>
        <v>1.9055</v>
      </c>
      <c r="I95" s="677">
        <f t="shared" si="34"/>
        <v>1.1935730401538645</v>
      </c>
      <c r="J95" s="678">
        <f t="shared" si="35"/>
        <v>0.57751751470855617</v>
      </c>
      <c r="K95" s="678">
        <f t="shared" si="36"/>
        <v>1.0000028668634982</v>
      </c>
      <c r="L95" s="679">
        <f t="shared" si="37"/>
        <v>2.3945173413275297E-3</v>
      </c>
      <c r="M95" s="678">
        <f t="shared" si="38"/>
        <v>1.0001282057161709</v>
      </c>
      <c r="N95" s="679">
        <f t="shared" si="39"/>
        <v>-1.601199677832657E-2</v>
      </c>
      <c r="O95" s="677">
        <f t="shared" si="40"/>
        <v>14367.13154178166</v>
      </c>
      <c r="P95" s="680">
        <f t="shared" si="41"/>
        <v>1.5707267234786118</v>
      </c>
      <c r="Q95" s="689">
        <f t="shared" si="42"/>
        <v>1.0502166202836301</v>
      </c>
      <c r="R95" s="690">
        <f t="shared" si="43"/>
        <v>0.31048824860956697</v>
      </c>
      <c r="S95" s="677">
        <f t="shared" si="44"/>
        <v>1.0000321729041772</v>
      </c>
      <c r="T95" s="680">
        <f t="shared" si="45"/>
        <v>8.0214763754544848E-3</v>
      </c>
      <c r="U95" s="681">
        <f t="shared" si="57"/>
        <v>0.99869034725752315</v>
      </c>
      <c r="V95" s="682">
        <f t="shared" si="58"/>
        <v>-5.2528818345775302E-2</v>
      </c>
      <c r="W95" s="683">
        <f t="shared" si="46"/>
        <v>19.584482793360905</v>
      </c>
      <c r="X95" s="684">
        <f t="shared" si="47"/>
        <v>-109.54516253800419</v>
      </c>
      <c r="Y95" s="687">
        <f t="shared" si="48"/>
        <v>70.454837461995808</v>
      </c>
      <c r="AA95" s="170">
        <f t="shared" si="49"/>
        <v>1000000000</v>
      </c>
      <c r="AB95" s="170">
        <f t="shared" si="50"/>
        <v>3630930.25</v>
      </c>
      <c r="AD95" s="686">
        <f t="shared" si="51"/>
        <v>22.383347034193758</v>
      </c>
      <c r="AE95" s="687">
        <f t="shared" si="52"/>
        <v>-72.665942614810305</v>
      </c>
      <c r="AG95" s="686">
        <f t="shared" si="53"/>
        <v>39.185233472671726</v>
      </c>
      <c r="AH95" s="687">
        <f t="shared" si="54"/>
        <v>-30.85986072827118</v>
      </c>
      <c r="AJ95" s="170">
        <f t="shared" si="55"/>
        <v>0</v>
      </c>
      <c r="AK95" s="170">
        <f t="shared" si="65"/>
        <v>0</v>
      </c>
      <c r="AM95" s="170" t="str">
        <f t="shared" si="59"/>
        <v>0.00281680317732402+0.0750044796962765i</v>
      </c>
      <c r="AN95" s="170" t="str">
        <f t="shared" si="60"/>
        <v>0.0750749834263008i</v>
      </c>
      <c r="AO95" s="170" t="str">
        <f t="shared" si="61"/>
        <v>0.999060889169646-0.0375198641247681i</v>
      </c>
      <c r="AP95" s="170" t="str">
        <f t="shared" si="62"/>
        <v>0.166197199470446-0.0125007466160461i</v>
      </c>
      <c r="AQ95" s="170" t="str">
        <f t="shared" si="63"/>
        <v>0.833802800529554+0.0125007466160461i</v>
      </c>
      <c r="AR95" s="170" t="str">
        <f t="shared" si="64"/>
        <v>0.99881267510715-0.0149746488743858i</v>
      </c>
    </row>
    <row r="96" spans="1:44">
      <c r="A96" s="170">
        <v>35</v>
      </c>
      <c r="G96" s="688">
        <v>2089.3000000000002</v>
      </c>
      <c r="H96" s="676">
        <f t="shared" si="56"/>
        <v>2.0893000000000002</v>
      </c>
      <c r="I96" s="677">
        <f t="shared" si="34"/>
        <v>1.2290167948486865</v>
      </c>
      <c r="J96" s="678">
        <f t="shared" si="35"/>
        <v>0.62037840617496165</v>
      </c>
      <c r="K96" s="678">
        <f t="shared" si="36"/>
        <v>1.0000034465976813</v>
      </c>
      <c r="L96" s="679">
        <f t="shared" si="37"/>
        <v>2.6254857767965662E-3</v>
      </c>
      <c r="M96" s="678">
        <f t="shared" si="38"/>
        <v>1.000154129391027</v>
      </c>
      <c r="N96" s="679">
        <f t="shared" si="39"/>
        <v>-1.7556172536896085E-2</v>
      </c>
      <c r="O96" s="677">
        <f t="shared" si="40"/>
        <v>15752.950888488089</v>
      </c>
      <c r="P96" s="680">
        <f t="shared" si="41"/>
        <v>1.5707328466248796</v>
      </c>
      <c r="Q96" s="689">
        <f t="shared" si="42"/>
        <v>1.0600822747451877</v>
      </c>
      <c r="R96" s="690">
        <f t="shared" si="43"/>
        <v>0.3382916330112401</v>
      </c>
      <c r="S96" s="677">
        <f t="shared" si="44"/>
        <v>1.0000386787611109</v>
      </c>
      <c r="T96" s="680">
        <f t="shared" si="45"/>
        <v>8.7951707711039027E-3</v>
      </c>
      <c r="U96" s="681">
        <f t="shared" si="57"/>
        <v>0.9985066835494506</v>
      </c>
      <c r="V96" s="682">
        <f t="shared" si="58"/>
        <v>-5.7590381932414086E-2</v>
      </c>
      <c r="W96" s="683">
        <f t="shared" si="46"/>
        <v>18.610259295910222</v>
      </c>
      <c r="X96" s="684">
        <f t="shared" si="47"/>
        <v>-110.81782186668897</v>
      </c>
      <c r="Y96" s="687">
        <f t="shared" si="48"/>
        <v>69.182178133311027</v>
      </c>
      <c r="AA96" s="170">
        <f t="shared" si="49"/>
        <v>1000000000</v>
      </c>
      <c r="AB96" s="170">
        <f t="shared" si="50"/>
        <v>4365174.4900000012</v>
      </c>
      <c r="AD96" s="686">
        <f t="shared" si="51"/>
        <v>21.664667225898732</v>
      </c>
      <c r="AE96" s="687">
        <f t="shared" si="52"/>
        <v>-71.117606284587467</v>
      </c>
      <c r="AG96" s="686">
        <f t="shared" si="53"/>
        <v>38.932884826726585</v>
      </c>
      <c r="AH96" s="687">
        <f t="shared" si="54"/>
        <v>-33.100843924013027</v>
      </c>
      <c r="AJ96" s="170">
        <f t="shared" si="55"/>
        <v>0</v>
      </c>
      <c r="AK96" s="170">
        <f t="shared" si="65"/>
        <v>0</v>
      </c>
      <c r="AM96" s="170" t="str">
        <f t="shared" si="59"/>
        <v>0.00338609353616204+0.0822236063602692i</v>
      </c>
      <c r="AN96" s="170" t="str">
        <f t="shared" si="60"/>
        <v>0.0823165378496826i</v>
      </c>
      <c r="AO96" s="170" t="str">
        <f t="shared" si="61"/>
        <v>0.998871047157218-0.0411350334284631i</v>
      </c>
      <c r="AP96" s="170" t="str">
        <f t="shared" si="62"/>
        <v>0.166102317743973-0.0137039343933782i</v>
      </c>
      <c r="AQ96" s="170" t="str">
        <f t="shared" si="63"/>
        <v>0.833897682256027+0.0137039343933782i</v>
      </c>
      <c r="AR96" s="170" t="str">
        <f t="shared" si="64"/>
        <v>0.998653810917025-0.0164114694137047i</v>
      </c>
    </row>
    <row r="97" spans="1:44">
      <c r="A97" s="170" t="s">
        <v>801</v>
      </c>
      <c r="G97" s="688">
        <v>2290.9</v>
      </c>
      <c r="H97" s="676">
        <f t="shared" si="56"/>
        <v>2.2909000000000002</v>
      </c>
      <c r="I97" s="677">
        <f t="shared" si="34"/>
        <v>1.27033450361171</v>
      </c>
      <c r="J97" s="678">
        <f t="shared" si="35"/>
        <v>0.66455023559700976</v>
      </c>
      <c r="K97" s="678">
        <f t="shared" si="36"/>
        <v>1.0000041438220404</v>
      </c>
      <c r="L97" s="679">
        <f t="shared" si="37"/>
        <v>2.8788218878713725E-3</v>
      </c>
      <c r="M97" s="678">
        <f t="shared" si="38"/>
        <v>1.0001853059434989</v>
      </c>
      <c r="N97" s="679">
        <f t="shared" si="39"/>
        <v>-1.9249796506926722E-2</v>
      </c>
      <c r="O97" s="677">
        <f t="shared" si="40"/>
        <v>17272.97907347095</v>
      </c>
      <c r="P97" s="680">
        <f t="shared" si="41"/>
        <v>1.5707384329019958</v>
      </c>
      <c r="Q97" s="689">
        <f t="shared" si="42"/>
        <v>1.071827059483569</v>
      </c>
      <c r="R97" s="690">
        <f t="shared" si="43"/>
        <v>0.36817334895934772</v>
      </c>
      <c r="S97" s="677">
        <f t="shared" si="44"/>
        <v>1.0000465030579331</v>
      </c>
      <c r="T97" s="680">
        <f t="shared" si="45"/>
        <v>9.6437809901186115E-3</v>
      </c>
      <c r="U97" s="681">
        <f t="shared" si="57"/>
        <v>0.99828592503109048</v>
      </c>
      <c r="V97" s="682">
        <f t="shared" si="58"/>
        <v>-6.3140464325092335E-2</v>
      </c>
      <c r="W97" s="683">
        <f t="shared" si="46"/>
        <v>17.616938378487962</v>
      </c>
      <c r="X97" s="684">
        <f t="shared" si="47"/>
        <v>-112.08604562571354</v>
      </c>
      <c r="Y97" s="687">
        <f t="shared" si="48"/>
        <v>67.913954374286462</v>
      </c>
      <c r="AA97" s="170">
        <f t="shared" si="49"/>
        <v>1000000000</v>
      </c>
      <c r="AB97" s="170">
        <f t="shared" si="50"/>
        <v>5248222.8100000005</v>
      </c>
      <c r="AD97" s="686">
        <f t="shared" si="51"/>
        <v>20.960195595705656</v>
      </c>
      <c r="AE97" s="687">
        <f t="shared" si="52"/>
        <v>-69.454451928354871</v>
      </c>
      <c r="AG97" s="686">
        <f t="shared" si="53"/>
        <v>38.64787666776823</v>
      </c>
      <c r="AH97" s="687">
        <f t="shared" si="54"/>
        <v>-35.396229444442803</v>
      </c>
      <c r="AJ97" s="170">
        <f t="shared" si="55"/>
        <v>0</v>
      </c>
      <c r="AK97" s="170">
        <f t="shared" si="65"/>
        <v>0</v>
      </c>
      <c r="AM97" s="170" t="str">
        <f t="shared" si="59"/>
        <v>0.00407061465231495+0.0901368925633778i</v>
      </c>
      <c r="AN97" s="170" t="str">
        <f t="shared" si="60"/>
        <v>0.0902593962378968i</v>
      </c>
      <c r="AO97" s="170" t="str">
        <f t="shared" si="61"/>
        <v>0.998642759871824-0.0450990680414704i</v>
      </c>
      <c r="AP97" s="170" t="str">
        <f t="shared" si="62"/>
        <v>0.165988230891281-0.0150228154272296i</v>
      </c>
      <c r="AQ97" s="170" t="str">
        <f t="shared" si="63"/>
        <v>0.834011769108719+0.0150228154272296i</v>
      </c>
      <c r="AR97" s="170" t="str">
        <f t="shared" si="64"/>
        <v>0.998462905569353-0.0179850267069174i</v>
      </c>
    </row>
    <row r="98" spans="1:44">
      <c r="G98" s="688">
        <v>2511.9</v>
      </c>
      <c r="H98" s="676">
        <f t="shared" si="56"/>
        <v>2.5119000000000002</v>
      </c>
      <c r="I98" s="677">
        <f t="shared" si="34"/>
        <v>1.3182854893077112</v>
      </c>
      <c r="J98" s="678">
        <f t="shared" si="35"/>
        <v>0.70969441521808574</v>
      </c>
      <c r="K98" s="678">
        <f t="shared" si="36"/>
        <v>1.0000049818809074</v>
      </c>
      <c r="L98" s="679">
        <f t="shared" si="37"/>
        <v>3.1565361473576302E-3</v>
      </c>
      <c r="M98" s="678">
        <f t="shared" si="38"/>
        <v>1.0002227786871134</v>
      </c>
      <c r="N98" s="679">
        <f t="shared" si="39"/>
        <v>-2.1106270933294622E-2</v>
      </c>
      <c r="O98" s="677">
        <f t="shared" si="40"/>
        <v>18939.279812484161</v>
      </c>
      <c r="P98" s="680">
        <f t="shared" si="41"/>
        <v>1.5707435264767027</v>
      </c>
      <c r="Q98" s="689">
        <f t="shared" si="42"/>
        <v>1.0857761062004907</v>
      </c>
      <c r="R98" s="690">
        <f t="shared" si="43"/>
        <v>0.40015611200739326</v>
      </c>
      <c r="S98" s="677">
        <f t="shared" si="44"/>
        <v>1.0000559077349114</v>
      </c>
      <c r="T98" s="680">
        <f t="shared" si="45"/>
        <v>1.0574037100989215E-2</v>
      </c>
      <c r="U98" s="681">
        <f t="shared" si="57"/>
        <v>0.99802075796757495</v>
      </c>
      <c r="V98" s="682">
        <f t="shared" si="58"/>
        <v>-6.9222439160120525E-2</v>
      </c>
      <c r="W98" s="683">
        <f t="shared" si="46"/>
        <v>16.605441358713652</v>
      </c>
      <c r="X98" s="684">
        <f t="shared" si="47"/>
        <v>-113.33265862211623</v>
      </c>
      <c r="Y98" s="687">
        <f t="shared" si="48"/>
        <v>66.667341377883773</v>
      </c>
      <c r="AA98" s="170">
        <f t="shared" si="49"/>
        <v>1000000000</v>
      </c>
      <c r="AB98" s="170">
        <f t="shared" si="50"/>
        <v>6309641.6100000003</v>
      </c>
      <c r="AD98" s="686">
        <f t="shared" si="51"/>
        <v>20.272500903493388</v>
      </c>
      <c r="AE98" s="687">
        <f t="shared" si="52"/>
        <v>-67.675566175854698</v>
      </c>
      <c r="AG98" s="686">
        <f t="shared" si="53"/>
        <v>38.328689286161151</v>
      </c>
      <c r="AH98" s="687">
        <f t="shared" si="54"/>
        <v>-37.724785214245514</v>
      </c>
      <c r="AJ98" s="170">
        <f t="shared" si="55"/>
        <v>0</v>
      </c>
      <c r="AK98" s="170">
        <f t="shared" si="65"/>
        <v>0</v>
      </c>
      <c r="AM98" s="170" t="str">
        <f t="shared" si="59"/>
        <v>0.00489319789610598+0.0988051233821446i</v>
      </c>
      <c r="AN98" s="170" t="str">
        <f t="shared" si="60"/>
        <v>0.0989665971495801i</v>
      </c>
      <c r="AO98" s="170" t="str">
        <f t="shared" si="61"/>
        <v>0.99836840133857-0.0494429235422766i</v>
      </c>
      <c r="AP98" s="170" t="str">
        <f t="shared" si="62"/>
        <v>0.165851133683982-0.0164675205636908i</v>
      </c>
      <c r="AQ98" s="170" t="str">
        <f t="shared" si="63"/>
        <v>0.834148866316018+0.0164675205636908i</v>
      </c>
      <c r="AR98" s="170" t="str">
        <f t="shared" si="64"/>
        <v>0.998233661793608-0.0197068341356792i</v>
      </c>
    </row>
    <row r="99" spans="1:44">
      <c r="G99" s="688">
        <v>2754.2</v>
      </c>
      <c r="H99" s="676">
        <f t="shared" si="56"/>
        <v>2.7542</v>
      </c>
      <c r="I99" s="677">
        <f t="shared" si="34"/>
        <v>1.3737156754525386</v>
      </c>
      <c r="J99" s="678">
        <f t="shared" si="35"/>
        <v>0.75546519061422401</v>
      </c>
      <c r="K99" s="678">
        <f t="shared" si="36"/>
        <v>1.0000059893456696</v>
      </c>
      <c r="L99" s="679">
        <f t="shared" si="37"/>
        <v>3.4610159711740787E-3</v>
      </c>
      <c r="M99" s="678">
        <f t="shared" si="38"/>
        <v>1.000267824384752</v>
      </c>
      <c r="N99" s="679">
        <f t="shared" si="39"/>
        <v>-2.3141504855665098E-2</v>
      </c>
      <c r="O99" s="677">
        <f t="shared" si="40"/>
        <v>20766.178767989615</v>
      </c>
      <c r="P99" s="680">
        <f t="shared" si="41"/>
        <v>1.5707481715704059</v>
      </c>
      <c r="Q99" s="689">
        <f t="shared" si="42"/>
        <v>1.1023112200348562</v>
      </c>
      <c r="R99" s="690">
        <f t="shared" si="43"/>
        <v>0.43425244862466289</v>
      </c>
      <c r="S99" s="677">
        <f t="shared" si="44"/>
        <v>1.0000672133742483</v>
      </c>
      <c r="T99" s="680">
        <f t="shared" si="45"/>
        <v>1.1593930288397758E-2</v>
      </c>
      <c r="U99" s="681">
        <f t="shared" si="57"/>
        <v>0.99770225414353353</v>
      </c>
      <c r="V99" s="682">
        <f t="shared" si="58"/>
        <v>-7.5887708338292517E-2</v>
      </c>
      <c r="W99" s="683">
        <f t="shared" si="46"/>
        <v>15.576639414001026</v>
      </c>
      <c r="X99" s="684">
        <f t="shared" si="47"/>
        <v>-114.54131311161765</v>
      </c>
      <c r="Y99" s="687">
        <f t="shared" si="48"/>
        <v>65.458686888382346</v>
      </c>
      <c r="AA99" s="170">
        <f t="shared" si="49"/>
        <v>1000000000</v>
      </c>
      <c r="AB99" s="170">
        <f t="shared" si="50"/>
        <v>7585617.6399999987</v>
      </c>
      <c r="AD99" s="686">
        <f t="shared" si="51"/>
        <v>19.603819105709025</v>
      </c>
      <c r="AE99" s="687">
        <f t="shared" si="52"/>
        <v>-65.780691708119875</v>
      </c>
      <c r="AG99" s="686">
        <f t="shared" si="53"/>
        <v>37.974113975007441</v>
      </c>
      <c r="AH99" s="687">
        <f t="shared" si="54"/>
        <v>-40.064530584153246</v>
      </c>
      <c r="AJ99" s="170">
        <f t="shared" si="55"/>
        <v>0</v>
      </c>
      <c r="AK99" s="170">
        <f t="shared" si="65"/>
        <v>0</v>
      </c>
      <c r="AM99" s="170" t="str">
        <f t="shared" si="59"/>
        <v>0.00588176055032796+0.108300166174778i</v>
      </c>
      <c r="AN99" s="170" t="str">
        <f t="shared" si="60"/>
        <v>0.108512998873113i</v>
      </c>
      <c r="AO99" s="170" t="str">
        <f t="shared" si="61"/>
        <v>0.99803864329117-0.0542032808180488i</v>
      </c>
      <c r="AP99" s="170" t="str">
        <f t="shared" si="62"/>
        <v>0.165686373241612-0.0180500276957963i</v>
      </c>
      <c r="AQ99" s="170" t="str">
        <f t="shared" si="63"/>
        <v>0.834313626758388+0.0180500276957963i</v>
      </c>
      <c r="AR99" s="170" t="str">
        <f t="shared" si="64"/>
        <v>0.997958400440942-0.0215904141913627i</v>
      </c>
    </row>
    <row r="100" spans="1:44">
      <c r="G100" s="688">
        <v>3020</v>
      </c>
      <c r="H100" s="676">
        <f t="shared" si="56"/>
        <v>3.02</v>
      </c>
      <c r="I100" s="677">
        <f t="shared" si="34"/>
        <v>1.4375600189751516</v>
      </c>
      <c r="J100" s="678">
        <f t="shared" si="35"/>
        <v>0.8015094122483214</v>
      </c>
      <c r="K100" s="678">
        <f t="shared" si="36"/>
        <v>1.0000072011532537</v>
      </c>
      <c r="L100" s="679">
        <f t="shared" si="37"/>
        <v>3.7950257021632512E-3</v>
      </c>
      <c r="M100" s="678">
        <f t="shared" si="38"/>
        <v>1.000322004017854</v>
      </c>
      <c r="N100" s="679">
        <f t="shared" si="39"/>
        <v>-2.5373909280984437E-2</v>
      </c>
      <c r="O100" s="677">
        <f t="shared" si="40"/>
        <v>22770.263549158466</v>
      </c>
      <c r="P100" s="680">
        <f t="shared" si="41"/>
        <v>1.570752409867973</v>
      </c>
      <c r="Q100" s="689">
        <f t="shared" si="42"/>
        <v>1.1218773314320325</v>
      </c>
      <c r="R100" s="690">
        <f t="shared" si="43"/>
        <v>0.470452976000515</v>
      </c>
      <c r="S100" s="677">
        <f t="shared" si="44"/>
        <v>1.000080811968082</v>
      </c>
      <c r="T100" s="680">
        <f t="shared" si="45"/>
        <v>1.2712712245000687E-2</v>
      </c>
      <c r="U100" s="681">
        <f t="shared" si="57"/>
        <v>0.99731953031587517</v>
      </c>
      <c r="V100" s="682">
        <f t="shared" si="58"/>
        <v>-8.319561999378712E-2</v>
      </c>
      <c r="W100" s="683">
        <f t="shared" si="46"/>
        <v>14.531680582231727</v>
      </c>
      <c r="X100" s="684">
        <f t="shared" si="47"/>
        <v>-115.69714206837412</v>
      </c>
      <c r="Y100" s="687">
        <f t="shared" si="48"/>
        <v>64.30285793162588</v>
      </c>
      <c r="AA100" s="170">
        <f t="shared" si="49"/>
        <v>1000000000</v>
      </c>
      <c r="AB100" s="170">
        <f t="shared" si="50"/>
        <v>9120400</v>
      </c>
      <c r="AD100" s="686">
        <f t="shared" si="51"/>
        <v>18.9562945166705</v>
      </c>
      <c r="AE100" s="687">
        <f t="shared" si="52"/>
        <v>-63.770898591910871</v>
      </c>
      <c r="AG100" s="686">
        <f t="shared" si="53"/>
        <v>37.583344916578064</v>
      </c>
      <c r="AH100" s="687">
        <f t="shared" si="54"/>
        <v>-42.39272766633318</v>
      </c>
      <c r="AJ100" s="170">
        <f t="shared" si="55"/>
        <v>0</v>
      </c>
      <c r="AK100" s="170">
        <f t="shared" si="65"/>
        <v>0</v>
      </c>
      <c r="AM100" s="170" t="str">
        <f t="shared" si="59"/>
        <v>0.00707040085391397+0.118704722482273i</v>
      </c>
      <c r="AN100" s="170" t="str">
        <f t="shared" si="60"/>
        <v>0.118985279426622i</v>
      </c>
      <c r="AO100" s="170" t="str">
        <f t="shared" si="61"/>
        <v>0.997642086939654-0.0594224839239401i</v>
      </c>
      <c r="AP100" s="170" t="str">
        <f t="shared" si="62"/>
        <v>0.165488266524348-0.0197841204137122i</v>
      </c>
      <c r="AQ100" s="170" t="str">
        <f t="shared" si="63"/>
        <v>0.834511733475652+0.0197841204137122i</v>
      </c>
      <c r="AR100" s="170" t="str">
        <f t="shared" si="64"/>
        <v>0.997627772974908-0.0236511809203639i</v>
      </c>
    </row>
    <row r="101" spans="1:44">
      <c r="G101" s="688">
        <v>3311.3</v>
      </c>
      <c r="H101" s="676">
        <f t="shared" si="56"/>
        <v>3.3113000000000001</v>
      </c>
      <c r="I101" s="677">
        <f t="shared" si="34"/>
        <v>1.5107150899050057</v>
      </c>
      <c r="J101" s="678">
        <f t="shared" si="35"/>
        <v>0.8473947436948237</v>
      </c>
      <c r="K101" s="678">
        <f t="shared" si="36"/>
        <v>1.0000086573486873</v>
      </c>
      <c r="L101" s="679">
        <f t="shared" si="37"/>
        <v>4.1610782808478687E-3</v>
      </c>
      <c r="M101" s="678">
        <f t="shared" si="38"/>
        <v>1.0003871063796776</v>
      </c>
      <c r="N101" s="679">
        <f t="shared" si="39"/>
        <v>-2.7820192119748694E-2</v>
      </c>
      <c r="O101" s="677">
        <f t="shared" si="40"/>
        <v>24966.613800694751</v>
      </c>
      <c r="P101" s="680">
        <f t="shared" si="41"/>
        <v>1.5707562733055347</v>
      </c>
      <c r="Q101" s="689">
        <f t="shared" si="42"/>
        <v>1.1449471829976496</v>
      </c>
      <c r="R101" s="690">
        <f t="shared" si="43"/>
        <v>0.50865003566121081</v>
      </c>
      <c r="S101" s="677">
        <f t="shared" si="44"/>
        <v>1.0000971527968714</v>
      </c>
      <c r="T101" s="680">
        <f t="shared" si="45"/>
        <v>1.3938789902180388E-2</v>
      </c>
      <c r="U101" s="681">
        <f t="shared" si="57"/>
        <v>0.99686017218475842</v>
      </c>
      <c r="V101" s="682">
        <f t="shared" si="58"/>
        <v>-9.119962590251357E-2</v>
      </c>
      <c r="W101" s="683">
        <f t="shared" si="46"/>
        <v>13.473953252712585</v>
      </c>
      <c r="X101" s="684">
        <f t="shared" si="47"/>
        <v>-116.78590220055857</v>
      </c>
      <c r="Y101" s="687">
        <f t="shared" si="48"/>
        <v>63.214097799441433</v>
      </c>
      <c r="AA101" s="170">
        <f t="shared" si="49"/>
        <v>1000000000</v>
      </c>
      <c r="AB101" s="170">
        <f t="shared" si="50"/>
        <v>10964707.690000001</v>
      </c>
      <c r="AD101" s="686">
        <f t="shared" si="51"/>
        <v>18.333122475253386</v>
      </c>
      <c r="AE101" s="687">
        <f t="shared" si="52"/>
        <v>-61.652838714901741</v>
      </c>
      <c r="AG101" s="686">
        <f t="shared" si="53"/>
        <v>37.156792787061576</v>
      </c>
      <c r="AH101" s="687">
        <f t="shared" si="54"/>
        <v>-44.682356158943122</v>
      </c>
      <c r="AJ101" s="170">
        <f t="shared" si="55"/>
        <v>0</v>
      </c>
      <c r="AK101" s="170">
        <f t="shared" si="65"/>
        <v>0</v>
      </c>
      <c r="AM101" s="170" t="str">
        <f t="shared" si="59"/>
        <v>0.00849813391141796+0.130092465357756i</v>
      </c>
      <c r="AN101" s="170" t="str">
        <f t="shared" si="60"/>
        <v>0.130462237008402i</v>
      </c>
      <c r="AO101" s="170" t="str">
        <f t="shared" si="61"/>
        <v>0.997165680589839-0.0651386493615824i</v>
      </c>
      <c r="AP101" s="170" t="str">
        <f t="shared" si="62"/>
        <v>0.165250311014764-0.021682077559626i</v>
      </c>
      <c r="AQ101" s="170" t="str">
        <f t="shared" si="63"/>
        <v>0.834749688985236+0.021682077559626i</v>
      </c>
      <c r="AR101" s="170" t="str">
        <f t="shared" si="64"/>
        <v>0.997231137134449-0.0259024269736572i</v>
      </c>
    </row>
    <row r="102" spans="1:44">
      <c r="G102" s="688">
        <v>3630.8</v>
      </c>
      <c r="H102" s="676">
        <f t="shared" si="56"/>
        <v>3.6308000000000002</v>
      </c>
      <c r="I102" s="677">
        <f t="shared" si="34"/>
        <v>1.5942530084257149</v>
      </c>
      <c r="J102" s="678">
        <f t="shared" si="35"/>
        <v>0.8927752833846343</v>
      </c>
      <c r="K102" s="678">
        <f t="shared" si="36"/>
        <v>1.0000104085953438</v>
      </c>
      <c r="L102" s="679">
        <f t="shared" si="37"/>
        <v>4.56256617752227E-3</v>
      </c>
      <c r="M102" s="678">
        <f t="shared" si="38"/>
        <v>1.0004653941583417</v>
      </c>
      <c r="N102" s="679">
        <f t="shared" si="39"/>
        <v>-3.0502909267506172E-2</v>
      </c>
      <c r="O102" s="677">
        <f t="shared" si="40"/>
        <v>27375.587042952455</v>
      </c>
      <c r="P102" s="680">
        <f t="shared" si="41"/>
        <v>1.5707597978978669</v>
      </c>
      <c r="Q102" s="689">
        <f t="shared" si="42"/>
        <v>1.1720901933366632</v>
      </c>
      <c r="R102" s="690">
        <f t="shared" si="43"/>
        <v>0.54875105784259526</v>
      </c>
      <c r="S102" s="677">
        <f t="shared" si="44"/>
        <v>1.0001168042475452</v>
      </c>
      <c r="T102" s="680">
        <f t="shared" si="45"/>
        <v>1.5283512640621536E-2</v>
      </c>
      <c r="U102" s="681">
        <f t="shared" si="57"/>
        <v>0.99630853390985274</v>
      </c>
      <c r="V102" s="682">
        <f t="shared" si="58"/>
        <v>-9.9971893989487151E-2</v>
      </c>
      <c r="W102" s="683">
        <f t="shared" si="46"/>
        <v>12.405611685890793</v>
      </c>
      <c r="X102" s="684">
        <f t="shared" si="47"/>
        <v>-117.79896390093721</v>
      </c>
      <c r="Y102" s="687">
        <f t="shared" si="48"/>
        <v>62.20103609906279</v>
      </c>
      <c r="AA102" s="170">
        <f t="shared" si="49"/>
        <v>1000000000</v>
      </c>
      <c r="AB102" s="170">
        <f t="shared" si="50"/>
        <v>13182708.640000001</v>
      </c>
      <c r="AD102" s="686">
        <f t="shared" si="51"/>
        <v>17.7363874390077</v>
      </c>
      <c r="AE102" s="687">
        <f t="shared" si="52"/>
        <v>-59.432468269003849</v>
      </c>
      <c r="AG102" s="686">
        <f t="shared" si="53"/>
        <v>36.694802039201008</v>
      </c>
      <c r="AH102" s="687">
        <f t="shared" si="54"/>
        <v>-46.910560427789257</v>
      </c>
      <c r="AJ102" s="170">
        <f t="shared" si="55"/>
        <v>0</v>
      </c>
      <c r="AK102" s="170">
        <f t="shared" si="65"/>
        <v>0</v>
      </c>
      <c r="AM102" s="170" t="str">
        <f t="shared" si="59"/>
        <v>0.010214250890404+0.14256286634168i</v>
      </c>
      <c r="AN102" s="170" t="str">
        <f t="shared" si="60"/>
        <v>0.143050249186152i</v>
      </c>
      <c r="AO102" s="170" t="str">
        <f t="shared" si="61"/>
        <v>0.99659292558213-0.0714032373135691i</v>
      </c>
      <c r="AP102" s="170" t="str">
        <f t="shared" si="62"/>
        <v>0.164964291518266-0.0237604777236133i</v>
      </c>
      <c r="AQ102" s="170" t="str">
        <f t="shared" si="63"/>
        <v>0.835035708481734+0.0237604777236133i</v>
      </c>
      <c r="AR102" s="170" t="str">
        <f t="shared" si="64"/>
        <v>0.996755101828553-0.0283621133232212i</v>
      </c>
    </row>
    <row r="103" spans="1:44">
      <c r="G103" s="688">
        <v>3981.1</v>
      </c>
      <c r="H103" s="676">
        <f t="shared" si="56"/>
        <v>3.9811000000000001</v>
      </c>
      <c r="I103" s="677">
        <f t="shared" si="34"/>
        <v>1.689221305986746</v>
      </c>
      <c r="J103" s="678">
        <f t="shared" si="35"/>
        <v>0.93727212627233347</v>
      </c>
      <c r="K103" s="678">
        <f t="shared" si="36"/>
        <v>1.0000125139146128</v>
      </c>
      <c r="L103" s="679">
        <f t="shared" si="37"/>
        <v>5.002756063541937E-3</v>
      </c>
      <c r="M103" s="678">
        <f t="shared" si="38"/>
        <v>1.0005595024817899</v>
      </c>
      <c r="N103" s="679">
        <f t="shared" si="39"/>
        <v>-3.3443735948307955E-2</v>
      </c>
      <c r="O103" s="677">
        <f t="shared" si="40"/>
        <v>30016.78681405335</v>
      </c>
      <c r="P103" s="680">
        <f t="shared" si="41"/>
        <v>1.5707630121031417</v>
      </c>
      <c r="Q103" s="689">
        <f t="shared" si="42"/>
        <v>1.2039113395279306</v>
      </c>
      <c r="R103" s="690">
        <f t="shared" si="43"/>
        <v>0.59056545364381396</v>
      </c>
      <c r="S103" s="677">
        <f t="shared" si="44"/>
        <v>1.0001404284253799</v>
      </c>
      <c r="T103" s="680">
        <f t="shared" si="45"/>
        <v>1.6757803787889838E-2</v>
      </c>
      <c r="U103" s="681">
        <f t="shared" si="57"/>
        <v>0.99564650831686408</v>
      </c>
      <c r="V103" s="682">
        <f t="shared" si="58"/>
        <v>-0.10958115266687327</v>
      </c>
      <c r="W103" s="683">
        <f t="shared" si="46"/>
        <v>11.330536445016667</v>
      </c>
      <c r="X103" s="684">
        <f t="shared" si="47"/>
        <v>-118.73115752063343</v>
      </c>
      <c r="Y103" s="687">
        <f t="shared" si="48"/>
        <v>61.268842479366569</v>
      </c>
      <c r="AA103" s="170">
        <f t="shared" si="49"/>
        <v>1000000000</v>
      </c>
      <c r="AB103" s="170">
        <f t="shared" si="50"/>
        <v>15849157.209999999</v>
      </c>
      <c r="AD103" s="686">
        <f t="shared" si="51"/>
        <v>17.168836527366793</v>
      </c>
      <c r="AE103" s="687">
        <f t="shared" si="52"/>
        <v>-57.121334684972339</v>
      </c>
      <c r="AG103" s="686">
        <f t="shared" si="53"/>
        <v>36.198824720473738</v>
      </c>
      <c r="AH103" s="687">
        <f t="shared" si="54"/>
        <v>-49.052747697331384</v>
      </c>
      <c r="AJ103" s="170">
        <f t="shared" si="55"/>
        <v>0</v>
      </c>
      <c r="AK103" s="170">
        <f t="shared" si="65"/>
        <v>0</v>
      </c>
      <c r="AM103" s="170" t="str">
        <f t="shared" si="59"/>
        <v>0.012276036910807+0.156209387488009i</v>
      </c>
      <c r="AN103" s="170" t="str">
        <f t="shared" si="60"/>
        <v>0.156851753617657i</v>
      </c>
      <c r="AO103" s="170" t="str">
        <f t="shared" si="61"/>
        <v>0.99590462895803-0.0782652194041207i</v>
      </c>
      <c r="AP103" s="170" t="str">
        <f t="shared" si="62"/>
        <v>0.164620660514865-0.0260348979146682i</v>
      </c>
      <c r="AQ103" s="170" t="str">
        <f t="shared" si="63"/>
        <v>0.835379339485135+0.0260348979146682i</v>
      </c>
      <c r="AR103" s="170" t="str">
        <f t="shared" si="64"/>
        <v>0.99618421210349-0.0310464396717104i</v>
      </c>
    </row>
    <row r="104" spans="1:44">
      <c r="G104" s="688">
        <v>4365.2</v>
      </c>
      <c r="H104" s="676">
        <f t="shared" si="56"/>
        <v>4.3651999999999997</v>
      </c>
      <c r="I104" s="677">
        <f t="shared" si="34"/>
        <v>1.7967666181097155</v>
      </c>
      <c r="J104" s="678">
        <f t="shared" si="35"/>
        <v>0.98056249408783291</v>
      </c>
      <c r="K104" s="678">
        <f t="shared" si="36"/>
        <v>1.0000150450888714</v>
      </c>
      <c r="L104" s="679">
        <f t="shared" si="37"/>
        <v>5.4854170752813283E-3</v>
      </c>
      <c r="M104" s="678">
        <f t="shared" si="38"/>
        <v>1.0006726351803945</v>
      </c>
      <c r="N104" s="679">
        <f t="shared" si="39"/>
        <v>-3.6667652363877548E-2</v>
      </c>
      <c r="O104" s="677">
        <f t="shared" si="40"/>
        <v>32912.832581063645</v>
      </c>
      <c r="P104" s="680">
        <f t="shared" si="41"/>
        <v>1.5707659435090555</v>
      </c>
      <c r="Q104" s="689">
        <f t="shared" si="42"/>
        <v>1.2410895600134075</v>
      </c>
      <c r="R104" s="690">
        <f t="shared" si="43"/>
        <v>0.63386636777678218</v>
      </c>
      <c r="S104" s="677">
        <f t="shared" si="44"/>
        <v>1.0001688305281182</v>
      </c>
      <c r="T104" s="680">
        <f t="shared" si="45"/>
        <v>1.8374263436515752E-2</v>
      </c>
      <c r="U104" s="681">
        <f t="shared" si="57"/>
        <v>0.99485222018440689</v>
      </c>
      <c r="V104" s="682">
        <f t="shared" si="58"/>
        <v>-0.12010620910657513</v>
      </c>
      <c r="W104" s="683">
        <f t="shared" si="46"/>
        <v>10.252410546192849</v>
      </c>
      <c r="X104" s="684">
        <f t="shared" si="47"/>
        <v>-119.58344121327211</v>
      </c>
      <c r="Y104" s="687">
        <f t="shared" si="48"/>
        <v>60.41655878672789</v>
      </c>
      <c r="AA104" s="170">
        <f t="shared" si="49"/>
        <v>1000000000</v>
      </c>
      <c r="AB104" s="170">
        <f t="shared" si="50"/>
        <v>19054971.039999999</v>
      </c>
      <c r="AD104" s="686">
        <f t="shared" si="51"/>
        <v>16.632741017006104</v>
      </c>
      <c r="AE104" s="687">
        <f t="shared" si="52"/>
        <v>-54.733159326172355</v>
      </c>
      <c r="AG104" s="686">
        <f t="shared" si="53"/>
        <v>35.670658393970058</v>
      </c>
      <c r="AH104" s="687">
        <f t="shared" si="54"/>
        <v>-51.087124121128085</v>
      </c>
      <c r="AJ104" s="170">
        <f t="shared" si="55"/>
        <v>0</v>
      </c>
      <c r="AK104" s="170">
        <f t="shared" si="65"/>
        <v>0</v>
      </c>
      <c r="AM104" s="170" t="str">
        <f t="shared" si="59"/>
        <v>0.014752992577441+0.171138348609807i</v>
      </c>
      <c r="AN104" s="170" t="str">
        <f t="shared" si="60"/>
        <v>0.171984947600361i</v>
      </c>
      <c r="AO104" s="170" t="str">
        <f t="shared" si="61"/>
        <v>0.99507748205662-0.085780719669272i</v>
      </c>
      <c r="AP104" s="170" t="str">
        <f t="shared" si="62"/>
        <v>0.164207834570427-0.0285230581016345i</v>
      </c>
      <c r="AQ104" s="170" t="str">
        <f t="shared" si="63"/>
        <v>0.835792165429573+0.0285230581016345i</v>
      </c>
      <c r="AR104" s="170" t="str">
        <f t="shared" si="64"/>
        <v>0.995499849369558-0.0339733981942057i</v>
      </c>
    </row>
    <row r="105" spans="1:44">
      <c r="G105" s="688">
        <v>4786.3</v>
      </c>
      <c r="H105" s="676">
        <f t="shared" si="56"/>
        <v>4.7862999999999998</v>
      </c>
      <c r="I105" s="677">
        <f t="shared" si="34"/>
        <v>1.9180818916823337</v>
      </c>
      <c r="J105" s="678">
        <f t="shared" si="35"/>
        <v>1.022359234626123</v>
      </c>
      <c r="K105" s="678">
        <f t="shared" si="36"/>
        <v>1.000018087795371</v>
      </c>
      <c r="L105" s="679">
        <f t="shared" si="37"/>
        <v>6.0145694334542898E-3</v>
      </c>
      <c r="M105" s="678">
        <f t="shared" si="38"/>
        <v>1.0008086146417965</v>
      </c>
      <c r="N105" s="679">
        <f t="shared" si="39"/>
        <v>-4.0201247148421958E-2</v>
      </c>
      <c r="O105" s="677">
        <f t="shared" si="40"/>
        <v>36087.851775523086</v>
      </c>
      <c r="P105" s="680">
        <f t="shared" si="41"/>
        <v>1.5707686166389596</v>
      </c>
      <c r="Q105" s="689">
        <f t="shared" si="42"/>
        <v>1.2843577313186569</v>
      </c>
      <c r="R105" s="690">
        <f t="shared" si="43"/>
        <v>0.67836576390017922</v>
      </c>
      <c r="S105" s="677">
        <f t="shared" si="44"/>
        <v>1.0002029715206553</v>
      </c>
      <c r="T105" s="680">
        <f t="shared" si="45"/>
        <v>2.0146324498626314E-2</v>
      </c>
      <c r="U105" s="681">
        <f t="shared" si="57"/>
        <v>0.99389978611944152</v>
      </c>
      <c r="V105" s="682">
        <f t="shared" si="58"/>
        <v>-0.13163017450162376</v>
      </c>
      <c r="W105" s="683">
        <f t="shared" si="46"/>
        <v>9.1752339333827564</v>
      </c>
      <c r="X105" s="684">
        <f t="shared" si="47"/>
        <v>-120.36269168583067</v>
      </c>
      <c r="Y105" s="687">
        <f t="shared" si="48"/>
        <v>59.637308314169331</v>
      </c>
      <c r="AA105" s="170">
        <f t="shared" si="49"/>
        <v>1000000000</v>
      </c>
      <c r="AB105" s="170">
        <f t="shared" si="50"/>
        <v>22908667.690000001</v>
      </c>
      <c r="AD105" s="686">
        <f t="shared" si="51"/>
        <v>16.130186773420444</v>
      </c>
      <c r="AE105" s="687">
        <f t="shared" si="52"/>
        <v>-52.285216513583705</v>
      </c>
      <c r="AG105" s="686">
        <f t="shared" si="53"/>
        <v>35.112675078347209</v>
      </c>
      <c r="AH105" s="687">
        <f t="shared" si="54"/>
        <v>-52.99376824398415</v>
      </c>
      <c r="AJ105" s="170">
        <f t="shared" si="55"/>
        <v>0</v>
      </c>
      <c r="AK105" s="170">
        <f t="shared" si="65"/>
        <v>0</v>
      </c>
      <c r="AM105" s="170" t="str">
        <f t="shared" si="59"/>
        <v>0.017727808350122+0.187460239814594i</v>
      </c>
      <c r="AN105" s="170" t="str">
        <f t="shared" si="60"/>
        <v>0.188575908251537i</v>
      </c>
      <c r="AO105" s="170" t="str">
        <f t="shared" si="61"/>
        <v>0.994083717017262-0.0940088716235973i</v>
      </c>
      <c r="AP105" s="170" t="str">
        <f t="shared" si="62"/>
        <v>0.163712031941646-0.0312433733024323i</v>
      </c>
      <c r="AQ105" s="170" t="str">
        <f t="shared" si="63"/>
        <v>0.836287968058354+0.0312433733024323i</v>
      </c>
      <c r="AR105" s="170" t="str">
        <f t="shared" si="64"/>
        <v>0.994680064618836-0.0371608366523878i</v>
      </c>
    </row>
    <row r="106" spans="1:44">
      <c r="G106" s="688">
        <v>5248.1</v>
      </c>
      <c r="H106" s="676">
        <f t="shared" si="56"/>
        <v>5.2481</v>
      </c>
      <c r="I106" s="677">
        <f t="shared" si="34"/>
        <v>2.0544937808931145</v>
      </c>
      <c r="J106" s="678">
        <f t="shared" si="35"/>
        <v>1.0624447801810699</v>
      </c>
      <c r="K106" s="678">
        <f t="shared" si="36"/>
        <v>1.0000217464921615</v>
      </c>
      <c r="L106" s="679">
        <f t="shared" si="37"/>
        <v>6.5948613445882811E-3</v>
      </c>
      <c r="M106" s="678">
        <f t="shared" si="38"/>
        <v>1.0009720989802606</v>
      </c>
      <c r="N106" s="679">
        <f t="shared" si="39"/>
        <v>-4.4075211912961682E-2</v>
      </c>
      <c r="O106" s="677">
        <f t="shared" si="40"/>
        <v>39569.741740151927</v>
      </c>
      <c r="P106" s="680">
        <f t="shared" si="41"/>
        <v>1.570771054959496</v>
      </c>
      <c r="Q106" s="689">
        <f t="shared" si="42"/>
        <v>1.3345293245458925</v>
      </c>
      <c r="R106" s="690">
        <f t="shared" si="43"/>
        <v>0.72374984663002462</v>
      </c>
      <c r="S106" s="677">
        <f t="shared" si="44"/>
        <v>1.0002440228883127</v>
      </c>
      <c r="T106" s="680">
        <f t="shared" si="45"/>
        <v>2.2089512262698893E-2</v>
      </c>
      <c r="U106" s="681">
        <f t="shared" si="57"/>
        <v>0.9927579496909672</v>
      </c>
      <c r="V106" s="682">
        <f t="shared" si="58"/>
        <v>-0.14424830143535114</v>
      </c>
      <c r="W106" s="683">
        <f t="shared" si="46"/>
        <v>8.1023884089849911</v>
      </c>
      <c r="X106" s="684">
        <f t="shared" si="47"/>
        <v>-121.08226300435659</v>
      </c>
      <c r="Y106" s="687">
        <f t="shared" si="48"/>
        <v>58.917736995643409</v>
      </c>
      <c r="AA106" s="170">
        <f t="shared" si="49"/>
        <v>1000000000</v>
      </c>
      <c r="AB106" s="170">
        <f t="shared" si="50"/>
        <v>27542553.610000003</v>
      </c>
      <c r="AD106" s="686">
        <f t="shared" si="51"/>
        <v>15.662628915143982</v>
      </c>
      <c r="AE106" s="687">
        <f t="shared" si="52"/>
        <v>-49.796376276405738</v>
      </c>
      <c r="AG106" s="686">
        <f t="shared" si="53"/>
        <v>34.527356360305419</v>
      </c>
      <c r="AH106" s="687">
        <f t="shared" si="54"/>
        <v>-54.756248960709968</v>
      </c>
      <c r="AJ106" s="170">
        <f t="shared" si="55"/>
        <v>0</v>
      </c>
      <c r="AK106" s="170">
        <f t="shared" si="65"/>
        <v>0</v>
      </c>
      <c r="AM106" s="170" t="str">
        <f t="shared" si="59"/>
        <v>0.021300947447527+0.205300181521819i</v>
      </c>
      <c r="AN106" s="170" t="str">
        <f t="shared" si="60"/>
        <v>0.206770412238032i</v>
      </c>
      <c r="AO106" s="170" t="str">
        <f t="shared" si="61"/>
        <v>0.99288954981373-0.103017386370568i</v>
      </c>
      <c r="AP106" s="170" t="str">
        <f t="shared" si="62"/>
        <v>0.163116508758746-0.0342166969203032i</v>
      </c>
      <c r="AQ106" s="170" t="str">
        <f t="shared" si="63"/>
        <v>0.836883491241254+0.0342166969203032i</v>
      </c>
      <c r="AR106" s="170" t="str">
        <f t="shared" si="64"/>
        <v>0.993698460445088-0.0406282109840541i</v>
      </c>
    </row>
    <row r="107" spans="1:44">
      <c r="G107" s="688">
        <v>5370.3</v>
      </c>
      <c r="H107" s="676">
        <f t="shared" si="56"/>
        <v>5.3703000000000003</v>
      </c>
      <c r="I107" s="677">
        <f t="shared" si="34"/>
        <v>2.091097304139133</v>
      </c>
      <c r="J107" s="678">
        <f t="shared" si="35"/>
        <v>1.0721719951513162</v>
      </c>
      <c r="K107" s="678">
        <f t="shared" si="36"/>
        <v>1.0000227709883616</v>
      </c>
      <c r="L107" s="679">
        <f t="shared" si="37"/>
        <v>6.7484155580010046E-3</v>
      </c>
      <c r="M107" s="678">
        <f t="shared" si="38"/>
        <v>1.0010178726473546</v>
      </c>
      <c r="N107" s="679">
        <f t="shared" si="39"/>
        <v>-4.5100111071785721E-2</v>
      </c>
      <c r="O107" s="677">
        <f t="shared" si="40"/>
        <v>40491.108032256401</v>
      </c>
      <c r="P107" s="680">
        <f t="shared" si="41"/>
        <v>1.5707716300145738</v>
      </c>
      <c r="Q107" s="689">
        <f t="shared" si="42"/>
        <v>1.3482436888594438</v>
      </c>
      <c r="R107" s="690">
        <f t="shared" si="43"/>
        <v>0.73518649630048905</v>
      </c>
      <c r="S107" s="677">
        <f t="shared" si="44"/>
        <v>1.0002555176817789</v>
      </c>
      <c r="T107" s="680">
        <f t="shared" si="45"/>
        <v>2.2603684916457659E-2</v>
      </c>
      <c r="U107" s="681">
        <f t="shared" si="57"/>
        <v>0.99243888231754063</v>
      </c>
      <c r="V107" s="682">
        <f t="shared" si="58"/>
        <v>-0.14758360155066719</v>
      </c>
      <c r="W107" s="683">
        <f t="shared" si="46"/>
        <v>7.8353909903693459</v>
      </c>
      <c r="X107" s="684">
        <f t="shared" si="47"/>
        <v>-121.25483548999765</v>
      </c>
      <c r="Y107" s="687">
        <f t="shared" si="48"/>
        <v>58.745164510002354</v>
      </c>
      <c r="AA107" s="170">
        <f t="shared" si="49"/>
        <v>1000000000</v>
      </c>
      <c r="AB107" s="170">
        <f t="shared" si="50"/>
        <v>28840122.090000004</v>
      </c>
      <c r="AD107" s="686">
        <f t="shared" si="51"/>
        <v>15.551405681247443</v>
      </c>
      <c r="AE107" s="687">
        <f t="shared" si="52"/>
        <v>-49.170597389033752</v>
      </c>
      <c r="AG107" s="686">
        <f t="shared" si="53"/>
        <v>34.377166274798789</v>
      </c>
      <c r="AH107" s="687">
        <f t="shared" si="54"/>
        <v>-55.172403093252093</v>
      </c>
      <c r="AJ107" s="170">
        <f t="shared" si="55"/>
        <v>0</v>
      </c>
      <c r="AK107" s="170">
        <f t="shared" si="65"/>
        <v>0</v>
      </c>
      <c r="AM107" s="170" t="str">
        <f t="shared" si="59"/>
        <v>0.0223007188475089+0.210009798899724i</v>
      </c>
      <c r="AN107" s="170" t="str">
        <f t="shared" si="60"/>
        <v>0.211584982153903i</v>
      </c>
      <c r="AO107" s="170" t="str">
        <f t="shared" si="61"/>
        <v>0.992555316364404-0.105398401249895i</v>
      </c>
      <c r="AP107" s="170" t="str">
        <f t="shared" si="62"/>
        <v>0.162949880192082-0.035001633149954i</v>
      </c>
      <c r="AQ107" s="170" t="str">
        <f t="shared" si="63"/>
        <v>0.837050119807918+0.035001633149954i</v>
      </c>
      <c r="AR107" s="170" t="str">
        <f t="shared" si="64"/>
        <v>0.99342440213364-0.0415404952019758i</v>
      </c>
    </row>
    <row r="108" spans="1:44">
      <c r="G108" s="688">
        <v>5432.85</v>
      </c>
      <c r="H108" s="676">
        <f t="shared" si="56"/>
        <v>5.4328500000000002</v>
      </c>
      <c r="I108" s="677">
        <f t="shared" si="34"/>
        <v>2.1099079436547226</v>
      </c>
      <c r="J108" s="678">
        <f t="shared" si="35"/>
        <v>1.0770201981773513</v>
      </c>
      <c r="K108" s="678">
        <f t="shared" si="36"/>
        <v>1.0000233045166442</v>
      </c>
      <c r="L108" s="679">
        <f t="shared" si="37"/>
        <v>6.8270145846533806E-3</v>
      </c>
      <c r="M108" s="678">
        <f t="shared" si="38"/>
        <v>1.0010417094521116</v>
      </c>
      <c r="N108" s="679">
        <f t="shared" si="39"/>
        <v>-4.5624685345079005E-2</v>
      </c>
      <c r="O108" s="677">
        <f t="shared" si="40"/>
        <v>40962.723920732227</v>
      </c>
      <c r="P108" s="680">
        <f t="shared" si="41"/>
        <v>1.5707719143558696</v>
      </c>
      <c r="Q108" s="689">
        <f t="shared" si="42"/>
        <v>1.3553307912247643</v>
      </c>
      <c r="R108" s="690">
        <f t="shared" si="43"/>
        <v>0.74095058532556091</v>
      </c>
      <c r="S108" s="677">
        <f t="shared" si="44"/>
        <v>1.0002615037933962</v>
      </c>
      <c r="T108" s="680">
        <f t="shared" si="45"/>
        <v>2.2866867701904971E-2</v>
      </c>
      <c r="U108" s="681">
        <f t="shared" si="57"/>
        <v>0.99227283623180329</v>
      </c>
      <c r="V108" s="682">
        <f t="shared" si="58"/>
        <v>-0.14929021019556965</v>
      </c>
      <c r="W108" s="683">
        <f t="shared" si="46"/>
        <v>7.701266641460113</v>
      </c>
      <c r="X108" s="684">
        <f t="shared" si="47"/>
        <v>-121.34078861427207</v>
      </c>
      <c r="Y108" s="687">
        <f t="shared" si="48"/>
        <v>58.659211385727929</v>
      </c>
      <c r="AA108" s="170">
        <f t="shared" si="49"/>
        <v>1000000000</v>
      </c>
      <c r="AB108" s="170">
        <f t="shared" si="50"/>
        <v>29515859.122500002</v>
      </c>
      <c r="AD108" s="686">
        <f t="shared" si="51"/>
        <v>15.496308537069996</v>
      </c>
      <c r="AE108" s="687">
        <f t="shared" si="52"/>
        <v>-48.85543496920215</v>
      </c>
      <c r="AG108" s="686">
        <f t="shared" si="53"/>
        <v>34.301045805519671</v>
      </c>
      <c r="AH108" s="687">
        <f t="shared" si="54"/>
        <v>-55.377955691867719</v>
      </c>
      <c r="AJ108" s="170">
        <f t="shared" si="55"/>
        <v>0</v>
      </c>
      <c r="AK108" s="170">
        <f t="shared" si="65"/>
        <v>0</v>
      </c>
      <c r="AM108" s="170" t="str">
        <f t="shared" si="59"/>
        <v>0.0228212382849881+0.212418614186979i</v>
      </c>
      <c r="AN108" s="170" t="str">
        <f t="shared" si="60"/>
        <v>0.214049395805604i</v>
      </c>
      <c r="AO108" s="170" t="str">
        <f t="shared" si="61"/>
        <v>0.992381283710298-0.106616690970312i</v>
      </c>
      <c r="AP108" s="170" t="str">
        <f t="shared" si="62"/>
        <v>0.162863126952502-0.0354031023644965i</v>
      </c>
      <c r="AQ108" s="170" t="str">
        <f t="shared" si="63"/>
        <v>0.837136873047498+0.0354031023644965i</v>
      </c>
      <c r="AR108" s="170" t="str">
        <f t="shared" si="64"/>
        <v>0.993281819832553-0.0420065810938542i</v>
      </c>
    </row>
    <row r="109" spans="1:44">
      <c r="G109" s="688">
        <v>5495.4</v>
      </c>
      <c r="H109" s="676">
        <f t="shared" si="56"/>
        <v>5.4954000000000001</v>
      </c>
      <c r="I109" s="677">
        <f t="shared" si="34"/>
        <v>2.1287672995800313</v>
      </c>
      <c r="J109" s="678">
        <f t="shared" si="35"/>
        <v>1.0817826082756654</v>
      </c>
      <c r="K109" s="678">
        <f t="shared" si="36"/>
        <v>1.0000238442228713</v>
      </c>
      <c r="L109" s="679">
        <f t="shared" si="37"/>
        <v>6.9056135269525793E-3</v>
      </c>
      <c r="M109" s="678">
        <f t="shared" si="38"/>
        <v>1.0010658217085302</v>
      </c>
      <c r="N109" s="679">
        <f t="shared" si="39"/>
        <v>-4.6149234492305957E-2</v>
      </c>
      <c r="O109" s="677">
        <f t="shared" si="40"/>
        <v>41434.339809211291</v>
      </c>
      <c r="P109" s="680">
        <f t="shared" si="41"/>
        <v>1.5707721922242794</v>
      </c>
      <c r="Q109" s="689">
        <f t="shared" si="42"/>
        <v>1.3624624547428283</v>
      </c>
      <c r="R109" s="690">
        <f t="shared" si="43"/>
        <v>0.74665451920608172</v>
      </c>
      <c r="S109" s="677">
        <f t="shared" si="44"/>
        <v>1.000267559187473</v>
      </c>
      <c r="T109" s="680">
        <f t="shared" si="45"/>
        <v>2.3130047319082896E-2</v>
      </c>
      <c r="U109" s="681">
        <f t="shared" si="57"/>
        <v>0.99210494752504241</v>
      </c>
      <c r="V109" s="682">
        <f t="shared" si="58"/>
        <v>-0.15099639471409301</v>
      </c>
      <c r="W109" s="683">
        <f t="shared" si="46"/>
        <v>7.5688174237789285</v>
      </c>
      <c r="X109" s="684">
        <f t="shared" si="47"/>
        <v>-121.42524651393956</v>
      </c>
      <c r="Y109" s="687">
        <f t="shared" si="48"/>
        <v>58.574753486060445</v>
      </c>
      <c r="AA109" s="170">
        <f t="shared" si="49"/>
        <v>1000000000</v>
      </c>
      <c r="AB109" s="170">
        <f t="shared" si="50"/>
        <v>30199421.159999996</v>
      </c>
      <c r="AD109" s="686">
        <f t="shared" si="51"/>
        <v>15.442408820560452</v>
      </c>
      <c r="AE109" s="687">
        <f t="shared" si="52"/>
        <v>-48.543718632875752</v>
      </c>
      <c r="AG109" s="686">
        <f t="shared" si="53"/>
        <v>34.225435790556389</v>
      </c>
      <c r="AH109" s="687">
        <f t="shared" si="54"/>
        <v>-55.578615583674292</v>
      </c>
      <c r="AJ109" s="170">
        <f t="shared" si="55"/>
        <v>0</v>
      </c>
      <c r="AK109" s="170">
        <f t="shared" si="65"/>
        <v>0</v>
      </c>
      <c r="AM109" s="170" t="str">
        <f t="shared" si="59"/>
        <v>0.023347692453093+0.214826139385557i</v>
      </c>
      <c r="AN109" s="170" t="str">
        <f t="shared" si="60"/>
        <v>0.216513809457304i</v>
      </c>
      <c r="AO109" s="170" t="str">
        <f t="shared" si="61"/>
        <v>0.992205254362402-0.107834657344095i</v>
      </c>
      <c r="AP109" s="170" t="str">
        <f t="shared" si="62"/>
        <v>0.162775384591151-0.0358043565642595i</v>
      </c>
      <c r="AQ109" s="170" t="str">
        <f t="shared" si="63"/>
        <v>0.837224615408849+0.0358043565642595i</v>
      </c>
      <c r="AR109" s="170" t="str">
        <f t="shared" si="64"/>
        <v>0.993137683539768-0.0424720619585413i</v>
      </c>
    </row>
    <row r="110" spans="1:44">
      <c r="G110" s="688">
        <v>5559.4</v>
      </c>
      <c r="H110" s="676">
        <f t="shared" si="56"/>
        <v>5.5593999999999992</v>
      </c>
      <c r="I110" s="677">
        <f t="shared" si="34"/>
        <v>2.1481129279276887</v>
      </c>
      <c r="J110" s="678">
        <f t="shared" si="35"/>
        <v>1.086568753423665</v>
      </c>
      <c r="K110" s="678">
        <f t="shared" si="36"/>
        <v>1.0000244028346883</v>
      </c>
      <c r="L110" s="679">
        <f t="shared" si="37"/>
        <v>6.98603441876108E-3</v>
      </c>
      <c r="M110" s="678">
        <f t="shared" si="38"/>
        <v>1.0010907780050979</v>
      </c>
      <c r="N110" s="679">
        <f t="shared" si="39"/>
        <v>-4.6685917146213347E-2</v>
      </c>
      <c r="O110" s="677">
        <f t="shared" si="40"/>
        <v>41916.888440112372</v>
      </c>
      <c r="P110" s="680">
        <f t="shared" si="41"/>
        <v>1.5707724700622692</v>
      </c>
      <c r="Q110" s="689">
        <f t="shared" si="42"/>
        <v>1.3698048372289799</v>
      </c>
      <c r="R110" s="690">
        <f t="shared" si="43"/>
        <v>0.75242901156016351</v>
      </c>
      <c r="S110" s="677">
        <f t="shared" si="44"/>
        <v>1.0002738266632591</v>
      </c>
      <c r="T110" s="680">
        <f t="shared" si="45"/>
        <v>2.3399324505415729E-2</v>
      </c>
      <c r="U110" s="681">
        <f t="shared" si="57"/>
        <v>0.99193126254501618</v>
      </c>
      <c r="V110" s="682">
        <f t="shared" si="58"/>
        <v>-0.15274168729359219</v>
      </c>
      <c r="W110" s="683">
        <f t="shared" si="46"/>
        <v>7.4349960463275142</v>
      </c>
      <c r="X110" s="684">
        <f t="shared" si="47"/>
        <v>-121.51020252781709</v>
      </c>
      <c r="Y110" s="687">
        <f t="shared" si="48"/>
        <v>58.489797472182914</v>
      </c>
      <c r="AA110" s="170">
        <f t="shared" si="49"/>
        <v>1000000000</v>
      </c>
      <c r="AB110" s="170">
        <f t="shared" si="50"/>
        <v>30906928.359999996</v>
      </c>
      <c r="AD110" s="686">
        <f t="shared" si="51"/>
        <v>15.388465174213717</v>
      </c>
      <c r="AE110" s="687">
        <f t="shared" si="52"/>
        <v>-48.22830895703612</v>
      </c>
      <c r="AG110" s="686">
        <f t="shared" si="53"/>
        <v>34.148599553481901</v>
      </c>
      <c r="AH110" s="687">
        <f t="shared" si="54"/>
        <v>-55.77898547552131</v>
      </c>
      <c r="AJ110" s="170">
        <f t="shared" si="55"/>
        <v>0</v>
      </c>
      <c r="AK110" s="170">
        <f t="shared" si="65"/>
        <v>0</v>
      </c>
      <c r="AM110" s="170" t="str">
        <f t="shared" si="59"/>
        <v>0.023892489948325+0.217288123975333i</v>
      </c>
      <c r="AN110" s="170" t="str">
        <f t="shared" si="60"/>
        <v>0.219035351802769i</v>
      </c>
      <c r="AO110" s="170" t="str">
        <f t="shared" si="61"/>
        <v>0.992023078406954-0.109080519430667i</v>
      </c>
      <c r="AP110" s="170" t="str">
        <f t="shared" si="62"/>
        <v>0.162684585008612-0.0362146873292222i</v>
      </c>
      <c r="AQ110" s="170" t="str">
        <f t="shared" si="63"/>
        <v>0.837315414991388+0.0362146873292222i</v>
      </c>
      <c r="AR110" s="170" t="str">
        <f t="shared" si="64"/>
        <v>0.992988600910759-0.0429477005434503i</v>
      </c>
    </row>
    <row r="111" spans="1:44">
      <c r="G111" s="688">
        <v>5623.4</v>
      </c>
      <c r="H111" s="676">
        <f t="shared" si="56"/>
        <v>5.6233999999999993</v>
      </c>
      <c r="I111" s="677">
        <f t="shared" si="34"/>
        <v>2.1675068844682919</v>
      </c>
      <c r="J111" s="678">
        <f t="shared" si="35"/>
        <v>1.0912693557502666</v>
      </c>
      <c r="K111" s="678">
        <f t="shared" si="36"/>
        <v>1.0000249679141757</v>
      </c>
      <c r="L111" s="679">
        <f t="shared" si="37"/>
        <v>7.0664552202035803E-3</v>
      </c>
      <c r="M111" s="678">
        <f t="shared" si="38"/>
        <v>1.0011160226296871</v>
      </c>
      <c r="N111" s="679">
        <f t="shared" si="39"/>
        <v>-4.7222572888188881E-2</v>
      </c>
      <c r="O111" s="677">
        <f t="shared" si="40"/>
        <v>42399.437071016619</v>
      </c>
      <c r="P111" s="680">
        <f t="shared" si="41"/>
        <v>1.5707727415761019</v>
      </c>
      <c r="Q111" s="689">
        <f t="shared" si="42"/>
        <v>1.377192407615081</v>
      </c>
      <c r="R111" s="690">
        <f t="shared" si="43"/>
        <v>0.75814174135290824</v>
      </c>
      <c r="S111" s="677">
        <f t="shared" si="44"/>
        <v>1.0002801666681918</v>
      </c>
      <c r="T111" s="680">
        <f t="shared" si="45"/>
        <v>2.3668598297792415E-2</v>
      </c>
      <c r="U111" s="681">
        <f t="shared" si="57"/>
        <v>0.99175565427879175</v>
      </c>
      <c r="V111" s="682">
        <f t="shared" si="58"/>
        <v>-0.15448652613806124</v>
      </c>
      <c r="W111" s="683">
        <f t="shared" si="46"/>
        <v>7.3028569483572774</v>
      </c>
      <c r="X111" s="684">
        <f t="shared" si="47"/>
        <v>-121.59376794248418</v>
      </c>
      <c r="Y111" s="687">
        <f t="shared" si="48"/>
        <v>58.406232057515822</v>
      </c>
      <c r="AA111" s="170">
        <f t="shared" si="49"/>
        <v>1000000000</v>
      </c>
      <c r="AB111" s="170">
        <f t="shared" si="50"/>
        <v>31622627.559999995</v>
      </c>
      <c r="AD111" s="686">
        <f t="shared" si="51"/>
        <v>15.335707530321763</v>
      </c>
      <c r="AE111" s="687">
        <f t="shared" si="52"/>
        <v>-47.916437458490194</v>
      </c>
      <c r="AG111" s="686">
        <f t="shared" si="53"/>
        <v>34.07229381465082</v>
      </c>
      <c r="AH111" s="687">
        <f t="shared" si="54"/>
        <v>-55.974478585068724</v>
      </c>
      <c r="AJ111" s="170">
        <f t="shared" si="55"/>
        <v>0</v>
      </c>
      <c r="AK111" s="170">
        <f t="shared" si="65"/>
        <v>0</v>
      </c>
      <c r="AM111" s="170" t="str">
        <f t="shared" si="59"/>
        <v>0.024443493703417+0.21974872700975i</v>
      </c>
      <c r="AN111" s="170" t="str">
        <f t="shared" si="60"/>
        <v>0.221556894148234i</v>
      </c>
      <c r="AO111" s="170" t="str">
        <f t="shared" si="61"/>
        <v>0.991838813477525-0.110326035203684i</v>
      </c>
      <c r="AP111" s="170" t="str">
        <f t="shared" si="62"/>
        <v>0.16259275104943-0.0366247878349583i</v>
      </c>
      <c r="AQ111" s="170" t="str">
        <f t="shared" si="63"/>
        <v>0.83740724895057+0.0366247878349583i</v>
      </c>
      <c r="AR111" s="170" t="str">
        <f t="shared" si="64"/>
        <v>0.99283789834121-0.0434226923958705i</v>
      </c>
    </row>
    <row r="112" spans="1:44">
      <c r="G112" s="688">
        <v>5688.9</v>
      </c>
      <c r="H112" s="676">
        <f t="shared" si="56"/>
        <v>5.6888999999999994</v>
      </c>
      <c r="I112" s="677">
        <f t="shared" si="34"/>
        <v>2.1874040859453761</v>
      </c>
      <c r="J112" s="678">
        <f t="shared" si="35"/>
        <v>1.0959937153089614</v>
      </c>
      <c r="K112" s="678">
        <f t="shared" si="36"/>
        <v>1.0000255529345281</v>
      </c>
      <c r="L112" s="679">
        <f t="shared" si="37"/>
        <v>7.1487607895267848E-3</v>
      </c>
      <c r="M112" s="678">
        <f t="shared" si="38"/>
        <v>1.0011421574461485</v>
      </c>
      <c r="N112" s="679">
        <f t="shared" si="39"/>
        <v>-4.7771778313242523E-2</v>
      </c>
      <c r="O112" s="677">
        <f t="shared" si="40"/>
        <v>42893.295435460837</v>
      </c>
      <c r="P112" s="680">
        <f t="shared" si="41"/>
        <v>1.5707730131280417</v>
      </c>
      <c r="Q112" s="689">
        <f t="shared" si="42"/>
        <v>1.3847991584300157</v>
      </c>
      <c r="R112" s="690">
        <f t="shared" si="43"/>
        <v>0.763925058009846</v>
      </c>
      <c r="S112" s="677">
        <f t="shared" si="44"/>
        <v>1.0002867303644705</v>
      </c>
      <c r="T112" s="680">
        <f t="shared" si="45"/>
        <v>2.394417963978995E-2</v>
      </c>
      <c r="U112" s="681">
        <f t="shared" si="57"/>
        <v>0.99157394184689085</v>
      </c>
      <c r="V112" s="682">
        <f t="shared" si="58"/>
        <v>-0.15627178472028114</v>
      </c>
      <c r="W112" s="683">
        <f t="shared" si="46"/>
        <v>7.1693264715481604</v>
      </c>
      <c r="X112" s="684">
        <f t="shared" si="47"/>
        <v>-121.677938550044</v>
      </c>
      <c r="Y112" s="687">
        <f t="shared" si="48"/>
        <v>58.322061449955996</v>
      </c>
      <c r="AA112" s="170">
        <f t="shared" si="49"/>
        <v>1000000000</v>
      </c>
      <c r="AB112" s="170">
        <f t="shared" si="50"/>
        <v>32363583.209999997</v>
      </c>
      <c r="AD112" s="686">
        <f t="shared" si="51"/>
        <v>15.282907493616912</v>
      </c>
      <c r="AE112" s="687">
        <f t="shared" si="52"/>
        <v>-47.600883028688457</v>
      </c>
      <c r="AG112" s="686">
        <f t="shared" si="53"/>
        <v>33.994746575436324</v>
      </c>
      <c r="AH112" s="687">
        <f t="shared" si="54"/>
        <v>-56.169628057995126</v>
      </c>
      <c r="AJ112" s="170">
        <f t="shared" si="55"/>
        <v>0</v>
      </c>
      <c r="AK112" s="170">
        <f t="shared" si="65"/>
        <v>0</v>
      </c>
      <c r="AM112" s="170" t="str">
        <f t="shared" si="59"/>
        <v>0.025013834106217+0.222265553596911i</v>
      </c>
      <c r="AN112" s="170" t="str">
        <f t="shared" si="60"/>
        <v>0.224137535142421i</v>
      </c>
      <c r="AO112" s="170" t="str">
        <f t="shared" si="61"/>
        <v>0.991648067583502-0.111600380053804i</v>
      </c>
      <c r="AP112" s="170" t="str">
        <f t="shared" si="62"/>
        <v>0.16249769431563-0.0370442589328185i</v>
      </c>
      <c r="AQ112" s="170" t="str">
        <f t="shared" si="63"/>
        <v>0.83750230568437+0.0370442589328185i</v>
      </c>
      <c r="AR112" s="170" t="str">
        <f t="shared" si="64"/>
        <v>0.992681990057145-0.0439081402260416i</v>
      </c>
    </row>
    <row r="113" spans="7:44">
      <c r="G113" s="688">
        <v>5754.4</v>
      </c>
      <c r="H113" s="676">
        <f t="shared" si="56"/>
        <v>5.7543999999999995</v>
      </c>
      <c r="I113" s="677">
        <f t="shared" si="34"/>
        <v>2.2073492285506937</v>
      </c>
      <c r="J113" s="678">
        <f t="shared" si="35"/>
        <v>1.1006328002226671</v>
      </c>
      <c r="K113" s="678">
        <f t="shared" si="36"/>
        <v>1.0000261447292524</v>
      </c>
      <c r="L113" s="679">
        <f t="shared" si="37"/>
        <v>7.2310662619940857E-3</v>
      </c>
      <c r="M113" s="678">
        <f t="shared" si="38"/>
        <v>1.0011685942178952</v>
      </c>
      <c r="N113" s="679">
        <f t="shared" si="39"/>
        <v>-4.8320954899392782E-2</v>
      </c>
      <c r="O113" s="677">
        <f t="shared" si="40"/>
        <v>43387.153799908156</v>
      </c>
      <c r="P113" s="680">
        <f t="shared" si="41"/>
        <v>1.5707732784980506</v>
      </c>
      <c r="Q113" s="689">
        <f t="shared" si="42"/>
        <v>1.3924517193347037</v>
      </c>
      <c r="R113" s="690">
        <f t="shared" si="43"/>
        <v>0.76964499695809885</v>
      </c>
      <c r="S113" s="677">
        <f t="shared" si="44"/>
        <v>1.0002933700266008</v>
      </c>
      <c r="T113" s="680">
        <f t="shared" si="45"/>
        <v>2.4219757344255306E-2</v>
      </c>
      <c r="U113" s="681">
        <f t="shared" si="57"/>
        <v>0.99139022121170883</v>
      </c>
      <c r="V113" s="682">
        <f t="shared" si="58"/>
        <v>-0.15805655767977564</v>
      </c>
      <c r="W113" s="683">
        <f t="shared" si="46"/>
        <v>7.0374853768782888</v>
      </c>
      <c r="X113" s="684">
        <f t="shared" si="47"/>
        <v>-121.76082452202346</v>
      </c>
      <c r="Y113" s="687">
        <f t="shared" si="48"/>
        <v>58.239175477976545</v>
      </c>
      <c r="AA113" s="170">
        <f t="shared" si="49"/>
        <v>1000000000</v>
      </c>
      <c r="AB113" s="170">
        <f t="shared" si="50"/>
        <v>33113119.359999996</v>
      </c>
      <c r="AD113" s="686">
        <f t="shared" si="51"/>
        <v>15.231281984866801</v>
      </c>
      <c r="AE113" s="687">
        <f t="shared" si="52"/>
        <v>-47.28895931149993</v>
      </c>
      <c r="AG113" s="686">
        <f t="shared" si="53"/>
        <v>33.917749962800549</v>
      </c>
      <c r="AH113" s="687">
        <f t="shared" si="54"/>
        <v>-56.359917830993204</v>
      </c>
      <c r="AJ113" s="170">
        <f t="shared" si="55"/>
        <v>0</v>
      </c>
      <c r="AK113" s="170">
        <f t="shared" si="65"/>
        <v>0</v>
      </c>
      <c r="AM113" s="170" t="str">
        <f t="shared" si="59"/>
        <v>0.025590667628525+0.224780899961219i</v>
      </c>
      <c r="AN113" s="170" t="str">
        <f t="shared" si="60"/>
        <v>0.226718176136607i</v>
      </c>
      <c r="AO113" s="170" t="str">
        <f t="shared" si="61"/>
        <v>0.991455135144433-0.112874353810546i</v>
      </c>
      <c r="AP113" s="170" t="str">
        <f t="shared" si="62"/>
        <v>0.162401555395246-0.0374634833268698i</v>
      </c>
      <c r="AQ113" s="170" t="str">
        <f t="shared" si="63"/>
        <v>0.837598444604754+0.0374634833268698i</v>
      </c>
      <c r="AR113" s="170" t="str">
        <f t="shared" si="64"/>
        <v>0.992524392587221-0.0443928964681269i</v>
      </c>
    </row>
    <row r="114" spans="7:44">
      <c r="G114" s="688">
        <v>5821.4</v>
      </c>
      <c r="H114" s="676">
        <f t="shared" si="56"/>
        <v>5.8213999999999997</v>
      </c>
      <c r="I114" s="677">
        <f t="shared" si="34"/>
        <v>2.2277993882939535</v>
      </c>
      <c r="J114" s="678">
        <f t="shared" si="35"/>
        <v>1.1052920798648869</v>
      </c>
      <c r="K114" s="678">
        <f t="shared" si="36"/>
        <v>1.0000267570853707</v>
      </c>
      <c r="L114" s="679">
        <f t="shared" si="37"/>
        <v>7.3152564912387511E-3</v>
      </c>
      <c r="M114" s="678">
        <f t="shared" si="38"/>
        <v>1.0011959487939321</v>
      </c>
      <c r="N114" s="679">
        <f t="shared" si="39"/>
        <v>-4.8882677868525869E-2</v>
      </c>
      <c r="O114" s="677">
        <f t="shared" si="40"/>
        <v>43892.321897895519</v>
      </c>
      <c r="P114" s="680">
        <f t="shared" si="41"/>
        <v>1.5707735437668671</v>
      </c>
      <c r="Q114" s="689">
        <f t="shared" si="42"/>
        <v>1.4003261424683131</v>
      </c>
      <c r="R114" s="690">
        <f t="shared" si="43"/>
        <v>0.77543105179633309</v>
      </c>
      <c r="S114" s="677">
        <f t="shared" si="44"/>
        <v>1.0003002403357704</v>
      </c>
      <c r="T114" s="680">
        <f t="shared" si="45"/>
        <v>2.4501642181518336E-2</v>
      </c>
      <c r="U114" s="681">
        <f t="shared" si="57"/>
        <v>0.9912002188885255</v>
      </c>
      <c r="V114" s="682">
        <f t="shared" si="58"/>
        <v>-0.15988169542145989</v>
      </c>
      <c r="W114" s="683">
        <f t="shared" si="46"/>
        <v>6.9043360330358201</v>
      </c>
      <c r="X114" s="684">
        <f t="shared" si="47"/>
        <v>-121.84436436939828</v>
      </c>
      <c r="Y114" s="687">
        <f t="shared" si="48"/>
        <v>58.155635630601722</v>
      </c>
      <c r="AA114" s="170">
        <f t="shared" si="49"/>
        <v>1000000000</v>
      </c>
      <c r="AB114" s="170">
        <f t="shared" si="50"/>
        <v>33888697.959999993</v>
      </c>
      <c r="AD114" s="686">
        <f t="shared" si="51"/>
        <v>15.179655460874528</v>
      </c>
      <c r="AE114" s="687">
        <f t="shared" si="52"/>
        <v>-46.97360879914504</v>
      </c>
      <c r="AG114" s="686">
        <f t="shared" si="53"/>
        <v>33.839556805359322</v>
      </c>
      <c r="AH114" s="687">
        <f t="shared" si="54"/>
        <v>-56.549662811226817</v>
      </c>
      <c r="AJ114" s="170">
        <f t="shared" si="55"/>
        <v>0</v>
      </c>
      <c r="AK114" s="170">
        <f t="shared" si="65"/>
        <v>0</v>
      </c>
      <c r="AM114" s="170" t="str">
        <f t="shared" si="59"/>
        <v>0.026187424941957+0.227352300755507i</v>
      </c>
      <c r="AN114" s="170" t="str">
        <f t="shared" si="60"/>
        <v>0.229357915779516i</v>
      </c>
      <c r="AO114" s="170" t="str">
        <f t="shared" si="61"/>
        <v>0.991255522979477-0.114177114197058i</v>
      </c>
      <c r="AP114" s="170" t="str">
        <f t="shared" si="62"/>
        <v>0.162302095843007-0.0378920501259178i</v>
      </c>
      <c r="AQ114" s="170" t="str">
        <f t="shared" si="63"/>
        <v>0.837697904156993+0.0378920501259178i</v>
      </c>
      <c r="AR114" s="170" t="str">
        <f t="shared" si="64"/>
        <v>0.992361442415888-0.0448880310341612i</v>
      </c>
    </row>
    <row r="115" spans="7:44">
      <c r="G115" s="688">
        <v>5888.4</v>
      </c>
      <c r="H115" s="676">
        <f t="shared" si="56"/>
        <v>5.8883999999999999</v>
      </c>
      <c r="I115" s="677">
        <f t="shared" si="34"/>
        <v>2.2482970306705687</v>
      </c>
      <c r="J115" s="678">
        <f t="shared" si="35"/>
        <v>1.1098665003442272</v>
      </c>
      <c r="K115" s="678">
        <f t="shared" si="36"/>
        <v>1.0000273765296648</v>
      </c>
      <c r="L115" s="679">
        <f t="shared" si="37"/>
        <v>7.3994466167806965E-3</v>
      </c>
      <c r="M115" s="678">
        <f t="shared" si="38"/>
        <v>1.001223619262704</v>
      </c>
      <c r="N115" s="679">
        <f t="shared" si="39"/>
        <v>-4.9444369966598574E-2</v>
      </c>
      <c r="O115" s="677">
        <f t="shared" si="40"/>
        <v>44397.48999588591</v>
      </c>
      <c r="P115" s="680">
        <f t="shared" si="41"/>
        <v>1.5707738029990654</v>
      </c>
      <c r="Q115" s="689">
        <f t="shared" si="42"/>
        <v>1.4082469211328068</v>
      </c>
      <c r="R115" s="690">
        <f t="shared" si="43"/>
        <v>0.78115220828100618</v>
      </c>
      <c r="S115" s="677">
        <f t="shared" si="44"/>
        <v>1.0003071901267631</v>
      </c>
      <c r="T115" s="680">
        <f t="shared" si="45"/>
        <v>2.4783523124300925E-2</v>
      </c>
      <c r="U115" s="681">
        <f t="shared" si="57"/>
        <v>0.99100812220413681</v>
      </c>
      <c r="V115" s="682">
        <f t="shared" si="58"/>
        <v>-0.16170631399288421</v>
      </c>
      <c r="W115" s="683">
        <f t="shared" si="46"/>
        <v>6.7728805064027924</v>
      </c>
      <c r="X115" s="684">
        <f t="shared" si="47"/>
        <v>-121.92672846852761</v>
      </c>
      <c r="Y115" s="687">
        <f t="shared" si="48"/>
        <v>58.073271531472386</v>
      </c>
      <c r="AA115" s="170">
        <f t="shared" si="49"/>
        <v>1000000000</v>
      </c>
      <c r="AB115" s="170">
        <f t="shared" si="50"/>
        <v>34673254.559999995</v>
      </c>
      <c r="AD115" s="686">
        <f t="shared" si="51"/>
        <v>15.129190139408262</v>
      </c>
      <c r="AE115" s="687">
        <f t="shared" si="52"/>
        <v>-46.661976119540775</v>
      </c>
      <c r="AG115" s="686">
        <f t="shared" si="53"/>
        <v>33.761933613782553</v>
      </c>
      <c r="AH115" s="687">
        <f t="shared" si="54"/>
        <v>-56.734573702993899</v>
      </c>
      <c r="AJ115" s="170">
        <f t="shared" si="55"/>
        <v>0</v>
      </c>
      <c r="AK115" s="170">
        <f t="shared" si="65"/>
        <v>0</v>
      </c>
      <c r="AM115" s="170" t="str">
        <f t="shared" si="59"/>
        <v>0.026790967996951+0.229922117308641i</v>
      </c>
      <c r="AN115" s="170" t="str">
        <f t="shared" si="60"/>
        <v>0.231997655422424i</v>
      </c>
      <c r="AO115" s="170" t="str">
        <f t="shared" si="61"/>
        <v>0.991053624615284-0.115479477360104i</v>
      </c>
      <c r="AP115" s="170" t="str">
        <f t="shared" si="62"/>
        <v>0.162201505333842-0.0383203528847735i</v>
      </c>
      <c r="AQ115" s="170" t="str">
        <f t="shared" si="63"/>
        <v>0.837798494666158+0.0383203528847735i</v>
      </c>
      <c r="AR115" s="170" t="str">
        <f t="shared" si="64"/>
        <v>0.992196733079102-0.0453824269019022i</v>
      </c>
    </row>
    <row r="116" spans="7:44">
      <c r="G116" s="688">
        <v>5957</v>
      </c>
      <c r="H116" s="676">
        <f t="shared" si="56"/>
        <v>5.9569999999999999</v>
      </c>
      <c r="I116" s="677">
        <f t="shared" si="34"/>
        <v>2.2693320222871685</v>
      </c>
      <c r="J116" s="678">
        <f t="shared" si="35"/>
        <v>1.1144644419336729</v>
      </c>
      <c r="K116" s="678">
        <f t="shared" si="36"/>
        <v>1.0000280181107459</v>
      </c>
      <c r="L116" s="679">
        <f t="shared" si="37"/>
        <v>7.4856471440901224E-3</v>
      </c>
      <c r="M116" s="678">
        <f t="shared" si="38"/>
        <v>1.0012522777898059</v>
      </c>
      <c r="N116" s="679">
        <f t="shared" si="39"/>
        <v>-5.0019443254163451E-2</v>
      </c>
      <c r="O116" s="677">
        <f t="shared" si="40"/>
        <v>44914.721809652219</v>
      </c>
      <c r="P116" s="680">
        <f t="shared" si="41"/>
        <v>1.5707740623800279</v>
      </c>
      <c r="Q116" s="689">
        <f t="shared" si="42"/>
        <v>1.4164040697600853</v>
      </c>
      <c r="R116" s="690">
        <f t="shared" si="43"/>
        <v>0.78694349716116452</v>
      </c>
      <c r="S116" s="677">
        <f t="shared" si="44"/>
        <v>1.0003143882327798</v>
      </c>
      <c r="T116" s="680">
        <f t="shared" si="45"/>
        <v>2.5072131470493319E-2</v>
      </c>
      <c r="U116" s="681">
        <f t="shared" si="57"/>
        <v>0.9908092718406345</v>
      </c>
      <c r="V116" s="682">
        <f t="shared" si="58"/>
        <v>-0.16357396181480213</v>
      </c>
      <c r="W116" s="683">
        <f t="shared" si="46"/>
        <v>6.6400032531590378</v>
      </c>
      <c r="X116" s="684">
        <f t="shared" si="47"/>
        <v>-122.00992429066923</v>
      </c>
      <c r="Y116" s="687">
        <f t="shared" si="48"/>
        <v>57.990075709330767</v>
      </c>
      <c r="AA116" s="170">
        <f t="shared" si="49"/>
        <v>1000000000</v>
      </c>
      <c r="AB116" s="170">
        <f t="shared" si="50"/>
        <v>35485849</v>
      </c>
      <c r="AD116" s="686">
        <f t="shared" si="51"/>
        <v>15.078688826382285</v>
      </c>
      <c r="AE116" s="687">
        <f t="shared" si="52"/>
        <v>-46.346710610009929</v>
      </c>
      <c r="AG116" s="686">
        <f t="shared" si="53"/>
        <v>33.683043751187981</v>
      </c>
      <c r="AH116" s="687">
        <f t="shared" si="54"/>
        <v>-56.919018358796428</v>
      </c>
      <c r="AJ116" s="170">
        <f t="shared" si="55"/>
        <v>0</v>
      </c>
      <c r="AK116" s="170">
        <f t="shared" si="65"/>
        <v>0</v>
      </c>
      <c r="AM116" s="170" t="str">
        <f t="shared" si="59"/>
        <v>0.027415950375771+0.232551642472237i</v>
      </c>
      <c r="AN116" s="170" t="str">
        <f t="shared" si="60"/>
        <v>0.234700433623969i</v>
      </c>
      <c r="AO116" s="170" t="str">
        <f t="shared" si="61"/>
        <v>0.990844536933516-0.116812525449766i</v>
      </c>
      <c r="AP116" s="170" t="str">
        <f t="shared" si="62"/>
        <v>0.162097341604038-0.0387586070787062i</v>
      </c>
      <c r="AQ116" s="170" t="str">
        <f t="shared" si="63"/>
        <v>0.837902658395962+0.0387586070787062i</v>
      </c>
      <c r="AR116" s="170" t="str">
        <f t="shared" si="64"/>
        <v>0.992026272135921-0.0458878559558167i</v>
      </c>
    </row>
    <row r="117" spans="7:44">
      <c r="G117" s="688">
        <v>6025.6</v>
      </c>
      <c r="H117" s="676">
        <f t="shared" si="56"/>
        <v>6.0256000000000007</v>
      </c>
      <c r="I117" s="677">
        <f t="shared" si="34"/>
        <v>2.2904141082006975</v>
      </c>
      <c r="J117" s="678">
        <f t="shared" si="35"/>
        <v>1.1189778341008207</v>
      </c>
      <c r="K117" s="678">
        <f t="shared" si="36"/>
        <v>1.0000286671225569</v>
      </c>
      <c r="L117" s="679">
        <f t="shared" si="37"/>
        <v>7.5718475601529505E-3</v>
      </c>
      <c r="M117" s="678">
        <f t="shared" si="38"/>
        <v>1.0012812674213152</v>
      </c>
      <c r="N117" s="679">
        <f t="shared" si="39"/>
        <v>-5.0594483432230705E-2</v>
      </c>
      <c r="O117" s="677">
        <f t="shared" si="40"/>
        <v>45431.953623421483</v>
      </c>
      <c r="P117" s="680">
        <f t="shared" si="41"/>
        <v>1.5707743158550111</v>
      </c>
      <c r="Q117" s="689">
        <f t="shared" si="42"/>
        <v>1.4246081782637559</v>
      </c>
      <c r="R117" s="690">
        <f t="shared" si="43"/>
        <v>0.79266827385286753</v>
      </c>
      <c r="S117" s="677">
        <f t="shared" si="44"/>
        <v>1.000321669658558</v>
      </c>
      <c r="T117" s="680">
        <f t="shared" si="45"/>
        <v>2.5360735639115669E-2</v>
      </c>
      <c r="U117" s="681">
        <f t="shared" si="57"/>
        <v>0.99060823341558446</v>
      </c>
      <c r="V117" s="682">
        <f t="shared" si="58"/>
        <v>-0.16544105357531694</v>
      </c>
      <c r="W117" s="683">
        <f t="shared" si="46"/>
        <v>6.5088265790235047</v>
      </c>
      <c r="X117" s="684">
        <f t="shared" si="47"/>
        <v>-122.09205232705948</v>
      </c>
      <c r="Y117" s="687">
        <f t="shared" si="48"/>
        <v>57.907947672940523</v>
      </c>
      <c r="AA117" s="170">
        <f t="shared" si="49"/>
        <v>1000000000</v>
      </c>
      <c r="AB117" s="170">
        <f t="shared" si="50"/>
        <v>36307855.360000007</v>
      </c>
      <c r="AD117" s="686">
        <f t="shared" si="51"/>
        <v>15.029336980656673</v>
      </c>
      <c r="AE117" s="687">
        <f t="shared" si="52"/>
        <v>-46.035255390423281</v>
      </c>
      <c r="AG117" s="686">
        <f t="shared" si="53"/>
        <v>33.604744070959811</v>
      </c>
      <c r="AH117" s="687">
        <f t="shared" si="54"/>
        <v>-57.09864865884655</v>
      </c>
      <c r="AJ117" s="170">
        <f t="shared" si="55"/>
        <v>0</v>
      </c>
      <c r="AK117" s="170">
        <f t="shared" si="65"/>
        <v>0</v>
      </c>
      <c r="AM117" s="170" t="str">
        <f t="shared" si="59"/>
        <v>0.028048037486481+0.235179468844792i</v>
      </c>
      <c r="AN117" s="170" t="str">
        <f t="shared" si="60"/>
        <v>0.237403211825515i</v>
      </c>
      <c r="AO117" s="170" t="str">
        <f t="shared" si="61"/>
        <v>0.990633054356664-0.118145147535306i</v>
      </c>
      <c r="AP117" s="170" t="str">
        <f t="shared" si="62"/>
        <v>0.161991993752253-0.0391965781407987i</v>
      </c>
      <c r="AQ117" s="170" t="str">
        <f t="shared" si="63"/>
        <v>0.838008006247747+0.0391965781407987i</v>
      </c>
      <c r="AR117" s="170" t="str">
        <f t="shared" si="64"/>
        <v>0.991853976053593-0.0463924945666366i</v>
      </c>
    </row>
    <row r="118" spans="7:44">
      <c r="G118" s="688">
        <v>6095.8</v>
      </c>
      <c r="H118" s="676">
        <f t="shared" si="56"/>
        <v>6.0958000000000006</v>
      </c>
      <c r="I118" s="677">
        <f t="shared" si="34"/>
        <v>2.3120353152105282</v>
      </c>
      <c r="J118" s="678">
        <f t="shared" si="35"/>
        <v>1.1235111883603148</v>
      </c>
      <c r="K118" s="678">
        <f t="shared" si="36"/>
        <v>1.0000293389643722</v>
      </c>
      <c r="L118" s="679">
        <f t="shared" si="37"/>
        <v>7.6600583650415456E-3</v>
      </c>
      <c r="M118" s="678">
        <f t="shared" si="38"/>
        <v>1.0013112759441218</v>
      </c>
      <c r="N118" s="679">
        <f t="shared" si="39"/>
        <v>-5.1182900955510674E-2</v>
      </c>
      <c r="O118" s="677">
        <f t="shared" si="40"/>
        <v>45961.249152966739</v>
      </c>
      <c r="P118" s="680">
        <f t="shared" si="41"/>
        <v>1.5707745693357651</v>
      </c>
      <c r="Q118" s="689">
        <f t="shared" si="42"/>
        <v>1.43305141031705</v>
      </c>
      <c r="R118" s="690">
        <f t="shared" si="43"/>
        <v>0.79845851960641345</v>
      </c>
      <c r="S118" s="677">
        <f t="shared" si="44"/>
        <v>1.0003292071690111</v>
      </c>
      <c r="T118" s="680">
        <f t="shared" si="45"/>
        <v>2.5656066725376934E-2</v>
      </c>
      <c r="U118" s="681">
        <f t="shared" si="57"/>
        <v>0.990400244870834</v>
      </c>
      <c r="V118" s="682">
        <f t="shared" si="58"/>
        <v>-0.16735111079455484</v>
      </c>
      <c r="W118" s="683">
        <f t="shared" si="46"/>
        <v>6.3763128570823397</v>
      </c>
      <c r="X118" s="684">
        <f t="shared" si="47"/>
        <v>-122.17507144855718</v>
      </c>
      <c r="Y118" s="687">
        <f t="shared" si="48"/>
        <v>57.824928551442824</v>
      </c>
      <c r="AA118" s="170">
        <f t="shared" si="49"/>
        <v>1000000000</v>
      </c>
      <c r="AB118" s="170">
        <f t="shared" si="50"/>
        <v>37158777.640000001</v>
      </c>
      <c r="AD118" s="686">
        <f t="shared" si="51"/>
        <v>14.979990060821224</v>
      </c>
      <c r="AE118" s="687">
        <f t="shared" si="52"/>
        <v>-45.720434494220989</v>
      </c>
      <c r="AG118" s="686">
        <f t="shared" si="53"/>
        <v>33.525225038305109</v>
      </c>
      <c r="AH118" s="687">
        <f t="shared" si="54"/>
        <v>-57.277612241714792</v>
      </c>
      <c r="AJ118" s="170">
        <f t="shared" si="55"/>
        <v>0</v>
      </c>
      <c r="AK118" s="170">
        <f t="shared" si="65"/>
        <v>0</v>
      </c>
      <c r="AM118" s="170" t="str">
        <f t="shared" si="59"/>
        <v>0.028702217562425+0.237866806914814i</v>
      </c>
      <c r="AN118" s="170" t="str">
        <f t="shared" si="60"/>
        <v>0.240169028585696i</v>
      </c>
      <c r="AO118" s="170" t="str">
        <f t="shared" si="61"/>
        <v>0.990414160874784-0.119508405107212i</v>
      </c>
      <c r="AP118" s="170" t="str">
        <f t="shared" si="62"/>
        <v>0.161882963739596-0.0396444678191357i</v>
      </c>
      <c r="AQ118" s="170" t="str">
        <f t="shared" si="63"/>
        <v>0.838117036260404+0.0396444678191357i</v>
      </c>
      <c r="AR118" s="170" t="str">
        <f t="shared" si="64"/>
        <v>0.991675766407648-0.0469080764469148i</v>
      </c>
    </row>
    <row r="119" spans="7:44">
      <c r="G119" s="688">
        <v>6166</v>
      </c>
      <c r="H119" s="676">
        <f t="shared" si="56"/>
        <v>6.1660000000000004</v>
      </c>
      <c r="I119" s="677">
        <f t="shared" si="34"/>
        <v>2.3337031565536432</v>
      </c>
      <c r="J119" s="678">
        <f t="shared" si="35"/>
        <v>1.1279604505627767</v>
      </c>
      <c r="K119" s="678">
        <f t="shared" si="36"/>
        <v>1.0000300185875517</v>
      </c>
      <c r="L119" s="679">
        <f t="shared" si="37"/>
        <v>7.7482690507199052E-3</v>
      </c>
      <c r="M119" s="678">
        <f t="shared" si="38"/>
        <v>1.0013416311352707</v>
      </c>
      <c r="N119" s="679">
        <f t="shared" si="39"/>
        <v>-5.1771283007309113E-2</v>
      </c>
      <c r="O119" s="677">
        <f t="shared" si="40"/>
        <v>46490.544682514883</v>
      </c>
      <c r="P119" s="680">
        <f t="shared" si="41"/>
        <v>1.5707748170447549</v>
      </c>
      <c r="Q119" s="689">
        <f t="shared" si="42"/>
        <v>1.4415421244572872</v>
      </c>
      <c r="R119" s="690">
        <f t="shared" si="43"/>
        <v>0.80418074599032263</v>
      </c>
      <c r="S119" s="677">
        <f t="shared" si="44"/>
        <v>1.0003368319273092</v>
      </c>
      <c r="T119" s="680">
        <f t="shared" si="45"/>
        <v>2.5951393335256562E-2</v>
      </c>
      <c r="U119" s="681">
        <f t="shared" si="57"/>
        <v>0.99018997323247726</v>
      </c>
      <c r="V119" s="682">
        <f t="shared" si="58"/>
        <v>-0.16926057312747392</v>
      </c>
      <c r="W119" s="683">
        <f t="shared" si="46"/>
        <v>6.2455036901574008</v>
      </c>
      <c r="X119" s="684">
        <f t="shared" si="47"/>
        <v>-122.25713297571382</v>
      </c>
      <c r="Y119" s="687">
        <f t="shared" si="48"/>
        <v>57.742867024286184</v>
      </c>
      <c r="AA119" s="170">
        <f t="shared" si="49"/>
        <v>1000000000</v>
      </c>
      <c r="AB119" s="170">
        <f t="shared" si="50"/>
        <v>38019556</v>
      </c>
      <c r="AD119" s="686">
        <f t="shared" si="51"/>
        <v>14.931778977264292</v>
      </c>
      <c r="AE119" s="687">
        <f t="shared" si="52"/>
        <v>-45.409510233652981</v>
      </c>
      <c r="AG119" s="686">
        <f t="shared" si="53"/>
        <v>33.446315544802793</v>
      </c>
      <c r="AH119" s="687">
        <f t="shared" si="54"/>
        <v>-57.451789763558473</v>
      </c>
      <c r="AJ119" s="170">
        <f t="shared" si="55"/>
        <v>0</v>
      </c>
      <c r="AK119" s="170">
        <f t="shared" si="65"/>
        <v>0</v>
      </c>
      <c r="AM119" s="170" t="str">
        <f t="shared" si="59"/>
        <v>0.029363827811415+0.24055232536621i</v>
      </c>
      <c r="AN119" s="170" t="str">
        <f t="shared" si="60"/>
        <v>0.242934845345878i</v>
      </c>
      <c r="AO119" s="170" t="str">
        <f t="shared" si="61"/>
        <v>0.990192761453072-0.12087120630887i</v>
      </c>
      <c r="AP119" s="170" t="str">
        <f t="shared" si="62"/>
        <v>0.161772695364764-0.0400920542277017i</v>
      </c>
      <c r="AQ119" s="170" t="str">
        <f t="shared" si="63"/>
        <v>0.838227304635236+0.0400920542277017i</v>
      </c>
      <c r="AR119" s="170" t="str">
        <f t="shared" si="64"/>
        <v>0.991495644907499-0.0474228135284374i</v>
      </c>
    </row>
    <row r="120" spans="7:44">
      <c r="G120" s="688">
        <v>6237.8</v>
      </c>
      <c r="H120" s="676">
        <f t="shared" si="56"/>
        <v>6.2378</v>
      </c>
      <c r="I120" s="677">
        <f t="shared" si="34"/>
        <v>2.3559117514408068</v>
      </c>
      <c r="J120" s="678">
        <f t="shared" si="35"/>
        <v>1.1324263690093612</v>
      </c>
      <c r="K120" s="678">
        <f t="shared" si="36"/>
        <v>1.0000307217501159</v>
      </c>
      <c r="L120" s="679">
        <f t="shared" si="37"/>
        <v>7.8384901116094041E-3</v>
      </c>
      <c r="M120" s="678">
        <f t="shared" si="38"/>
        <v>1.0013730367600604</v>
      </c>
      <c r="N120" s="679">
        <f t="shared" si="39"/>
        <v>-5.237303836160688E-2</v>
      </c>
      <c r="O120" s="677">
        <f t="shared" si="40"/>
        <v>47031.903927839092</v>
      </c>
      <c r="P120" s="680">
        <f t="shared" si="41"/>
        <v>1.5707750646320549</v>
      </c>
      <c r="Q120" s="689">
        <f t="shared" si="42"/>
        <v>1.4502746076175381</v>
      </c>
      <c r="R120" s="690">
        <f t="shared" si="43"/>
        <v>0.80996388918738826</v>
      </c>
      <c r="S120" s="677">
        <f t="shared" si="44"/>
        <v>1.0003447207205312</v>
      </c>
      <c r="T120" s="680">
        <f t="shared" si="45"/>
        <v>2.6253446351789042E-2</v>
      </c>
      <c r="U120" s="681">
        <f t="shared" si="57"/>
        <v>0.98997255173732612</v>
      </c>
      <c r="V120" s="682">
        <f t="shared" si="58"/>
        <v>-0.17121293398292367</v>
      </c>
      <c r="W120" s="683">
        <f t="shared" si="46"/>
        <v>6.1134377946815555</v>
      </c>
      <c r="X120" s="684">
        <f t="shared" si="47"/>
        <v>-122.34015289887211</v>
      </c>
      <c r="Y120" s="687">
        <f t="shared" si="48"/>
        <v>57.659847101127895</v>
      </c>
      <c r="AA120" s="170">
        <f t="shared" si="49"/>
        <v>1000000000</v>
      </c>
      <c r="AB120" s="170">
        <f t="shared" si="50"/>
        <v>38910148.840000004</v>
      </c>
      <c r="AD120" s="686">
        <f t="shared" si="51"/>
        <v>14.883610073313768</v>
      </c>
      <c r="AE120" s="687">
        <f t="shared" si="52"/>
        <v>-45.095481084526341</v>
      </c>
      <c r="AG120" s="686">
        <f t="shared" si="53"/>
        <v>33.366233389879213</v>
      </c>
      <c r="AH120" s="687">
        <f t="shared" si="54"/>
        <v>-57.625114761380111</v>
      </c>
      <c r="AJ120" s="170">
        <f t="shared" si="55"/>
        <v>0</v>
      </c>
      <c r="AK120" s="170">
        <f t="shared" si="65"/>
        <v>0</v>
      </c>
      <c r="AM120" s="170" t="str">
        <f t="shared" si="59"/>
        <v>0.03004819834663+0.243297148502365i</v>
      </c>
      <c r="AN120" s="170" t="str">
        <f t="shared" si="60"/>
        <v>0.245763700664696i</v>
      </c>
      <c r="AO120" s="170" t="str">
        <f t="shared" si="61"/>
        <v>0.989963724684891-0.122264591009011i</v>
      </c>
      <c r="AP120" s="170" t="str">
        <f t="shared" si="62"/>
        <v>0.161658633608895-0.0405495247503942i</v>
      </c>
      <c r="AQ120" s="170" t="str">
        <f t="shared" si="63"/>
        <v>0.838341366391105+0.0405495247503942i</v>
      </c>
      <c r="AR120" s="170" t="str">
        <f t="shared" si="64"/>
        <v>0.99130944564752-0.0479483996771201i</v>
      </c>
    </row>
    <row r="121" spans="7:44">
      <c r="G121" s="688">
        <v>6309.6</v>
      </c>
      <c r="H121" s="676">
        <f t="shared" si="56"/>
        <v>6.3096000000000005</v>
      </c>
      <c r="I121" s="677">
        <f t="shared" si="34"/>
        <v>2.3781664555131381</v>
      </c>
      <c r="J121" s="678">
        <f t="shared" si="35"/>
        <v>1.1368087900414168</v>
      </c>
      <c r="K121" s="678">
        <f t="shared" si="36"/>
        <v>1.0000314330527587</v>
      </c>
      <c r="L121" s="679">
        <f t="shared" si="37"/>
        <v>7.9287110448883601E-3</v>
      </c>
      <c r="M121" s="678">
        <f t="shared" si="38"/>
        <v>1.0014048049687256</v>
      </c>
      <c r="N121" s="679">
        <f t="shared" si="39"/>
        <v>-5.2974755754036547E-2</v>
      </c>
      <c r="O121" s="677">
        <f t="shared" si="40"/>
        <v>47573.263173166117</v>
      </c>
      <c r="P121" s="680">
        <f t="shared" si="41"/>
        <v>1.5707753065845227</v>
      </c>
      <c r="Q121" s="689">
        <f t="shared" si="42"/>
        <v>1.4590550133066562</v>
      </c>
      <c r="R121" s="690">
        <f t="shared" si="43"/>
        <v>0.81567761714517673</v>
      </c>
      <c r="S121" s="677">
        <f t="shared" si="44"/>
        <v>1.0003527007797848</v>
      </c>
      <c r="T121" s="680">
        <f t="shared" si="45"/>
        <v>2.6555494576776601E-2</v>
      </c>
      <c r="U121" s="681">
        <f t="shared" si="57"/>
        <v>0.98975275086719172</v>
      </c>
      <c r="V121" s="682">
        <f t="shared" si="58"/>
        <v>-0.17316465912929596</v>
      </c>
      <c r="W121" s="683">
        <f t="shared" si="46"/>
        <v>5.9830777518061407</v>
      </c>
      <c r="X121" s="684">
        <f t="shared" si="47"/>
        <v>-122.42232678424334</v>
      </c>
      <c r="Y121" s="687">
        <f t="shared" si="48"/>
        <v>57.577673215756661</v>
      </c>
      <c r="AA121" s="170">
        <f t="shared" si="49"/>
        <v>1000000000</v>
      </c>
      <c r="AB121" s="170">
        <f t="shared" si="50"/>
        <v>39811052.160000004</v>
      </c>
      <c r="AD121" s="686">
        <f t="shared" si="51"/>
        <v>14.836561629028999</v>
      </c>
      <c r="AE121" s="687">
        <f t="shared" si="52"/>
        <v>-44.785428538261328</v>
      </c>
      <c r="AG121" s="686">
        <f t="shared" si="53"/>
        <v>33.286779227682743</v>
      </c>
      <c r="AH121" s="687">
        <f t="shared" si="54"/>
        <v>-57.793689965447427</v>
      </c>
      <c r="AJ121" s="170">
        <f t="shared" si="55"/>
        <v>0</v>
      </c>
      <c r="AK121" s="170">
        <f t="shared" si="65"/>
        <v>0</v>
      </c>
      <c r="AM121" s="170" t="str">
        <f t="shared" si="59"/>
        <v>0.030740330840708+0.246040024673265i</v>
      </c>
      <c r="AN121" s="170" t="str">
        <f t="shared" si="60"/>
        <v>0.248592555983515i</v>
      </c>
      <c r="AO121" s="170" t="str">
        <f t="shared" si="61"/>
        <v>0.989732068604583-0.123657487325351i</v>
      </c>
      <c r="AP121" s="170" t="str">
        <f t="shared" si="62"/>
        <v>0.161543278193215-0.0410066707788775i</v>
      </c>
      <c r="AQ121" s="170" t="str">
        <f t="shared" si="63"/>
        <v>0.838456721806785+0.0410066707788775i</v>
      </c>
      <c r="AR121" s="170" t="str">
        <f t="shared" si="64"/>
        <v>0.991121257174252-0.0484730839861493i</v>
      </c>
    </row>
    <row r="122" spans="7:44">
      <c r="G122" s="688">
        <v>6383.05</v>
      </c>
      <c r="H122" s="676">
        <f t="shared" si="56"/>
        <v>6.3830499999999999</v>
      </c>
      <c r="I122" s="677">
        <f t="shared" si="34"/>
        <v>2.4009789577484009</v>
      </c>
      <c r="J122" s="678">
        <f t="shared" si="35"/>
        <v>1.1412077714867275</v>
      </c>
      <c r="K122" s="678">
        <f t="shared" si="36"/>
        <v>1.000032169124297</v>
      </c>
      <c r="L122" s="679">
        <f t="shared" si="37"/>
        <v>8.0210051668759847E-3</v>
      </c>
      <c r="M122" s="678">
        <f t="shared" si="38"/>
        <v>1.0014376783689289</v>
      </c>
      <c r="N122" s="679">
        <f t="shared" si="39"/>
        <v>-5.3590261182856057E-2</v>
      </c>
      <c r="O122" s="677">
        <f t="shared" si="40"/>
        <v>48127.063125387176</v>
      </c>
      <c r="P122" s="680">
        <f t="shared" si="41"/>
        <v>1.5707755484648858</v>
      </c>
      <c r="Q122" s="689">
        <f t="shared" si="42"/>
        <v>1.4680858876666085</v>
      </c>
      <c r="R122" s="690">
        <f t="shared" si="43"/>
        <v>0.82145173633250668</v>
      </c>
      <c r="S122" s="677">
        <f t="shared" si="44"/>
        <v>1.0003609586586626</v>
      </c>
      <c r="T122" s="680">
        <f t="shared" si="45"/>
        <v>2.6864479006096339E-2</v>
      </c>
      <c r="U122" s="681">
        <f t="shared" si="57"/>
        <v>0.98952544164315703</v>
      </c>
      <c r="V122" s="682">
        <f t="shared" si="58"/>
        <v>-0.17516057107416705</v>
      </c>
      <c r="W122" s="683">
        <f t="shared" si="46"/>
        <v>5.8514479858268507</v>
      </c>
      <c r="X122" s="684">
        <f t="shared" si="47"/>
        <v>-122.50558968832669</v>
      </c>
      <c r="Y122" s="687">
        <f t="shared" si="48"/>
        <v>57.494410311673306</v>
      </c>
      <c r="AA122" s="170">
        <f t="shared" si="49"/>
        <v>1000000000</v>
      </c>
      <c r="AB122" s="170">
        <f t="shared" si="50"/>
        <v>40743327.302500002</v>
      </c>
      <c r="AD122" s="686">
        <f t="shared" si="51"/>
        <v>14.78955749154286</v>
      </c>
      <c r="AE122" s="687">
        <f t="shared" si="52"/>
        <v>-44.472313240523263</v>
      </c>
      <c r="AG122" s="686">
        <f t="shared" si="53"/>
        <v>33.206143705986769</v>
      </c>
      <c r="AH122" s="687">
        <f t="shared" si="54"/>
        <v>-57.96135350556581</v>
      </c>
      <c r="AJ122" s="170">
        <f t="shared" si="55"/>
        <v>0</v>
      </c>
      <c r="AK122" s="170">
        <f t="shared" si="65"/>
        <v>0</v>
      </c>
      <c r="AM122" s="170" t="str">
        <f t="shared" si="59"/>
        <v>0.031456394680119+0.248843896035177i</v>
      </c>
      <c r="AN122" s="170" t="str">
        <f t="shared" si="60"/>
        <v>0.251486419815927i</v>
      </c>
      <c r="AO122" s="170" t="str">
        <f t="shared" si="61"/>
        <v>0.989492379816436-0.12508188196859i</v>
      </c>
      <c r="AP122" s="170" t="str">
        <f t="shared" si="62"/>
        <v>0.16142393421998-0.0414739826725295i</v>
      </c>
      <c r="AQ122" s="170" t="str">
        <f t="shared" si="63"/>
        <v>0.83857606578002+0.0414739826725295i</v>
      </c>
      <c r="AR122" s="170" t="str">
        <f t="shared" si="64"/>
        <v>0.990926691493245-0.0490088831649517i</v>
      </c>
    </row>
    <row r="123" spans="7:44">
      <c r="G123" s="688">
        <v>6456.5</v>
      </c>
      <c r="H123" s="676">
        <f t="shared" si="56"/>
        <v>6.4565000000000001</v>
      </c>
      <c r="I123" s="677">
        <f t="shared" si="34"/>
        <v>2.4238370463344294</v>
      </c>
      <c r="J123" s="678">
        <f t="shared" si="35"/>
        <v>1.1455238656185383</v>
      </c>
      <c r="K123" s="678">
        <f t="shared" si="36"/>
        <v>1.0000329137143018</v>
      </c>
      <c r="L123" s="679">
        <f t="shared" si="37"/>
        <v>8.1132991522117493E-3</v>
      </c>
      <c r="M123" s="678">
        <f t="shared" si="38"/>
        <v>1.0014709311357344</v>
      </c>
      <c r="N123" s="679">
        <f t="shared" si="39"/>
        <v>-5.4205725970436124E-2</v>
      </c>
      <c r="O123" s="677">
        <f t="shared" si="40"/>
        <v>48680.863077610986</v>
      </c>
      <c r="P123" s="680">
        <f t="shared" si="41"/>
        <v>1.5707757848419226</v>
      </c>
      <c r="Q123" s="689">
        <f t="shared" si="42"/>
        <v>1.4771651092434601</v>
      </c>
      <c r="R123" s="690">
        <f t="shared" si="43"/>
        <v>0.8271550638441838</v>
      </c>
      <c r="S123" s="677">
        <f t="shared" si="44"/>
        <v>1.0003693120417974</v>
      </c>
      <c r="T123" s="680">
        <f t="shared" si="45"/>
        <v>2.7173458304689438E-2</v>
      </c>
      <c r="U123" s="681">
        <f t="shared" si="57"/>
        <v>0.98929565222760718</v>
      </c>
      <c r="V123" s="682">
        <f t="shared" si="58"/>
        <v>-0.17715580349552718</v>
      </c>
      <c r="W123" s="683">
        <f t="shared" si="46"/>
        <v>5.7215251061043997</v>
      </c>
      <c r="X123" s="684">
        <f t="shared" si="47"/>
        <v>-122.58811769955257</v>
      </c>
      <c r="Y123" s="687">
        <f t="shared" si="48"/>
        <v>57.411882300447431</v>
      </c>
      <c r="AA123" s="170">
        <f t="shared" si="49"/>
        <v>1000000000</v>
      </c>
      <c r="AB123" s="170">
        <f t="shared" si="50"/>
        <v>41686392.25</v>
      </c>
      <c r="AD123" s="686">
        <f t="shared" si="51"/>
        <v>14.743658323959847</v>
      </c>
      <c r="AE123" s="687">
        <f t="shared" si="52"/>
        <v>-44.163253397743041</v>
      </c>
      <c r="AG123" s="686">
        <f t="shared" si="53"/>
        <v>33.126154568814442</v>
      </c>
      <c r="AH123" s="687">
        <f t="shared" si="54"/>
        <v>-58.12430456552741</v>
      </c>
      <c r="AJ123" s="170">
        <f t="shared" si="55"/>
        <v>0</v>
      </c>
      <c r="AK123" s="170">
        <f t="shared" si="65"/>
        <v>0</v>
      </c>
      <c r="AM123" s="170" t="str">
        <f t="shared" si="59"/>
        <v>0.032180569531811+0.251645683468306i</v>
      </c>
      <c r="AN123" s="170" t="str">
        <f t="shared" si="60"/>
        <v>0.254380283648339i</v>
      </c>
      <c r="AO123" s="170" t="str">
        <f t="shared" si="61"/>
        <v>0.98924995231229-0.126505753788285i</v>
      </c>
      <c r="AP123" s="170" t="str">
        <f t="shared" si="62"/>
        <v>0.161303238411365-0.0419409472447177i</v>
      </c>
      <c r="AQ123" s="170" t="str">
        <f t="shared" si="63"/>
        <v>0.838696761588635+0.0419409472447177i</v>
      </c>
      <c r="AR123" s="170" t="str">
        <f t="shared" si="64"/>
        <v>0.99073005588449-0.0495437193878044i</v>
      </c>
    </row>
    <row r="124" spans="7:44">
      <c r="G124" s="688">
        <v>6531.7</v>
      </c>
      <c r="H124" s="676">
        <f t="shared" si="56"/>
        <v>6.5316999999999998</v>
      </c>
      <c r="I124" s="677">
        <f t="shared" si="34"/>
        <v>2.4472856401971366</v>
      </c>
      <c r="J124" s="678">
        <f t="shared" si="35"/>
        <v>1.1498591805580594</v>
      </c>
      <c r="K124" s="678">
        <f t="shared" si="36"/>
        <v>1.0000336848700107</v>
      </c>
      <c r="L124" s="679">
        <f t="shared" si="37"/>
        <v>8.2077919660719836E-3</v>
      </c>
      <c r="M124" s="678">
        <f t="shared" si="38"/>
        <v>1.0015053691668889</v>
      </c>
      <c r="N124" s="679">
        <f t="shared" si="39"/>
        <v>-5.4835812069083695E-2</v>
      </c>
      <c r="O124" s="677">
        <f t="shared" si="40"/>
        <v>49247.857718964733</v>
      </c>
      <c r="P124" s="680">
        <f t="shared" si="41"/>
        <v>1.570776021343119</v>
      </c>
      <c r="Q124" s="689">
        <f t="shared" si="42"/>
        <v>1.4865098136128314</v>
      </c>
      <c r="R124" s="690">
        <f t="shared" si="43"/>
        <v>0.832921906311618</v>
      </c>
      <c r="S124" s="677">
        <f t="shared" si="44"/>
        <v>1.0003779633924517</v>
      </c>
      <c r="T124" s="680">
        <f t="shared" si="45"/>
        <v>2.7489793884160764E-2</v>
      </c>
      <c r="U124" s="681">
        <f t="shared" si="57"/>
        <v>0.98905782362654326</v>
      </c>
      <c r="V124" s="682">
        <f t="shared" si="58"/>
        <v>-0.17919786228969667</v>
      </c>
      <c r="W124" s="683">
        <f t="shared" si="46"/>
        <v>5.5902354651914941</v>
      </c>
      <c r="X124" s="684">
        <f t="shared" si="47"/>
        <v>-122.67192404335339</v>
      </c>
      <c r="Y124" s="687">
        <f t="shared" si="48"/>
        <v>57.328075956646614</v>
      </c>
      <c r="AA124" s="170">
        <f t="shared" si="49"/>
        <v>1000000000</v>
      </c>
      <c r="AB124" s="170">
        <f t="shared" si="50"/>
        <v>42663104.890000001</v>
      </c>
      <c r="AD124" s="686">
        <f t="shared" si="51"/>
        <v>14.697776518538115</v>
      </c>
      <c r="AE124" s="687">
        <f t="shared" si="52"/>
        <v>-43.850975907019354</v>
      </c>
      <c r="AG124" s="686">
        <f t="shared" si="53"/>
        <v>33.04492344495096</v>
      </c>
      <c r="AH124" s="687">
        <f t="shared" si="54"/>
        <v>-58.286385698937565</v>
      </c>
      <c r="AJ124" s="170">
        <f t="shared" si="55"/>
        <v>0</v>
      </c>
      <c r="AK124" s="170">
        <f t="shared" si="65"/>
        <v>0</v>
      </c>
      <c r="AM124" s="170" t="str">
        <f t="shared" si="59"/>
        <v>0.032930395236606+0.254512042038826i</v>
      </c>
      <c r="AN124" s="170" t="str">
        <f t="shared" si="60"/>
        <v>0.257343095904261i</v>
      </c>
      <c r="AO124" s="170" t="str">
        <f t="shared" si="61"/>
        <v>0.988998912694793-0.12796300254683i</v>
      </c>
      <c r="AP124" s="170" t="str">
        <f t="shared" si="62"/>
        <v>0.161178267460566-0.0424186736731377i</v>
      </c>
      <c r="AQ124" s="170" t="str">
        <f t="shared" si="63"/>
        <v>0.838821732539434+0.0424186736731377i</v>
      </c>
      <c r="AR124" s="170" t="str">
        <f t="shared" si="64"/>
        <v>0.990526597095042-0.050090290769574i</v>
      </c>
    </row>
    <row r="125" spans="7:44">
      <c r="G125" s="688">
        <v>6606.9</v>
      </c>
      <c r="H125" s="676">
        <f t="shared" si="56"/>
        <v>6.6068999999999996</v>
      </c>
      <c r="I125" s="677">
        <f t="shared" si="34"/>
        <v>2.470779357136824</v>
      </c>
      <c r="J125" s="678">
        <f t="shared" si="35"/>
        <v>1.1541121283936067</v>
      </c>
      <c r="K125" s="678">
        <f t="shared" si="36"/>
        <v>1.0000344649548984</v>
      </c>
      <c r="L125" s="679">
        <f t="shared" si="37"/>
        <v>8.3022846333561801E-3</v>
      </c>
      <c r="M125" s="678">
        <f t="shared" si="38"/>
        <v>1.0015402047767441</v>
      </c>
      <c r="N125" s="679">
        <f t="shared" si="39"/>
        <v>-5.546585458649133E-2</v>
      </c>
      <c r="O125" s="677">
        <f t="shared" si="40"/>
        <v>49814.852360321172</v>
      </c>
      <c r="P125" s="680">
        <f t="shared" si="41"/>
        <v>1.5707762524605831</v>
      </c>
      <c r="Q125" s="689">
        <f t="shared" si="42"/>
        <v>1.495903335461412</v>
      </c>
      <c r="R125" s="690">
        <f t="shared" si="43"/>
        <v>0.83861651043873975</v>
      </c>
      <c r="S125" s="677">
        <f t="shared" si="44"/>
        <v>1.0003867148473899</v>
      </c>
      <c r="T125" s="680">
        <f t="shared" si="45"/>
        <v>2.7806123960633405E-2</v>
      </c>
      <c r="U125" s="681">
        <f t="shared" si="57"/>
        <v>0.98881740595742196</v>
      </c>
      <c r="V125" s="682">
        <f t="shared" si="58"/>
        <v>-0.18123919358441945</v>
      </c>
      <c r="W125" s="683">
        <f t="shared" si="46"/>
        <v>5.4606556428818207</v>
      </c>
      <c r="X125" s="684">
        <f t="shared" si="47"/>
        <v>-122.75510525670946</v>
      </c>
      <c r="Y125" s="687">
        <f t="shared" si="48"/>
        <v>57.244894743290544</v>
      </c>
      <c r="AA125" s="170">
        <f t="shared" si="49"/>
        <v>1000000000</v>
      </c>
      <c r="AB125" s="170">
        <f t="shared" si="50"/>
        <v>43651127.609999992</v>
      </c>
      <c r="AD125" s="686">
        <f t="shared" si="51"/>
        <v>14.65298544951972</v>
      </c>
      <c r="AE125" s="687">
        <f t="shared" si="52"/>
        <v>-43.542836744555593</v>
      </c>
      <c r="AG125" s="686">
        <f t="shared" si="53"/>
        <v>32.964357893042816</v>
      </c>
      <c r="AH125" s="687">
        <f t="shared" si="54"/>
        <v>-58.443786738938925</v>
      </c>
      <c r="AJ125" s="170">
        <f t="shared" si="55"/>
        <v>0</v>
      </c>
      <c r="AK125" s="170">
        <f t="shared" si="65"/>
        <v>0</v>
      </c>
      <c r="AM125" s="170" t="str">
        <f t="shared" si="59"/>
        <v>0.033688710120199+0.257376166439i</v>
      </c>
      <c r="AN125" s="170" t="str">
        <f t="shared" si="60"/>
        <v>0.260305908160182i</v>
      </c>
      <c r="AO125" s="170" t="str">
        <f t="shared" si="61"/>
        <v>0.988745004898701-0.129419690695104i</v>
      </c>
      <c r="AP125" s="170" t="str">
        <f t="shared" si="62"/>
        <v>0.161051881646634-0.0428960277398333i</v>
      </c>
      <c r="AQ125" s="170" t="str">
        <f t="shared" si="63"/>
        <v>0.838948118353366+0.0428960277398333i</v>
      </c>
      <c r="AR125" s="170" t="str">
        <f t="shared" si="64"/>
        <v>0.990320981422073-0.0506358323728038i</v>
      </c>
    </row>
    <row r="126" spans="7:44">
      <c r="G126" s="688">
        <v>6683.85</v>
      </c>
      <c r="H126" s="676">
        <f t="shared" si="56"/>
        <v>6.6838500000000005</v>
      </c>
      <c r="I126" s="677">
        <f t="shared" si="34"/>
        <v>2.494865183422101</v>
      </c>
      <c r="J126" s="678">
        <f t="shared" si="35"/>
        <v>1.1583810524508469</v>
      </c>
      <c r="K126" s="678">
        <f t="shared" si="36"/>
        <v>1.0000352724366224</v>
      </c>
      <c r="L126" s="679">
        <f t="shared" si="37"/>
        <v>8.3989761121448011E-3</v>
      </c>
      <c r="M126" s="678">
        <f t="shared" si="38"/>
        <v>1.0015762625770332</v>
      </c>
      <c r="N126" s="679">
        <f t="shared" si="39"/>
        <v>-5.6110513366226369E-2</v>
      </c>
      <c r="O126" s="677">
        <f t="shared" si="40"/>
        <v>50395.041690807622</v>
      </c>
      <c r="P126" s="680">
        <f t="shared" si="41"/>
        <v>1.5707764835728948</v>
      </c>
      <c r="Q126" s="689">
        <f t="shared" si="42"/>
        <v>1.5055650380651067</v>
      </c>
      <c r="R126" s="690">
        <f t="shared" si="43"/>
        <v>0.84436988475634422</v>
      </c>
      <c r="S126" s="677">
        <f t="shared" si="44"/>
        <v>1.0003957735828368</v>
      </c>
      <c r="T126" s="680">
        <f t="shared" si="45"/>
        <v>2.8129809679338997E-2</v>
      </c>
      <c r="U126" s="681">
        <f t="shared" si="57"/>
        <v>0.98856871905376598</v>
      </c>
      <c r="V126" s="682">
        <f t="shared" si="58"/>
        <v>-0.1833272681824229</v>
      </c>
      <c r="W126" s="683">
        <f t="shared" si="46"/>
        <v>5.3297901632933931</v>
      </c>
      <c r="X126" s="684">
        <f t="shared" si="47"/>
        <v>-122.83964566475012</v>
      </c>
      <c r="Y126" s="687">
        <f t="shared" si="48"/>
        <v>57.160354335249878</v>
      </c>
      <c r="AA126" s="170">
        <f t="shared" si="49"/>
        <v>1000000000</v>
      </c>
      <c r="AB126" s="170">
        <f t="shared" si="50"/>
        <v>44673850.822500005</v>
      </c>
      <c r="AD126" s="686">
        <f t="shared" si="51"/>
        <v>14.608247382046066</v>
      </c>
      <c r="AE126" s="687">
        <f t="shared" si="52"/>
        <v>-43.231751745172978</v>
      </c>
      <c r="AG126" s="686">
        <f t="shared" si="53"/>
        <v>32.882600021067226</v>
      </c>
      <c r="AH126" s="687">
        <f t="shared" si="54"/>
        <v>-58.600136422540636</v>
      </c>
      <c r="AJ126" s="170">
        <f t="shared" si="55"/>
        <v>0</v>
      </c>
      <c r="AK126" s="170">
        <f t="shared" si="65"/>
        <v>0</v>
      </c>
      <c r="AM126" s="170" t="str">
        <f t="shared" si="59"/>
        <v>0.034473452822955+0.260304603678791i</v>
      </c>
      <c r="AN126" s="170" t="str">
        <f t="shared" si="60"/>
        <v>0.263337668839612i</v>
      </c>
      <c r="AO126" s="170" t="str">
        <f t="shared" si="61"/>
        <v>0.988482220662976-0.130909690872791i</v>
      </c>
      <c r="AP126" s="170" t="str">
        <f t="shared" si="62"/>
        <v>0.160921091196174-0.0433841006131318i</v>
      </c>
      <c r="AQ126" s="170" t="str">
        <f t="shared" si="63"/>
        <v>0.839078908803826+0.0433841006131318i</v>
      </c>
      <c r="AR126" s="170" t="str">
        <f t="shared" si="64"/>
        <v>0.990108354929985-0.0511929927417918i</v>
      </c>
    </row>
    <row r="127" spans="7:44">
      <c r="G127" s="688">
        <v>6760.8</v>
      </c>
      <c r="H127" s="676">
        <f t="shared" si="56"/>
        <v>6.7608000000000006</v>
      </c>
      <c r="I127" s="677">
        <f t="shared" si="34"/>
        <v>2.5189956054786555</v>
      </c>
      <c r="J127" s="678">
        <f t="shared" si="35"/>
        <v>1.1625682642904378</v>
      </c>
      <c r="K127" s="678">
        <f t="shared" si="36"/>
        <v>1.000036089267903</v>
      </c>
      <c r="L127" s="679">
        <f t="shared" si="37"/>
        <v>8.4956674338818594E-3</v>
      </c>
      <c r="M127" s="678">
        <f t="shared" si="38"/>
        <v>1.0016127365872656</v>
      </c>
      <c r="N127" s="679">
        <f t="shared" si="39"/>
        <v>-5.6755125462973843E-2</v>
      </c>
      <c r="O127" s="677">
        <f t="shared" si="40"/>
        <v>50975.231021296691</v>
      </c>
      <c r="P127" s="680">
        <f t="shared" si="41"/>
        <v>1.5707767094242633</v>
      </c>
      <c r="Q127" s="689">
        <f t="shared" si="42"/>
        <v>1.5152759403668632</v>
      </c>
      <c r="R127" s="690">
        <f t="shared" si="43"/>
        <v>0.85004970213894337</v>
      </c>
      <c r="S127" s="677">
        <f t="shared" si="44"/>
        <v>1.0004049371302899</v>
      </c>
      <c r="T127" s="680">
        <f t="shared" si="45"/>
        <v>2.8453489502139113E-2</v>
      </c>
      <c r="U127" s="681">
        <f t="shared" si="57"/>
        <v>0.98831733288472301</v>
      </c>
      <c r="V127" s="682">
        <f t="shared" si="58"/>
        <v>-0.18541456482519725</v>
      </c>
      <c r="W127" s="683">
        <f t="shared" si="46"/>
        <v>5.2006346601656066</v>
      </c>
      <c r="X127" s="684">
        <f t="shared" si="47"/>
        <v>-122.92367093098254</v>
      </c>
      <c r="Y127" s="687">
        <f t="shared" si="48"/>
        <v>57.076329069017461</v>
      </c>
      <c r="AA127" s="170">
        <f t="shared" si="49"/>
        <v>1000000000</v>
      </c>
      <c r="AB127" s="170">
        <f t="shared" si="50"/>
        <v>45708416.640000001</v>
      </c>
      <c r="AD127" s="686">
        <f t="shared" si="51"/>
        <v>14.564584071682429</v>
      </c>
      <c r="AE127" s="687">
        <f t="shared" si="52"/>
        <v>-42.924880608484557</v>
      </c>
      <c r="AG127" s="686">
        <f t="shared" si="53"/>
        <v>32.801525913059095</v>
      </c>
      <c r="AH127" s="687">
        <f t="shared" si="54"/>
        <v>-58.751846248742609</v>
      </c>
      <c r="AJ127" s="170">
        <f t="shared" si="55"/>
        <v>0</v>
      </c>
      <c r="AK127" s="170">
        <f t="shared" si="65"/>
        <v>0</v>
      </c>
      <c r="AM127" s="170" t="str">
        <f t="shared" si="59"/>
        <v>0.035267070226477+0.263230648311696i</v>
      </c>
      <c r="AN127" s="170" t="str">
        <f t="shared" si="60"/>
        <v>0.266369429519042i</v>
      </c>
      <c r="AO127" s="170" t="str">
        <f t="shared" si="61"/>
        <v>0.988216436048936-0.132399090579408i</v>
      </c>
      <c r="AP127" s="170" t="str">
        <f t="shared" si="62"/>
        <v>0.16078882162892-0.043871774718616i</v>
      </c>
      <c r="AQ127" s="170" t="str">
        <f t="shared" si="63"/>
        <v>0.83921117837108+0.043871774718616i</v>
      </c>
      <c r="AR127" s="170" t="str">
        <f t="shared" si="64"/>
        <v>0.989893484031011-0.0517490532134349i</v>
      </c>
    </row>
    <row r="128" spans="7:44">
      <c r="G128" s="688">
        <v>6839.55</v>
      </c>
      <c r="H128" s="676">
        <f t="shared" si="56"/>
        <v>6.83955</v>
      </c>
      <c r="I128" s="677">
        <f t="shared" si="34"/>
        <v>2.5437353303151014</v>
      </c>
      <c r="J128" s="678">
        <f t="shared" si="35"/>
        <v>1.1667710963982347</v>
      </c>
      <c r="K128" s="678">
        <f t="shared" si="36"/>
        <v>1.0000369348864933</v>
      </c>
      <c r="L128" s="679">
        <f t="shared" si="37"/>
        <v>8.594620376431503E-3</v>
      </c>
      <c r="M128" s="678">
        <f t="shared" si="38"/>
        <v>1.0016504946709455</v>
      </c>
      <c r="N128" s="679">
        <f t="shared" si="39"/>
        <v>-5.741476731788115E-2</v>
      </c>
      <c r="O128" s="677">
        <f t="shared" si="40"/>
        <v>51568.992032033755</v>
      </c>
      <c r="P128" s="680">
        <f t="shared" si="41"/>
        <v>1.5707769352970089</v>
      </c>
      <c r="Q128" s="689">
        <f t="shared" si="42"/>
        <v>1.5252639571773807</v>
      </c>
      <c r="R128" s="690">
        <f t="shared" si="43"/>
        <v>0.85578731011873399</v>
      </c>
      <c r="S128" s="677">
        <f t="shared" si="44"/>
        <v>1.0004144235450203</v>
      </c>
      <c r="T128" s="680">
        <f t="shared" si="45"/>
        <v>2.8784734607791362E-2</v>
      </c>
      <c r="U128" s="681">
        <f t="shared" si="57"/>
        <v>0.98805727788867126</v>
      </c>
      <c r="V128" s="682">
        <f t="shared" si="58"/>
        <v>-0.18754987314603025</v>
      </c>
      <c r="W128" s="683">
        <f t="shared" si="46"/>
        <v>5.0701878182937925</v>
      </c>
      <c r="X128" s="684">
        <f t="shared" si="47"/>
        <v>-123.00919590225058</v>
      </c>
      <c r="Y128" s="687">
        <f t="shared" si="48"/>
        <v>56.990804097749418</v>
      </c>
      <c r="AA128" s="170">
        <f t="shared" si="49"/>
        <v>1000000000</v>
      </c>
      <c r="AB128" s="170">
        <f t="shared" si="50"/>
        <v>46779444.202500001</v>
      </c>
      <c r="AD128" s="686">
        <f t="shared" si="51"/>
        <v>14.520978510559031</v>
      </c>
      <c r="AE128" s="687">
        <f t="shared" si="52"/>
        <v>-42.615131774481306</v>
      </c>
      <c r="AG128" s="686">
        <f t="shared" si="53"/>
        <v>32.71925625349273</v>
      </c>
      <c r="AH128" s="687">
        <f t="shared" si="54"/>
        <v>-58.902431744248489</v>
      </c>
      <c r="AJ128" s="170">
        <f t="shared" si="55"/>
        <v>0</v>
      </c>
      <c r="AK128" s="170">
        <f t="shared" si="65"/>
        <v>0</v>
      </c>
      <c r="AM128" s="170" t="str">
        <f t="shared" si="59"/>
        <v>0.036088432689664+0.266222633157535i</v>
      </c>
      <c r="AN128" s="170" t="str">
        <f t="shared" si="60"/>
        <v>0.269472108576938i</v>
      </c>
      <c r="AO128" s="170" t="str">
        <f t="shared" si="61"/>
        <v>0.987941329302824-0.133922701240749i</v>
      </c>
      <c r="AP128" s="170" t="str">
        <f t="shared" si="62"/>
        <v>0.160651927885056-0.0443704388595892i</v>
      </c>
      <c r="AQ128" s="170" t="str">
        <f t="shared" si="63"/>
        <v>0.839348072114944+0.0443704388595892i</v>
      </c>
      <c r="AR128" s="170" t="str">
        <f t="shared" si="64"/>
        <v>0.989671270646225-0.0523169708302931i</v>
      </c>
    </row>
    <row r="129" spans="7:44">
      <c r="G129" s="688">
        <v>6918.3</v>
      </c>
      <c r="H129" s="676">
        <f t="shared" si="56"/>
        <v>6.9183000000000003</v>
      </c>
      <c r="I129" s="677">
        <f t="shared" si="34"/>
        <v>2.5685191211584053</v>
      </c>
      <c r="J129" s="678">
        <f t="shared" si="35"/>
        <v>1.1708928934028175</v>
      </c>
      <c r="K129" s="678">
        <f t="shared" si="36"/>
        <v>1.0000377902971134</v>
      </c>
      <c r="L129" s="679">
        <f t="shared" si="37"/>
        <v>8.6935731506656601E-3</v>
      </c>
      <c r="M129" s="678">
        <f t="shared" si="38"/>
        <v>1.0016886885672092</v>
      </c>
      <c r="N129" s="679">
        <f t="shared" si="39"/>
        <v>-5.8074359156138816E-2</v>
      </c>
      <c r="O129" s="677">
        <f t="shared" si="40"/>
        <v>52162.753042773395</v>
      </c>
      <c r="P129" s="680">
        <f t="shared" si="41"/>
        <v>1.5707771560276014</v>
      </c>
      <c r="Q129" s="689">
        <f t="shared" si="42"/>
        <v>1.5353015316275869</v>
      </c>
      <c r="R129" s="690">
        <f t="shared" si="43"/>
        <v>0.86145007923063055</v>
      </c>
      <c r="S129" s="677">
        <f t="shared" si="44"/>
        <v>1.000424019726454</v>
      </c>
      <c r="T129" s="680">
        <f t="shared" si="45"/>
        <v>2.9115973395105899E-2</v>
      </c>
      <c r="U129" s="681">
        <f t="shared" si="57"/>
        <v>0.9877944086555599</v>
      </c>
      <c r="V129" s="682">
        <f t="shared" si="58"/>
        <v>-0.18968434943599116</v>
      </c>
      <c r="W129" s="683">
        <f t="shared" si="46"/>
        <v>4.9414506188943248</v>
      </c>
      <c r="X129" s="684">
        <f t="shared" si="47"/>
        <v>-123.09431467079111</v>
      </c>
      <c r="Y129" s="687">
        <f t="shared" si="48"/>
        <v>56.905685329208893</v>
      </c>
      <c r="AA129" s="170">
        <f t="shared" si="49"/>
        <v>1000000000</v>
      </c>
      <c r="AB129" s="170">
        <f t="shared" si="50"/>
        <v>47862874.890000001</v>
      </c>
      <c r="AD129" s="686">
        <f t="shared" si="51"/>
        <v>14.47843146768518</v>
      </c>
      <c r="AE129" s="687">
        <f t="shared" si="52"/>
        <v>-42.30967023511905</v>
      </c>
      <c r="AG129" s="686">
        <f t="shared" si="53"/>
        <v>32.637688413868865</v>
      </c>
      <c r="AH129" s="687">
        <f t="shared" si="54"/>
        <v>-59.048419086100765</v>
      </c>
      <c r="AJ129" s="170">
        <f t="shared" si="55"/>
        <v>0</v>
      </c>
      <c r="AK129" s="170">
        <f t="shared" si="65"/>
        <v>0</v>
      </c>
      <c r="AM129" s="170" t="str">
        <f t="shared" si="59"/>
        <v>0.036919074353211+0.269212055182014i</v>
      </c>
      <c r="AN129" s="170" t="str">
        <f t="shared" si="60"/>
        <v>0.272574787634834i</v>
      </c>
      <c r="AO129" s="170" t="str">
        <f t="shared" si="61"/>
        <v>0.987663083288081-0.135445668594526i</v>
      </c>
      <c r="AP129" s="170" t="str">
        <f t="shared" si="62"/>
        <v>0.160513487607798-0.044868675863669i</v>
      </c>
      <c r="AQ129" s="170" t="str">
        <f t="shared" si="63"/>
        <v>0.839486512392202+0.044868675863669i</v>
      </c>
      <c r="AR129" s="170" t="str">
        <f t="shared" si="64"/>
        <v>0.989446721938712-0.0528837135507149i</v>
      </c>
    </row>
    <row r="130" spans="7:44">
      <c r="G130" s="688">
        <v>6998.9</v>
      </c>
      <c r="H130" s="676">
        <f t="shared" si="56"/>
        <v>6.9988999999999999</v>
      </c>
      <c r="I130" s="677">
        <f t="shared" si="34"/>
        <v>2.5939294471546059</v>
      </c>
      <c r="J130" s="678">
        <f t="shared" si="35"/>
        <v>1.1750298870147386</v>
      </c>
      <c r="K130" s="678">
        <f t="shared" si="36"/>
        <v>1.0000386759428523</v>
      </c>
      <c r="L130" s="679">
        <f t="shared" si="37"/>
        <v>8.7948503534398936E-3</v>
      </c>
      <c r="M130" s="678">
        <f t="shared" si="38"/>
        <v>1.0017282309549269</v>
      </c>
      <c r="N130" s="679">
        <f t="shared" si="39"/>
        <v>-5.8749393781841741E-2</v>
      </c>
      <c r="O130" s="677">
        <f t="shared" si="40"/>
        <v>52770.462724879006</v>
      </c>
      <c r="P130" s="680">
        <f t="shared" si="41"/>
        <v>1.5707773767999862</v>
      </c>
      <c r="Q130" s="689">
        <f t="shared" si="42"/>
        <v>1.545625219389053</v>
      </c>
      <c r="R130" s="690">
        <f t="shared" si="43"/>
        <v>0.86716952824624371</v>
      </c>
      <c r="S130" s="677">
        <f t="shared" si="44"/>
        <v>1.0004339550036561</v>
      </c>
      <c r="T130" s="680">
        <f t="shared" si="45"/>
        <v>2.9454987046649332E-2</v>
      </c>
      <c r="U130" s="681">
        <f t="shared" si="57"/>
        <v>0.98752245674474837</v>
      </c>
      <c r="V130" s="682">
        <f t="shared" si="58"/>
        <v>-0.19186809833641275</v>
      </c>
      <c r="W130" s="683">
        <f t="shared" si="46"/>
        <v>4.8114184257078874</v>
      </c>
      <c r="X130" s="684">
        <f t="shared" si="47"/>
        <v>-123.18107683005626</v>
      </c>
      <c r="Y130" s="687">
        <f t="shared" si="48"/>
        <v>56.818923169943744</v>
      </c>
      <c r="AA130" s="170">
        <f t="shared" si="49"/>
        <v>1000000000</v>
      </c>
      <c r="AB130" s="170">
        <f t="shared" si="50"/>
        <v>48984601.209999993</v>
      </c>
      <c r="AD130" s="686">
        <f t="shared" si="51"/>
        <v>14.435947494145189</v>
      </c>
      <c r="AE130" s="687">
        <f t="shared" si="52"/>
        <v>-42.00140664578857</v>
      </c>
      <c r="AG130" s="686">
        <f t="shared" si="53"/>
        <v>32.554923516514599</v>
      </c>
      <c r="AH130" s="687">
        <f t="shared" si="54"/>
        <v>-59.193205643389504</v>
      </c>
      <c r="AJ130" s="170">
        <f t="shared" si="55"/>
        <v>0</v>
      </c>
      <c r="AK130" s="170">
        <f t="shared" si="65"/>
        <v>0</v>
      </c>
      <c r="AM130" s="170" t="str">
        <f t="shared" si="59"/>
        <v>0.037778829900023+0.27226902102779i</v>
      </c>
      <c r="AN130" s="170" t="str">
        <f t="shared" si="60"/>
        <v>0.275750355026154i</v>
      </c>
      <c r="AO130" s="170" t="str">
        <f t="shared" si="61"/>
        <v>0.987375051618578-0.137003739837215i</v>
      </c>
      <c r="AP130" s="170" t="str">
        <f t="shared" si="62"/>
        <v>0.160370195016663-0.0453781701712983i</v>
      </c>
      <c r="AQ130" s="170" t="str">
        <f t="shared" si="63"/>
        <v>0.839629804983337+0.0453781701712983i</v>
      </c>
      <c r="AR130" s="170" t="str">
        <f t="shared" si="64"/>
        <v>0.989214488051814-0.053462541596674i</v>
      </c>
    </row>
    <row r="131" spans="7:44">
      <c r="G131" s="688">
        <v>7079.5</v>
      </c>
      <c r="H131" s="676">
        <f t="shared" si="56"/>
        <v>7.0795000000000003</v>
      </c>
      <c r="I131" s="677">
        <f t="shared" si="34"/>
        <v>2.6193833057499076</v>
      </c>
      <c r="J131" s="678">
        <f t="shared" si="35"/>
        <v>1.1790865464609843</v>
      </c>
      <c r="K131" s="678">
        <f t="shared" si="36"/>
        <v>1.0000395718460415</v>
      </c>
      <c r="L131" s="679">
        <f t="shared" si="37"/>
        <v>8.8961273757909749E-3</v>
      </c>
      <c r="M131" s="678">
        <f t="shared" si="38"/>
        <v>1.0017682297657404</v>
      </c>
      <c r="N131" s="679">
        <f t="shared" si="39"/>
        <v>-5.9424374809247456E-2</v>
      </c>
      <c r="O131" s="677">
        <f t="shared" si="40"/>
        <v>53378.172406987134</v>
      </c>
      <c r="P131" s="680">
        <f t="shared" si="41"/>
        <v>1.5707775925453904</v>
      </c>
      <c r="Q131" s="689">
        <f t="shared" si="42"/>
        <v>1.555998795919328</v>
      </c>
      <c r="R131" s="690">
        <f t="shared" si="43"/>
        <v>0.87281289865989931</v>
      </c>
      <c r="S131" s="677">
        <f t="shared" si="44"/>
        <v>1.0004440052586971</v>
      </c>
      <c r="T131" s="680">
        <f t="shared" si="45"/>
        <v>2.9793993925831212E-2</v>
      </c>
      <c r="U131" s="681">
        <f t="shared" si="57"/>
        <v>0.98724757078740044</v>
      </c>
      <c r="V131" s="682">
        <f t="shared" si="58"/>
        <v>-0.19405095727966135</v>
      </c>
      <c r="W131" s="683">
        <f t="shared" si="46"/>
        <v>4.6830949887666611</v>
      </c>
      <c r="X131" s="684">
        <f t="shared" si="47"/>
        <v>-123.2675404360194</v>
      </c>
      <c r="Y131" s="687">
        <f t="shared" si="48"/>
        <v>56.732459563980598</v>
      </c>
      <c r="AA131" s="170">
        <f t="shared" si="49"/>
        <v>1000000000</v>
      </c>
      <c r="AB131" s="170">
        <f t="shared" si="50"/>
        <v>50119320.25</v>
      </c>
      <c r="AD131" s="686">
        <f t="shared" si="51"/>
        <v>14.394505507407036</v>
      </c>
      <c r="AE131" s="687">
        <f t="shared" si="52"/>
        <v>-41.697501363213966</v>
      </c>
      <c r="AG131" s="686">
        <f t="shared" si="53"/>
        <v>32.472878333969447</v>
      </c>
      <c r="AH131" s="687">
        <f t="shared" si="54"/>
        <v>-59.333437322200346</v>
      </c>
      <c r="AJ131" s="170">
        <f t="shared" si="55"/>
        <v>0</v>
      </c>
      <c r="AK131" s="170">
        <f t="shared" si="65"/>
        <v>0</v>
      </c>
      <c r="AM131" s="170" t="str">
        <f t="shared" si="59"/>
        <v>0.038648288696594+0.275323241252917i</v>
      </c>
      <c r="AN131" s="170" t="str">
        <f t="shared" si="60"/>
        <v>0.278925922417474i</v>
      </c>
      <c r="AO131" s="170" t="str">
        <f t="shared" si="61"/>
        <v>0.987083734873646-0.138561121754572i</v>
      </c>
      <c r="AP131" s="170" t="str">
        <f t="shared" si="62"/>
        <v>0.160225285217234-0.0458872068754862i</v>
      </c>
      <c r="AQ131" s="170" t="str">
        <f t="shared" si="63"/>
        <v>0.839774714782766+0.0458872068754862i</v>
      </c>
      <c r="AR131" s="170" t="str">
        <f t="shared" si="64"/>
        <v>0.98897982454465-0.0540401145756118i</v>
      </c>
    </row>
    <row r="132" spans="7:44">
      <c r="G132" s="688">
        <v>7161.95</v>
      </c>
      <c r="H132" s="676">
        <f t="shared" si="56"/>
        <v>7.16195</v>
      </c>
      <c r="I132" s="677">
        <f t="shared" si="34"/>
        <v>2.6454651357713415</v>
      </c>
      <c r="J132" s="678">
        <f t="shared" si="35"/>
        <v>1.1831554771583537</v>
      </c>
      <c r="K132" s="678">
        <f t="shared" si="36"/>
        <v>1.0000404989260456</v>
      </c>
      <c r="L132" s="679">
        <f t="shared" si="37"/>
        <v>8.9997288059607827E-3</v>
      </c>
      <c r="M132" s="678">
        <f t="shared" si="38"/>
        <v>1.0018096188640424</v>
      </c>
      <c r="N132" s="679">
        <f t="shared" si="39"/>
        <v>-6.011479248507573E-2</v>
      </c>
      <c r="O132" s="677">
        <f t="shared" si="40"/>
        <v>53999.8307604613</v>
      </c>
      <c r="P132" s="680">
        <f t="shared" si="41"/>
        <v>1.5707778082183386</v>
      </c>
      <c r="Q132" s="689">
        <f t="shared" si="42"/>
        <v>1.5666610619148091</v>
      </c>
      <c r="R132" s="690">
        <f t="shared" si="43"/>
        <v>0.87850828728680397</v>
      </c>
      <c r="S132" s="677">
        <f t="shared" si="44"/>
        <v>1.0004544051588884</v>
      </c>
      <c r="T132" s="680">
        <f t="shared" si="45"/>
        <v>3.0140774891939379E-2</v>
      </c>
      <c r="U132" s="681">
        <f t="shared" si="57"/>
        <v>0.98696334704580468</v>
      </c>
      <c r="V132" s="682">
        <f t="shared" si="58"/>
        <v>-0.19628298859279544</v>
      </c>
      <c r="W132" s="683">
        <f t="shared" si="46"/>
        <v>4.5535527668622473</v>
      </c>
      <c r="X132" s="684">
        <f t="shared" si="47"/>
        <v>-123.35574077233494</v>
      </c>
      <c r="Y132" s="687">
        <f t="shared" si="48"/>
        <v>56.64425922766506</v>
      </c>
      <c r="AA132" s="170">
        <f t="shared" si="49"/>
        <v>1000000000</v>
      </c>
      <c r="AB132" s="170">
        <f t="shared" si="50"/>
        <v>51293527.802499995</v>
      </c>
      <c r="AD132" s="686">
        <f t="shared" si="51"/>
        <v>14.353157101697962</v>
      </c>
      <c r="AE132" s="687">
        <f t="shared" si="52"/>
        <v>-41.39106107477852</v>
      </c>
      <c r="AG132" s="686">
        <f t="shared" si="53"/>
        <v>32.389686488023138</v>
      </c>
      <c r="AH132" s="687">
        <f t="shared" si="54"/>
        <v>-59.472305998691823</v>
      </c>
      <c r="AJ132" s="170">
        <f t="shared" si="55"/>
        <v>0</v>
      </c>
      <c r="AK132" s="170">
        <f t="shared" si="65"/>
        <v>0</v>
      </c>
      <c r="AM132" s="170" t="str">
        <f t="shared" si="59"/>
        <v>0.039547734793308+0.278444691562498i</v>
      </c>
      <c r="AN132" s="170" t="str">
        <f t="shared" si="60"/>
        <v>0.282174378142217i</v>
      </c>
      <c r="AO132" s="170" t="str">
        <f t="shared" si="61"/>
        <v>0.986782334369709-0.140153528657289i</v>
      </c>
      <c r="AP132" s="170" t="str">
        <f t="shared" si="62"/>
        <v>0.160075377534449-0.0464074485937497i</v>
      </c>
      <c r="AQ132" s="170" t="str">
        <f t="shared" si="63"/>
        <v>0.839924622465551+0.0464074485937497i</v>
      </c>
      <c r="AR132" s="170" t="str">
        <f t="shared" si="64"/>
        <v>0.988737269862072-0.0546296331796493i</v>
      </c>
    </row>
    <row r="133" spans="7:44">
      <c r="G133" s="688">
        <v>7244.4</v>
      </c>
      <c r="H133" s="676">
        <f t="shared" si="56"/>
        <v>7.2443999999999997</v>
      </c>
      <c r="I133" s="677">
        <f t="shared" si="34"/>
        <v>2.6715899090300321</v>
      </c>
      <c r="J133" s="678">
        <f t="shared" si="35"/>
        <v>1.1871448948330998</v>
      </c>
      <c r="K133" s="678">
        <f t="shared" si="36"/>
        <v>1.0000414367397208</v>
      </c>
      <c r="L133" s="679">
        <f t="shared" si="37"/>
        <v>9.1033300429329417E-3</v>
      </c>
      <c r="M133" s="678">
        <f t="shared" si="38"/>
        <v>1.0018514854619252</v>
      </c>
      <c r="N133" s="679">
        <f t="shared" si="39"/>
        <v>-6.0805152785919574E-2</v>
      </c>
      <c r="O133" s="677">
        <f t="shared" si="40"/>
        <v>54621.489113937911</v>
      </c>
      <c r="P133" s="680">
        <f t="shared" si="41"/>
        <v>1.5707780189820508</v>
      </c>
      <c r="Q133" s="689">
        <f t="shared" si="42"/>
        <v>1.5773734584328576</v>
      </c>
      <c r="R133" s="690">
        <f t="shared" si="43"/>
        <v>0.88412649805909582</v>
      </c>
      <c r="S133" s="677">
        <f t="shared" si="44"/>
        <v>1.0004649253682536</v>
      </c>
      <c r="T133" s="680">
        <f t="shared" si="45"/>
        <v>3.0487548606722776E-2</v>
      </c>
      <c r="U133" s="681">
        <f t="shared" si="57"/>
        <v>0.98667606825866716</v>
      </c>
      <c r="V133" s="682">
        <f t="shared" si="58"/>
        <v>-0.19851406908892488</v>
      </c>
      <c r="W133" s="683">
        <f t="shared" si="46"/>
        <v>4.4257157659992226</v>
      </c>
      <c r="X133" s="684">
        <f t="shared" si="47"/>
        <v>-123.44374886255351</v>
      </c>
      <c r="Y133" s="687">
        <f t="shared" si="48"/>
        <v>56.556251137446495</v>
      </c>
      <c r="AA133" s="170">
        <f t="shared" si="49"/>
        <v>1000000000</v>
      </c>
      <c r="AB133" s="170">
        <f t="shared" si="50"/>
        <v>52481331.359999992</v>
      </c>
      <c r="AD133" s="686">
        <f t="shared" si="51"/>
        <v>14.312832610920065</v>
      </c>
      <c r="AE133" s="687">
        <f t="shared" si="52"/>
        <v>-41.089042054940506</v>
      </c>
      <c r="AG133" s="686">
        <f t="shared" si="53"/>
        <v>32.307231177016433</v>
      </c>
      <c r="AH133" s="687">
        <f t="shared" si="54"/>
        <v>-59.606670116091934</v>
      </c>
      <c r="AJ133" s="170">
        <f t="shared" si="55"/>
        <v>0</v>
      </c>
      <c r="AK133" s="170">
        <f t="shared" si="65"/>
        <v>0</v>
      </c>
      <c r="AM133" s="170" t="str">
        <f t="shared" si="59"/>
        <v>0.040457316019635+0.281563203596913i</v>
      </c>
      <c r="AN133" s="170" t="str">
        <f t="shared" si="60"/>
        <v>0.28542283386696i</v>
      </c>
      <c r="AO133" s="170" t="str">
        <f t="shared" si="61"/>
        <v>0.98647750000322-0.141745197717758i</v>
      </c>
      <c r="AP133" s="170" t="str">
        <f t="shared" si="62"/>
        <v>0.159923780663394-0.0469272005994855i</v>
      </c>
      <c r="AQ133" s="170" t="str">
        <f t="shared" si="63"/>
        <v>0.840076219336606+0.0469272005994855i</v>
      </c>
      <c r="AR133" s="170" t="str">
        <f t="shared" si="64"/>
        <v>0.988492190961366-0.0552178127038284i</v>
      </c>
    </row>
    <row r="134" spans="7:44">
      <c r="G134" s="688">
        <v>7328.75</v>
      </c>
      <c r="H134" s="676">
        <f t="shared" si="56"/>
        <v>7.3287500000000003</v>
      </c>
      <c r="I134" s="677">
        <f t="shared" si="34"/>
        <v>2.6983598469647214</v>
      </c>
      <c r="J134" s="678">
        <f t="shared" si="35"/>
        <v>1.1911462409358118</v>
      </c>
      <c r="K134" s="678">
        <f t="shared" si="36"/>
        <v>1.0000424072721408</v>
      </c>
      <c r="L134" s="679">
        <f t="shared" si="37"/>
        <v>9.2093184924593331E-3</v>
      </c>
      <c r="M134" s="678">
        <f t="shared" si="38"/>
        <v>1.0018948109143457</v>
      </c>
      <c r="N134" s="679">
        <f t="shared" si="39"/>
        <v>-6.1511361883299032E-2</v>
      </c>
      <c r="O134" s="677">
        <f t="shared" si="40"/>
        <v>55257.473129898557</v>
      </c>
      <c r="P134" s="680">
        <f t="shared" si="41"/>
        <v>1.5707782296952029</v>
      </c>
      <c r="Q134" s="689">
        <f t="shared" si="42"/>
        <v>1.5883835332732967</v>
      </c>
      <c r="R134" s="690">
        <f t="shared" si="43"/>
        <v>0.88979557263420062</v>
      </c>
      <c r="S134" s="677">
        <f t="shared" si="44"/>
        <v>1.0004758125039723</v>
      </c>
      <c r="T134" s="680">
        <f t="shared" si="45"/>
        <v>3.0842305877729095E-2</v>
      </c>
      <c r="U134" s="681">
        <f t="shared" si="57"/>
        <v>0.98637901602863443</v>
      </c>
      <c r="V134" s="682">
        <f t="shared" si="58"/>
        <v>-0.20079556902327217</v>
      </c>
      <c r="W134" s="683">
        <f t="shared" si="46"/>
        <v>4.2966557051565415</v>
      </c>
      <c r="X134" s="684">
        <f t="shared" si="47"/>
        <v>-123.53364365426492</v>
      </c>
      <c r="Y134" s="687">
        <f t="shared" si="48"/>
        <v>56.466356345735079</v>
      </c>
      <c r="AA134" s="170">
        <f t="shared" si="49"/>
        <v>1000000000</v>
      </c>
      <c r="AB134" s="170">
        <f t="shared" si="50"/>
        <v>53710576.5625</v>
      </c>
      <c r="AD134" s="686">
        <f t="shared" si="51"/>
        <v>14.272605328553283</v>
      </c>
      <c r="AE134" s="687">
        <f t="shared" si="52"/>
        <v>-40.78456617504871</v>
      </c>
      <c r="AG134" s="686">
        <f t="shared" si="53"/>
        <v>32.223629196052165</v>
      </c>
      <c r="AH134" s="687">
        <f t="shared" si="54"/>
        <v>-59.739600153001462</v>
      </c>
      <c r="AJ134" s="170">
        <f t="shared" si="55"/>
        <v>0</v>
      </c>
      <c r="AK134" s="170">
        <f t="shared" si="65"/>
        <v>0</v>
      </c>
      <c r="AM134" s="170" t="str">
        <f t="shared" si="59"/>
        <v>0.041398336026734+0.284750504525779i</v>
      </c>
      <c r="AN134" s="170" t="str">
        <f t="shared" si="60"/>
        <v>0.288746147880085i</v>
      </c>
      <c r="AO134" s="170" t="str">
        <f t="shared" si="61"/>
        <v>0.986162089490574-0.143372773388224i</v>
      </c>
      <c r="AP134" s="170" t="str">
        <f t="shared" si="62"/>
        <v>0.159766943995544-0.0474584174209632i</v>
      </c>
      <c r="AQ134" s="170" t="str">
        <f t="shared" si="63"/>
        <v>0.840233056004456+0.0474584174209632i</v>
      </c>
      <c r="AR134" s="170" t="str">
        <f t="shared" si="64"/>
        <v>0.98823886198653-0.0558181472254832i</v>
      </c>
    </row>
    <row r="135" spans="7:44">
      <c r="G135" s="688">
        <v>7413.1</v>
      </c>
      <c r="H135" s="676">
        <f t="shared" si="56"/>
        <v>7.4131</v>
      </c>
      <c r="I135" s="677">
        <f t="shared" si="34"/>
        <v>2.7251721385404282</v>
      </c>
      <c r="J135" s="678">
        <f t="shared" si="35"/>
        <v>1.1950689123181577</v>
      </c>
      <c r="K135" s="678">
        <f t="shared" si="36"/>
        <v>1.0000433890385667</v>
      </c>
      <c r="L135" s="679">
        <f t="shared" si="37"/>
        <v>9.3153067350735738E-3</v>
      </c>
      <c r="M135" s="678">
        <f t="shared" si="38"/>
        <v>1.0019386359996982</v>
      </c>
      <c r="N135" s="679">
        <f t="shared" si="39"/>
        <v>-6.221750955325106E-2</v>
      </c>
      <c r="O135" s="677">
        <f t="shared" si="40"/>
        <v>55893.457145861605</v>
      </c>
      <c r="P135" s="680">
        <f t="shared" si="41"/>
        <v>1.5707784356131533</v>
      </c>
      <c r="Q135" s="689">
        <f t="shared" si="42"/>
        <v>1.5994439524814492</v>
      </c>
      <c r="R135" s="690">
        <f t="shared" si="43"/>
        <v>0.89538641965450083</v>
      </c>
      <c r="S135" s="677">
        <f t="shared" si="44"/>
        <v>1.0004868255495452</v>
      </c>
      <c r="T135" s="680">
        <f t="shared" si="45"/>
        <v>3.1197055383266968E-2</v>
      </c>
      <c r="U135" s="681">
        <f t="shared" si="57"/>
        <v>0.98607878294350615</v>
      </c>
      <c r="V135" s="682">
        <f t="shared" si="58"/>
        <v>-0.20307605304947721</v>
      </c>
      <c r="W135" s="683">
        <f t="shared" si="46"/>
        <v>4.169296830314142</v>
      </c>
      <c r="X135" s="684">
        <f t="shared" si="47"/>
        <v>-123.62345039067739</v>
      </c>
      <c r="Y135" s="687">
        <f t="shared" si="48"/>
        <v>56.376549609322609</v>
      </c>
      <c r="AA135" s="170">
        <f t="shared" si="49"/>
        <v>1000000000</v>
      </c>
      <c r="AB135" s="170">
        <f t="shared" si="50"/>
        <v>54954051.610000007</v>
      </c>
      <c r="AD135" s="686">
        <f t="shared" si="51"/>
        <v>14.233383689596826</v>
      </c>
      <c r="AE135" s="687">
        <f t="shared" si="52"/>
        <v>-40.484571684220583</v>
      </c>
      <c r="AG135" s="686">
        <f t="shared" si="53"/>
        <v>32.140780370320535</v>
      </c>
      <c r="AH135" s="687">
        <f t="shared" si="54"/>
        <v>-59.868077160046326</v>
      </c>
      <c r="AJ135" s="170">
        <f t="shared" si="55"/>
        <v>0</v>
      </c>
      <c r="AK135" s="170">
        <f t="shared" si="65"/>
        <v>0</v>
      </c>
      <c r="AM135" s="170" t="str">
        <f t="shared" si="59"/>
        <v>0.042349943219673+0.287934660554501i</v>
      </c>
      <c r="AN135" s="170" t="str">
        <f t="shared" si="60"/>
        <v>0.292069461893209i</v>
      </c>
      <c r="AO135" s="170" t="str">
        <f t="shared" si="61"/>
        <v>0.985843089133982-0.144999559163627i</v>
      </c>
      <c r="AP135" s="170" t="str">
        <f t="shared" si="62"/>
        <v>0.159608342796721-0.0479891100924168i</v>
      </c>
      <c r="AQ135" s="170" t="str">
        <f t="shared" si="63"/>
        <v>0.840391657203279+0.0479891100924168i</v>
      </c>
      <c r="AR135" s="170" t="str">
        <f t="shared" si="64"/>
        <v>0.987982910961488-0.0564170530218494i</v>
      </c>
    </row>
    <row r="136" spans="7:44">
      <c r="G136" s="688">
        <v>7499.45</v>
      </c>
      <c r="H136" s="676">
        <f t="shared" si="56"/>
        <v>7.4994499999999995</v>
      </c>
      <c r="I136" s="677">
        <f t="shared" si="34"/>
        <v>2.7526627488525572</v>
      </c>
      <c r="J136" s="678">
        <f t="shared" si="35"/>
        <v>1.1990053741958617</v>
      </c>
      <c r="K136" s="678">
        <f t="shared" si="36"/>
        <v>1.0000444057200695</v>
      </c>
      <c r="L136" s="679">
        <f t="shared" si="37"/>
        <v>9.4238078193819193E-3</v>
      </c>
      <c r="M136" s="678">
        <f t="shared" si="38"/>
        <v>1.0019840176846964</v>
      </c>
      <c r="N136" s="679">
        <f t="shared" si="39"/>
        <v>-6.2940336143107595E-2</v>
      </c>
      <c r="O136" s="677">
        <f t="shared" si="40"/>
        <v>56544.520806544606</v>
      </c>
      <c r="P136" s="680">
        <f t="shared" si="41"/>
        <v>1.5707786416153993</v>
      </c>
      <c r="Q136" s="689">
        <f t="shared" si="42"/>
        <v>1.6108176886266745</v>
      </c>
      <c r="R136" s="690">
        <f t="shared" si="43"/>
        <v>0.90103011930359755</v>
      </c>
      <c r="S136" s="677">
        <f t="shared" si="44"/>
        <v>1.0004982301414858</v>
      </c>
      <c r="T136" s="680">
        <f t="shared" si="45"/>
        <v>3.1560208121441197E-2</v>
      </c>
      <c r="U136" s="681">
        <f t="shared" si="57"/>
        <v>0.98576814512562028</v>
      </c>
      <c r="V136" s="682">
        <f t="shared" si="58"/>
        <v>-0.20540954578895457</v>
      </c>
      <c r="W136" s="683">
        <f t="shared" si="46"/>
        <v>4.0406382296965413</v>
      </c>
      <c r="X136" s="684">
        <f t="shared" si="47"/>
        <v>-123.71534933834316</v>
      </c>
      <c r="Y136" s="687">
        <f t="shared" si="48"/>
        <v>56.28465066165684</v>
      </c>
      <c r="AA136" s="170">
        <f t="shared" si="49"/>
        <v>1000000000</v>
      </c>
      <c r="AB136" s="170">
        <f t="shared" si="50"/>
        <v>56241750.302499995</v>
      </c>
      <c r="AD136" s="686">
        <f t="shared" si="51"/>
        <v>14.194240849229971</v>
      </c>
      <c r="AE136" s="687">
        <f t="shared" si="52"/>
        <v>-40.182030435417431</v>
      </c>
      <c r="AG136" s="686">
        <f t="shared" si="53"/>
        <v>32.05673798792175</v>
      </c>
      <c r="AH136" s="687">
        <f t="shared" si="54"/>
        <v>-59.995118785216754</v>
      </c>
      <c r="AJ136" s="170">
        <f t="shared" si="55"/>
        <v>0</v>
      </c>
      <c r="AK136" s="170">
        <f t="shared" si="65"/>
        <v>0</v>
      </c>
      <c r="AM136" s="170" t="str">
        <f t="shared" si="59"/>
        <v>0.043335069446257+0.291191020892818i</v>
      </c>
      <c r="AN136" s="170" t="str">
        <f t="shared" si="60"/>
        <v>0.295471574104629i</v>
      </c>
      <c r="AO136" s="170" t="str">
        <f t="shared" si="61"/>
        <v>0.985512808720154-0.146664089693148i</v>
      </c>
      <c r="AP136" s="170" t="str">
        <f t="shared" si="62"/>
        <v>0.159444155092291-0.0485318368154697i</v>
      </c>
      <c r="AQ136" s="170" t="str">
        <f t="shared" si="63"/>
        <v>0.840555844907709+0.0485318368154697i</v>
      </c>
      <c r="AR136" s="170" t="str">
        <f t="shared" si="64"/>
        <v>0.987718185721345-0.0570286651380829i</v>
      </c>
    </row>
    <row r="137" spans="7:44">
      <c r="G137" s="688">
        <v>7585.8</v>
      </c>
      <c r="H137" s="676">
        <f t="shared" si="56"/>
        <v>7.5857999999999999</v>
      </c>
      <c r="I137" s="677">
        <f t="shared" si="34"/>
        <v>2.7801951697710545</v>
      </c>
      <c r="J137" s="678">
        <f t="shared" si="35"/>
        <v>1.2028639288989276</v>
      </c>
      <c r="K137" s="678">
        <f t="shared" si="36"/>
        <v>1.0000454341745562</v>
      </c>
      <c r="L137" s="679">
        <f t="shared" si="37"/>
        <v>9.5323086818008742E-3</v>
      </c>
      <c r="M137" s="678">
        <f t="shared" si="38"/>
        <v>1.0020299228370004</v>
      </c>
      <c r="N137" s="679">
        <f t="shared" si="39"/>
        <v>-6.3663096882071585E-2</v>
      </c>
      <c r="O137" s="677">
        <f t="shared" si="40"/>
        <v>57195.584467229943</v>
      </c>
      <c r="P137" s="680">
        <f t="shared" si="41"/>
        <v>1.5707788429277525</v>
      </c>
      <c r="Q137" s="689">
        <f t="shared" si="42"/>
        <v>1.622242011102369</v>
      </c>
      <c r="R137" s="690">
        <f t="shared" si="43"/>
        <v>0.90659450481092718</v>
      </c>
      <c r="S137" s="677">
        <f t="shared" si="44"/>
        <v>1.0005097666760259</v>
      </c>
      <c r="T137" s="680">
        <f t="shared" si="45"/>
        <v>3.1923352532726948E-2</v>
      </c>
      <c r="U137" s="681">
        <f t="shared" si="57"/>
        <v>0.98545419196938122</v>
      </c>
      <c r="V137" s="682">
        <f t="shared" si="58"/>
        <v>-0.20774195177507773</v>
      </c>
      <c r="W137" s="683">
        <f t="shared" si="46"/>
        <v>3.9136781823000106</v>
      </c>
      <c r="X137" s="684">
        <f t="shared" si="47"/>
        <v>-123.80726212683528</v>
      </c>
      <c r="Y137" s="687">
        <f t="shared" si="48"/>
        <v>56.192737873164717</v>
      </c>
      <c r="AA137" s="170">
        <f t="shared" si="49"/>
        <v>1000000000</v>
      </c>
      <c r="AB137" s="170">
        <f t="shared" si="50"/>
        <v>57544361.640000001</v>
      </c>
      <c r="AD137" s="686">
        <f t="shared" si="51"/>
        <v>14.156086289371819</v>
      </c>
      <c r="AE137" s="687">
        <f t="shared" si="52"/>
        <v>-39.884032806391815</v>
      </c>
      <c r="AG137" s="686">
        <f t="shared" si="53"/>
        <v>31.973466046626946</v>
      </c>
      <c r="AH137" s="687">
        <f t="shared" si="54"/>
        <v>-60.11775516419727</v>
      </c>
      <c r="AJ137" s="170">
        <f t="shared" si="55"/>
        <v>0</v>
      </c>
      <c r="AK137" s="170">
        <f t="shared" si="65"/>
        <v>0</v>
      </c>
      <c r="AM137" s="170" t="str">
        <f t="shared" si="59"/>
        <v>0.044331268453641+0.294444010882498i</v>
      </c>
      <c r="AN137" s="170" t="str">
        <f t="shared" si="60"/>
        <v>0.29887368631605i</v>
      </c>
      <c r="AO137" s="170" t="str">
        <f t="shared" si="61"/>
        <v>0.985178770710287-0.148327773515538i</v>
      </c>
      <c r="AP137" s="170" t="str">
        <f t="shared" si="62"/>
        <v>0.159278121924393-0.0490740018137497i</v>
      </c>
      <c r="AQ137" s="170" t="str">
        <f t="shared" si="63"/>
        <v>0.840721878075607+0.0490740018137497i</v>
      </c>
      <c r="AR137" s="170" t="str">
        <f t="shared" si="64"/>
        <v>0.98745073426817-0.0576387511591637i</v>
      </c>
    </row>
    <row r="138" spans="7:44">
      <c r="G138" s="688">
        <v>7674.15</v>
      </c>
      <c r="H138" s="676">
        <f t="shared" si="56"/>
        <v>7.67415</v>
      </c>
      <c r="I138" s="677">
        <f t="shared" si="34"/>
        <v>2.8084072761337735</v>
      </c>
      <c r="J138" s="678">
        <f t="shared" si="35"/>
        <v>1.2067334907775105</v>
      </c>
      <c r="K138" s="678">
        <f t="shared" si="36"/>
        <v>1.0000464986347695</v>
      </c>
      <c r="L138" s="679">
        <f t="shared" si="37"/>
        <v>9.6433223602460545E-3</v>
      </c>
      <c r="M138" s="678">
        <f t="shared" si="38"/>
        <v>1.0020774329430178</v>
      </c>
      <c r="N138" s="679">
        <f t="shared" si="39"/>
        <v>-6.4402528946887638E-2</v>
      </c>
      <c r="O138" s="677">
        <f t="shared" si="40"/>
        <v>57861.727772635299</v>
      </c>
      <c r="P138" s="680">
        <f t="shared" si="41"/>
        <v>1.5707790442138445</v>
      </c>
      <c r="Q138" s="689">
        <f t="shared" si="42"/>
        <v>1.6339821892922046</v>
      </c>
      <c r="R138" s="690">
        <f t="shared" si="43"/>
        <v>0.912207058822466</v>
      </c>
      <c r="S138" s="677">
        <f t="shared" si="44"/>
        <v>1.0005217069718315</v>
      </c>
      <c r="T138" s="680">
        <f t="shared" si="45"/>
        <v>3.2294899214101898E-2</v>
      </c>
      <c r="U138" s="681">
        <f t="shared" si="57"/>
        <v>0.98512954546403364</v>
      </c>
      <c r="V138" s="682">
        <f t="shared" si="58"/>
        <v>-0.21012724351288914</v>
      </c>
      <c r="W138" s="683">
        <f t="shared" si="46"/>
        <v>3.7854931281610926</v>
      </c>
      <c r="X138" s="684">
        <f t="shared" si="47"/>
        <v>-123.90136849436985</v>
      </c>
      <c r="Y138" s="687">
        <f t="shared" si="48"/>
        <v>56.098631505630152</v>
      </c>
      <c r="AA138" s="170">
        <f t="shared" si="49"/>
        <v>1000000000</v>
      </c>
      <c r="AB138" s="170">
        <f t="shared" si="50"/>
        <v>58892578.222499996</v>
      </c>
      <c r="AD138" s="686">
        <f t="shared" si="51"/>
        <v>14.11803820717568</v>
      </c>
      <c r="AE138" s="687">
        <f t="shared" si="52"/>
        <v>-39.58375673847673</v>
      </c>
      <c r="AG138" s="686">
        <f t="shared" si="53"/>
        <v>31.889052949673655</v>
      </c>
      <c r="AH138" s="687">
        <f t="shared" si="54"/>
        <v>-60.238803300366548</v>
      </c>
      <c r="AJ138" s="170">
        <f t="shared" si="55"/>
        <v>0</v>
      </c>
      <c r="AK138" s="170">
        <f t="shared" si="65"/>
        <v>0</v>
      </c>
      <c r="AM138" s="170" t="str">
        <f t="shared" si="59"/>
        <v>0.045361989394021+0.297768817551903i</v>
      </c>
      <c r="AN138" s="170" t="str">
        <f t="shared" si="60"/>
        <v>0.302354596725765i</v>
      </c>
      <c r="AO138" s="170" t="str">
        <f t="shared" si="61"/>
        <v>0.984833109125768-0.150029104519169i</v>
      </c>
      <c r="AP138" s="170" t="str">
        <f t="shared" si="62"/>
        <v>0.159106335100997-0.0496281362586505i</v>
      </c>
      <c r="AQ138" s="170" t="str">
        <f t="shared" si="63"/>
        <v>0.840893664899003+0.0496281362586505i</v>
      </c>
      <c r="AR138" s="170" t="str">
        <f t="shared" si="64"/>
        <v>0.987174278134946-0.0582613731454384i</v>
      </c>
    </row>
    <row r="139" spans="7:44">
      <c r="G139" s="688">
        <v>7762.5</v>
      </c>
      <c r="H139" s="676">
        <f t="shared" si="56"/>
        <v>7.7625000000000002</v>
      </c>
      <c r="I139" s="677">
        <f t="shared" si="34"/>
        <v>2.8366605973919699</v>
      </c>
      <c r="J139" s="678">
        <f t="shared" si="35"/>
        <v>1.2105260263369793</v>
      </c>
      <c r="K139" s="678">
        <f t="shared" si="36"/>
        <v>1.0000475754195666</v>
      </c>
      <c r="L139" s="679">
        <f t="shared" si="37"/>
        <v>9.7543358009950579E-3</v>
      </c>
      <c r="M139" s="678">
        <f t="shared" si="38"/>
        <v>1.0021254908925448</v>
      </c>
      <c r="N139" s="679">
        <f t="shared" si="39"/>
        <v>-6.5141890495487756E-2</v>
      </c>
      <c r="O139" s="677">
        <f t="shared" si="40"/>
        <v>58527.871078042954</v>
      </c>
      <c r="P139" s="680">
        <f t="shared" si="41"/>
        <v>1.5707792409180037</v>
      </c>
      <c r="Q139" s="689">
        <f t="shared" si="42"/>
        <v>1.6457731038790406</v>
      </c>
      <c r="R139" s="690">
        <f t="shared" si="43"/>
        <v>0.91773936429547376</v>
      </c>
      <c r="S139" s="677">
        <f t="shared" si="44"/>
        <v>1.0005337853832859</v>
      </c>
      <c r="T139" s="680">
        <f t="shared" si="45"/>
        <v>3.2666436976166474E-2</v>
      </c>
      <c r="U139" s="681">
        <f t="shared" si="57"/>
        <v>0.98480144805751779</v>
      </c>
      <c r="V139" s="682">
        <f t="shared" si="58"/>
        <v>-0.21251137408785287</v>
      </c>
      <c r="W139" s="683">
        <f t="shared" si="46"/>
        <v>3.6590013808350905</v>
      </c>
      <c r="X139" s="684">
        <f t="shared" si="47"/>
        <v>-123.99558815152048</v>
      </c>
      <c r="Y139" s="687">
        <f t="shared" si="48"/>
        <v>56.004411848479521</v>
      </c>
      <c r="AA139" s="170">
        <f t="shared" si="49"/>
        <v>1000000000</v>
      </c>
      <c r="AB139" s="170">
        <f t="shared" si="50"/>
        <v>60256406.25</v>
      </c>
      <c r="AD139" s="686">
        <f t="shared" si="51"/>
        <v>14.080959606348911</v>
      </c>
      <c r="AE139" s="687">
        <f t="shared" si="52"/>
        <v>-39.288077799572562</v>
      </c>
      <c r="AG139" s="686">
        <f t="shared" si="53"/>
        <v>31.805426438136266</v>
      </c>
      <c r="AH139" s="687">
        <f t="shared" si="54"/>
        <v>-60.355500656602125</v>
      </c>
      <c r="AJ139" s="170">
        <f t="shared" si="55"/>
        <v>0</v>
      </c>
      <c r="AK139" s="170">
        <f t="shared" si="65"/>
        <v>0</v>
      </c>
      <c r="AM139" s="170" t="str">
        <f t="shared" si="59"/>
        <v>0.046404277420694+0.301090016238419i</v>
      </c>
      <c r="AN139" s="170" t="str">
        <f t="shared" si="60"/>
        <v>0.305835507135481i</v>
      </c>
      <c r="AO139" s="170" t="str">
        <f t="shared" si="61"/>
        <v>0.984483518799013-0.15172952890698i</v>
      </c>
      <c r="AP139" s="170" t="str">
        <f t="shared" si="62"/>
        <v>0.158932620429884-0.0501816693730698i</v>
      </c>
      <c r="AQ139" s="170" t="str">
        <f t="shared" si="63"/>
        <v>0.841067379570116+0.0501816693730698i</v>
      </c>
      <c r="AR139" s="170" t="str">
        <f t="shared" si="64"/>
        <v>0.986894991633064-0.0588823670719241i</v>
      </c>
    </row>
    <row r="140" spans="7:44">
      <c r="G140" s="688">
        <v>7852.9</v>
      </c>
      <c r="H140" s="676">
        <f t="shared" si="56"/>
        <v>7.8529</v>
      </c>
      <c r="I140" s="677">
        <f t="shared" si="34"/>
        <v>2.8656108741137896</v>
      </c>
      <c r="J140" s="678">
        <f t="shared" si="35"/>
        <v>1.2143290971930831</v>
      </c>
      <c r="K140" s="678">
        <f t="shared" si="36"/>
        <v>1.000048689945997</v>
      </c>
      <c r="L140" s="679">
        <f t="shared" si="37"/>
        <v>9.8679248565082672E-3</v>
      </c>
      <c r="M140" s="678">
        <f t="shared" si="38"/>
        <v>1.0021752309151368</v>
      </c>
      <c r="N140" s="679">
        <f t="shared" si="39"/>
        <v>-6.5898333753181895E-2</v>
      </c>
      <c r="O140" s="677">
        <f t="shared" si="40"/>
        <v>59209.471019288605</v>
      </c>
      <c r="P140" s="680">
        <f t="shared" si="41"/>
        <v>1.5707794376049946</v>
      </c>
      <c r="Q140" s="689">
        <f t="shared" si="42"/>
        <v>1.6578889918004049</v>
      </c>
      <c r="R140" s="690">
        <f t="shared" si="43"/>
        <v>0.92331841022641559</v>
      </c>
      <c r="S140" s="677">
        <f t="shared" si="44"/>
        <v>1.0005462870068571</v>
      </c>
      <c r="T140" s="680">
        <f t="shared" si="45"/>
        <v>3.3046586252993303E-2</v>
      </c>
      <c r="U140" s="681">
        <f t="shared" si="57"/>
        <v>0.98446217639354761</v>
      </c>
      <c r="V140" s="682">
        <f t="shared" si="58"/>
        <v>-0.21494960984820066</v>
      </c>
      <c r="W140" s="683">
        <f t="shared" si="46"/>
        <v>3.5312846304194241</v>
      </c>
      <c r="X140" s="684">
        <f t="shared" si="47"/>
        <v>-124.0921579449568</v>
      </c>
      <c r="Y140" s="687">
        <f t="shared" si="48"/>
        <v>55.907842055043204</v>
      </c>
      <c r="AA140" s="170">
        <f t="shared" si="49"/>
        <v>1000000000</v>
      </c>
      <c r="AB140" s="170">
        <f t="shared" si="50"/>
        <v>61668038.409999996</v>
      </c>
      <c r="AD140" s="686">
        <f t="shared" si="51"/>
        <v>14.043991745029086</v>
      </c>
      <c r="AE140" s="687">
        <f t="shared" si="52"/>
        <v>-38.9902142321612</v>
      </c>
      <c r="AG140" s="686">
        <f t="shared" si="53"/>
        <v>31.720663291575114</v>
      </c>
      <c r="AH140" s="687">
        <f t="shared" si="54"/>
        <v>-60.470532780078948</v>
      </c>
      <c r="AJ140" s="170">
        <f t="shared" si="55"/>
        <v>0</v>
      </c>
      <c r="AK140" s="170">
        <f t="shared" si="65"/>
        <v>0</v>
      </c>
      <c r="AM140" s="170" t="str">
        <f t="shared" si="59"/>
        <v>0.047482709448466+0.304484500755562i</v>
      </c>
      <c r="AN140" s="170" t="str">
        <f t="shared" si="60"/>
        <v>0.30939718569845i</v>
      </c>
      <c r="AO140" s="170" t="str">
        <f t="shared" si="61"/>
        <v>0.984121752976525-0.153468459453747i</v>
      </c>
      <c r="AP140" s="170" t="str">
        <f t="shared" si="62"/>
        <v>0.158752881758589-0.0507474167925937i</v>
      </c>
      <c r="AQ140" s="170" t="str">
        <f t="shared" si="63"/>
        <v>0.841247118241411+0.0507474167925937i</v>
      </c>
      <c r="AR140" s="170" t="str">
        <f t="shared" si="64"/>
        <v>0.986606307760263-0.0595160689700505i</v>
      </c>
    </row>
    <row r="141" spans="7:44">
      <c r="G141" s="688">
        <v>7943.3</v>
      </c>
      <c r="H141" s="676">
        <f t="shared" si="56"/>
        <v>7.9432999999999998</v>
      </c>
      <c r="I141" s="677">
        <f t="shared" ref="I141:I204" si="66">SQRT(1+(G141/pole1)^2)</f>
        <v>2.894601767768664</v>
      </c>
      <c r="J141" s="678">
        <f t="shared" ref="J141:J204" si="67">ATAN(G141/pole1)</f>
        <v>1.2180560417199775</v>
      </c>
      <c r="K141" s="678">
        <f t="shared" ref="K141:K204" si="68">SQRT(1+(G141/Zero1)^2)</f>
        <v>1.0000498173755006</v>
      </c>
      <c r="L141" s="679">
        <f t="shared" ref="L141:L204" si="69">ATAN(G141/Zero1)</f>
        <v>9.9815136573725063E-3</v>
      </c>
      <c r="M141" s="678">
        <f t="shared" ref="M141:M204" si="70">SQRT(1+(G141/z_RHP)^2)</f>
        <v>1.0022255443317005</v>
      </c>
      <c r="N141" s="679">
        <f t="shared" ref="N141:N204" si="71">-ATAN(G141/z_RHP)</f>
        <v>-6.665470149417789E-2</v>
      </c>
      <c r="O141" s="677">
        <f t="shared" ref="O141:O204" si="72">SQRT(1+(G141/Pole2)^2)</f>
        <v>59891.070960536505</v>
      </c>
      <c r="P141" s="680">
        <f t="shared" ref="P141:P204" si="73">ATAN(G141/Pole2)</f>
        <v>1.5707796298151298</v>
      </c>
      <c r="Q141" s="689">
        <f t="shared" ref="Q141:Q147" si="74">SQRT(1+(G141/Zero2)^2)</f>
        <v>1.6700557330993573</v>
      </c>
      <c r="R141" s="690">
        <f t="shared" ref="R141:R147" si="75">ATAN(G141/Zero2)</f>
        <v>0.92881633594313684</v>
      </c>
      <c r="S141" s="677">
        <f t="shared" ref="S141:S204" si="76">SQRT(1+(G141/pole4)^2)</f>
        <v>1.0005589332192213</v>
      </c>
      <c r="T141" s="680">
        <f t="shared" ref="T141:T204" si="77">ATAN(G141/pole4)</f>
        <v>3.3426725975228423E-2</v>
      </c>
      <c r="U141" s="681">
        <f t="shared" si="57"/>
        <v>0.98411931340678593</v>
      </c>
      <c r="V141" s="682">
        <f t="shared" si="58"/>
        <v>-0.21738660499108839</v>
      </c>
      <c r="W141" s="683">
        <f t="shared" ref="W141:W204" si="78">20*LOG10(((K141*Q141*M141*U141)/(I141*O141*S141))*Adc)</f>
        <v>3.4052553422357699</v>
      </c>
      <c r="X141" s="684">
        <f t="shared" ref="X141:X204" si="79">((L141+R141+N141+V141)-(J141+P141+T141))*radconv</f>
        <v>-124.18893766864289</v>
      </c>
      <c r="Y141" s="687">
        <f t="shared" ref="Y141:Y204" si="80">IF(X141&gt;0,X141,X141+180)</f>
        <v>55.811062331357107</v>
      </c>
      <c r="AA141" s="170">
        <f t="shared" ref="AA141:AA204" si="81">IF(W141&lt;0,G141,1000000000)</f>
        <v>1000000000</v>
      </c>
      <c r="AB141" s="170">
        <f t="shared" ref="AB141:AB204" si="82">G141^2</f>
        <v>63096014.890000001</v>
      </c>
      <c r="AD141" s="686">
        <f t="shared" ref="AD141:AD204" si="83">20*LOG10((Q141/(O141*S141))*Aea)</f>
        <v>14.007974336891717</v>
      </c>
      <c r="AE141" s="687">
        <f t="shared" ref="AE141:AE204" si="84">(R141-(P141+T141))*radconv</f>
        <v>-38.696997706720445</v>
      </c>
      <c r="AG141" s="686">
        <f t="shared" ref="AG141:AG204" si="85">20*LOG10((K141*M141/(I141*U141))*Acs*Am)</f>
        <v>31.636702611562015</v>
      </c>
      <c r="AH141" s="687">
        <f t="shared" ref="AH141:AH204" si="86">(L141+N141-(J141+V141))*radconv</f>
        <v>-60.581269956124004</v>
      </c>
      <c r="AJ141" s="170">
        <f t="shared" ref="AJ141:AJ204" si="87">SUM((W142&lt;0)*(W141&gt;0))*G141</f>
        <v>0</v>
      </c>
      <c r="AK141" s="170">
        <f t="shared" si="65"/>
        <v>0</v>
      </c>
      <c r="AM141" s="170" t="str">
        <f t="shared" si="59"/>
        <v>0.048573224673166+0.307875122722156i</v>
      </c>
      <c r="AN141" s="170" t="str">
        <f t="shared" si="60"/>
        <v>0.31295886426142i</v>
      </c>
      <c r="AO141" s="170" t="str">
        <f t="shared" si="61"/>
        <v>0.983755879382865-0.155206419181634i</v>
      </c>
      <c r="AP141" s="170" t="str">
        <f t="shared" si="62"/>
        <v>0.158571129221139-0.0513125204536927i</v>
      </c>
      <c r="AQ141" s="170" t="str">
        <f t="shared" si="63"/>
        <v>0.841428870778861+0.0513125204536927i</v>
      </c>
      <c r="AR141" s="170" t="str">
        <f t="shared" si="64"/>
        <v>0.986314686344693-0.0601480342242032i</v>
      </c>
    </row>
    <row r="142" spans="7:44">
      <c r="G142" s="688">
        <v>8035.8</v>
      </c>
      <c r="H142" s="676">
        <f t="shared" ref="H142:H205" si="88">G142/1000</f>
        <v>8.0358000000000001</v>
      </c>
      <c r="I142" s="677">
        <f t="shared" si="66"/>
        <v>2.9243069055318043</v>
      </c>
      <c r="J142" s="678">
        <f t="shared" si="67"/>
        <v>1.2217930193920665</v>
      </c>
      <c r="K142" s="678">
        <f t="shared" si="68"/>
        <v>1.0000509843514094</v>
      </c>
      <c r="L142" s="679">
        <f t="shared" si="69"/>
        <v>1.0097740869485314E-2</v>
      </c>
      <c r="M142" s="678">
        <f t="shared" si="70"/>
        <v>1.0022776199719743</v>
      </c>
      <c r="N142" s="679">
        <f t="shared" si="71"/>
        <v>-6.7428560665453968E-2</v>
      </c>
      <c r="O142" s="677">
        <f t="shared" si="72"/>
        <v>60588.504528740406</v>
      </c>
      <c r="P142" s="680">
        <f t="shared" si="73"/>
        <v>1.5707798220138689</v>
      </c>
      <c r="Q142" s="689">
        <f t="shared" si="74"/>
        <v>1.6825565971808452</v>
      </c>
      <c r="R142" s="690">
        <f t="shared" si="75"/>
        <v>0.93435950306326832</v>
      </c>
      <c r="S142" s="677">
        <f t="shared" si="76"/>
        <v>1.0005720228645203</v>
      </c>
      <c r="T142" s="680">
        <f t="shared" si="77"/>
        <v>3.3815686372527583E-2</v>
      </c>
      <c r="U142" s="681">
        <f t="shared" ref="U142:U205" si="89">IMABS(IMPRODUCT(AO142, AR142))</f>
        <v>0.98376477978481991</v>
      </c>
      <c r="V142" s="682">
        <f t="shared" ref="V142:V205" si="90">IMARGUMENT(IMPRODUCT(AO142, AR142))</f>
        <v>-0.21987891449292707</v>
      </c>
      <c r="W142" s="683">
        <f t="shared" si="78"/>
        <v>3.2780021822089163</v>
      </c>
      <c r="X142" s="684">
        <f t="shared" si="79"/>
        <v>-124.28822578915067</v>
      </c>
      <c r="Y142" s="687">
        <f t="shared" si="80"/>
        <v>55.711774210849327</v>
      </c>
      <c r="AA142" s="170">
        <f t="shared" si="81"/>
        <v>1000000000</v>
      </c>
      <c r="AB142" s="170">
        <f t="shared" si="82"/>
        <v>64574081.640000001</v>
      </c>
      <c r="AD142" s="686">
        <f t="shared" si="83"/>
        <v>13.972071966750818</v>
      </c>
      <c r="AE142" s="687">
        <f t="shared" si="84"/>
        <v>-38.401694426603356</v>
      </c>
      <c r="AG142" s="686">
        <f t="shared" si="85"/>
        <v>31.551611214609515</v>
      </c>
      <c r="AH142" s="687">
        <f t="shared" si="86"/>
        <v>-60.690263725031137</v>
      </c>
      <c r="AJ142" s="170">
        <f t="shared" si="87"/>
        <v>0</v>
      </c>
      <c r="AK142" s="170">
        <f t="shared" si="65"/>
        <v>0</v>
      </c>
      <c r="AM142" s="170" t="str">
        <f t="shared" ref="AM142:AM205" si="91">IMSUB(1,IMEXP(COMPLEX(0,-2*Pi*G142*Tsw)))</f>
        <v>0.049701565729485+0.311340466086577i</v>
      </c>
      <c r="AN142" s="170" t="str">
        <f t="shared" ref="AN142:AN205" si="92">COMPLEX(0, 2*Pi*G142*Tsw)</f>
        <v>0.316603280932599i</v>
      </c>
      <c r="AO142" s="170" t="str">
        <f t="shared" ref="AO142:AO205" si="93">IMDIV(AM142, AN142)</f>
        <v>0.983377257397587-0.156983735554105i</v>
      </c>
      <c r="AP142" s="170" t="str">
        <f t="shared" ref="AP142:AP205" si="94">IMDIV(IMEXP(COMPLEX(0,-2*Pi*G142*Tsw)),6)</f>
        <v>0.158383072378419-0.0518900776810962i</v>
      </c>
      <c r="AQ142" s="170" t="str">
        <f t="shared" ref="AQ142:AQ205" si="95">IMSUB(1, AP142)</f>
        <v>0.841616927621581+0.0518900776810962i</v>
      </c>
      <c r="AR142" s="170" t="str">
        <f t="shared" ref="AR142:AR205" si="96">IMDIV(0.833, AQ142)</f>
        <v>0.986013263566575-0.0607928656873046i</v>
      </c>
    </row>
    <row r="143" spans="7:44">
      <c r="G143" s="688">
        <v>8128.3</v>
      </c>
      <c r="H143" s="676">
        <f t="shared" si="88"/>
        <v>8.1282999999999994</v>
      </c>
      <c r="I143" s="677">
        <f t="shared" si="66"/>
        <v>2.9540520596078448</v>
      </c>
      <c r="J143" s="678">
        <f t="shared" si="67"/>
        <v>1.2254547900563271</v>
      </c>
      <c r="K143" s="678">
        <f t="shared" si="68"/>
        <v>1.0000521648367402</v>
      </c>
      <c r="L143" s="679">
        <f t="shared" si="69"/>
        <v>1.0213967808773474E-2</v>
      </c>
      <c r="M143" s="678">
        <f t="shared" si="70"/>
        <v>1.002330295771658</v>
      </c>
      <c r="N143" s="679">
        <f t="shared" si="71"/>
        <v>-6.8202338962312661E-2</v>
      </c>
      <c r="O143" s="677">
        <f t="shared" si="72"/>
        <v>61285.938096946491</v>
      </c>
      <c r="P143" s="680">
        <f t="shared" si="73"/>
        <v>1.5707800098381672</v>
      </c>
      <c r="Q143" s="689">
        <f t="shared" si="74"/>
        <v>1.6951083972261922</v>
      </c>
      <c r="R143" s="690">
        <f t="shared" si="75"/>
        <v>0.93982074474708155</v>
      </c>
      <c r="S143" s="677">
        <f t="shared" si="76"/>
        <v>1.0005852638825772</v>
      </c>
      <c r="T143" s="680">
        <f t="shared" si="77"/>
        <v>3.4204636534231475E-2</v>
      </c>
      <c r="U143" s="681">
        <f t="shared" si="89"/>
        <v>0.98340650957364273</v>
      </c>
      <c r="V143" s="682">
        <f t="shared" si="90"/>
        <v>-0.22236989858307399</v>
      </c>
      <c r="W143" s="683">
        <f t="shared" si="78"/>
        <v>3.1524300219053396</v>
      </c>
      <c r="X143" s="684">
        <f t="shared" si="79"/>
        <v>-124.3878174515357</v>
      </c>
      <c r="Y143" s="687">
        <f t="shared" si="80"/>
        <v>55.612182548464304</v>
      </c>
      <c r="AA143" s="170">
        <f t="shared" si="81"/>
        <v>1000000000</v>
      </c>
      <c r="AB143" s="170">
        <f t="shared" si="82"/>
        <v>66069260.890000001</v>
      </c>
      <c r="AD143" s="686">
        <f t="shared" si="83"/>
        <v>13.937100793762937</v>
      </c>
      <c r="AE143" s="687">
        <f t="shared" si="84"/>
        <v>-38.111084291134013</v>
      </c>
      <c r="AG143" s="686">
        <f t="shared" si="85"/>
        <v>31.467337882777883</v>
      </c>
      <c r="AH143" s="687">
        <f t="shared" si="86"/>
        <v>-60.795019772160018</v>
      </c>
      <c r="AJ143" s="170">
        <f t="shared" si="87"/>
        <v>0</v>
      </c>
      <c r="AK143" s="170">
        <f t="shared" si="65"/>
        <v>0</v>
      </c>
      <c r="AM143" s="170" t="str">
        <f t="shared" si="91"/>
        <v>0.0508425284198+0.31480167430222i</v>
      </c>
      <c r="AN143" s="170" t="str">
        <f t="shared" si="92"/>
        <v>0.320247697603779i</v>
      </c>
      <c r="AO143" s="170" t="str">
        <f t="shared" si="93"/>
        <v>0.982994340498594-0.158760012328657i</v>
      </c>
      <c r="AP143" s="170" t="str">
        <f t="shared" si="94"/>
        <v>0.158192911930033-0.0524669457170367i</v>
      </c>
      <c r="AQ143" s="170" t="str">
        <f t="shared" si="95"/>
        <v>0.841807088069967+0.0524669457170367i</v>
      </c>
      <c r="AR143" s="170" t="str">
        <f t="shared" si="96"/>
        <v>0.985708793163262-0.0614358449538312i</v>
      </c>
    </row>
    <row r="144" spans="7:44">
      <c r="G144" s="688">
        <v>8222.9500000000007</v>
      </c>
      <c r="H144" s="676">
        <f t="shared" si="88"/>
        <v>8.2229500000000009</v>
      </c>
      <c r="I144" s="677">
        <f t="shared" si="66"/>
        <v>2.9845287617166165</v>
      </c>
      <c r="J144" s="678">
        <f t="shared" si="67"/>
        <v>1.2291260675589442</v>
      </c>
      <c r="K144" s="678">
        <f t="shared" si="68"/>
        <v>1.0000533867444041</v>
      </c>
      <c r="L144" s="679">
        <f t="shared" si="69"/>
        <v>1.0332895953397944E-2</v>
      </c>
      <c r="M144" s="678">
        <f t="shared" si="70"/>
        <v>1.0023848170750651</v>
      </c>
      <c r="N144" s="679">
        <f t="shared" si="71"/>
        <v>-6.8994017707223909E-2</v>
      </c>
      <c r="O144" s="677">
        <f t="shared" si="72"/>
        <v>61999.582283226584</v>
      </c>
      <c r="P144" s="680">
        <f t="shared" si="73"/>
        <v>1.5707801976539699</v>
      </c>
      <c r="Q144" s="689">
        <f t="shared" si="74"/>
        <v>1.7080034959663803</v>
      </c>
      <c r="R144" s="690">
        <f t="shared" si="75"/>
        <v>0.94532566767677706</v>
      </c>
      <c r="S144" s="677">
        <f t="shared" si="76"/>
        <v>1.000598969349807</v>
      </c>
      <c r="T144" s="680">
        <f t="shared" si="77"/>
        <v>3.4602616441595922E-2</v>
      </c>
      <c r="U144" s="681">
        <f t="shared" si="89"/>
        <v>0.98303605669847727</v>
      </c>
      <c r="V144" s="682">
        <f t="shared" si="90"/>
        <v>-0.22491739536642463</v>
      </c>
      <c r="W144" s="683">
        <f t="shared" si="78"/>
        <v>3.0256361064889092</v>
      </c>
      <c r="X144" s="684">
        <f t="shared" si="79"/>
        <v>-124.49007722170377</v>
      </c>
      <c r="Y144" s="687">
        <f t="shared" si="80"/>
        <v>55.509922778296229</v>
      </c>
      <c r="AA144" s="170">
        <f t="shared" si="81"/>
        <v>1000000000</v>
      </c>
      <c r="AB144" s="170">
        <f t="shared" si="82"/>
        <v>67616906.702500015</v>
      </c>
      <c r="AD144" s="686">
        <f t="shared" si="83"/>
        <v>13.902248913612773</v>
      </c>
      <c r="AE144" s="687">
        <f t="shared" si="84"/>
        <v>-37.81848877045914</v>
      </c>
      <c r="AG144" s="686">
        <f t="shared" si="85"/>
        <v>31.381941094005043</v>
      </c>
      <c r="AH144" s="687">
        <f t="shared" si="86"/>
        <v>-60.897953434651114</v>
      </c>
      <c r="AJ144" s="170">
        <f t="shared" si="87"/>
        <v>0</v>
      </c>
      <c r="AK144" s="170">
        <f t="shared" si="65"/>
        <v>0</v>
      </c>
      <c r="AM144" s="170" t="str">
        <f t="shared" si="91"/>
        <v>0.052023060069449+0.318339003830679i</v>
      </c>
      <c r="AN144" s="170" t="str">
        <f t="shared" si="92"/>
        <v>0.323976822338126i</v>
      </c>
      <c r="AO144" s="170" t="str">
        <f t="shared" si="93"/>
        <v>0.982598080730717-0.160576487212884i</v>
      </c>
      <c r="AP144" s="170" t="str">
        <f t="shared" si="94"/>
        <v>0.157996156655092-0.0530565006384465i</v>
      </c>
      <c r="AQ144" s="170" t="str">
        <f t="shared" si="95"/>
        <v>0.842003843344908+0.0530565006384465i</v>
      </c>
      <c r="AR144" s="170" t="str">
        <f t="shared" si="96"/>
        <v>0.985394106117267-0.0620918341805196i</v>
      </c>
    </row>
    <row r="145" spans="7:44">
      <c r="G145" s="688">
        <v>8270.2750000000015</v>
      </c>
      <c r="H145" s="676">
        <f t="shared" si="88"/>
        <v>8.2702750000000016</v>
      </c>
      <c r="I145" s="677">
        <f t="shared" si="66"/>
        <v>2.9997819676973965</v>
      </c>
      <c r="J145" s="678">
        <f t="shared" si="67"/>
        <v>1.2309337200031472</v>
      </c>
      <c r="K145" s="678">
        <f t="shared" si="68"/>
        <v>1.0000540030024734</v>
      </c>
      <c r="L145" s="679">
        <f t="shared" si="69"/>
        <v>1.0392359916306132E-2</v>
      </c>
      <c r="M145" s="678">
        <f t="shared" si="70"/>
        <v>1.0024123133012321</v>
      </c>
      <c r="N145" s="679">
        <f t="shared" si="71"/>
        <v>-6.9389824661030261E-2</v>
      </c>
      <c r="O145" s="677">
        <f t="shared" si="72"/>
        <v>62356.404376367449</v>
      </c>
      <c r="P145" s="680">
        <f t="shared" si="73"/>
        <v>1.5707802899497634</v>
      </c>
      <c r="Q145" s="689">
        <f t="shared" si="74"/>
        <v>1.7144702360608692</v>
      </c>
      <c r="R145" s="690">
        <f t="shared" si="75"/>
        <v>0.9480470346843658</v>
      </c>
      <c r="S145" s="677">
        <f t="shared" si="76"/>
        <v>1.0006058815132768</v>
      </c>
      <c r="T145" s="680">
        <f t="shared" si="77"/>
        <v>3.4801602291121343E-2</v>
      </c>
      <c r="U145" s="681">
        <f t="shared" si="89"/>
        <v>0.98284937194191091</v>
      </c>
      <c r="V145" s="682">
        <f t="shared" si="90"/>
        <v>-0.22619061369722882</v>
      </c>
      <c r="W145" s="683">
        <f t="shared" si="78"/>
        <v>2.9628694884112603</v>
      </c>
      <c r="X145" s="684">
        <f t="shared" si="79"/>
        <v>-124.54135264172183</v>
      </c>
      <c r="Y145" s="687">
        <f t="shared" si="80"/>
        <v>55.458647358278171</v>
      </c>
      <c r="AA145" s="170">
        <f t="shared" si="81"/>
        <v>1000000000</v>
      </c>
      <c r="AB145" s="170">
        <f t="shared" si="82"/>
        <v>68397448.575625017</v>
      </c>
      <c r="AD145" s="686">
        <f t="shared" si="83"/>
        <v>13.885166780265124</v>
      </c>
      <c r="AE145" s="687">
        <f t="shared" si="84"/>
        <v>-37.673972263773081</v>
      </c>
      <c r="AG145" s="686">
        <f t="shared" si="85"/>
        <v>31.339555933180488</v>
      </c>
      <c r="AH145" s="687">
        <f t="shared" si="86"/>
        <v>-60.947845287680956</v>
      </c>
      <c r="AJ145" s="170">
        <f t="shared" si="87"/>
        <v>0</v>
      </c>
      <c r="AK145" s="170">
        <f t="shared" si="65"/>
        <v>0</v>
      </c>
      <c r="AM145" s="170" t="str">
        <f t="shared" si="91"/>
        <v>0.052618270516501+0.320106011566252i</v>
      </c>
      <c r="AN145" s="170" t="str">
        <f t="shared" si="92"/>
        <v>0.3258413847053i</v>
      </c>
      <c r="AO145" s="170" t="str">
        <f t="shared" si="93"/>
        <v>0.982398266738784-0.161484307968094i</v>
      </c>
      <c r="AP145" s="170" t="str">
        <f t="shared" si="94"/>
        <v>0.157896954913917-0.0533510019277087i</v>
      </c>
      <c r="AQ145" s="170" t="str">
        <f t="shared" si="95"/>
        <v>0.842103045086083+0.0533510019277087i</v>
      </c>
      <c r="AR145" s="170" t="str">
        <f t="shared" si="96"/>
        <v>0.985235576441493-0.0624190892607496i</v>
      </c>
    </row>
    <row r="146" spans="7:44">
      <c r="G146" s="688">
        <v>8317.6</v>
      </c>
      <c r="H146" s="676">
        <f t="shared" si="88"/>
        <v>8.3176000000000005</v>
      </c>
      <c r="I146" s="677">
        <f t="shared" si="66"/>
        <v>3.0150448765908782</v>
      </c>
      <c r="J146" s="678">
        <f t="shared" si="67"/>
        <v>1.2327230766703148</v>
      </c>
      <c r="K146" s="678">
        <f t="shared" si="68"/>
        <v>1.000054622796692</v>
      </c>
      <c r="L146" s="679">
        <f t="shared" si="69"/>
        <v>1.0451823805717761E-2</v>
      </c>
      <c r="M146" s="678">
        <f t="shared" si="70"/>
        <v>1.0024399665598349</v>
      </c>
      <c r="N146" s="679">
        <f t="shared" si="71"/>
        <v>-6.9785609839417187E-2</v>
      </c>
      <c r="O146" s="677">
        <f t="shared" si="72"/>
        <v>62713.226469508816</v>
      </c>
      <c r="P146" s="680">
        <f t="shared" si="73"/>
        <v>1.5707803811952785</v>
      </c>
      <c r="Q146" s="689">
        <f t="shared" si="74"/>
        <v>1.7209495777675954</v>
      </c>
      <c r="R146" s="690">
        <f t="shared" si="75"/>
        <v>0.95074792978136524</v>
      </c>
      <c r="S146" s="677">
        <f t="shared" si="76"/>
        <v>1.0006128332955566</v>
      </c>
      <c r="T146" s="680">
        <f t="shared" si="77"/>
        <v>3.5000585383607306E-2</v>
      </c>
      <c r="U146" s="681">
        <f t="shared" si="89"/>
        <v>0.98266171715451101</v>
      </c>
      <c r="V146" s="682">
        <f t="shared" si="90"/>
        <v>-0.22746347629744967</v>
      </c>
      <c r="W146" s="683">
        <f t="shared" si="78"/>
        <v>2.9005160969288681</v>
      </c>
      <c r="X146" s="684">
        <f t="shared" si="79"/>
        <v>-124.59273090157542</v>
      </c>
      <c r="Y146" s="687">
        <f t="shared" si="80"/>
        <v>55.407269098424578</v>
      </c>
      <c r="AA146" s="170">
        <f t="shared" si="81"/>
        <v>1000000000</v>
      </c>
      <c r="AB146" s="170">
        <f t="shared" si="82"/>
        <v>69182469.760000005</v>
      </c>
      <c r="AD146" s="686">
        <f t="shared" si="83"/>
        <v>13.868308753249492</v>
      </c>
      <c r="AE146" s="687">
        <f t="shared" si="84"/>
        <v>-37.530628493020473</v>
      </c>
      <c r="AG146" s="686">
        <f t="shared" si="85"/>
        <v>31.297377667838539</v>
      </c>
      <c r="AH146" s="687">
        <f t="shared" si="86"/>
        <v>-60.996708008335062</v>
      </c>
      <c r="AJ146" s="170">
        <f t="shared" si="87"/>
        <v>0</v>
      </c>
      <c r="AK146" s="170">
        <f t="shared" si="65"/>
        <v>0</v>
      </c>
      <c r="AM146" s="170" t="str">
        <f t="shared" si="91"/>
        <v>0.053216774623118+0.321871906423887i</v>
      </c>
      <c r="AN146" s="170" t="str">
        <f t="shared" si="92"/>
        <v>0.327705947072474i</v>
      </c>
      <c r="AO146" s="170" t="str">
        <f t="shared" si="93"/>
        <v>0.982197330562034-0.162391848846578i</v>
      </c>
      <c r="AP146" s="170" t="str">
        <f t="shared" si="94"/>
        <v>0.15779720422948-0.0536453177373145i</v>
      </c>
      <c r="AQ146" s="170" t="str">
        <f t="shared" si="95"/>
        <v>0.84220279577052+0.0536453177373145i</v>
      </c>
      <c r="AR146" s="170" t="str">
        <f t="shared" si="96"/>
        <v>0.985076258587532-0.0627458483310616i</v>
      </c>
    </row>
    <row r="147" spans="7:44">
      <c r="G147" s="688">
        <v>8366.0499999999993</v>
      </c>
      <c r="H147" s="676">
        <f t="shared" si="88"/>
        <v>8.3660499999999995</v>
      </c>
      <c r="I147" s="677">
        <f t="shared" si="66"/>
        <v>3.0306805107312931</v>
      </c>
      <c r="J147" s="678">
        <f t="shared" si="67"/>
        <v>1.2345362929714283</v>
      </c>
      <c r="K147" s="678">
        <f t="shared" si="68"/>
        <v>1.0000552609877618</v>
      </c>
      <c r="L147" s="679">
        <f t="shared" si="69"/>
        <v>1.0512701181692148E-2</v>
      </c>
      <c r="M147" s="678">
        <f t="shared" si="70"/>
        <v>1.0024684398485657</v>
      </c>
      <c r="N147" s="679">
        <f t="shared" si="71"/>
        <v>-7.0190780854653301E-2</v>
      </c>
      <c r="O147" s="677">
        <f t="shared" si="72"/>
        <v>63078.530862804633</v>
      </c>
      <c r="P147" s="680">
        <f t="shared" si="73"/>
        <v>1.5707804735404476</v>
      </c>
      <c r="Q147" s="689">
        <f t="shared" si="74"/>
        <v>1.7275958514987486</v>
      </c>
      <c r="R147" s="690">
        <f t="shared" si="75"/>
        <v>0.95349202192068749</v>
      </c>
      <c r="S147" s="677">
        <f t="shared" si="76"/>
        <v>1.0006199913760081</v>
      </c>
      <c r="T147" s="680">
        <f t="shared" si="77"/>
        <v>3.520429578802145E-2</v>
      </c>
      <c r="U147" s="681">
        <f t="shared" si="89"/>
        <v>0.98246859830040389</v>
      </c>
      <c r="V147" s="682">
        <f t="shared" si="90"/>
        <v>-0.22876622676569183</v>
      </c>
      <c r="W147" s="683">
        <f t="shared" si="78"/>
        <v>2.8371031613660422</v>
      </c>
      <c r="X147" s="684">
        <f t="shared" si="79"/>
        <v>-124.64544135829171</v>
      </c>
      <c r="Y147" s="687">
        <f t="shared" si="80"/>
        <v>55.354558641708294</v>
      </c>
      <c r="AA147" s="170">
        <f t="shared" si="81"/>
        <v>1000000000</v>
      </c>
      <c r="AB147" s="170">
        <f t="shared" si="82"/>
        <v>69990792.602499992</v>
      </c>
      <c r="AD147" s="686">
        <f t="shared" si="83"/>
        <v>13.851278248207812</v>
      </c>
      <c r="AE147" s="687">
        <f t="shared" si="84"/>
        <v>-37.385080632080246</v>
      </c>
      <c r="AG147" s="686">
        <f t="shared" si="85"/>
        <v>31.254409584032238</v>
      </c>
      <c r="AH147" s="687">
        <f t="shared" si="86"/>
        <v>-61.045682118643093</v>
      </c>
      <c r="AJ147" s="170">
        <f t="shared" si="87"/>
        <v>0</v>
      </c>
      <c r="AK147" s="170">
        <f t="shared" si="65"/>
        <v>0</v>
      </c>
      <c r="AM147" s="170" t="str">
        <f t="shared" si="91"/>
        <v>0.053832916105931+0.323678620479317i</v>
      </c>
      <c r="AN147" s="170" t="str">
        <f t="shared" si="92"/>
        <v>0.329614833426189i</v>
      </c>
      <c r="AO147" s="170" t="str">
        <f t="shared" si="93"/>
        <v>0.981990455692883-0.163320672029118i</v>
      </c>
      <c r="AP147" s="170" t="str">
        <f t="shared" si="94"/>
        <v>0.157694513982345-0.0539464367465528i</v>
      </c>
      <c r="AQ147" s="170" t="str">
        <f t="shared" si="95"/>
        <v>0.842305486017655+0.0539464367465528i</v>
      </c>
      <c r="AR147" s="170" t="str">
        <f t="shared" si="96"/>
        <v>0.984912338995806-0.0630798588855718i</v>
      </c>
    </row>
    <row r="148" spans="7:44">
      <c r="G148" s="691">
        <v>8414.5</v>
      </c>
      <c r="H148" s="676">
        <f t="shared" si="88"/>
        <v>8.4145000000000003</v>
      </c>
      <c r="I148" s="677">
        <f t="shared" si="66"/>
        <v>3.0463260066985414</v>
      </c>
      <c r="J148" s="678">
        <f t="shared" si="67"/>
        <v>1.2363308902816297</v>
      </c>
      <c r="K148" s="678">
        <f t="shared" si="68"/>
        <v>1.0000559028850866</v>
      </c>
      <c r="L148" s="679">
        <f t="shared" si="69"/>
        <v>1.0573578479742472E-2</v>
      </c>
      <c r="M148" s="678">
        <f t="shared" si="70"/>
        <v>1.0024970776967117</v>
      </c>
      <c r="N148" s="679">
        <f t="shared" si="71"/>
        <v>-7.0595928787748743E-2</v>
      </c>
      <c r="O148" s="677">
        <f t="shared" si="72"/>
        <v>63443.835256101003</v>
      </c>
      <c r="P148" s="680">
        <f t="shared" si="73"/>
        <v>1.5707805648221849</v>
      </c>
      <c r="Q148" s="689">
        <f t="shared" ref="Q148:Q157" si="97">SQRT(1+(G148/Zero2)^2)</f>
        <v>1.7342550343326653</v>
      </c>
      <c r="R148" s="690">
        <f t="shared" ref="R148:R157" si="98">ATAN(G148/Zero2)</f>
        <v>0.95621506093423536</v>
      </c>
      <c r="S148" s="677">
        <f t="shared" si="76"/>
        <v>1.0006271909795215</v>
      </c>
      <c r="T148" s="680">
        <f t="shared" si="77"/>
        <v>3.5408003269459226E-2</v>
      </c>
      <c r="U148" s="681">
        <f t="shared" si="89"/>
        <v>0.98227446624515957</v>
      </c>
      <c r="V148" s="682">
        <f t="shared" si="90"/>
        <v>-0.23006860065685295</v>
      </c>
      <c r="W148" s="683">
        <f t="shared" si="78"/>
        <v>2.7741125119345007</v>
      </c>
      <c r="X148" s="684">
        <f t="shared" si="79"/>
        <v>-124.69826815793624</v>
      </c>
      <c r="Y148" s="687">
        <f t="shared" si="80"/>
        <v>55.301731842063759</v>
      </c>
      <c r="AA148" s="170">
        <f t="shared" si="81"/>
        <v>1000000000</v>
      </c>
      <c r="AB148" s="170">
        <f t="shared" si="82"/>
        <v>70803810.25</v>
      </c>
      <c r="AD148" s="686">
        <f t="shared" si="83"/>
        <v>13.83447480112385</v>
      </c>
      <c r="AE148" s="687">
        <f t="shared" si="84"/>
        <v>-37.240738797989472</v>
      </c>
      <c r="AG148" s="686">
        <f t="shared" si="85"/>
        <v>31.211655318322489</v>
      </c>
      <c r="AH148" s="687">
        <f t="shared" si="86"/>
        <v>-61.093609697584732</v>
      </c>
      <c r="AJ148" s="170">
        <f t="shared" si="87"/>
        <v>0</v>
      </c>
      <c r="AK148" s="170">
        <f t="shared" si="65"/>
        <v>0</v>
      </c>
      <c r="AM148" s="170" t="str">
        <f t="shared" si="91"/>
        <v>0.054452505275893+0.325484155099698i</v>
      </c>
      <c r="AN148" s="170" t="str">
        <f t="shared" si="92"/>
        <v>0.331523719779904i</v>
      </c>
      <c r="AO148" s="170" t="str">
        <f t="shared" si="93"/>
        <v>0.981782405541855-0.164249198555215i</v>
      </c>
      <c r="AP148" s="170" t="str">
        <f t="shared" si="94"/>
        <v>0.157591249120685-0.054247359183283i</v>
      </c>
      <c r="AQ148" s="170" t="str">
        <f t="shared" si="95"/>
        <v>0.842408750879315+0.054247359183283i</v>
      </c>
      <c r="AR148" s="170" t="str">
        <f t="shared" si="96"/>
        <v>0.984747597456709-0.0634133448499303i</v>
      </c>
    </row>
    <row r="149" spans="7:44">
      <c r="G149" s="691">
        <v>8462.9500000000007</v>
      </c>
      <c r="H149" s="676">
        <f t="shared" si="88"/>
        <v>8.4629500000000011</v>
      </c>
      <c r="I149" s="677">
        <f t="shared" si="66"/>
        <v>3.0619812133226847</v>
      </c>
      <c r="J149" s="678">
        <f t="shared" si="67"/>
        <v>1.2381071425360828</v>
      </c>
      <c r="K149" s="678">
        <f t="shared" si="68"/>
        <v>1.0000565484886592</v>
      </c>
      <c r="L149" s="679">
        <f t="shared" si="69"/>
        <v>1.063445569941765E-2</v>
      </c>
      <c r="M149" s="678">
        <f t="shared" si="70"/>
        <v>1.0025258800901706</v>
      </c>
      <c r="N149" s="679">
        <f t="shared" si="71"/>
        <v>-7.1001053507681433E-2</v>
      </c>
      <c r="O149" s="677">
        <f t="shared" si="72"/>
        <v>63809.13964939789</v>
      </c>
      <c r="P149" s="680">
        <f t="shared" si="73"/>
        <v>1.5707806550587544</v>
      </c>
      <c r="Q149" s="689">
        <f t="shared" si="97"/>
        <v>1.7409269781343457</v>
      </c>
      <c r="R149" s="690">
        <f t="shared" si="98"/>
        <v>0.95891724825953029</v>
      </c>
      <c r="S149" s="677">
        <f t="shared" si="76"/>
        <v>1.0006344321052008</v>
      </c>
      <c r="T149" s="680">
        <f t="shared" si="77"/>
        <v>3.5611707811077496E-2</v>
      </c>
      <c r="U149" s="681">
        <f t="shared" si="89"/>
        <v>0.9820793227687179</v>
      </c>
      <c r="V149" s="682">
        <f t="shared" si="90"/>
        <v>-0.23137059608978999</v>
      </c>
      <c r="W149" s="683">
        <f t="shared" si="78"/>
        <v>2.7115388086501606</v>
      </c>
      <c r="X149" s="684">
        <f t="shared" si="79"/>
        <v>-124.75121533913659</v>
      </c>
      <c r="Y149" s="687">
        <f t="shared" si="80"/>
        <v>55.248784660863407</v>
      </c>
      <c r="AA149" s="170">
        <f t="shared" si="81"/>
        <v>1000000000</v>
      </c>
      <c r="AB149" s="170">
        <f t="shared" si="82"/>
        <v>71621522.702500015</v>
      </c>
      <c r="AD149" s="686">
        <f t="shared" si="83"/>
        <v>13.817894569288127</v>
      </c>
      <c r="AE149" s="687">
        <f t="shared" si="84"/>
        <v>-37.097591449309732</v>
      </c>
      <c r="AG149" s="686">
        <f t="shared" si="85"/>
        <v>31.169113352839886</v>
      </c>
      <c r="AH149" s="687">
        <f t="shared" si="86"/>
        <v>-61.140506540789154</v>
      </c>
      <c r="AJ149" s="170">
        <f t="shared" si="87"/>
        <v>0</v>
      </c>
      <c r="AK149" s="170">
        <f t="shared" si="65"/>
        <v>0</v>
      </c>
      <c r="AM149" s="170" t="str">
        <f t="shared" si="91"/>
        <v>0.055075539875316+0.327288503705943i</v>
      </c>
      <c r="AN149" s="170" t="str">
        <f t="shared" si="92"/>
        <v>0.33343260613362i</v>
      </c>
      <c r="AO149" s="170" t="str">
        <f t="shared" si="93"/>
        <v>0.981573180562867-0.165177426748855i</v>
      </c>
      <c r="AP149" s="170" t="str">
        <f t="shared" si="94"/>
        <v>0.157487410020781-0.0545480839509905i</v>
      </c>
      <c r="AQ149" s="170" t="str">
        <f t="shared" si="95"/>
        <v>0.842512589979219+0.0545480839509905i</v>
      </c>
      <c r="AR149" s="170" t="str">
        <f t="shared" si="96"/>
        <v>0.98458203608129-0.0637463038530072i</v>
      </c>
    </row>
    <row r="150" spans="7:44">
      <c r="G150" s="691">
        <v>8511.4</v>
      </c>
      <c r="H150" s="676">
        <f t="shared" si="88"/>
        <v>8.5114000000000001</v>
      </c>
      <c r="I150" s="677">
        <f t="shared" si="66"/>
        <v>3.0776459824167599</v>
      </c>
      <c r="J150" s="678">
        <f t="shared" si="67"/>
        <v>1.2398653185610362</v>
      </c>
      <c r="K150" s="678">
        <f t="shared" si="68"/>
        <v>1.0000571977984725</v>
      </c>
      <c r="L150" s="679">
        <f t="shared" si="69"/>
        <v>1.0695332840266608E-2</v>
      </c>
      <c r="M150" s="678">
        <f t="shared" si="70"/>
        <v>1.0025548470147614</v>
      </c>
      <c r="N150" s="679">
        <f t="shared" si="71"/>
        <v>-7.140615488347471E-2</v>
      </c>
      <c r="O150" s="677">
        <f t="shared" si="72"/>
        <v>64174.444042695271</v>
      </c>
      <c r="P150" s="680">
        <f t="shared" si="73"/>
        <v>1.5707807442680051</v>
      </c>
      <c r="Q150" s="689">
        <f t="shared" si="97"/>
        <v>1.7476115367492455</v>
      </c>
      <c r="R150" s="690">
        <f t="shared" si="98"/>
        <v>0.96159878347900962</v>
      </c>
      <c r="S150" s="677">
        <f t="shared" si="76"/>
        <v>1.0006417147521445</v>
      </c>
      <c r="T150" s="680">
        <f t="shared" si="77"/>
        <v>3.5815409396034614E-2</v>
      </c>
      <c r="U150" s="681">
        <f t="shared" si="89"/>
        <v>0.98188316965842681</v>
      </c>
      <c r="V150" s="682">
        <f t="shared" si="90"/>
        <v>-0.23267221118821188</v>
      </c>
      <c r="W150" s="683">
        <f t="shared" si="78"/>
        <v>2.649376799183909</v>
      </c>
      <c r="X150" s="684">
        <f t="shared" si="79"/>
        <v>-124.80428675434655</v>
      </c>
      <c r="Y150" s="687">
        <f t="shared" si="80"/>
        <v>55.195713245653451</v>
      </c>
      <c r="AA150" s="170">
        <f t="shared" si="81"/>
        <v>1000000000</v>
      </c>
      <c r="AB150" s="170">
        <f t="shared" si="82"/>
        <v>72443929.959999993</v>
      </c>
      <c r="AD150" s="686">
        <f t="shared" si="83"/>
        <v>13.801533787076588</v>
      </c>
      <c r="AE150" s="687">
        <f t="shared" si="84"/>
        <v>-36.955627150867372</v>
      </c>
      <c r="AG150" s="686">
        <f t="shared" si="85"/>
        <v>31.1267821801924</v>
      </c>
      <c r="AH150" s="687">
        <f t="shared" si="86"/>
        <v>-61.186388150890856</v>
      </c>
      <c r="AJ150" s="170">
        <f t="shared" si="87"/>
        <v>0</v>
      </c>
      <c r="AK150" s="170">
        <f t="shared" si="65"/>
        <v>0</v>
      </c>
      <c r="AM150" s="170" t="str">
        <f t="shared" si="91"/>
        <v>0.055702017633958+0.32909165972328i</v>
      </c>
      <c r="AN150" s="170" t="str">
        <f t="shared" si="92"/>
        <v>0.335341492487335i</v>
      </c>
      <c r="AO150" s="170" t="str">
        <f t="shared" si="93"/>
        <v>0.981362781212375-0.166105354934751i</v>
      </c>
      <c r="AP150" s="170" t="str">
        <f t="shared" si="94"/>
        <v>0.157382997061007-0.05484860995388i</v>
      </c>
      <c r="AQ150" s="170" t="str">
        <f t="shared" si="95"/>
        <v>0.842617002938993+0.05484860995388i</v>
      </c>
      <c r="AR150" s="170" t="str">
        <f t="shared" si="96"/>
        <v>0.984415656988711-0.0640787335341435i</v>
      </c>
    </row>
    <row r="151" spans="7:44">
      <c r="G151" s="691">
        <v>8560.9500000000007</v>
      </c>
      <c r="H151" s="676">
        <f t="shared" si="88"/>
        <v>8.5609500000000001</v>
      </c>
      <c r="I151" s="677">
        <f t="shared" si="66"/>
        <v>3.0936761407945053</v>
      </c>
      <c r="J151" s="678">
        <f t="shared" si="67"/>
        <v>1.2416449903262716</v>
      </c>
      <c r="K151" s="678">
        <f t="shared" si="68"/>
        <v>1.0000578656835049</v>
      </c>
      <c r="L151" s="679">
        <f t="shared" si="69"/>
        <v>1.0757592042663158E-2</v>
      </c>
      <c r="M151" s="678">
        <f t="shared" si="70"/>
        <v>1.002584641761048</v>
      </c>
      <c r="N151" s="679">
        <f t="shared" si="71"/>
        <v>-7.182042932571954E-2</v>
      </c>
      <c r="O151" s="677">
        <f t="shared" si="72"/>
        <v>64548.042240588184</v>
      </c>
      <c r="P151" s="680">
        <f t="shared" si="73"/>
        <v>1.5707808344582537</v>
      </c>
      <c r="Q151" s="689">
        <f t="shared" si="97"/>
        <v>1.7544607577733704</v>
      </c>
      <c r="R151" s="690">
        <f t="shared" si="98"/>
        <v>0.96432004508922364</v>
      </c>
      <c r="S151" s="677">
        <f t="shared" si="76"/>
        <v>1.0006492056880394</v>
      </c>
      <c r="T151" s="680">
        <f t="shared" si="77"/>
        <v>3.6023732709113909E-2</v>
      </c>
      <c r="U151" s="681">
        <f t="shared" si="89"/>
        <v>0.98168152071605719</v>
      </c>
      <c r="V151" s="682">
        <f t="shared" si="90"/>
        <v>-0.23400298258404198</v>
      </c>
      <c r="W151" s="683">
        <f t="shared" si="78"/>
        <v>2.5862239116328634</v>
      </c>
      <c r="X151" s="684">
        <f t="shared" si="79"/>
        <v>-124.85869541643868</v>
      </c>
      <c r="Y151" s="687">
        <f t="shared" si="80"/>
        <v>55.141304583561322</v>
      </c>
      <c r="AA151" s="170">
        <f t="shared" si="81"/>
        <v>1000000000</v>
      </c>
      <c r="AB151" s="170">
        <f t="shared" si="82"/>
        <v>73289864.902500018</v>
      </c>
      <c r="AD151" s="686">
        <f t="shared" si="83"/>
        <v>13.785024686946855</v>
      </c>
      <c r="AE151" s="687">
        <f t="shared" si="84"/>
        <v>-36.811651559620849</v>
      </c>
      <c r="AG151" s="686">
        <f t="shared" si="85"/>
        <v>31.083706394322146</v>
      </c>
      <c r="AH151" s="687">
        <f t="shared" si="86"/>
        <v>-61.23227723509968</v>
      </c>
      <c r="AJ151" s="170">
        <f t="shared" si="87"/>
        <v>0</v>
      </c>
      <c r="AK151" s="170">
        <f t="shared" ref="AK151:AK214" si="99">IF(AJ151&gt;0,Y151,0)</f>
        <v>0</v>
      </c>
      <c r="AM151" s="170" t="str">
        <f t="shared" si="91"/>
        <v>0.056346277756706+0.330934513909287i</v>
      </c>
      <c r="AN151" s="170" t="str">
        <f t="shared" si="92"/>
        <v>0.337293717850113i</v>
      </c>
      <c r="AO151" s="170" t="str">
        <f t="shared" si="93"/>
        <v>0.981146390803365-0.167054038586468i</v>
      </c>
      <c r="AP151" s="170" t="str">
        <f t="shared" si="94"/>
        <v>0.157275620373882-0.0551557523182145i</v>
      </c>
      <c r="AQ151" s="170" t="str">
        <f t="shared" si="95"/>
        <v>0.842724379626118+0.0551557523182145i</v>
      </c>
      <c r="AR151" s="170" t="str">
        <f t="shared" si="96"/>
        <v>0.98424465689646-0.0644181607044428i</v>
      </c>
    </row>
    <row r="152" spans="7:44">
      <c r="G152" s="691">
        <v>8610.5</v>
      </c>
      <c r="H152" s="676">
        <f t="shared" si="88"/>
        <v>8.6105</v>
      </c>
      <c r="I152" s="677">
        <f t="shared" si="66"/>
        <v>3.1097159965243693</v>
      </c>
      <c r="J152" s="678">
        <f t="shared" si="67"/>
        <v>1.243406308596201</v>
      </c>
      <c r="K152" s="678">
        <f t="shared" si="68"/>
        <v>1.0000585374449646</v>
      </c>
      <c r="L152" s="679">
        <f t="shared" si="69"/>
        <v>1.0819851161659264E-2</v>
      </c>
      <c r="M152" s="678">
        <f t="shared" si="70"/>
        <v>1.0026146085639887</v>
      </c>
      <c r="N152" s="679">
        <f t="shared" si="71"/>
        <v>-7.2234679074843308E-2</v>
      </c>
      <c r="O152" s="677">
        <f t="shared" si="72"/>
        <v>64921.640438481605</v>
      </c>
      <c r="P152" s="680">
        <f t="shared" si="73"/>
        <v>1.5707809236104842</v>
      </c>
      <c r="Q152" s="689">
        <f t="shared" si="97"/>
        <v>1.761322869942654</v>
      </c>
      <c r="R152" s="690">
        <f t="shared" si="98"/>
        <v>0.96702012249958968</v>
      </c>
      <c r="S152" s="677">
        <f t="shared" si="76"/>
        <v>1.0006567400500606</v>
      </c>
      <c r="T152" s="680">
        <f t="shared" si="77"/>
        <v>3.6232052894127641E-2</v>
      </c>
      <c r="U152" s="681">
        <f t="shared" si="89"/>
        <v>0.98147881957915784</v>
      </c>
      <c r="V152" s="682">
        <f t="shared" si="90"/>
        <v>-0.23533335222533552</v>
      </c>
      <c r="W152" s="683">
        <f t="shared" si="78"/>
        <v>2.5234907858015774</v>
      </c>
      <c r="X152" s="684">
        <f t="shared" si="79"/>
        <v>-124.91324159838281</v>
      </c>
      <c r="Y152" s="687">
        <f t="shared" si="80"/>
        <v>55.086758401617189</v>
      </c>
      <c r="AA152" s="170">
        <f t="shared" si="81"/>
        <v>1000000000</v>
      </c>
      <c r="AB152" s="170">
        <f t="shared" si="82"/>
        <v>74140710.25</v>
      </c>
      <c r="AD152" s="686">
        <f t="shared" si="83"/>
        <v>13.768737386922593</v>
      </c>
      <c r="AE152" s="687">
        <f t="shared" si="84"/>
        <v>-36.668889494920343</v>
      </c>
      <c r="AG152" s="686">
        <f t="shared" si="85"/>
        <v>31.040847926459826</v>
      </c>
      <c r="AH152" s="687">
        <f t="shared" si="86"/>
        <v>-61.277136350293183</v>
      </c>
      <c r="AJ152" s="170">
        <f t="shared" si="87"/>
        <v>0</v>
      </c>
      <c r="AK152" s="170">
        <f t="shared" si="99"/>
        <v>0</v>
      </c>
      <c r="AM152" s="170" t="str">
        <f t="shared" si="91"/>
        <v>0.056994134316153+0.332776106843413i</v>
      </c>
      <c r="AN152" s="170" t="str">
        <f t="shared" si="92"/>
        <v>0.33924594321289i</v>
      </c>
      <c r="AO152" s="170" t="str">
        <f t="shared" si="93"/>
        <v>0.980928773065926-0.168002404911256i</v>
      </c>
      <c r="AP152" s="170" t="str">
        <f t="shared" si="94"/>
        <v>0.157167644280641-0.0554626844739022i</v>
      </c>
      <c r="AQ152" s="170" t="str">
        <f t="shared" si="95"/>
        <v>0.842832355719359+0.0554626844739022i</v>
      </c>
      <c r="AR152" s="170" t="str">
        <f t="shared" si="96"/>
        <v>0.984072806043906-0.0647570292841655i</v>
      </c>
    </row>
    <row r="153" spans="7:44">
      <c r="G153" s="691">
        <v>8660.0499999999993</v>
      </c>
      <c r="H153" s="676">
        <f t="shared" si="88"/>
        <v>8.66005</v>
      </c>
      <c r="I153" s="677">
        <f t="shared" si="66"/>
        <v>3.1257654003205571</v>
      </c>
      <c r="J153" s="678">
        <f t="shared" si="67"/>
        <v>1.2451495450687524</v>
      </c>
      <c r="K153" s="678">
        <f t="shared" si="68"/>
        <v>1.0000592130828441</v>
      </c>
      <c r="L153" s="679">
        <f t="shared" si="69"/>
        <v>1.0882110196772444E-2</v>
      </c>
      <c r="M153" s="678">
        <f t="shared" si="70"/>
        <v>1.002644747408157</v>
      </c>
      <c r="N153" s="679">
        <f t="shared" si="71"/>
        <v>-7.2648903990893632E-2</v>
      </c>
      <c r="O153" s="677">
        <f t="shared" si="72"/>
        <v>65295.238636375529</v>
      </c>
      <c r="P153" s="680">
        <f t="shared" si="73"/>
        <v>1.5707810117425143</v>
      </c>
      <c r="Q153" s="689">
        <f t="shared" si="97"/>
        <v>1.7681977231712562</v>
      </c>
      <c r="R153" s="690">
        <f t="shared" si="98"/>
        <v>0.96969922320663771</v>
      </c>
      <c r="S153" s="677">
        <f t="shared" si="76"/>
        <v>1.000664317837227</v>
      </c>
      <c r="T153" s="680">
        <f t="shared" si="77"/>
        <v>3.6440369933065597E-2</v>
      </c>
      <c r="U153" s="681">
        <f t="shared" si="89"/>
        <v>0.9812750681833613</v>
      </c>
      <c r="V153" s="682">
        <f t="shared" si="90"/>
        <v>-0.23666331812093222</v>
      </c>
      <c r="W153" s="683">
        <f t="shared" si="78"/>
        <v>2.4611720770594907</v>
      </c>
      <c r="X153" s="684">
        <f t="shared" si="79"/>
        <v>-124.96792885656089</v>
      </c>
      <c r="Y153" s="687">
        <f t="shared" si="80"/>
        <v>55.032071143439111</v>
      </c>
      <c r="AA153" s="170">
        <f t="shared" si="81"/>
        <v>1000000000</v>
      </c>
      <c r="AB153" s="170">
        <f t="shared" si="82"/>
        <v>74996466.002499983</v>
      </c>
      <c r="AD153" s="686">
        <f t="shared" si="83"/>
        <v>13.752668097779541</v>
      </c>
      <c r="AE153" s="687">
        <f t="shared" si="84"/>
        <v>-36.527329068079389</v>
      </c>
      <c r="AG153" s="686">
        <f t="shared" si="85"/>
        <v>30.9982051987744</v>
      </c>
      <c r="AH153" s="687">
        <f t="shared" si="86"/>
        <v>-61.320981169710016</v>
      </c>
      <c r="AJ153" s="170">
        <f t="shared" si="87"/>
        <v>0</v>
      </c>
      <c r="AK153" s="170">
        <f t="shared" si="99"/>
        <v>0</v>
      </c>
      <c r="AM153" s="170" t="str">
        <f t="shared" si="91"/>
        <v>0.057645584843201+0.334616431507013i</v>
      </c>
      <c r="AN153" s="170" t="str">
        <f t="shared" si="92"/>
        <v>0.341198168575668i</v>
      </c>
      <c r="AO153" s="170" t="str">
        <f t="shared" si="93"/>
        <v>0.980709928496596-0.16895045211949i</v>
      </c>
      <c r="AP153" s="170" t="str">
        <f t="shared" si="94"/>
        <v>0.1570590691928-0.0557694052511688i</v>
      </c>
      <c r="AQ153" s="170" t="str">
        <f t="shared" si="95"/>
        <v>0.8429409308072+0.0557694052511688i</v>
      </c>
      <c r="AR153" s="170" t="str">
        <f t="shared" si="96"/>
        <v>0.983900106723751-0.0650953367823771i</v>
      </c>
    </row>
    <row r="154" spans="7:44">
      <c r="G154" s="691">
        <v>8709.6</v>
      </c>
      <c r="H154" s="676">
        <f t="shared" si="88"/>
        <v>8.7096</v>
      </c>
      <c r="I154" s="677">
        <f t="shared" si="66"/>
        <v>3.1418242058596992</v>
      </c>
      <c r="J154" s="678">
        <f t="shared" si="67"/>
        <v>1.246874966331494</v>
      </c>
      <c r="K154" s="678">
        <f t="shared" si="68"/>
        <v>1.0000598925971351</v>
      </c>
      <c r="L154" s="679">
        <f t="shared" si="69"/>
        <v>1.094436914752021E-2</v>
      </c>
      <c r="M154" s="678">
        <f t="shared" si="70"/>
        <v>1.0026750582780386</v>
      </c>
      <c r="N154" s="679">
        <f t="shared" si="71"/>
        <v>-7.3063103933968976E-2</v>
      </c>
      <c r="O154" s="677">
        <f t="shared" si="72"/>
        <v>65668.836834269969</v>
      </c>
      <c r="P154" s="680">
        <f t="shared" si="73"/>
        <v>1.5707810988717561</v>
      </c>
      <c r="Q154" s="689">
        <f t="shared" si="97"/>
        <v>1.7750851694219274</v>
      </c>
      <c r="R154" s="690">
        <f t="shared" si="98"/>
        <v>0.97235755269994828</v>
      </c>
      <c r="S154" s="677">
        <f t="shared" si="76"/>
        <v>1.0006719390485519</v>
      </c>
      <c r="T154" s="680">
        <f t="shared" si="77"/>
        <v>3.6648683807919233E-2</v>
      </c>
      <c r="U154" s="681">
        <f t="shared" si="89"/>
        <v>0.98107026847221235</v>
      </c>
      <c r="V154" s="682">
        <f t="shared" si="90"/>
        <v>-0.23799287828505108</v>
      </c>
      <c r="W154" s="683">
        <f t="shared" si="78"/>
        <v>2.3992625294659771</v>
      </c>
      <c r="X154" s="684">
        <f t="shared" si="79"/>
        <v>-125.02276056983065</v>
      </c>
      <c r="Y154" s="687">
        <f t="shared" si="80"/>
        <v>54.977239430169348</v>
      </c>
      <c r="AA154" s="170">
        <f t="shared" si="81"/>
        <v>1000000000</v>
      </c>
      <c r="AB154" s="170">
        <f t="shared" si="82"/>
        <v>75857132.160000011</v>
      </c>
      <c r="AD154" s="686">
        <f t="shared" si="83"/>
        <v>13.736813107071235</v>
      </c>
      <c r="AE154" s="687">
        <f t="shared" si="84"/>
        <v>-36.386958505378111</v>
      </c>
      <c r="AG154" s="686">
        <f t="shared" si="85"/>
        <v>30.955776645247877</v>
      </c>
      <c r="AH154" s="687">
        <f t="shared" si="86"/>
        <v>-61.363827073481488</v>
      </c>
      <c r="AJ154" s="170">
        <f t="shared" si="87"/>
        <v>0</v>
      </c>
      <c r="AK154" s="170">
        <f t="shared" si="99"/>
        <v>0</v>
      </c>
      <c r="AM154" s="170" t="str">
        <f t="shared" si="91"/>
        <v>0.058300626855053+0.336455480886273i</v>
      </c>
      <c r="AN154" s="170" t="str">
        <f t="shared" si="92"/>
        <v>0.343150393938446i</v>
      </c>
      <c r="AO154" s="170" t="str">
        <f t="shared" si="93"/>
        <v>0.980489857594703-0.169898178422348i</v>
      </c>
      <c r="AP154" s="170" t="str">
        <f t="shared" si="94"/>
        <v>0.156949895524158-0.0560759134810455i</v>
      </c>
      <c r="AQ154" s="170" t="str">
        <f t="shared" si="95"/>
        <v>0.843050104475842+0.0560759134810455i</v>
      </c>
      <c r="AR154" s="170" t="str">
        <f t="shared" si="96"/>
        <v>0.983726561237294-0.0654330807197352i</v>
      </c>
    </row>
    <row r="155" spans="7:44">
      <c r="G155" s="691">
        <v>8760.3250000000007</v>
      </c>
      <c r="H155" s="676">
        <f t="shared" si="88"/>
        <v>8.7603249999999999</v>
      </c>
      <c r="I155" s="677">
        <f t="shared" si="66"/>
        <v>3.1582734096886398</v>
      </c>
      <c r="J155" s="678">
        <f t="shared" si="67"/>
        <v>1.2486231224072155</v>
      </c>
      <c r="K155" s="678">
        <f t="shared" si="68"/>
        <v>1.0000605922404124</v>
      </c>
      <c r="L155" s="679">
        <f t="shared" si="69"/>
        <v>1.1008104383071067E-2</v>
      </c>
      <c r="M155" s="678">
        <f t="shared" si="70"/>
        <v>1.0027062660991017</v>
      </c>
      <c r="N155" s="679">
        <f t="shared" si="71"/>
        <v>-7.3487099960286975E-2</v>
      </c>
      <c r="O155" s="677">
        <f t="shared" si="72"/>
        <v>66051.294323436901</v>
      </c>
      <c r="P155" s="680">
        <f t="shared" si="73"/>
        <v>1.5707811870461561</v>
      </c>
      <c r="Q155" s="689">
        <f t="shared" si="97"/>
        <v>1.7821488326461081</v>
      </c>
      <c r="R155" s="690">
        <f t="shared" si="98"/>
        <v>0.97505761682961778</v>
      </c>
      <c r="S155" s="677">
        <f t="shared" si="76"/>
        <v>1.0006797859648029</v>
      </c>
      <c r="T155" s="680">
        <f t="shared" si="77"/>
        <v>3.6861934221022283E-2</v>
      </c>
      <c r="U155" s="681">
        <f t="shared" si="89"/>
        <v>0.98085952839790858</v>
      </c>
      <c r="V155" s="682">
        <f t="shared" si="90"/>
        <v>-0.23935354452376675</v>
      </c>
      <c r="W155" s="683">
        <f t="shared" si="78"/>
        <v>2.3363033287422388</v>
      </c>
      <c r="X155" s="684">
        <f t="shared" si="79"/>
        <v>-125.0790455122298</v>
      </c>
      <c r="Y155" s="687">
        <f t="shared" si="80"/>
        <v>54.920954487770203</v>
      </c>
      <c r="AA155" s="170">
        <f t="shared" si="81"/>
        <v>1000000000</v>
      </c>
      <c r="AB155" s="170">
        <f t="shared" si="82"/>
        <v>76743294.105625018</v>
      </c>
      <c r="AD155" s="686">
        <f t="shared" si="83"/>
        <v>13.720800324418679</v>
      </c>
      <c r="AE155" s="687">
        <f t="shared" si="84"/>
        <v>-36.244479626841787</v>
      </c>
      <c r="AG155" s="686">
        <f t="shared" si="85"/>
        <v>30.912562195645048</v>
      </c>
      <c r="AH155" s="687">
        <f t="shared" si="86"/>
        <v>-61.406670028630103</v>
      </c>
      <c r="AJ155" s="170">
        <f t="shared" si="87"/>
        <v>0</v>
      </c>
      <c r="AK155" s="170">
        <f t="shared" si="99"/>
        <v>0</v>
      </c>
      <c r="AM155" s="170" t="str">
        <f t="shared" si="91"/>
        <v>0.058974919791434+0.338336812094786i</v>
      </c>
      <c r="AN155" s="170" t="str">
        <f t="shared" si="92"/>
        <v>0.345148913242723i</v>
      </c>
      <c r="AO155" s="170" t="str">
        <f t="shared" si="93"/>
        <v>0.980263298284974-0.170868044280819i</v>
      </c>
      <c r="AP155" s="170" t="str">
        <f t="shared" si="94"/>
        <v>0.156837513368094-0.0563894686824643i</v>
      </c>
      <c r="AQ155" s="170" t="str">
        <f t="shared" si="95"/>
        <v>0.843162486631906+0.0563894686824643i</v>
      </c>
      <c r="AR155" s="170" t="str">
        <f t="shared" si="96"/>
        <v>0.983548026302831-0.0657782473796366i</v>
      </c>
    </row>
    <row r="156" spans="7:44">
      <c r="G156" s="691">
        <v>8811.0499999999993</v>
      </c>
      <c r="H156" s="676">
        <f t="shared" si="88"/>
        <v>8.8110499999999998</v>
      </c>
      <c r="I156" s="677">
        <f t="shared" si="66"/>
        <v>3.1747321653229301</v>
      </c>
      <c r="J156" s="678">
        <f t="shared" si="67"/>
        <v>1.2503531578025224</v>
      </c>
      <c r="K156" s="678">
        <f t="shared" si="68"/>
        <v>1.0000612959461104</v>
      </c>
      <c r="L156" s="679">
        <f t="shared" si="69"/>
        <v>1.1071839529184628E-2</v>
      </c>
      <c r="M156" s="678">
        <f t="shared" si="70"/>
        <v>1.0027376541680686</v>
      </c>
      <c r="N156" s="679">
        <f t="shared" si="71"/>
        <v>-7.3911069518654851E-2</v>
      </c>
      <c r="O156" s="677">
        <f t="shared" si="72"/>
        <v>66433.7518126043</v>
      </c>
      <c r="P156" s="680">
        <f t="shared" si="73"/>
        <v>1.5707812742053204</v>
      </c>
      <c r="Q156" s="689">
        <f t="shared" si="97"/>
        <v>1.7892253857116893</v>
      </c>
      <c r="R156" s="690">
        <f t="shared" si="98"/>
        <v>0.97773634234941809</v>
      </c>
      <c r="S156" s="677">
        <f t="shared" si="76"/>
        <v>1.0006876783869916</v>
      </c>
      <c r="T156" s="680">
        <f t="shared" si="77"/>
        <v>3.7075181280011402E-2</v>
      </c>
      <c r="U156" s="681">
        <f t="shared" si="89"/>
        <v>0.98064769384757744</v>
      </c>
      <c r="V156" s="682">
        <f t="shared" si="90"/>
        <v>-0.24071378136615759</v>
      </c>
      <c r="W156" s="683">
        <f t="shared" si="78"/>
        <v>2.2737620548640622</v>
      </c>
      <c r="X156" s="684">
        <f t="shared" si="79"/>
        <v>-125.13548846408568</v>
      </c>
      <c r="Y156" s="687">
        <f t="shared" si="80"/>
        <v>54.864511535914318</v>
      </c>
      <c r="AA156" s="170">
        <f t="shared" si="81"/>
        <v>1000000000</v>
      </c>
      <c r="AB156" s="170">
        <f t="shared" si="82"/>
        <v>77634602.102499992</v>
      </c>
      <c r="AD156" s="686">
        <f t="shared" si="83"/>
        <v>13.705004489590218</v>
      </c>
      <c r="AE156" s="687">
        <f t="shared" si="84"/>
        <v>-36.103223110247747</v>
      </c>
      <c r="AG156" s="686">
        <f t="shared" si="85"/>
        <v>30.869568915163992</v>
      </c>
      <c r="AH156" s="687">
        <f t="shared" si="86"/>
        <v>-61.448497836487583</v>
      </c>
      <c r="AJ156" s="170">
        <f t="shared" si="87"/>
        <v>0</v>
      </c>
      <c r="AK156" s="170">
        <f t="shared" si="99"/>
        <v>0</v>
      </c>
      <c r="AM156" s="170" t="str">
        <f t="shared" si="91"/>
        <v>0.059652971255462+0.340216791959653i</v>
      </c>
      <c r="AN156" s="170" t="str">
        <f t="shared" si="92"/>
        <v>0.347147432546999i</v>
      </c>
      <c r="AO156" s="170" t="str">
        <f t="shared" si="93"/>
        <v>0.980035454859924-0.171837570042768i</v>
      </c>
      <c r="AP156" s="170" t="str">
        <f t="shared" si="94"/>
        <v>0.156724504790756-0.0567027986599422i</v>
      </c>
      <c r="AQ156" s="170" t="str">
        <f t="shared" si="95"/>
        <v>0.843275495209244+0.0567027986599422i</v>
      </c>
      <c r="AR156" s="170" t="str">
        <f t="shared" si="96"/>
        <v>0.983368609503207-0.0661228182129635i</v>
      </c>
    </row>
    <row r="157" spans="7:44">
      <c r="G157" s="691">
        <v>8861.7749999999996</v>
      </c>
      <c r="H157" s="676">
        <f t="shared" si="88"/>
        <v>8.8617749999999997</v>
      </c>
      <c r="I157" s="677">
        <f t="shared" si="66"/>
        <v>3.1912003249710104</v>
      </c>
      <c r="J157" s="678">
        <f t="shared" si="67"/>
        <v>1.2520653426152737</v>
      </c>
      <c r="K157" s="678">
        <f t="shared" si="68"/>
        <v>1.0000620037142205</v>
      </c>
      <c r="L157" s="679">
        <f t="shared" si="69"/>
        <v>1.113557458534328E-2</v>
      </c>
      <c r="M157" s="678">
        <f t="shared" si="70"/>
        <v>1.0027692224680134</v>
      </c>
      <c r="N157" s="679">
        <f t="shared" si="71"/>
        <v>-7.4335012459148031E-2</v>
      </c>
      <c r="O157" s="677">
        <f t="shared" si="72"/>
        <v>66816.209301772236</v>
      </c>
      <c r="P157" s="680">
        <f t="shared" si="73"/>
        <v>1.5707813603666827</v>
      </c>
      <c r="Q157" s="689">
        <f t="shared" si="97"/>
        <v>1.7963146762807025</v>
      </c>
      <c r="R157" s="690">
        <f t="shared" si="98"/>
        <v>0.9803939432316221</v>
      </c>
      <c r="S157" s="677">
        <f t="shared" si="76"/>
        <v>1.000695616314041</v>
      </c>
      <c r="T157" s="680">
        <f t="shared" si="77"/>
        <v>3.7288424965571665E-2</v>
      </c>
      <c r="U157" s="681">
        <f t="shared" si="89"/>
        <v>0.9804347669317629</v>
      </c>
      <c r="V157" s="682">
        <f t="shared" si="90"/>
        <v>-0.24207358669945589</v>
      </c>
      <c r="W157" s="683">
        <f t="shared" si="78"/>
        <v>2.2116333467011753</v>
      </c>
      <c r="X157" s="684">
        <f t="shared" si="79"/>
        <v>-125.19209251143683</v>
      </c>
      <c r="Y157" s="687">
        <f t="shared" si="80"/>
        <v>54.807907488563174</v>
      </c>
      <c r="AA157" s="170">
        <f t="shared" si="81"/>
        <v>1000000000</v>
      </c>
      <c r="AB157" s="170">
        <f t="shared" si="82"/>
        <v>78531056.15062499</v>
      </c>
      <c r="AD157" s="686">
        <f t="shared" si="83"/>
        <v>13.689421858227815</v>
      </c>
      <c r="AE157" s="687">
        <f t="shared" si="84"/>
        <v>-35.963176695780014</v>
      </c>
      <c r="AG157" s="686">
        <f t="shared" si="85"/>
        <v>30.826795162548741</v>
      </c>
      <c r="AH157" s="687">
        <f t="shared" si="86"/>
        <v>-61.489326085013616</v>
      </c>
      <c r="AJ157" s="170">
        <f t="shared" si="87"/>
        <v>0</v>
      </c>
      <c r="AK157" s="170">
        <f t="shared" si="99"/>
        <v>0</v>
      </c>
      <c r="AM157" s="170" t="str">
        <f t="shared" si="91"/>
        <v>0.060334778538944+0.34209541297209i</v>
      </c>
      <c r="AN157" s="170" t="str">
        <f t="shared" si="92"/>
        <v>0.349145951851276i</v>
      </c>
      <c r="AO157" s="170" t="str">
        <f t="shared" si="93"/>
        <v>0.979806327864316-0.172806753791734i</v>
      </c>
      <c r="AP157" s="170" t="str">
        <f t="shared" si="94"/>
        <v>0.156610870243509-0.057015902162015i</v>
      </c>
      <c r="AQ157" s="170" t="str">
        <f t="shared" si="95"/>
        <v>0.843389129756491+0.057015902162015i</v>
      </c>
      <c r="AR157" s="170" t="str">
        <f t="shared" si="96"/>
        <v>0.983188313334879-0.0664667905977437i</v>
      </c>
    </row>
    <row r="158" spans="7:44">
      <c r="G158" s="688">
        <v>8912.5</v>
      </c>
      <c r="H158" s="676">
        <f t="shared" si="88"/>
        <v>8.9124999999999996</v>
      </c>
      <c r="I158" s="677">
        <f t="shared" si="66"/>
        <v>3.2076777437927713</v>
      </c>
      <c r="J158" s="678">
        <f t="shared" si="67"/>
        <v>1.2537599418169116</v>
      </c>
      <c r="K158" s="678">
        <f t="shared" si="68"/>
        <v>1.0000627155447341</v>
      </c>
      <c r="L158" s="679">
        <f t="shared" si="69"/>
        <v>1.1199309551029407E-2</v>
      </c>
      <c r="M158" s="678">
        <f t="shared" si="70"/>
        <v>1.0028009709819146</v>
      </c>
      <c r="N158" s="679">
        <f t="shared" si="71"/>
        <v>-7.4758928631899035E-2</v>
      </c>
      <c r="O158" s="677">
        <f t="shared" si="72"/>
        <v>67198.666790940639</v>
      </c>
      <c r="P158" s="680">
        <f t="shared" si="73"/>
        <v>1.5707814455472797</v>
      </c>
      <c r="Q158" s="689">
        <f t="shared" ref="Q158:Q214" si="100">SQRT(1+(G158/Zero2)^2)</f>
        <v>1.803416554138503</v>
      </c>
      <c r="R158" s="690">
        <f t="shared" ref="R158:R214" si="101">ATAN(G158/Zero2)</f>
        <v>0.98303063128068768</v>
      </c>
      <c r="S158" s="677">
        <f t="shared" si="76"/>
        <v>1.0007035997448686</v>
      </c>
      <c r="T158" s="680">
        <f t="shared" si="77"/>
        <v>3.7501665258389986E-2</v>
      </c>
      <c r="U158" s="681">
        <f t="shared" si="89"/>
        <v>0.98022074976947904</v>
      </c>
      <c r="V158" s="682">
        <f t="shared" si="90"/>
        <v>-0.24343295841690488</v>
      </c>
      <c r="W158" s="683">
        <f t="shared" si="78"/>
        <v>2.1499119331108769</v>
      </c>
      <c r="X158" s="684">
        <f t="shared" si="79"/>
        <v>-125.2488605711311</v>
      </c>
      <c r="Y158" s="687">
        <f t="shared" si="80"/>
        <v>54.751139428868896</v>
      </c>
      <c r="AA158" s="170">
        <f t="shared" si="81"/>
        <v>1000000000</v>
      </c>
      <c r="AB158" s="170">
        <f t="shared" si="82"/>
        <v>79432656.25</v>
      </c>
      <c r="AD158" s="686">
        <f t="shared" si="83"/>
        <v>13.674048762671895</v>
      </c>
      <c r="AE158" s="687">
        <f t="shared" si="84"/>
        <v>-35.824328247806648</v>
      </c>
      <c r="AG158" s="686">
        <f t="shared" si="85"/>
        <v>30.784239309725709</v>
      </c>
      <c r="AH158" s="687">
        <f t="shared" si="86"/>
        <v>-61.529170068104705</v>
      </c>
      <c r="AJ158" s="170">
        <f t="shared" si="87"/>
        <v>0</v>
      </c>
      <c r="AK158" s="170">
        <f t="shared" si="99"/>
        <v>0</v>
      </c>
      <c r="AM158" s="170" t="str">
        <f t="shared" si="91"/>
        <v>0.061020338918691+0.343972667628737i</v>
      </c>
      <c r="AN158" s="170" t="str">
        <f t="shared" si="92"/>
        <v>0.351144471155553i</v>
      </c>
      <c r="AO158" s="170" t="str">
        <f t="shared" si="93"/>
        <v>0.979575917845966-0.173775593612179i</v>
      </c>
      <c r="AP158" s="170" t="str">
        <f t="shared" si="94"/>
        <v>0.156496610180218-0.0573287779381228i</v>
      </c>
      <c r="AQ158" s="170" t="str">
        <f t="shared" si="95"/>
        <v>0.843503389819782+0.0573287779381228i</v>
      </c>
      <c r="AR158" s="170" t="str">
        <f t="shared" si="96"/>
        <v>0.983007140303436-0.06681016192488i</v>
      </c>
    </row>
    <row r="159" spans="7:44">
      <c r="G159" s="688">
        <v>8964.4</v>
      </c>
      <c r="H159" s="676">
        <f t="shared" si="88"/>
        <v>8.9643999999999995</v>
      </c>
      <c r="I159" s="677">
        <f t="shared" si="66"/>
        <v>3.2245462828564273</v>
      </c>
      <c r="J159" s="678">
        <f t="shared" si="67"/>
        <v>1.2554758646668644</v>
      </c>
      <c r="K159" s="678">
        <f t="shared" si="68"/>
        <v>1.0000634480688126</v>
      </c>
      <c r="L159" s="679">
        <f t="shared" si="69"/>
        <v>1.1264520786944976E-2</v>
      </c>
      <c r="M159" s="678">
        <f t="shared" si="70"/>
        <v>1.0028336414284096</v>
      </c>
      <c r="N159" s="679">
        <f t="shared" si="71"/>
        <v>-7.5192636588601258E-2</v>
      </c>
      <c r="O159" s="677">
        <f t="shared" si="72"/>
        <v>67589.983571381556</v>
      </c>
      <c r="P159" s="680">
        <f t="shared" si="73"/>
        <v>1.5707815317032692</v>
      </c>
      <c r="Q159" s="689">
        <f t="shared" si="100"/>
        <v>1.8106958142949832</v>
      </c>
      <c r="R159" s="690">
        <f t="shared" si="101"/>
        <v>0.9857069694544387</v>
      </c>
      <c r="S159" s="677">
        <f t="shared" si="76"/>
        <v>1.0007118152007803</v>
      </c>
      <c r="T159" s="680">
        <f t="shared" si="77"/>
        <v>3.7719841543315882E-2</v>
      </c>
      <c r="U159" s="681">
        <f t="shared" si="89"/>
        <v>0.98000064888599681</v>
      </c>
      <c r="V159" s="682">
        <f t="shared" si="90"/>
        <v>-0.24482336779455782</v>
      </c>
      <c r="W159" s="683">
        <f t="shared" si="78"/>
        <v>2.0871769477442923</v>
      </c>
      <c r="X159" s="684">
        <f t="shared" si="79"/>
        <v>-125.30711623925541</v>
      </c>
      <c r="Y159" s="687">
        <f t="shared" si="80"/>
        <v>54.692883760744593</v>
      </c>
      <c r="AA159" s="170">
        <f t="shared" si="81"/>
        <v>1000000000</v>
      </c>
      <c r="AB159" s="170">
        <f t="shared" si="82"/>
        <v>80360467.359999999</v>
      </c>
      <c r="AD159" s="686">
        <f t="shared" si="83"/>
        <v>13.658532688641793</v>
      </c>
      <c r="AE159" s="687">
        <f t="shared" si="84"/>
        <v>-35.683490882430718</v>
      </c>
      <c r="AG159" s="686">
        <f t="shared" si="85"/>
        <v>30.740921533215143</v>
      </c>
      <c r="AH159" s="687">
        <f t="shared" si="86"/>
        <v>-61.568933923153061</v>
      </c>
      <c r="AJ159" s="170">
        <f t="shared" si="87"/>
        <v>0</v>
      </c>
      <c r="AK159" s="170">
        <f t="shared" si="99"/>
        <v>0</v>
      </c>
      <c r="AM159" s="170" t="str">
        <f t="shared" si="91"/>
        <v>0.06172566135442+0.345891985219663i</v>
      </c>
      <c r="AN159" s="170" t="str">
        <f t="shared" si="92"/>
        <v>0.353189284401328i</v>
      </c>
      <c r="AO159" s="170" t="str">
        <f t="shared" si="93"/>
        <v>0.979338843209713-0.174766517786766i</v>
      </c>
      <c r="AP159" s="170" t="str">
        <f t="shared" si="94"/>
        <v>0.15637905644093-0.0576486642032772i</v>
      </c>
      <c r="AQ159" s="170" t="str">
        <f t="shared" si="95"/>
        <v>0.84362094355907+0.0576486642032772i</v>
      </c>
      <c r="AR159" s="170" t="str">
        <f t="shared" si="96"/>
        <v>0.982820865614933-0.0671608623356116i</v>
      </c>
    </row>
    <row r="160" spans="7:44">
      <c r="G160" s="688">
        <v>9016.2999999999993</v>
      </c>
      <c r="H160" s="676">
        <f t="shared" si="88"/>
        <v>9.0162999999999993</v>
      </c>
      <c r="I160" s="677">
        <f t="shared" si="66"/>
        <v>3.2414242174117369</v>
      </c>
      <c r="J160" s="678">
        <f t="shared" si="67"/>
        <v>1.2571739230235415</v>
      </c>
      <c r="K160" s="678">
        <f t="shared" si="68"/>
        <v>1.00006418484566</v>
      </c>
      <c r="L160" s="679">
        <f t="shared" si="69"/>
        <v>1.1329731927051764E-2</v>
      </c>
      <c r="M160" s="678">
        <f t="shared" si="70"/>
        <v>1.0028665004982005</v>
      </c>
      <c r="N160" s="679">
        <f t="shared" si="71"/>
        <v>-7.5626316205864116E-2</v>
      </c>
      <c r="O160" s="677">
        <f t="shared" si="72"/>
        <v>67981.300351822967</v>
      </c>
      <c r="P160" s="680">
        <f t="shared" si="73"/>
        <v>1.5707816168673892</v>
      </c>
      <c r="Q160" s="689">
        <f t="shared" si="100"/>
        <v>1.8179879401628993</v>
      </c>
      <c r="R160" s="690">
        <f t="shared" si="101"/>
        <v>0.9883618564140233</v>
      </c>
      <c r="S160" s="677">
        <f t="shared" si="76"/>
        <v>1.0007200782906833</v>
      </c>
      <c r="T160" s="680">
        <f t="shared" si="77"/>
        <v>3.7938014235600795E-2</v>
      </c>
      <c r="U160" s="681">
        <f t="shared" si="89"/>
        <v>0.97977941117676492</v>
      </c>
      <c r="V160" s="682">
        <f t="shared" si="90"/>
        <v>-0.24621331879228275</v>
      </c>
      <c r="W160" s="683">
        <f t="shared" si="78"/>
        <v>2.0248574614236099</v>
      </c>
      <c r="X160" s="684">
        <f t="shared" si="79"/>
        <v>-125.36554926720002</v>
      </c>
      <c r="Y160" s="687">
        <f t="shared" si="80"/>
        <v>54.634450732799976</v>
      </c>
      <c r="AA160" s="170">
        <f t="shared" si="81"/>
        <v>1000000000</v>
      </c>
      <c r="AB160" s="170">
        <f t="shared" si="82"/>
        <v>81293665.689999983</v>
      </c>
      <c r="AD160" s="686">
        <f t="shared" si="83"/>
        <v>13.643228440401707</v>
      </c>
      <c r="AE160" s="687">
        <f t="shared" si="84"/>
        <v>-35.543882318420238</v>
      </c>
      <c r="AG160" s="686">
        <f t="shared" si="85"/>
        <v>30.697828462470547</v>
      </c>
      <c r="AH160" s="687">
        <f t="shared" si="86"/>
        <v>-61.607698863126878</v>
      </c>
      <c r="AJ160" s="170">
        <f t="shared" si="87"/>
        <v>0</v>
      </c>
      <c r="AK160" s="170">
        <f t="shared" si="99"/>
        <v>0</v>
      </c>
      <c r="AM160" s="170" t="str">
        <f t="shared" si="91"/>
        <v>0.06243490695888+0.347809856546354i</v>
      </c>
      <c r="AN160" s="170" t="str">
        <f t="shared" si="92"/>
        <v>0.355234097647103i</v>
      </c>
      <c r="AO160" s="170" t="str">
        <f t="shared" si="93"/>
        <v>0.979100426592144-0.175757077860538i</v>
      </c>
      <c r="AP160" s="170" t="str">
        <f t="shared" si="94"/>
        <v>0.156260848840187-0.0579683094243923i</v>
      </c>
      <c r="AQ160" s="170" t="str">
        <f t="shared" si="95"/>
        <v>0.843739151159813+0.0579683094243923i</v>
      </c>
      <c r="AR160" s="170" t="str">
        <f t="shared" si="96"/>
        <v>0.982633678304995-0.0675109280356526i</v>
      </c>
    </row>
    <row r="161" spans="7:44">
      <c r="G161" s="688">
        <v>9068.2000000000007</v>
      </c>
      <c r="H161" s="676">
        <f t="shared" si="88"/>
        <v>9.0682000000000009</v>
      </c>
      <c r="I161" s="677">
        <f t="shared" si="66"/>
        <v>3.2583114014537897</v>
      </c>
      <c r="J161" s="678">
        <f t="shared" si="67"/>
        <v>1.2588543847821689</v>
      </c>
      <c r="K161" s="678">
        <f t="shared" si="68"/>
        <v>1.000064925875267</v>
      </c>
      <c r="L161" s="679">
        <f t="shared" si="69"/>
        <v>1.1394942970795369E-2</v>
      </c>
      <c r="M161" s="678">
        <f t="shared" si="70"/>
        <v>1.0028995481727472</v>
      </c>
      <c r="N161" s="679">
        <f t="shared" si="71"/>
        <v>-7.6059967323350033E-2</v>
      </c>
      <c r="O161" s="677">
        <f t="shared" si="72"/>
        <v>68372.617132264873</v>
      </c>
      <c r="P161" s="680">
        <f t="shared" si="73"/>
        <v>1.57078170105667</v>
      </c>
      <c r="Q161" s="689">
        <f t="shared" si="100"/>
        <v>1.8252927775449888</v>
      </c>
      <c r="R161" s="690">
        <f t="shared" si="101"/>
        <v>0.9909955120523537</v>
      </c>
      <c r="S161" s="677">
        <f t="shared" si="76"/>
        <v>1.0007283890133969</v>
      </c>
      <c r="T161" s="680">
        <f t="shared" si="77"/>
        <v>3.8156183314564239E-2</v>
      </c>
      <c r="U161" s="681">
        <f t="shared" si="89"/>
        <v>0.97955703893862356</v>
      </c>
      <c r="V161" s="682">
        <f t="shared" si="90"/>
        <v>-0.24760280917313929</v>
      </c>
      <c r="W161" s="683">
        <f t="shared" si="78"/>
        <v>1.962948109175958</v>
      </c>
      <c r="X161" s="684">
        <f t="shared" si="79"/>
        <v>-125.42416226776371</v>
      </c>
      <c r="Y161" s="687">
        <f t="shared" si="80"/>
        <v>54.575837732236295</v>
      </c>
      <c r="AA161" s="170">
        <f t="shared" si="81"/>
        <v>1000000000</v>
      </c>
      <c r="AB161" s="170">
        <f t="shared" si="82"/>
        <v>82232251.24000001</v>
      </c>
      <c r="AD161" s="686">
        <f t="shared" si="83"/>
        <v>13.628132327158342</v>
      </c>
      <c r="AE161" s="687">
        <f t="shared" si="84"/>
        <v>-35.405489956630277</v>
      </c>
      <c r="AG161" s="686">
        <f t="shared" si="85"/>
        <v>30.65495839663031</v>
      </c>
      <c r="AH161" s="687">
        <f t="shared" si="86"/>
        <v>-61.645480356304354</v>
      </c>
      <c r="AJ161" s="170">
        <f t="shared" si="87"/>
        <v>0</v>
      </c>
      <c r="AK161" s="170">
        <f t="shared" si="99"/>
        <v>0</v>
      </c>
      <c r="AM161" s="170" t="str">
        <f t="shared" si="91"/>
        <v>0.063148072766529+0.34972627358969i</v>
      </c>
      <c r="AN161" s="170" t="str">
        <f t="shared" si="92"/>
        <v>0.357278910892879i</v>
      </c>
      <c r="AO161" s="170" t="str">
        <f t="shared" si="93"/>
        <v>0.978860668589942-0.17674727178471i</v>
      </c>
      <c r="AP161" s="170" t="str">
        <f t="shared" si="94"/>
        <v>0.156141987872245-0.0582877122649483i</v>
      </c>
      <c r="AQ161" s="170" t="str">
        <f t="shared" si="95"/>
        <v>0.843858012127755+0.0582877122649483i</v>
      </c>
      <c r="AR161" s="170" t="str">
        <f t="shared" si="96"/>
        <v>0.982445581086552-0.0678603562724405i</v>
      </c>
    </row>
    <row r="162" spans="7:44">
      <c r="G162" s="688">
        <v>9120.1</v>
      </c>
      <c r="H162" s="676">
        <f t="shared" si="88"/>
        <v>9.1201000000000008</v>
      </c>
      <c r="I162" s="677">
        <f t="shared" si="66"/>
        <v>3.2752076919097202</v>
      </c>
      <c r="J162" s="678">
        <f t="shared" si="67"/>
        <v>1.260517512711945</v>
      </c>
      <c r="K162" s="678">
        <f t="shared" si="68"/>
        <v>1.0000656711576239</v>
      </c>
      <c r="L162" s="679">
        <f t="shared" si="69"/>
        <v>1.1460153917621382E-2</v>
      </c>
      <c r="M162" s="678">
        <f t="shared" si="70"/>
        <v>1.0029327844334055</v>
      </c>
      <c r="N162" s="679">
        <f t="shared" si="71"/>
        <v>-7.6493589780785284E-2</v>
      </c>
      <c r="O162" s="677">
        <f t="shared" si="72"/>
        <v>68763.933912707274</v>
      </c>
      <c r="P162" s="680">
        <f t="shared" si="73"/>
        <v>1.5707817842877547</v>
      </c>
      <c r="Q162" s="689">
        <f t="shared" si="100"/>
        <v>1.8326101744358636</v>
      </c>
      <c r="R162" s="690">
        <f t="shared" si="101"/>
        <v>0.99360815393759616</v>
      </c>
      <c r="S162" s="677">
        <f t="shared" si="76"/>
        <v>1.0007367473677349</v>
      </c>
      <c r="T162" s="680">
        <f t="shared" si="77"/>
        <v>3.8374348759527777E-2</v>
      </c>
      <c r="U162" s="681">
        <f t="shared" si="89"/>
        <v>0.97933353447745852</v>
      </c>
      <c r="V162" s="682">
        <f t="shared" si="90"/>
        <v>-0.24899183670686337</v>
      </c>
      <c r="W162" s="683">
        <f t="shared" si="78"/>
        <v>1.9014436170307689</v>
      </c>
      <c r="X162" s="684">
        <f t="shared" si="79"/>
        <v>-125.48295769360756</v>
      </c>
      <c r="Y162" s="687">
        <f t="shared" si="80"/>
        <v>54.51704230639244</v>
      </c>
      <c r="AA162" s="170">
        <f t="shared" si="81"/>
        <v>1000000000</v>
      </c>
      <c r="AB162" s="170">
        <f t="shared" si="82"/>
        <v>83176224.010000005</v>
      </c>
      <c r="AD162" s="686">
        <f t="shared" si="83"/>
        <v>13.613240734495438</v>
      </c>
      <c r="AE162" s="687">
        <f t="shared" si="84"/>
        <v>-35.268301331091905</v>
      </c>
      <c r="AG162" s="686">
        <f t="shared" si="85"/>
        <v>30.612309649343281</v>
      </c>
      <c r="AH162" s="687">
        <f t="shared" si="86"/>
        <v>-61.682293576885016</v>
      </c>
      <c r="AJ162" s="170">
        <f t="shared" si="87"/>
        <v>0</v>
      </c>
      <c r="AK162" s="170">
        <f t="shared" si="99"/>
        <v>0</v>
      </c>
      <c r="AM162" s="170" t="str">
        <f t="shared" si="91"/>
        <v>0.0638651557954359+0.351641228336633i</v>
      </c>
      <c r="AN162" s="170" t="str">
        <f t="shared" si="92"/>
        <v>0.359323724138654i</v>
      </c>
      <c r="AO162" s="170" t="str">
        <f t="shared" si="93"/>
        <v>0.978619569803144-0.177737097511524i</v>
      </c>
      <c r="AP162" s="170" t="str">
        <f t="shared" si="94"/>
        <v>0.156022474034094-0.0586068713894388i</v>
      </c>
      <c r="AQ162" s="170" t="str">
        <f t="shared" si="95"/>
        <v>0.843977525965906+0.0586068713894388i</v>
      </c>
      <c r="AR162" s="170" t="str">
        <f t="shared" si="96"/>
        <v>0.982256576682192-0.0682091443076757i</v>
      </c>
    </row>
    <row r="163" spans="7:44">
      <c r="G163" s="688">
        <v>9173.2000000000007</v>
      </c>
      <c r="H163" s="676">
        <f t="shared" si="88"/>
        <v>9.1732000000000014</v>
      </c>
      <c r="I163" s="677">
        <f t="shared" si="66"/>
        <v>3.2925039265044904</v>
      </c>
      <c r="J163" s="678">
        <f t="shared" si="67"/>
        <v>1.2622014236259544</v>
      </c>
      <c r="K163" s="678">
        <f t="shared" si="68"/>
        <v>1.000066438073314</v>
      </c>
      <c r="L163" s="679">
        <f t="shared" si="69"/>
        <v>1.152687253112107E-2</v>
      </c>
      <c r="M163" s="678">
        <f t="shared" si="70"/>
        <v>1.0029669843200439</v>
      </c>
      <c r="N163" s="679">
        <f t="shared" si="71"/>
        <v>-7.6937208362205911E-2</v>
      </c>
      <c r="O163" s="677">
        <f t="shared" si="72"/>
        <v>69164.298479981182</v>
      </c>
      <c r="P163" s="680">
        <f t="shared" si="73"/>
        <v>1.5707818684685344</v>
      </c>
      <c r="Q163" s="689">
        <f t="shared" si="100"/>
        <v>1.8401096018839678</v>
      </c>
      <c r="R163" s="690">
        <f t="shared" si="101"/>
        <v>0.99625968004090637</v>
      </c>
      <c r="S163" s="677">
        <f t="shared" si="76"/>
        <v>1.0007453482738959</v>
      </c>
      <c r="T163" s="680">
        <f t="shared" si="77"/>
        <v>3.859755470966629E-2</v>
      </c>
      <c r="U163" s="681">
        <f t="shared" si="89"/>
        <v>0.97910369290382016</v>
      </c>
      <c r="V163" s="682">
        <f t="shared" si="90"/>
        <v>-0.25041249914180963</v>
      </c>
      <c r="W163" s="683">
        <f t="shared" si="78"/>
        <v>1.8389306585926701</v>
      </c>
      <c r="X163" s="684">
        <f t="shared" si="79"/>
        <v>-125.54330374834106</v>
      </c>
      <c r="Y163" s="687">
        <f t="shared" si="80"/>
        <v>54.45669625165894</v>
      </c>
      <c r="AA163" s="170">
        <f t="shared" si="81"/>
        <v>1000000000</v>
      </c>
      <c r="AB163" s="170">
        <f t="shared" si="82"/>
        <v>84147598.24000001</v>
      </c>
      <c r="AD163" s="686">
        <f t="shared" si="83"/>
        <v>13.598212804635644</v>
      </c>
      <c r="AE163" s="687">
        <f t="shared" si="84"/>
        <v>-35.129173658053013</v>
      </c>
      <c r="AG163" s="686">
        <f t="shared" si="85"/>
        <v>30.568902113827537</v>
      </c>
      <c r="AH163" s="687">
        <f t="shared" si="86"/>
        <v>-61.71897138120098</v>
      </c>
      <c r="AJ163" s="170">
        <f t="shared" si="87"/>
        <v>0</v>
      </c>
      <c r="AK163" s="170">
        <f t="shared" si="99"/>
        <v>0</v>
      </c>
      <c r="AM163" s="170" t="str">
        <f t="shared" si="91"/>
        <v>0.064602869777367+0.353598937740574i</v>
      </c>
      <c r="AN163" s="170" t="str">
        <f t="shared" si="92"/>
        <v>0.361415816303407i</v>
      </c>
      <c r="AO163" s="170" t="str">
        <f t="shared" si="93"/>
        <v>0.97837150946302-0.178749426182094i</v>
      </c>
      <c r="AP163" s="170" t="str">
        <f t="shared" si="94"/>
        <v>0.155899521703772-0.0589331562900957i</v>
      </c>
      <c r="AQ163" s="170" t="str">
        <f t="shared" si="95"/>
        <v>0.844100478296228+0.0589331562900957i</v>
      </c>
      <c r="AR163" s="170" t="str">
        <f t="shared" si="96"/>
        <v>0.982062266191785-0.0685653313891087i</v>
      </c>
    </row>
    <row r="164" spans="7:44">
      <c r="G164" s="688">
        <v>9226.2999999999993</v>
      </c>
      <c r="H164" s="676">
        <f t="shared" si="88"/>
        <v>9.2262999999999984</v>
      </c>
      <c r="I164" s="677">
        <f t="shared" si="66"/>
        <v>3.309809399587043</v>
      </c>
      <c r="J164" s="678">
        <f t="shared" si="67"/>
        <v>1.2638677304303676</v>
      </c>
      <c r="K164" s="678">
        <f t="shared" si="68"/>
        <v>1.000067209440666</v>
      </c>
      <c r="L164" s="679">
        <f t="shared" si="69"/>
        <v>1.1593591041995543E-2</v>
      </c>
      <c r="M164" s="678">
        <f t="shared" si="70"/>
        <v>1.0030013815745402</v>
      </c>
      <c r="N164" s="679">
        <f t="shared" si="71"/>
        <v>-7.7380796603719715E-2</v>
      </c>
      <c r="O164" s="677">
        <f t="shared" si="72"/>
        <v>69564.66304725557</v>
      </c>
      <c r="P164" s="680">
        <f t="shared" si="73"/>
        <v>1.5707819516803452</v>
      </c>
      <c r="Q164" s="689">
        <f t="shared" si="100"/>
        <v>1.8476218613146185</v>
      </c>
      <c r="R164" s="690">
        <f t="shared" si="101"/>
        <v>0.99888966279024605</v>
      </c>
      <c r="S164" s="677">
        <f t="shared" si="76"/>
        <v>1.0007539990372283</v>
      </c>
      <c r="T164" s="680">
        <f t="shared" si="77"/>
        <v>3.8820756812030663E-2</v>
      </c>
      <c r="U164" s="681">
        <f t="shared" si="89"/>
        <v>0.97887267105668807</v>
      </c>
      <c r="V164" s="682">
        <f t="shared" si="90"/>
        <v>-0.25183267237717477</v>
      </c>
      <c r="W164" s="683">
        <f t="shared" si="78"/>
        <v>1.7768306134414411</v>
      </c>
      <c r="X164" s="684">
        <f t="shared" si="79"/>
        <v>-125.60384546763287</v>
      </c>
      <c r="Y164" s="687">
        <f t="shared" si="80"/>
        <v>54.396154532367134</v>
      </c>
      <c r="AA164" s="170">
        <f t="shared" si="81"/>
        <v>1000000000</v>
      </c>
      <c r="AB164" s="170">
        <f t="shared" si="82"/>
        <v>85124611.689999983</v>
      </c>
      <c r="AD164" s="686">
        <f t="shared" si="83"/>
        <v>13.583391544881653</v>
      </c>
      <c r="AE164" s="687">
        <f t="shared" si="84"/>
        <v>-34.991280052295565</v>
      </c>
      <c r="AG164" s="686">
        <f t="shared" si="85"/>
        <v>30.525722724754829</v>
      </c>
      <c r="AH164" s="687">
        <f t="shared" si="86"/>
        <v>-61.754666840936572</v>
      </c>
      <c r="AJ164" s="170">
        <f t="shared" si="87"/>
        <v>0</v>
      </c>
      <c r="AK164" s="170">
        <f t="shared" si="99"/>
        <v>0</v>
      </c>
      <c r="AM164" s="170" t="str">
        <f t="shared" si="91"/>
        <v>0.065344677850385+0.355555099495703i</v>
      </c>
      <c r="AN164" s="170" t="str">
        <f t="shared" si="92"/>
        <v>0.36350790846816i</v>
      </c>
      <c r="AO164" s="170" t="str">
        <f t="shared" si="93"/>
        <v>0.978122046901344-0.179761365098632i</v>
      </c>
      <c r="AP164" s="170" t="str">
        <f t="shared" si="94"/>
        <v>0.155775887024936-0.0592591832492838i</v>
      </c>
      <c r="AQ164" s="170" t="str">
        <f t="shared" si="95"/>
        <v>0.844224112975064+0.0592591832492838i</v>
      </c>
      <c r="AR164" s="170" t="str">
        <f t="shared" si="96"/>
        <v>0.981867011876029-0.0689208425688582i</v>
      </c>
    </row>
    <row r="165" spans="7:44">
      <c r="G165" s="688">
        <v>9279.4</v>
      </c>
      <c r="H165" s="676">
        <f t="shared" si="88"/>
        <v>9.279399999999999</v>
      </c>
      <c r="I165" s="677">
        <f t="shared" si="66"/>
        <v>3.3271239670000834</v>
      </c>
      <c r="J165" s="678">
        <f t="shared" si="67"/>
        <v>1.2655166986377884</v>
      </c>
      <c r="K165" s="678">
        <f t="shared" si="68"/>
        <v>1.0000679852596703</v>
      </c>
      <c r="L165" s="679">
        <f t="shared" si="69"/>
        <v>1.1660309449651065E-2</v>
      </c>
      <c r="M165" s="678">
        <f t="shared" si="70"/>
        <v>1.003035976176589</v>
      </c>
      <c r="N165" s="679">
        <f t="shared" si="71"/>
        <v>-7.782435433388693E-2</v>
      </c>
      <c r="O165" s="677">
        <f t="shared" si="72"/>
        <v>69965.027614530438</v>
      </c>
      <c r="P165" s="680">
        <f t="shared" si="73"/>
        <v>1.5707820339398213</v>
      </c>
      <c r="Q165" s="689">
        <f t="shared" si="100"/>
        <v>1.8551467968417519</v>
      </c>
      <c r="R165" s="690">
        <f t="shared" si="101"/>
        <v>1.0014983277368759</v>
      </c>
      <c r="S165" s="677">
        <f t="shared" si="76"/>
        <v>1.0007626996564396</v>
      </c>
      <c r="T165" s="680">
        <f t="shared" si="77"/>
        <v>3.9043955044481507E-2</v>
      </c>
      <c r="U165" s="681">
        <f t="shared" si="89"/>
        <v>0.97864047143451516</v>
      </c>
      <c r="V165" s="682">
        <f t="shared" si="90"/>
        <v>-0.25325235404622154</v>
      </c>
      <c r="W165" s="683">
        <f t="shared" si="78"/>
        <v>1.7151381172499149</v>
      </c>
      <c r="X165" s="684">
        <f t="shared" si="79"/>
        <v>-125.66458499539114</v>
      </c>
      <c r="Y165" s="687">
        <f t="shared" si="80"/>
        <v>54.335415004608862</v>
      </c>
      <c r="AA165" s="170">
        <f t="shared" si="81"/>
        <v>1000000000</v>
      </c>
      <c r="AB165" s="170">
        <f t="shared" si="82"/>
        <v>86107264.359999999</v>
      </c>
      <c r="AD165" s="686">
        <f t="shared" si="83"/>
        <v>13.568773320806244</v>
      </c>
      <c r="AE165" s="687">
        <f t="shared" si="84"/>
        <v>-34.854607590368801</v>
      </c>
      <c r="AG165" s="686">
        <f t="shared" si="85"/>
        <v>30.482769723158686</v>
      </c>
      <c r="AH165" s="687">
        <f t="shared" si="86"/>
        <v>-61.789395294658732</v>
      </c>
      <c r="AJ165" s="170">
        <f t="shared" si="87"/>
        <v>0</v>
      </c>
      <c r="AK165" s="170">
        <f t="shared" si="99"/>
        <v>0</v>
      </c>
      <c r="AM165" s="170" t="str">
        <f t="shared" si="91"/>
        <v>0.066090576767707+0.357509705040194i</v>
      </c>
      <c r="AN165" s="170" t="str">
        <f t="shared" si="92"/>
        <v>0.365600000632913i</v>
      </c>
      <c r="AO165" s="170" t="str">
        <f t="shared" si="93"/>
        <v>0.977871182771572-0.180772912071372i</v>
      </c>
      <c r="AP165" s="170" t="str">
        <f t="shared" si="94"/>
        <v>0.155651570538716-0.0595849508400323i</v>
      </c>
      <c r="AQ165" s="170" t="str">
        <f t="shared" si="95"/>
        <v>0.844348429461284+0.0595849508400323i</v>
      </c>
      <c r="AR165" s="170" t="str">
        <f t="shared" si="96"/>
        <v>0.981670816681556-0.0692756749608509i</v>
      </c>
    </row>
    <row r="166" spans="7:44">
      <c r="G166" s="688">
        <v>9332.5</v>
      </c>
      <c r="H166" s="676">
        <f t="shared" si="88"/>
        <v>9.3324999999999996</v>
      </c>
      <c r="I166" s="677">
        <f t="shared" si="66"/>
        <v>3.3444474874966086</v>
      </c>
      <c r="J166" s="678">
        <f t="shared" si="67"/>
        <v>1.267148588641138</v>
      </c>
      <c r="K166" s="678">
        <f t="shared" si="68"/>
        <v>1.0000687655303162</v>
      </c>
      <c r="L166" s="679">
        <f t="shared" si="69"/>
        <v>1.1727027753493902E-2</v>
      </c>
      <c r="M166" s="678">
        <f t="shared" si="70"/>
        <v>1.0030707681057713</v>
      </c>
      <c r="N166" s="679">
        <f t="shared" si="71"/>
        <v>-7.8267881381339319E-2</v>
      </c>
      <c r="O166" s="677">
        <f t="shared" si="72"/>
        <v>70365.392181805786</v>
      </c>
      <c r="P166" s="680">
        <f t="shared" si="73"/>
        <v>1.5707821152632184</v>
      </c>
      <c r="Q166" s="689">
        <f t="shared" si="100"/>
        <v>1.8626842548373901</v>
      </c>
      <c r="R166" s="690">
        <f t="shared" si="101"/>
        <v>1.004085897951027</v>
      </c>
      <c r="S166" s="677">
        <f t="shared" si="76"/>
        <v>1.0007714501302294</v>
      </c>
      <c r="T166" s="680">
        <f t="shared" si="77"/>
        <v>3.9267149384881697E-2</v>
      </c>
      <c r="U166" s="681">
        <f t="shared" si="89"/>
        <v>0.97840709654538138</v>
      </c>
      <c r="V166" s="682">
        <f t="shared" si="90"/>
        <v>-0.2546715417896353</v>
      </c>
      <c r="W166" s="683">
        <f t="shared" si="78"/>
        <v>1.6538478976002589</v>
      </c>
      <c r="X166" s="684">
        <f t="shared" si="79"/>
        <v>-125.72552432474794</v>
      </c>
      <c r="Y166" s="687">
        <f t="shared" si="80"/>
        <v>54.274475675252063</v>
      </c>
      <c r="AA166" s="170">
        <f t="shared" si="81"/>
        <v>1000000000</v>
      </c>
      <c r="AB166" s="170">
        <f t="shared" si="82"/>
        <v>87095556.25</v>
      </c>
      <c r="AD166" s="686">
        <f t="shared" si="83"/>
        <v>13.55435457395016</v>
      </c>
      <c r="AE166" s="687">
        <f t="shared" si="84"/>
        <v>-34.719143490952959</v>
      </c>
      <c r="AG166" s="686">
        <f t="shared" si="85"/>
        <v>30.440041365890941</v>
      </c>
      <c r="AH166" s="687">
        <f t="shared" si="86"/>
        <v>-61.823171787177003</v>
      </c>
      <c r="AJ166" s="170">
        <f t="shared" si="87"/>
        <v>0</v>
      </c>
      <c r="AK166" s="170">
        <f t="shared" si="99"/>
        <v>0</v>
      </c>
      <c r="AM166" s="170" t="str">
        <f t="shared" si="91"/>
        <v>0.066840563264649+0.359462745819038i</v>
      </c>
      <c r="AN166" s="170" t="str">
        <f t="shared" si="92"/>
        <v>0.367692092797666i</v>
      </c>
      <c r="AO166" s="170" t="str">
        <f t="shared" si="93"/>
        <v>0.97761891773083-0.181784064911698i</v>
      </c>
      <c r="AP166" s="170" t="str">
        <f t="shared" si="94"/>
        <v>0.155526572789225-0.0599104576365063i</v>
      </c>
      <c r="AQ166" s="170" t="str">
        <f t="shared" si="95"/>
        <v>0.844473427210775+0.0599104576365063i</v>
      </c>
      <c r="AR166" s="170" t="str">
        <f t="shared" si="96"/>
        <v>0.981473683565184-0.0696298256948013i</v>
      </c>
    </row>
    <row r="167" spans="7:44">
      <c r="G167" s="688">
        <v>9386.85</v>
      </c>
      <c r="H167" s="676">
        <f t="shared" si="88"/>
        <v>9.3868500000000008</v>
      </c>
      <c r="I167" s="677">
        <f t="shared" si="66"/>
        <v>3.3621879394109673</v>
      </c>
      <c r="J167" s="678">
        <f t="shared" si="67"/>
        <v>1.268801474679109</v>
      </c>
      <c r="K167" s="678">
        <f t="shared" si="68"/>
        <v>1.00006956877897</v>
      </c>
      <c r="L167" s="679">
        <f t="shared" si="69"/>
        <v>1.1795316530750463E-2</v>
      </c>
      <c r="M167" s="678">
        <f t="shared" si="70"/>
        <v>1.0031065833821464</v>
      </c>
      <c r="N167" s="679">
        <f t="shared" si="71"/>
        <v>-7.8721817319229018E-2</v>
      </c>
      <c r="O167" s="677">
        <f t="shared" si="72"/>
        <v>70775.18152703064</v>
      </c>
      <c r="P167" s="680">
        <f t="shared" si="73"/>
        <v>1.5707821975481966</v>
      </c>
      <c r="Q167" s="689">
        <f t="shared" si="100"/>
        <v>1.8704119583906762</v>
      </c>
      <c r="R167" s="690">
        <f t="shared" si="101"/>
        <v>1.0067127656228565</v>
      </c>
      <c r="S167" s="677">
        <f t="shared" si="76"/>
        <v>1.0007804582218853</v>
      </c>
      <c r="T167" s="680">
        <f t="shared" si="77"/>
        <v>3.9495593775677677E-2</v>
      </c>
      <c r="U167" s="681">
        <f t="shared" si="89"/>
        <v>0.97816701343265999</v>
      </c>
      <c r="V167" s="682">
        <f t="shared" si="90"/>
        <v>-0.25612362394940702</v>
      </c>
      <c r="W167" s="683">
        <f t="shared" si="78"/>
        <v>1.5915260604826942</v>
      </c>
      <c r="X167" s="684">
        <f t="shared" si="79"/>
        <v>-125.7881070358508</v>
      </c>
      <c r="Y167" s="687">
        <f t="shared" si="80"/>
        <v>54.2118929641492</v>
      </c>
      <c r="AA167" s="170">
        <f t="shared" si="81"/>
        <v>1000000000</v>
      </c>
      <c r="AB167" s="170">
        <f t="shared" si="82"/>
        <v>88112952.922499999</v>
      </c>
      <c r="AD167" s="686">
        <f t="shared" si="83"/>
        <v>13.539799342729552</v>
      </c>
      <c r="AE167" s="687">
        <f t="shared" si="84"/>
        <v>-34.581728673888755</v>
      </c>
      <c r="AG167" s="686">
        <f t="shared" si="85"/>
        <v>30.396537998316301</v>
      </c>
      <c r="AH167" s="687">
        <f t="shared" si="86"/>
        <v>-61.856772956631545</v>
      </c>
      <c r="AJ167" s="170">
        <f t="shared" si="87"/>
        <v>0</v>
      </c>
      <c r="AK167" s="170">
        <f t="shared" si="99"/>
        <v>0</v>
      </c>
      <c r="AM167" s="170" t="str">
        <f t="shared" si="91"/>
        <v>0.0676124344324051+0.361460132760078i</v>
      </c>
      <c r="AN167" s="170" t="str">
        <f t="shared" si="92"/>
        <v>0.369833433836353i</v>
      </c>
      <c r="AO167" s="170" t="str">
        <f t="shared" si="93"/>
        <v>0.977359264170854-0.182818610343171i</v>
      </c>
      <c r="AP167" s="170" t="str">
        <f t="shared" si="94"/>
        <v>0.155397927594599-0.060243355460013i</v>
      </c>
      <c r="AQ167" s="170" t="str">
        <f t="shared" si="95"/>
        <v>0.844602072405401+0.060243355460013i</v>
      </c>
      <c r="AR167" s="170" t="str">
        <f t="shared" si="96"/>
        <v>0.981270941634903-0.0699916044145325i</v>
      </c>
    </row>
    <row r="168" spans="7:44">
      <c r="G168" s="688">
        <v>9441.2000000000007</v>
      </c>
      <c r="H168" s="676">
        <f t="shared" si="88"/>
        <v>9.4412000000000003</v>
      </c>
      <c r="I168" s="677">
        <f t="shared" si="66"/>
        <v>3.3799374804907463</v>
      </c>
      <c r="J168" s="678">
        <f t="shared" si="67"/>
        <v>1.2704370050805245</v>
      </c>
      <c r="K168" s="678">
        <f t="shared" si="68"/>
        <v>1.0000703766912979</v>
      </c>
      <c r="L168" s="679">
        <f t="shared" si="69"/>
        <v>1.1863605197990552E-2</v>
      </c>
      <c r="M168" s="678">
        <f t="shared" si="70"/>
        <v>1.0031426053417085</v>
      </c>
      <c r="N168" s="679">
        <f t="shared" si="71"/>
        <v>-7.9175720749771167E-2</v>
      </c>
      <c r="O168" s="677">
        <f t="shared" si="72"/>
        <v>71184.970872255974</v>
      </c>
      <c r="P168" s="680">
        <f t="shared" si="73"/>
        <v>1.5707822788857975</v>
      </c>
      <c r="Q168" s="689">
        <f t="shared" si="100"/>
        <v>1.8781524623366137</v>
      </c>
      <c r="R168" s="690">
        <f t="shared" si="101"/>
        <v>1.0093179987216967</v>
      </c>
      <c r="S168" s="677">
        <f t="shared" si="76"/>
        <v>1.000789518540169</v>
      </c>
      <c r="T168" s="680">
        <f t="shared" si="77"/>
        <v>3.9724034042102951E-2</v>
      </c>
      <c r="U168" s="681">
        <f t="shared" si="89"/>
        <v>0.97792570441643678</v>
      </c>
      <c r="V168" s="682">
        <f t="shared" si="90"/>
        <v>-0.25757518367762922</v>
      </c>
      <c r="W168" s="683">
        <f t="shared" si="78"/>
        <v>1.5296147721829616</v>
      </c>
      <c r="X168" s="684">
        <f t="shared" si="79"/>
        <v>-125.85090283200937</v>
      </c>
      <c r="Y168" s="687">
        <f t="shared" si="80"/>
        <v>54.149097167990632</v>
      </c>
      <c r="AA168" s="170">
        <f t="shared" si="81"/>
        <v>1000000000</v>
      </c>
      <c r="AB168" s="170">
        <f t="shared" si="82"/>
        <v>89136257.440000013</v>
      </c>
      <c r="AD168" s="686">
        <f t="shared" si="83"/>
        <v>13.525445783138315</v>
      </c>
      <c r="AE168" s="687">
        <f t="shared" si="84"/>
        <v>-34.44555313596009</v>
      </c>
      <c r="AG168" s="686">
        <f t="shared" si="85"/>
        <v>30.353266331255277</v>
      </c>
      <c r="AH168" s="687">
        <f t="shared" si="86"/>
        <v>-61.889407798252151</v>
      </c>
      <c r="AJ168" s="170">
        <f t="shared" si="87"/>
        <v>0</v>
      </c>
      <c r="AK168" s="170">
        <f t="shared" si="99"/>
        <v>0</v>
      </c>
      <c r="AM168" s="170" t="str">
        <f t="shared" si="91"/>
        <v>0.068388580913874+0.363455862283626i</v>
      </c>
      <c r="AN168" s="170" t="str">
        <f t="shared" si="92"/>
        <v>0.371974774875041i</v>
      </c>
      <c r="AO168" s="170" t="str">
        <f t="shared" si="93"/>
        <v>0.977098144372083-0.18385273823164i</v>
      </c>
      <c r="AP168" s="170" t="str">
        <f t="shared" si="94"/>
        <v>0.155268569847688-0.060575977047271i</v>
      </c>
      <c r="AQ168" s="170" t="str">
        <f t="shared" si="95"/>
        <v>0.844731430152312+0.060575977047271i</v>
      </c>
      <c r="AR168" s="170" t="str">
        <f t="shared" si="96"/>
        <v>0.9810672234052-0.0703526629713633i</v>
      </c>
    </row>
    <row r="169" spans="7:44">
      <c r="G169" s="688">
        <v>9495.5499999999993</v>
      </c>
      <c r="H169" s="676">
        <f t="shared" si="88"/>
        <v>9.4955499999999997</v>
      </c>
      <c r="I169" s="677">
        <f t="shared" si="66"/>
        <v>3.3976959682907304</v>
      </c>
      <c r="J169" s="678">
        <f t="shared" si="67"/>
        <v>1.272055443160484</v>
      </c>
      <c r="K169" s="678">
        <f t="shared" si="68"/>
        <v>1.0000711892672884</v>
      </c>
      <c r="L169" s="679">
        <f t="shared" si="69"/>
        <v>1.193189375457753E-2</v>
      </c>
      <c r="M169" s="678">
        <f t="shared" si="70"/>
        <v>1.0031788339621932</v>
      </c>
      <c r="N169" s="679">
        <f t="shared" si="71"/>
        <v>-7.9629591489443749E-2</v>
      </c>
      <c r="O169" s="677">
        <f t="shared" si="72"/>
        <v>71594.760217481758</v>
      </c>
      <c r="P169" s="680">
        <f t="shared" si="73"/>
        <v>1.5707823592922889</v>
      </c>
      <c r="Q169" s="689">
        <f t="shared" si="100"/>
        <v>1.8859056090615578</v>
      </c>
      <c r="R169" s="690">
        <f t="shared" si="101"/>
        <v>1.0119018284896624</v>
      </c>
      <c r="S169" s="677">
        <f t="shared" si="76"/>
        <v>1.0007986310836616</v>
      </c>
      <c r="T169" s="680">
        <f t="shared" si="77"/>
        <v>3.9952470160427564E-2</v>
      </c>
      <c r="U169" s="681">
        <f t="shared" si="89"/>
        <v>0.97768317221689516</v>
      </c>
      <c r="V169" s="682">
        <f t="shared" si="90"/>
        <v>-0.25902621846870288</v>
      </c>
      <c r="W169" s="683">
        <f t="shared" si="78"/>
        <v>1.4681086661767635</v>
      </c>
      <c r="X169" s="684">
        <f t="shared" si="79"/>
        <v>-125.91391339640397</v>
      </c>
      <c r="Y169" s="687">
        <f t="shared" si="80"/>
        <v>54.08608660359603</v>
      </c>
      <c r="AA169" s="170">
        <f t="shared" si="81"/>
        <v>1000000000</v>
      </c>
      <c r="AB169" s="170">
        <f t="shared" si="82"/>
        <v>90165469.80249998</v>
      </c>
      <c r="AD169" s="686">
        <f t="shared" si="83"/>
        <v>13.511290314943782</v>
      </c>
      <c r="AE169" s="687">
        <f t="shared" si="84"/>
        <v>-34.310603627542136</v>
      </c>
      <c r="AG169" s="686">
        <f t="shared" si="85"/>
        <v>30.31022454672172</v>
      </c>
      <c r="AH169" s="687">
        <f t="shared" si="86"/>
        <v>-61.921091531964372</v>
      </c>
      <c r="AJ169" s="170">
        <f t="shared" si="87"/>
        <v>0</v>
      </c>
      <c r="AK169" s="170">
        <f t="shared" si="99"/>
        <v>0</v>
      </c>
      <c r="AM169" s="170" t="str">
        <f t="shared" si="91"/>
        <v>0.0691689991501599+0.365449925238582i</v>
      </c>
      <c r="AN169" s="170" t="str">
        <f t="shared" si="92"/>
        <v>0.374116115913729i</v>
      </c>
      <c r="AO169" s="170" t="str">
        <f t="shared" si="93"/>
        <v>0.976835559051015-0.184886446234009i</v>
      </c>
      <c r="AP169" s="170" t="str">
        <f t="shared" si="94"/>
        <v>0.15513850014164-0.060908320873097i</v>
      </c>
      <c r="AQ169" s="170" t="str">
        <f t="shared" si="95"/>
        <v>0.84486149985836+0.060908320873097i</v>
      </c>
      <c r="AR169" s="170" t="str">
        <f t="shared" si="96"/>
        <v>0.980862532079153-0.0707129983391257i</v>
      </c>
    </row>
    <row r="170" spans="7:44">
      <c r="G170" s="688">
        <v>9549.9</v>
      </c>
      <c r="H170" s="676">
        <f t="shared" si="88"/>
        <v>9.5498999999999992</v>
      </c>
      <c r="I170" s="677">
        <f t="shared" si="66"/>
        <v>3.4154632632571853</v>
      </c>
      <c r="J170" s="678">
        <f t="shared" si="67"/>
        <v>1.2736570471173281</v>
      </c>
      <c r="K170" s="678">
        <f t="shared" si="68"/>
        <v>1.0000720065069304</v>
      </c>
      <c r="L170" s="679">
        <f t="shared" si="69"/>
        <v>1.2000182199874764E-2</v>
      </c>
      <c r="M170" s="678">
        <f t="shared" si="70"/>
        <v>1.0032152692212115</v>
      </c>
      <c r="N170" s="679">
        <f t="shared" si="71"/>
        <v>-8.0083429354805113E-2</v>
      </c>
      <c r="O170" s="677">
        <f t="shared" si="72"/>
        <v>72004.549562708009</v>
      </c>
      <c r="P170" s="680">
        <f t="shared" si="73"/>
        <v>1.570782438783568</v>
      </c>
      <c r="Q170" s="689">
        <f t="shared" si="100"/>
        <v>1.8936712432777567</v>
      </c>
      <c r="R170" s="690">
        <f t="shared" si="101"/>
        <v>1.0144644835281493</v>
      </c>
      <c r="S170" s="677">
        <f t="shared" si="76"/>
        <v>1.0008077958509369</v>
      </c>
      <c r="T170" s="680">
        <f t="shared" si="77"/>
        <v>4.0180902106924175E-2</v>
      </c>
      <c r="U170" s="681">
        <f t="shared" si="89"/>
        <v>0.97743941956445191</v>
      </c>
      <c r="V170" s="682">
        <f t="shared" si="90"/>
        <v>-0.2604767258252807</v>
      </c>
      <c r="W170" s="683">
        <f t="shared" si="78"/>
        <v>1.4070024688129403</v>
      </c>
      <c r="X170" s="684">
        <f t="shared" si="79"/>
        <v>-125.97714027080457</v>
      </c>
      <c r="Y170" s="687">
        <f t="shared" si="80"/>
        <v>54.022859729195432</v>
      </c>
      <c r="AA170" s="170">
        <f t="shared" si="81"/>
        <v>1000000000</v>
      </c>
      <c r="AB170" s="170">
        <f t="shared" si="82"/>
        <v>91200590.00999999</v>
      </c>
      <c r="AD170" s="686">
        <f t="shared" si="83"/>
        <v>13.497329433520285</v>
      </c>
      <c r="AE170" s="687">
        <f t="shared" si="84"/>
        <v>-34.176867050291101</v>
      </c>
      <c r="AG170" s="686">
        <f t="shared" si="85"/>
        <v>30.267410843863821</v>
      </c>
      <c r="AH170" s="687">
        <f t="shared" si="86"/>
        <v>-61.951839084056928</v>
      </c>
      <c r="AJ170" s="170">
        <f t="shared" si="87"/>
        <v>0</v>
      </c>
      <c r="AK170" s="170">
        <f t="shared" si="99"/>
        <v>0</v>
      </c>
      <c r="AM170" s="170" t="str">
        <f t="shared" si="91"/>
        <v>0.069953685562781+0.367442312481491i</v>
      </c>
      <c r="AN170" s="170" t="str">
        <f t="shared" si="92"/>
        <v>0.376257456952417i</v>
      </c>
      <c r="AO170" s="170" t="str">
        <f t="shared" si="93"/>
        <v>0.976571508928152-0.185919732008468i</v>
      </c>
      <c r="AP170" s="170" t="str">
        <f t="shared" si="94"/>
        <v>0.15500771907287-0.0612403854135818i</v>
      </c>
      <c r="AQ170" s="170" t="str">
        <f t="shared" si="95"/>
        <v>0.84499228092713+0.0612403854135818i</v>
      </c>
      <c r="AR170" s="170" t="str">
        <f t="shared" si="96"/>
        <v>0.980656870870578-0.0710726075091453i</v>
      </c>
    </row>
    <row r="171" spans="7:44">
      <c r="G171" s="688">
        <v>9605.5249999999996</v>
      </c>
      <c r="H171" s="676">
        <f t="shared" si="88"/>
        <v>9.6055250000000001</v>
      </c>
      <c r="I171" s="677">
        <f t="shared" si="66"/>
        <v>3.4336563391203465</v>
      </c>
      <c r="J171" s="678">
        <f t="shared" si="67"/>
        <v>1.2752790562757306</v>
      </c>
      <c r="K171" s="678">
        <f t="shared" si="68"/>
        <v>1.0000728477472776</v>
      </c>
      <c r="L171" s="679">
        <f t="shared" si="69"/>
        <v>1.2070072512118505E-2</v>
      </c>
      <c r="M171" s="678">
        <f t="shared" si="70"/>
        <v>1.0032527731604337</v>
      </c>
      <c r="N171" s="679">
        <f t="shared" si="71"/>
        <v>-8.0547879599117841E-2</v>
      </c>
      <c r="O171" s="677">
        <f t="shared" si="72"/>
        <v>72423.952181442801</v>
      </c>
      <c r="P171" s="680">
        <f t="shared" si="73"/>
        <v>1.570782519208181</v>
      </c>
      <c r="Q171" s="689">
        <f t="shared" si="100"/>
        <v>1.9016318226803477</v>
      </c>
      <c r="R171" s="690">
        <f t="shared" si="101"/>
        <v>1.0170655661947401</v>
      </c>
      <c r="S171" s="677">
        <f t="shared" si="76"/>
        <v>1.0008172296893894</v>
      </c>
      <c r="T171" s="680">
        <f t="shared" si="77"/>
        <v>4.0414688507998724E-2</v>
      </c>
      <c r="U171" s="681">
        <f t="shared" si="89"/>
        <v>0.97718868782875001</v>
      </c>
      <c r="V171" s="682">
        <f t="shared" si="90"/>
        <v>-0.26196071198658788</v>
      </c>
      <c r="W171" s="683">
        <f t="shared" si="78"/>
        <v>1.3448714604016403</v>
      </c>
      <c r="X171" s="684">
        <f t="shared" si="79"/>
        <v>-126.04207583587781</v>
      </c>
      <c r="Y171" s="687">
        <f t="shared" si="80"/>
        <v>53.95792416412219</v>
      </c>
      <c r="AA171" s="170">
        <f t="shared" si="81"/>
        <v>1000000000</v>
      </c>
      <c r="AB171" s="170">
        <f t="shared" si="82"/>
        <v>92266110.52562499</v>
      </c>
      <c r="AD171" s="686">
        <f t="shared" si="83"/>
        <v>13.483238950607594</v>
      </c>
      <c r="AE171" s="687">
        <f t="shared" si="84"/>
        <v>-34.041235573255854</v>
      </c>
      <c r="AG171" s="686">
        <f t="shared" si="85"/>
        <v>30.223827080628634</v>
      </c>
      <c r="AH171" s="687">
        <f t="shared" si="86"/>
        <v>-61.982353838173623</v>
      </c>
      <c r="AJ171" s="170">
        <f t="shared" si="87"/>
        <v>0</v>
      </c>
      <c r="AK171" s="170">
        <f t="shared" si="99"/>
        <v>0</v>
      </c>
      <c r="AM171" s="170" t="str">
        <f t="shared" si="91"/>
        <v>0.0707611957693139+0.369479694586758i</v>
      </c>
      <c r="AN171" s="170" t="str">
        <f t="shared" si="92"/>
        <v>0.378449031842518i</v>
      </c>
      <c r="AO171" s="170" t="str">
        <f t="shared" si="93"/>
        <v>0.976299748444085-0.186976818053427i</v>
      </c>
      <c r="AP171" s="170" t="str">
        <f t="shared" si="94"/>
        <v>0.154873134038448-0.061579949097793i</v>
      </c>
      <c r="AQ171" s="170" t="str">
        <f t="shared" si="95"/>
        <v>0.845126865961552+0.061579949097793i</v>
      </c>
      <c r="AR171" s="170" t="str">
        <f t="shared" si="96"/>
        <v>0.980445384129788-0.0714398977000752i</v>
      </c>
    </row>
    <row r="172" spans="7:44">
      <c r="G172" s="688">
        <v>9661.15</v>
      </c>
      <c r="H172" s="676">
        <f t="shared" si="88"/>
        <v>9.6611499999999992</v>
      </c>
      <c r="I172" s="677">
        <f t="shared" si="66"/>
        <v>3.4518583533992295</v>
      </c>
      <c r="J172" s="678">
        <f t="shared" si="67"/>
        <v>1.2768839635677061</v>
      </c>
      <c r="K172" s="678">
        <f t="shared" si="68"/>
        <v>1.000073693872628</v>
      </c>
      <c r="L172" s="679">
        <f t="shared" si="69"/>
        <v>1.2139962706440419E-2</v>
      </c>
      <c r="M172" s="678">
        <f t="shared" si="70"/>
        <v>1.0032904934991473</v>
      </c>
      <c r="N172" s="679">
        <f t="shared" si="71"/>
        <v>-8.1012295020079783E-2</v>
      </c>
      <c r="O172" s="677">
        <f t="shared" si="72"/>
        <v>72843.354800178044</v>
      </c>
      <c r="P172" s="680">
        <f t="shared" si="73"/>
        <v>1.570782598706689</v>
      </c>
      <c r="Q172" s="689">
        <f t="shared" si="100"/>
        <v>1.9096051605047637</v>
      </c>
      <c r="R172" s="690">
        <f t="shared" si="101"/>
        <v>1.0196449451452594</v>
      </c>
      <c r="S172" s="677">
        <f t="shared" si="76"/>
        <v>1.0008267182275568</v>
      </c>
      <c r="T172" s="680">
        <f t="shared" si="77"/>
        <v>4.0648470488933074E-2</v>
      </c>
      <c r="U172" s="681">
        <f t="shared" si="89"/>
        <v>0.97693668352671181</v>
      </c>
      <c r="V172" s="682">
        <f t="shared" si="90"/>
        <v>-0.26344414041032255</v>
      </c>
      <c r="W172" s="683">
        <f t="shared" si="78"/>
        <v>1.2831484559033079</v>
      </c>
      <c r="X172" s="684">
        <f t="shared" si="79"/>
        <v>-126.10724081671299</v>
      </c>
      <c r="Y172" s="687">
        <f t="shared" si="80"/>
        <v>53.892759183287012</v>
      </c>
      <c r="AA172" s="170">
        <f t="shared" si="81"/>
        <v>1000000000</v>
      </c>
      <c r="AB172" s="170">
        <f t="shared" si="82"/>
        <v>93337819.32249999</v>
      </c>
      <c r="AD172" s="686">
        <f t="shared" si="83"/>
        <v>13.469345097831329</v>
      </c>
      <c r="AE172" s="687">
        <f t="shared" si="84"/>
        <v>-33.906847321235389</v>
      </c>
      <c r="AG172" s="686">
        <f t="shared" si="85"/>
        <v>30.180478463472138</v>
      </c>
      <c r="AH172" s="687">
        <f t="shared" si="86"/>
        <v>-62.011918695055549</v>
      </c>
      <c r="AJ172" s="170">
        <f t="shared" si="87"/>
        <v>0</v>
      </c>
      <c r="AK172" s="170">
        <f t="shared" si="99"/>
        <v>0</v>
      </c>
      <c r="AM172" s="170" t="str">
        <f t="shared" si="91"/>
        <v>0.071573169108501+0.371515302081579i</v>
      </c>
      <c r="AN172" s="170" t="str">
        <f t="shared" si="92"/>
        <v>0.380640606732619i</v>
      </c>
      <c r="AO172" s="170" t="str">
        <f t="shared" si="93"/>
        <v>0.976026455166277-0.188033456868614i</v>
      </c>
      <c r="AP172" s="170" t="str">
        <f t="shared" si="94"/>
        <v>0.154737805148583-0.0619192170135965i</v>
      </c>
      <c r="AQ172" s="170" t="str">
        <f t="shared" si="95"/>
        <v>0.845262194851417+0.0619192170135965i</v>
      </c>
      <c r="AR172" s="170" t="str">
        <f t="shared" si="96"/>
        <v>0.980232888313309-0.0718064209011566i</v>
      </c>
    </row>
    <row r="173" spans="7:44">
      <c r="G173" s="688">
        <v>9716.7749999999996</v>
      </c>
      <c r="H173" s="676">
        <f t="shared" si="88"/>
        <v>9.7167750000000002</v>
      </c>
      <c r="I173" s="677">
        <f t="shared" si="66"/>
        <v>3.4700691654362621</v>
      </c>
      <c r="J173" s="678">
        <f t="shared" si="67"/>
        <v>1.2784720299100987</v>
      </c>
      <c r="K173" s="678">
        <f t="shared" si="68"/>
        <v>1.0000745448829693</v>
      </c>
      <c r="L173" s="679">
        <f t="shared" si="69"/>
        <v>1.2209852782158031E-2</v>
      </c>
      <c r="M173" s="678">
        <f t="shared" si="70"/>
        <v>1.0033284302129457</v>
      </c>
      <c r="N173" s="679">
        <f t="shared" si="71"/>
        <v>-8.1476675421298078E-2</v>
      </c>
      <c r="O173" s="677">
        <f t="shared" si="72"/>
        <v>73262.757418913752</v>
      </c>
      <c r="P173" s="680">
        <f t="shared" si="73"/>
        <v>1.5707826772949971</v>
      </c>
      <c r="Q173" s="689">
        <f t="shared" si="100"/>
        <v>1.9175910976025758</v>
      </c>
      <c r="R173" s="690">
        <f t="shared" si="101"/>
        <v>1.0222028570019819</v>
      </c>
      <c r="S173" s="677">
        <f t="shared" si="76"/>
        <v>1.0008362614638835</v>
      </c>
      <c r="T173" s="680">
        <f t="shared" si="77"/>
        <v>4.0882248024299052E-2</v>
      </c>
      <c r="U173" s="681">
        <f t="shared" si="89"/>
        <v>0.97668340961816946</v>
      </c>
      <c r="V173" s="682">
        <f t="shared" si="90"/>
        <v>-0.26492700844623995</v>
      </c>
      <c r="W173" s="683">
        <f t="shared" si="78"/>
        <v>1.2218280915886146</v>
      </c>
      <c r="X173" s="684">
        <f t="shared" si="79"/>
        <v>-126.17263644167956</v>
      </c>
      <c r="Y173" s="687">
        <f t="shared" si="80"/>
        <v>53.827363558320442</v>
      </c>
      <c r="AA173" s="170">
        <f t="shared" si="81"/>
        <v>1000000000</v>
      </c>
      <c r="AB173" s="170">
        <f t="shared" si="82"/>
        <v>94415716.40062499</v>
      </c>
      <c r="AD173" s="686">
        <f t="shared" si="83"/>
        <v>13.455644352274316</v>
      </c>
      <c r="AE173" s="687">
        <f t="shared" si="84"/>
        <v>-33.773688736226369</v>
      </c>
      <c r="AG173" s="686">
        <f t="shared" si="85"/>
        <v>30.137363117040167</v>
      </c>
      <c r="AH173" s="687">
        <f t="shared" si="86"/>
        <v>-62.040548744771144</v>
      </c>
      <c r="AJ173" s="170">
        <f t="shared" si="87"/>
        <v>0</v>
      </c>
      <c r="AK173" s="170">
        <f t="shared" si="99"/>
        <v>0</v>
      </c>
      <c r="AM173" s="170" t="str">
        <f t="shared" si="91"/>
        <v>0.072389601680435+0.373549125188933i</v>
      </c>
      <c r="AN173" s="170" t="str">
        <f t="shared" si="92"/>
        <v>0.38283218162272i</v>
      </c>
      <c r="AO173" s="170" t="str">
        <f t="shared" si="93"/>
        <v>0.975751629880125-0.189089645947724i</v>
      </c>
      <c r="AP173" s="170" t="str">
        <f t="shared" si="94"/>
        <v>0.154601733053261-0.0622581875314888i</v>
      </c>
      <c r="AQ173" s="170" t="str">
        <f t="shared" si="95"/>
        <v>0.845398266946739+0.0622581875314888i</v>
      </c>
      <c r="AR173" s="170" t="str">
        <f t="shared" si="96"/>
        <v>0.980019386900668-0.0721721739441422i</v>
      </c>
    </row>
    <row r="174" spans="7:44">
      <c r="G174" s="688">
        <v>9772.4</v>
      </c>
      <c r="H174" s="676">
        <f t="shared" si="88"/>
        <v>9.7723999999999993</v>
      </c>
      <c r="I174" s="677">
        <f t="shared" si="66"/>
        <v>3.4882886374438358</v>
      </c>
      <c r="J174" s="678">
        <f t="shared" si="67"/>
        <v>1.2800435111123771</v>
      </c>
      <c r="K174" s="678">
        <f t="shared" si="68"/>
        <v>1.0000754007782893</v>
      </c>
      <c r="L174" s="679">
        <f t="shared" si="69"/>
        <v>1.2279742738588872E-2</v>
      </c>
      <c r="M174" s="678">
        <f t="shared" si="70"/>
        <v>1.0033665832772856</v>
      </c>
      <c r="N174" s="679">
        <f t="shared" si="71"/>
        <v>-8.1941020606469905E-2</v>
      </c>
      <c r="O174" s="677">
        <f t="shared" si="72"/>
        <v>73682.160037649912</v>
      </c>
      <c r="P174" s="680">
        <f t="shared" si="73"/>
        <v>1.5707827549886477</v>
      </c>
      <c r="Q174" s="689">
        <f t="shared" si="100"/>
        <v>1.925589477216072</v>
      </c>
      <c r="R174" s="690">
        <f t="shared" si="101"/>
        <v>1.0247395355886919</v>
      </c>
      <c r="S174" s="677">
        <f t="shared" si="76"/>
        <v>1.0008458593968046</v>
      </c>
      <c r="T174" s="680">
        <f t="shared" si="77"/>
        <v>4.1116021088671413E-2</v>
      </c>
      <c r="U174" s="681">
        <f t="shared" si="89"/>
        <v>0.97642886907380799</v>
      </c>
      <c r="V174" s="682">
        <f t="shared" si="90"/>
        <v>-0.26640931345326402</v>
      </c>
      <c r="W174" s="683">
        <f t="shared" si="78"/>
        <v>1.1609050974408377</v>
      </c>
      <c r="X174" s="684">
        <f t="shared" si="79"/>
        <v>-126.23826380736755</v>
      </c>
      <c r="Y174" s="687">
        <f t="shared" si="80"/>
        <v>53.761736192632455</v>
      </c>
      <c r="AA174" s="170">
        <f t="shared" si="81"/>
        <v>1000000000</v>
      </c>
      <c r="AB174" s="170">
        <f t="shared" si="82"/>
        <v>95499801.75999999</v>
      </c>
      <c r="AD174" s="686">
        <f t="shared" si="83"/>
        <v>13.442133266164038</v>
      </c>
      <c r="AE174" s="687">
        <f t="shared" si="84"/>
        <v>-33.641746420546561</v>
      </c>
      <c r="AG174" s="686">
        <f t="shared" si="85"/>
        <v>30.094479184405564</v>
      </c>
      <c r="AH174" s="687">
        <f t="shared" si="86"/>
        <v>-62.068258784237656</v>
      </c>
      <c r="AJ174" s="170">
        <f t="shared" si="87"/>
        <v>0</v>
      </c>
      <c r="AK174" s="170">
        <f t="shared" si="99"/>
        <v>0</v>
      </c>
      <c r="AM174" s="170" t="str">
        <f t="shared" si="91"/>
        <v>0.0732104895637919+0.375581154140371i</v>
      </c>
      <c r="AN174" s="170" t="str">
        <f t="shared" si="92"/>
        <v>0.385023756512822i</v>
      </c>
      <c r="AO174" s="170" t="str">
        <f t="shared" si="93"/>
        <v>0.975475273375407-0.19014538278589i</v>
      </c>
      <c r="AP174" s="170" t="str">
        <f t="shared" si="94"/>
        <v>0.154464918406035-0.0625968590233952i</v>
      </c>
      <c r="AQ174" s="170" t="str">
        <f t="shared" si="95"/>
        <v>0.845535081593965+0.0625968590233952i</v>
      </c>
      <c r="AR174" s="170" t="str">
        <f t="shared" si="96"/>
        <v>0.979804883382663-0.0725371536801489i</v>
      </c>
    </row>
    <row r="175" spans="7:44">
      <c r="G175" s="688">
        <v>9829.2999999999993</v>
      </c>
      <c r="H175" s="676">
        <f t="shared" si="88"/>
        <v>9.8292999999999999</v>
      </c>
      <c r="I175" s="677">
        <f t="shared" si="66"/>
        <v>3.5069345435920636</v>
      </c>
      <c r="J175" s="678">
        <f t="shared" si="67"/>
        <v>1.2816341145200894</v>
      </c>
      <c r="K175" s="678">
        <f t="shared" si="68"/>
        <v>1.0000762813460879</v>
      </c>
      <c r="L175" s="679">
        <f t="shared" si="69"/>
        <v>1.2351234542923827E-2</v>
      </c>
      <c r="M175" s="678">
        <f t="shared" si="70"/>
        <v>1.0034058346815169</v>
      </c>
      <c r="N175" s="679">
        <f t="shared" si="71"/>
        <v>-8.2415972568712234E-2</v>
      </c>
      <c r="O175" s="677">
        <f t="shared" si="72"/>
        <v>74111.175929894627</v>
      </c>
      <c r="P175" s="680">
        <f t="shared" si="73"/>
        <v>1.5707828335533243</v>
      </c>
      <c r="Q175" s="689">
        <f t="shared" si="100"/>
        <v>1.933783903095438</v>
      </c>
      <c r="R175" s="690">
        <f t="shared" si="101"/>
        <v>1.027312630244035</v>
      </c>
      <c r="S175" s="677">
        <f t="shared" si="76"/>
        <v>1.0008557339171913</v>
      </c>
      <c r="T175" s="680">
        <f t="shared" si="77"/>
        <v>4.135514789448487E-2</v>
      </c>
      <c r="U175" s="681">
        <f t="shared" si="89"/>
        <v>0.97616718670728109</v>
      </c>
      <c r="V175" s="682">
        <f t="shared" si="90"/>
        <v>-0.26792500961098348</v>
      </c>
      <c r="W175" s="683">
        <f t="shared" si="78"/>
        <v>1.0989914050164464</v>
      </c>
      <c r="X175" s="684">
        <f t="shared" si="79"/>
        <v>-126.30563622082396</v>
      </c>
      <c r="Y175" s="687">
        <f t="shared" si="80"/>
        <v>53.694363779176044</v>
      </c>
      <c r="AA175" s="170">
        <f t="shared" si="81"/>
        <v>1000000000</v>
      </c>
      <c r="AB175" s="170">
        <f t="shared" si="82"/>
        <v>96615138.48999998</v>
      </c>
      <c r="AD175" s="686">
        <f t="shared" si="83"/>
        <v>13.428505200263901</v>
      </c>
      <c r="AE175" s="687">
        <f t="shared" si="84"/>
        <v>-33.508024414520875</v>
      </c>
      <c r="AG175" s="686">
        <f t="shared" si="85"/>
        <v>30.050849808543624</v>
      </c>
      <c r="AH175" s="687">
        <f t="shared" si="86"/>
        <v>-62.095667217798251</v>
      </c>
      <c r="AJ175" s="170">
        <f t="shared" si="87"/>
        <v>0</v>
      </c>
      <c r="AK175" s="170">
        <f t="shared" si="99"/>
        <v>0</v>
      </c>
      <c r="AM175" s="170" t="str">
        <f t="shared" si="91"/>
        <v>0.07405479885806+0.377657893446189i</v>
      </c>
      <c r="AN175" s="170" t="str">
        <f t="shared" si="92"/>
        <v>0.387265565254336i</v>
      </c>
      <c r="AO175" s="170" t="str">
        <f t="shared" si="93"/>
        <v>0.975190998967757-0.191224848017212i</v>
      </c>
      <c r="AP175" s="170" t="str">
        <f t="shared" si="94"/>
        <v>0.154324200190323-0.0629429822410315i</v>
      </c>
      <c r="AQ175" s="170" t="str">
        <f t="shared" si="95"/>
        <v>0.845675799809677+0.0629429822410315i</v>
      </c>
      <c r="AR175" s="170" t="str">
        <f t="shared" si="96"/>
        <v>0.979584429982808-0.0729096958833104i</v>
      </c>
    </row>
    <row r="176" spans="7:44">
      <c r="G176" s="688">
        <v>9886.2000000000007</v>
      </c>
      <c r="H176" s="676">
        <f t="shared" si="88"/>
        <v>9.8862000000000005</v>
      </c>
      <c r="I176" s="677">
        <f t="shared" si="66"/>
        <v>3.525589228489229</v>
      </c>
      <c r="J176" s="678">
        <f t="shared" si="67"/>
        <v>1.2832078893942922</v>
      </c>
      <c r="K176" s="678">
        <f t="shared" si="68"/>
        <v>1.0000771670253457</v>
      </c>
      <c r="L176" s="679">
        <f t="shared" si="69"/>
        <v>1.2422726220996338E-2</v>
      </c>
      <c r="M176" s="678">
        <f t="shared" si="70"/>
        <v>1.003445312415663</v>
      </c>
      <c r="N176" s="679">
        <f t="shared" si="71"/>
        <v>-8.289088726677972E-2</v>
      </c>
      <c r="O176" s="677">
        <f t="shared" si="72"/>
        <v>74540.191822139808</v>
      </c>
      <c r="P176" s="680">
        <f t="shared" si="73"/>
        <v>1.5707829112136433</v>
      </c>
      <c r="Q176" s="689">
        <f t="shared" si="100"/>
        <v>1.9419910241042022</v>
      </c>
      <c r="R176" s="690">
        <f t="shared" si="101"/>
        <v>1.0298639931693774</v>
      </c>
      <c r="S176" s="677">
        <f t="shared" si="76"/>
        <v>1.0008656656670081</v>
      </c>
      <c r="T176" s="680">
        <f t="shared" si="77"/>
        <v>4.159426996818455E-2</v>
      </c>
      <c r="U176" s="681">
        <f t="shared" si="89"/>
        <v>0.97590418529593848</v>
      </c>
      <c r="V176" s="682">
        <f t="shared" si="90"/>
        <v>-0.26944011107232063</v>
      </c>
      <c r="W176" s="683">
        <f t="shared" si="78"/>
        <v>1.0374826447510013</v>
      </c>
      <c r="X176" s="684">
        <f t="shared" si="79"/>
        <v>-126.37325304236127</v>
      </c>
      <c r="Y176" s="687">
        <f t="shared" si="80"/>
        <v>53.62674695763873</v>
      </c>
      <c r="AA176" s="170">
        <f t="shared" si="81"/>
        <v>1000000000</v>
      </c>
      <c r="AB176" s="170">
        <f t="shared" si="82"/>
        <v>97736950.440000013</v>
      </c>
      <c r="AD176" s="686">
        <f t="shared" si="83"/>
        <v>13.415068522835005</v>
      </c>
      <c r="AE176" s="687">
        <f t="shared" si="84"/>
        <v>-33.375547221961156</v>
      </c>
      <c r="AG176" s="686">
        <f t="shared" si="85"/>
        <v>30.007458704651103</v>
      </c>
      <c r="AH176" s="687">
        <f t="shared" si="86"/>
        <v>-62.122143393159476</v>
      </c>
      <c r="AJ176" s="170">
        <f t="shared" si="87"/>
        <v>0</v>
      </c>
      <c r="AK176" s="170">
        <f t="shared" si="99"/>
        <v>0</v>
      </c>
      <c r="AM176" s="170" t="str">
        <f t="shared" si="91"/>
        <v>0.074903761679135+0.379732734755098i</v>
      </c>
      <c r="AN176" s="170" t="str">
        <f t="shared" si="92"/>
        <v>0.389507373995851i</v>
      </c>
      <c r="AO176" s="170" t="str">
        <f t="shared" si="93"/>
        <v>0.974905124027621-0.192303834740579i</v>
      </c>
      <c r="AP176" s="170" t="str">
        <f t="shared" si="94"/>
        <v>0.154182706386811-0.0632887891258497i</v>
      </c>
      <c r="AQ176" s="170" t="str">
        <f t="shared" si="95"/>
        <v>0.845817293613189+0.0632887891258497i</v>
      </c>
      <c r="AR176" s="170" t="str">
        <f t="shared" si="96"/>
        <v>0.979362935436502-0.0732814223196292i</v>
      </c>
    </row>
    <row r="177" spans="7:44">
      <c r="G177" s="688">
        <v>9943.1</v>
      </c>
      <c r="H177" s="676">
        <f t="shared" si="88"/>
        <v>9.9431000000000012</v>
      </c>
      <c r="I177" s="677">
        <f t="shared" si="66"/>
        <v>3.5442525535181275</v>
      </c>
      <c r="J177" s="678">
        <f t="shared" si="67"/>
        <v>1.2847650937241522</v>
      </c>
      <c r="K177" s="678">
        <f t="shared" si="68"/>
        <v>1.0000780578160486</v>
      </c>
      <c r="L177" s="679">
        <f t="shared" si="69"/>
        <v>1.2494217772075938E-2</v>
      </c>
      <c r="M177" s="678">
        <f t="shared" si="70"/>
        <v>1.003485016453012</v>
      </c>
      <c r="N177" s="679">
        <f t="shared" si="71"/>
        <v>-8.3365764490854755E-2</v>
      </c>
      <c r="O177" s="677">
        <f t="shared" si="72"/>
        <v>74969.207714385426</v>
      </c>
      <c r="P177" s="680">
        <f t="shared" si="73"/>
        <v>1.5707829879851303</v>
      </c>
      <c r="Q177" s="689">
        <f t="shared" si="100"/>
        <v>1.9502106799666672</v>
      </c>
      <c r="R177" s="690">
        <f t="shared" si="101"/>
        <v>1.0323938657194922</v>
      </c>
      <c r="S177" s="677">
        <f t="shared" si="76"/>
        <v>1.0008756546445516</v>
      </c>
      <c r="T177" s="680">
        <f t="shared" si="77"/>
        <v>4.1833387282566012E-2</v>
      </c>
      <c r="U177" s="681">
        <f t="shared" si="89"/>
        <v>0.97563986805409886</v>
      </c>
      <c r="V177" s="682">
        <f t="shared" si="90"/>
        <v>-0.27095461504036478</v>
      </c>
      <c r="W177" s="683">
        <f t="shared" si="78"/>
        <v>0.9763734676373319</v>
      </c>
      <c r="X177" s="684">
        <f t="shared" si="79"/>
        <v>-126.4411150521599</v>
      </c>
      <c r="Y177" s="687">
        <f t="shared" si="80"/>
        <v>53.558884947840099</v>
      </c>
      <c r="AA177" s="170">
        <f t="shared" si="81"/>
        <v>1000000000</v>
      </c>
      <c r="AB177" s="170">
        <f t="shared" si="82"/>
        <v>98865237.610000014</v>
      </c>
      <c r="AD177" s="686">
        <f t="shared" si="83"/>
        <v>13.401819775752262</v>
      </c>
      <c r="AE177" s="687">
        <f t="shared" si="84"/>
        <v>-33.244301013588355</v>
      </c>
      <c r="AG177" s="686">
        <f t="shared" si="85"/>
        <v>29.964303944271151</v>
      </c>
      <c r="AH177" s="687">
        <f t="shared" si="86"/>
        <v>-62.147702240283088</v>
      </c>
      <c r="AJ177" s="170">
        <f t="shared" si="87"/>
        <v>0</v>
      </c>
      <c r="AK177" s="170">
        <f t="shared" si="99"/>
        <v>0</v>
      </c>
      <c r="AM177" s="170" t="str">
        <f t="shared" si="91"/>
        <v>0.0757573737603791+0.381805667639558i</v>
      </c>
      <c r="AN177" s="170" t="str">
        <f t="shared" si="92"/>
        <v>0.391749182737366i</v>
      </c>
      <c r="AO177" s="170" t="str">
        <f t="shared" si="93"/>
        <v>0.974617649414538-0.193382340279617i</v>
      </c>
      <c r="AP177" s="170" t="str">
        <f t="shared" si="94"/>
        <v>0.154040437706604-0.0636342779399263i</v>
      </c>
      <c r="AQ177" s="170" t="str">
        <f t="shared" si="95"/>
        <v>0.845959562293396+0.0636342779399263i</v>
      </c>
      <c r="AR177" s="170" t="str">
        <f t="shared" si="96"/>
        <v>0.979140403515915-0.073652329681846i</v>
      </c>
    </row>
    <row r="178" spans="7:44" s="327" customFormat="1">
      <c r="G178" s="762">
        <v>10000</v>
      </c>
      <c r="H178" s="763">
        <f t="shared" si="88"/>
        <v>10</v>
      </c>
      <c r="I178" s="764">
        <f t="shared" si="66"/>
        <v>3.5629243829024428</v>
      </c>
      <c r="J178" s="765">
        <f t="shared" si="67"/>
        <v>1.2863059804159944</v>
      </c>
      <c r="K178" s="765">
        <f t="shared" si="68"/>
        <v>1.0000789537181833</v>
      </c>
      <c r="L178" s="766">
        <f t="shared" si="69"/>
        <v>1.2565709195432184E-2</v>
      </c>
      <c r="M178" s="765">
        <f t="shared" si="70"/>
        <v>1.0035249467667033</v>
      </c>
      <c r="N178" s="766">
        <f t="shared" si="71"/>
        <v>-8.3840604031220456E-2</v>
      </c>
      <c r="O178" s="764">
        <f t="shared" si="72"/>
        <v>75398.223606631465</v>
      </c>
      <c r="P178" s="767">
        <f t="shared" si="73"/>
        <v>1.5707830638829579</v>
      </c>
      <c r="Q178" s="768">
        <f t="shared" si="100"/>
        <v>1.9584427128551174</v>
      </c>
      <c r="R178" s="769">
        <f t="shared" si="101"/>
        <v>1.0349024863007956</v>
      </c>
      <c r="S178" s="764">
        <f t="shared" si="76"/>
        <v>1.0008857008481087</v>
      </c>
      <c r="T178" s="767">
        <f t="shared" si="77"/>
        <v>4.2072499810428099E-2</v>
      </c>
      <c r="U178" s="770">
        <f t="shared" si="89"/>
        <v>0.97537423820755309</v>
      </c>
      <c r="V178" s="771">
        <f t="shared" si="90"/>
        <v>-0.27246851872837385</v>
      </c>
      <c r="W178" s="772">
        <f t="shared" si="78"/>
        <v>0.91565861892897393</v>
      </c>
      <c r="X178" s="773">
        <f t="shared" si="79"/>
        <v>-126.50922290867163</v>
      </c>
      <c r="Y178" s="774">
        <f t="shared" si="80"/>
        <v>53.490777091328368</v>
      </c>
      <c r="AA178" s="327">
        <f t="shared" si="81"/>
        <v>1000000000</v>
      </c>
      <c r="AB178" s="327">
        <f t="shared" si="82"/>
        <v>100000000</v>
      </c>
      <c r="AD178" s="775">
        <f t="shared" si="83"/>
        <v>13.388755575342399</v>
      </c>
      <c r="AE178" s="774">
        <f t="shared" si="84"/>
        <v>-33.114272129031825</v>
      </c>
      <c r="AG178" s="775">
        <f>20*LOG10((K178*M178/(I178*U178))*Acs*Am)</f>
        <v>29.921383618605432</v>
      </c>
      <c r="AH178" s="774">
        <f t="shared" si="86"/>
        <v>-62.172358397328686</v>
      </c>
      <c r="AJ178" s="327">
        <f t="shared" si="87"/>
        <v>0</v>
      </c>
      <c r="AK178" s="170">
        <f t="shared" si="99"/>
        <v>0</v>
      </c>
      <c r="AM178" s="327" t="str">
        <f t="shared" si="91"/>
        <v>0.076615630811791+0.383876681681622i</v>
      </c>
      <c r="AN178" s="327" t="str">
        <f t="shared" si="92"/>
        <v>0.393990991478881i</v>
      </c>
      <c r="AO178" s="327" t="str">
        <f t="shared" si="93"/>
        <v>0.974328575992832-0.194460361959565i</v>
      </c>
      <c r="AP178" s="327" t="str">
        <f t="shared" si="94"/>
        <v>0.153897394864701-0.063979446946937i</v>
      </c>
      <c r="AQ178" s="327" t="str">
        <f t="shared" si="95"/>
        <v>0.846102605135299+0.063979446946937i</v>
      </c>
      <c r="AR178" s="327" t="str">
        <f t="shared" si="96"/>
        <v>0.978916838004995-0.0740224146840781i</v>
      </c>
    </row>
    <row r="179" spans="7:44">
      <c r="G179" s="688">
        <v>10058.25</v>
      </c>
      <c r="H179" s="676">
        <f t="shared" si="88"/>
        <v>10.058249999999999</v>
      </c>
      <c r="I179" s="677">
        <f t="shared" si="66"/>
        <v>3.5820478875845607</v>
      </c>
      <c r="J179" s="678">
        <f t="shared" si="67"/>
        <v>1.287866781814345</v>
      </c>
      <c r="K179" s="678">
        <f t="shared" si="68"/>
        <v>1.0000798761711098</v>
      </c>
      <c r="L179" s="679">
        <f t="shared" si="69"/>
        <v>1.2638896679420994E-2</v>
      </c>
      <c r="M179" s="678">
        <f t="shared" si="70"/>
        <v>1.003566058825142</v>
      </c>
      <c r="N179" s="679">
        <f t="shared" si="71"/>
        <v>-8.4326670281793276E-2</v>
      </c>
      <c r="O179" s="677">
        <f t="shared" si="72"/>
        <v>75837.418259063066</v>
      </c>
      <c r="P179" s="680">
        <f t="shared" si="73"/>
        <v>1.5707831406920072</v>
      </c>
      <c r="Q179" s="689">
        <f t="shared" si="100"/>
        <v>1.966882716334011</v>
      </c>
      <c r="R179" s="690">
        <f t="shared" si="101"/>
        <v>1.0374488575642768</v>
      </c>
      <c r="S179" s="677">
        <f t="shared" si="76"/>
        <v>1.0008960446831545</v>
      </c>
      <c r="T179" s="680">
        <f t="shared" si="77"/>
        <v>4.2317280496015276E-2</v>
      </c>
      <c r="U179" s="681">
        <f t="shared" si="89"/>
        <v>0.97510094976290596</v>
      </c>
      <c r="V179" s="682">
        <f t="shared" si="90"/>
        <v>-0.27401771633415817</v>
      </c>
      <c r="W179" s="683">
        <f t="shared" si="78"/>
        <v>0.85390634341594329</v>
      </c>
      <c r="X179" s="684">
        <f t="shared" si="79"/>
        <v>-126.57920191130816</v>
      </c>
      <c r="Y179" s="687">
        <f t="shared" si="80"/>
        <v>53.420798088691839</v>
      </c>
      <c r="AA179" s="170">
        <f t="shared" si="81"/>
        <v>1000000000</v>
      </c>
      <c r="AB179" s="170">
        <f t="shared" si="82"/>
        <v>101168393.0625</v>
      </c>
      <c r="AD179" s="686">
        <f t="shared" si="83"/>
        <v>13.375569125755224</v>
      </c>
      <c r="AE179" s="687">
        <f t="shared" si="84"/>
        <v>-32.982405103435099</v>
      </c>
      <c r="AG179" s="686">
        <f t="shared" si="85"/>
        <v>29.877685843910857</v>
      </c>
      <c r="AH179" s="687">
        <f t="shared" si="86"/>
        <v>-62.196679456472694</v>
      </c>
      <c r="AJ179" s="170">
        <f t="shared" si="87"/>
        <v>0</v>
      </c>
      <c r="AK179" s="170">
        <f t="shared" si="99"/>
        <v>0</v>
      </c>
      <c r="AM179" s="170" t="str">
        <f t="shared" si="91"/>
        <v>0.0774990578108929+0.385994833722175i</v>
      </c>
      <c r="AN179" s="170" t="str">
        <f t="shared" si="92"/>
        <v>0.396285989004245i</v>
      </c>
      <c r="AO179" s="170" t="str">
        <f t="shared" si="93"/>
        <v>0.974030988812073-0.195563456597661i</v>
      </c>
      <c r="AP179" s="170" t="str">
        <f t="shared" si="94"/>
        <v>0.153750157031518-0.0643324722870292i</v>
      </c>
      <c r="AQ179" s="170" t="str">
        <f t="shared" si="95"/>
        <v>0.846249842968482+0.0643324722870292i</v>
      </c>
      <c r="AR179" s="170" t="str">
        <f t="shared" si="96"/>
        <v>0.97868690151317-0.0744004249955523i</v>
      </c>
    </row>
    <row r="180" spans="7:44">
      <c r="G180" s="688">
        <v>10116.5</v>
      </c>
      <c r="H180" s="676">
        <f t="shared" si="88"/>
        <v>10.1165</v>
      </c>
      <c r="I180" s="677">
        <f t="shared" si="66"/>
        <v>3.6011800258062427</v>
      </c>
      <c r="J180" s="678">
        <f t="shared" si="67"/>
        <v>1.2894110026729206</v>
      </c>
      <c r="K180" s="678">
        <f t="shared" si="68"/>
        <v>1.000080803980862</v>
      </c>
      <c r="L180" s="679">
        <f t="shared" si="69"/>
        <v>1.2712084028004672E-2</v>
      </c>
      <c r="M180" s="678">
        <f t="shared" si="70"/>
        <v>1.003607407967041</v>
      </c>
      <c r="N180" s="679">
        <f t="shared" si="71"/>
        <v>-8.4812696594827486E-2</v>
      </c>
      <c r="O180" s="677">
        <f t="shared" si="72"/>
        <v>76276.612911495104</v>
      </c>
      <c r="P180" s="680">
        <f t="shared" si="73"/>
        <v>1.5707832166165359</v>
      </c>
      <c r="Q180" s="689">
        <f t="shared" si="100"/>
        <v>1.9753353640637137</v>
      </c>
      <c r="R180" s="690">
        <f t="shared" si="101"/>
        <v>1.0399734527515714</v>
      </c>
      <c r="S180" s="677">
        <f t="shared" si="76"/>
        <v>1.000906448488232</v>
      </c>
      <c r="T180" s="680">
        <f t="shared" si="77"/>
        <v>4.2562056107580119E-2</v>
      </c>
      <c r="U180" s="681">
        <f t="shared" si="89"/>
        <v>0.97482629256732911</v>
      </c>
      <c r="V180" s="682">
        <f t="shared" si="90"/>
        <v>-0.27556627896010977</v>
      </c>
      <c r="W180" s="683">
        <f t="shared" si="78"/>
        <v>0.79255647918614169</v>
      </c>
      <c r="X180" s="684">
        <f t="shared" si="79"/>
        <v>-126.64943959269564</v>
      </c>
      <c r="Y180" s="687">
        <f t="shared" si="80"/>
        <v>53.350560407304357</v>
      </c>
      <c r="AA180" s="170">
        <f t="shared" si="81"/>
        <v>1000000000</v>
      </c>
      <c r="AB180" s="170">
        <f t="shared" si="82"/>
        <v>102343572.25</v>
      </c>
      <c r="AD180" s="686">
        <f t="shared" si="83"/>
        <v>13.362569138510016</v>
      </c>
      <c r="AE180" s="687">
        <f t="shared" si="84"/>
        <v>-32.851785413700284</v>
      </c>
      <c r="AG180" s="686">
        <f t="shared" si="85"/>
        <v>29.83422977435265</v>
      </c>
      <c r="AH180" s="687">
        <f t="shared" si="86"/>
        <v>-62.220084621834737</v>
      </c>
      <c r="AJ180" s="170">
        <f t="shared" si="87"/>
        <v>0</v>
      </c>
      <c r="AK180" s="170">
        <f t="shared" si="99"/>
        <v>0</v>
      </c>
      <c r="AM180" s="170" t="str">
        <f t="shared" si="91"/>
        <v>0.078387343632909+0.388110952723567i</v>
      </c>
      <c r="AN180" s="170" t="str">
        <f t="shared" si="92"/>
        <v>0.39858098652961i</v>
      </c>
      <c r="AO180" s="170" t="str">
        <f t="shared" si="93"/>
        <v>0.973731727905026-0.196666038476689i</v>
      </c>
      <c r="AP180" s="170" t="str">
        <f t="shared" si="94"/>
        <v>0.153602109394515-0.0646851587872612i</v>
      </c>
      <c r="AQ180" s="170" t="str">
        <f t="shared" si="95"/>
        <v>0.846397890605485+0.0646851587872612i</v>
      </c>
      <c r="AR180" s="170" t="str">
        <f t="shared" si="96"/>
        <v>0.978455889866171-0.0747775665615701i</v>
      </c>
    </row>
    <row r="181" spans="7:44">
      <c r="G181" s="688">
        <v>10174.75</v>
      </c>
      <c r="H181" s="676">
        <f t="shared" si="88"/>
        <v>10.17475</v>
      </c>
      <c r="I181" s="677">
        <f t="shared" si="66"/>
        <v>3.6203206606917115</v>
      </c>
      <c r="J181" s="678">
        <f t="shared" si="67"/>
        <v>1.2909388985519372</v>
      </c>
      <c r="K181" s="678">
        <f t="shared" si="68"/>
        <v>1.0000817371474247</v>
      </c>
      <c r="L181" s="679">
        <f t="shared" si="69"/>
        <v>1.2785271240399562E-2</v>
      </c>
      <c r="M181" s="678">
        <f t="shared" si="70"/>
        <v>1.0036489941630973</v>
      </c>
      <c r="N181" s="679">
        <f t="shared" si="71"/>
        <v>-8.5298682745653651E-2</v>
      </c>
      <c r="O181" s="677">
        <f t="shared" si="72"/>
        <v>76715.807563927578</v>
      </c>
      <c r="P181" s="680">
        <f t="shared" si="73"/>
        <v>1.570783291671735</v>
      </c>
      <c r="Q181" s="689">
        <f t="shared" si="100"/>
        <v>1.9838004944190109</v>
      </c>
      <c r="R181" s="690">
        <f t="shared" si="101"/>
        <v>1.0424765182382554</v>
      </c>
      <c r="S181" s="677">
        <f t="shared" si="76"/>
        <v>1.0009169122614703</v>
      </c>
      <c r="T181" s="680">
        <f t="shared" si="77"/>
        <v>4.2806826615949797E-2</v>
      </c>
      <c r="U181" s="681">
        <f t="shared" si="89"/>
        <v>0.97455027011838224</v>
      </c>
      <c r="V181" s="682">
        <f t="shared" si="90"/>
        <v>-0.27711420364971096</v>
      </c>
      <c r="W181" s="683">
        <f t="shared" si="78"/>
        <v>0.73160368265902442</v>
      </c>
      <c r="X181" s="684">
        <f t="shared" si="79"/>
        <v>-126.71993629605025</v>
      </c>
      <c r="Y181" s="687">
        <f t="shared" si="80"/>
        <v>53.28006370394975</v>
      </c>
      <c r="AA181" s="170">
        <f t="shared" si="81"/>
        <v>1000000000</v>
      </c>
      <c r="AB181" s="170">
        <f t="shared" si="82"/>
        <v>103525537.5625</v>
      </c>
      <c r="AD181" s="686">
        <f t="shared" si="83"/>
        <v>13.349752213914197</v>
      </c>
      <c r="AE181" s="687">
        <f t="shared" si="84"/>
        <v>-32.722398942745585</v>
      </c>
      <c r="AG181" s="686">
        <f t="shared" si="85"/>
        <v>29.79101342508536</v>
      </c>
      <c r="AH181" s="687">
        <f t="shared" si="86"/>
        <v>-62.242588692504881</v>
      </c>
      <c r="AJ181" s="170">
        <f t="shared" si="87"/>
        <v>0</v>
      </c>
      <c r="AK181" s="170">
        <f t="shared" si="99"/>
        <v>0</v>
      </c>
      <c r="AM181" s="170" t="str">
        <f t="shared" si="91"/>
        <v>0.079280483599228+0.390225027540172i</v>
      </c>
      <c r="AN181" s="170" t="str">
        <f t="shared" si="92"/>
        <v>0.400875984054974i</v>
      </c>
      <c r="AO181" s="170" t="str">
        <f t="shared" si="93"/>
        <v>0.973430794214548-0.19776810473225i</v>
      </c>
      <c r="AP181" s="170" t="str">
        <f t="shared" si="94"/>
        <v>0.153453252733462-0.0650375045900287i</v>
      </c>
      <c r="AQ181" s="170" t="str">
        <f t="shared" si="95"/>
        <v>0.846546747266538+0.0650375045900287i</v>
      </c>
      <c r="AR181" s="170" t="str">
        <f t="shared" si="96"/>
        <v>0.978223807161151-0.0751538359266619i</v>
      </c>
    </row>
    <row r="182" spans="7:44">
      <c r="G182" s="688">
        <v>10233</v>
      </c>
      <c r="H182" s="676">
        <f t="shared" si="88"/>
        <v>10.233000000000001</v>
      </c>
      <c r="I182" s="677">
        <f t="shared" si="66"/>
        <v>3.6394696581844541</v>
      </c>
      <c r="J182" s="678">
        <f t="shared" si="67"/>
        <v>1.2924507199415849</v>
      </c>
      <c r="K182" s="678">
        <f t="shared" si="68"/>
        <v>1.0000826756707835</v>
      </c>
      <c r="L182" s="679">
        <f t="shared" si="69"/>
        <v>1.2858458315822007E-2</v>
      </c>
      <c r="M182" s="678">
        <f t="shared" si="70"/>
        <v>1.0036908173838457</v>
      </c>
      <c r="N182" s="679">
        <f t="shared" si="71"/>
        <v>-8.5784628509715383E-2</v>
      </c>
      <c r="O182" s="677">
        <f t="shared" si="72"/>
        <v>77155.002216360474</v>
      </c>
      <c r="P182" s="680">
        <f t="shared" si="73"/>
        <v>1.5707833658724508</v>
      </c>
      <c r="Q182" s="689">
        <f t="shared" si="100"/>
        <v>1.9922779482849826</v>
      </c>
      <c r="R182" s="690">
        <f t="shared" si="101"/>
        <v>1.0449582972948521</v>
      </c>
      <c r="S182" s="677">
        <f t="shared" si="76"/>
        <v>1.000927436000989</v>
      </c>
      <c r="T182" s="680">
        <f t="shared" si="77"/>
        <v>4.3051591991955143E-2</v>
      </c>
      <c r="U182" s="681">
        <f t="shared" si="89"/>
        <v>0.97427288592576811</v>
      </c>
      <c r="V182" s="682">
        <f t="shared" si="90"/>
        <v>-0.27866148745774733</v>
      </c>
      <c r="W182" s="683">
        <f t="shared" si="78"/>
        <v>0.67104270526497756</v>
      </c>
      <c r="X182" s="684">
        <f t="shared" si="79"/>
        <v>-126.79069225263824</v>
      </c>
      <c r="Y182" s="687">
        <f t="shared" si="80"/>
        <v>53.209307747361763</v>
      </c>
      <c r="AA182" s="170">
        <f t="shared" si="81"/>
        <v>1000000000</v>
      </c>
      <c r="AB182" s="170">
        <f t="shared" si="82"/>
        <v>104714289</v>
      </c>
      <c r="AD182" s="686">
        <f t="shared" si="83"/>
        <v>13.337115026195947</v>
      </c>
      <c r="AE182" s="687">
        <f t="shared" si="84"/>
        <v>-32.594231751376071</v>
      </c>
      <c r="AG182" s="686">
        <f t="shared" si="85"/>
        <v>29.748034832192943</v>
      </c>
      <c r="AH182" s="687">
        <f t="shared" si="86"/>
        <v>-62.264206176440972</v>
      </c>
      <c r="AJ182" s="170">
        <f t="shared" si="87"/>
        <v>0</v>
      </c>
      <c r="AK182" s="170">
        <f t="shared" si="99"/>
        <v>0</v>
      </c>
      <c r="AM182" s="170" t="str">
        <f t="shared" si="91"/>
        <v>0.080178473005671+0.392337047037138i</v>
      </c>
      <c r="AN182" s="170" t="str">
        <f t="shared" si="92"/>
        <v>0.403170981580339i</v>
      </c>
      <c r="AO182" s="170" t="str">
        <f t="shared" si="93"/>
        <v>0.973128188688743-0.198869652501749i</v>
      </c>
      <c r="AP182" s="170" t="str">
        <f t="shared" si="94"/>
        <v>0.153303587832388-0.065389507839523i</v>
      </c>
      <c r="AQ182" s="170" t="str">
        <f t="shared" si="95"/>
        <v>0.846696412167612+0.065389507839523i</v>
      </c>
      <c r="AR182" s="170" t="str">
        <f t="shared" si="96"/>
        <v>0.977990657507564-0.0755292296590145i</v>
      </c>
    </row>
    <row r="183" spans="7:44">
      <c r="G183" s="688">
        <v>10292.5</v>
      </c>
      <c r="H183" s="676">
        <f t="shared" si="88"/>
        <v>10.2925</v>
      </c>
      <c r="I183" s="677">
        <f t="shared" si="66"/>
        <v>3.6590380755661003</v>
      </c>
      <c r="J183" s="678">
        <f t="shared" si="67"/>
        <v>1.2939786435281988</v>
      </c>
      <c r="K183" s="678">
        <f t="shared" si="68"/>
        <v>1.0000836398645712</v>
      </c>
      <c r="L183" s="679">
        <f t="shared" si="69"/>
        <v>1.2933215787115846E-2</v>
      </c>
      <c r="M183" s="678">
        <f t="shared" si="70"/>
        <v>1.0037337827766091</v>
      </c>
      <c r="N183" s="679">
        <f t="shared" si="71"/>
        <v>-8.6280960365022655E-2</v>
      </c>
      <c r="O183" s="677">
        <f t="shared" si="72"/>
        <v>77603.621646743006</v>
      </c>
      <c r="P183" s="680">
        <f t="shared" si="73"/>
        <v>1.5707834407983567</v>
      </c>
      <c r="Q183" s="689">
        <f t="shared" si="100"/>
        <v>2.0009498819199782</v>
      </c>
      <c r="R183" s="690">
        <f t="shared" si="101"/>
        <v>1.0474716066393306</v>
      </c>
      <c r="S183" s="677">
        <f t="shared" si="76"/>
        <v>1.000938247480194</v>
      </c>
      <c r="T183" s="680">
        <f t="shared" si="77"/>
        <v>4.3301604514763149E-2</v>
      </c>
      <c r="U183" s="681">
        <f t="shared" si="89"/>
        <v>0.97398814705447345</v>
      </c>
      <c r="V183" s="682">
        <f t="shared" si="90"/>
        <v>-0.28024131007202441</v>
      </c>
      <c r="W183" s="683">
        <f t="shared" si="78"/>
        <v>0.60958129734463362</v>
      </c>
      <c r="X183" s="684">
        <f t="shared" si="79"/>
        <v>-126.86323436405588</v>
      </c>
      <c r="Y183" s="687">
        <f t="shared" si="80"/>
        <v>53.136765635944116</v>
      </c>
      <c r="AA183" s="170">
        <f t="shared" si="81"/>
        <v>1000000000</v>
      </c>
      <c r="AB183" s="170">
        <f t="shared" si="82"/>
        <v>105935556.25</v>
      </c>
      <c r="AD183" s="686">
        <f t="shared" si="83"/>
        <v>13.324388835158867</v>
      </c>
      <c r="AE183" s="687">
        <f t="shared" si="84"/>
        <v>-32.46455868849899</v>
      </c>
      <c r="AG183" s="686">
        <f t="shared" si="85"/>
        <v>29.704377395725086</v>
      </c>
      <c r="AH183" s="687">
        <f t="shared" si="86"/>
        <v>-62.285387014174027</v>
      </c>
      <c r="AJ183" s="170">
        <f t="shared" si="87"/>
        <v>0</v>
      </c>
      <c r="AK183" s="170">
        <f t="shared" si="99"/>
        <v>0</v>
      </c>
      <c r="AM183" s="170" t="str">
        <f t="shared" si="91"/>
        <v>0.081100734307488+0.394492255322918i</v>
      </c>
      <c r="AN183" s="170" t="str">
        <f t="shared" si="92"/>
        <v>0.405515227979638i</v>
      </c>
      <c r="AO183" s="170" t="str">
        <f t="shared" si="93"/>
        <v>0.97281736443872-0.199994300365855i</v>
      </c>
      <c r="AP183" s="170" t="str">
        <f t="shared" si="94"/>
        <v>0.153149877615419-0.0657487092204863i</v>
      </c>
      <c r="AQ183" s="170" t="str">
        <f t="shared" si="95"/>
        <v>0.846850122384581+0.0657487092204863i</v>
      </c>
      <c r="AR183" s="170" t="str">
        <f t="shared" si="96"/>
        <v>0.977751407390182-0.0759117714872622i</v>
      </c>
    </row>
    <row r="184" spans="7:44">
      <c r="G184" s="688">
        <v>10352</v>
      </c>
      <c r="H184" s="676">
        <f t="shared" si="88"/>
        <v>10.352</v>
      </c>
      <c r="I184" s="677">
        <f t="shared" si="66"/>
        <v>3.6786149442646257</v>
      </c>
      <c r="J184" s="678">
        <f t="shared" si="67"/>
        <v>1.2954903079921223</v>
      </c>
      <c r="K184" s="678">
        <f t="shared" si="68"/>
        <v>1.0000846096474949</v>
      </c>
      <c r="L184" s="679">
        <f t="shared" si="69"/>
        <v>1.3007973113842705E-2</v>
      </c>
      <c r="M184" s="678">
        <f t="shared" si="70"/>
        <v>1.0037769954132796</v>
      </c>
      <c r="N184" s="679">
        <f t="shared" si="71"/>
        <v>-8.6777249608370369E-2</v>
      </c>
      <c r="O184" s="677">
        <f t="shared" si="72"/>
        <v>78052.241077125989</v>
      </c>
      <c r="P184" s="680">
        <f t="shared" si="73"/>
        <v>1.5707835148629619</v>
      </c>
      <c r="Q184" s="689">
        <f t="shared" si="100"/>
        <v>2.0096343458735162</v>
      </c>
      <c r="R184" s="690">
        <f t="shared" si="101"/>
        <v>1.0499632095042208</v>
      </c>
      <c r="S184" s="677">
        <f t="shared" si="76"/>
        <v>1.0009491215229531</v>
      </c>
      <c r="T184" s="680">
        <f t="shared" si="77"/>
        <v>4.3551611621059916E-2</v>
      </c>
      <c r="U184" s="681">
        <f t="shared" si="89"/>
        <v>0.97370199480918262</v>
      </c>
      <c r="V184" s="682">
        <f t="shared" si="90"/>
        <v>-0.28182045782828535</v>
      </c>
      <c r="W184" s="683">
        <f t="shared" si="78"/>
        <v>0.54851792971847635</v>
      </c>
      <c r="X184" s="684">
        <f t="shared" si="79"/>
        <v>-126.93604712662302</v>
      </c>
      <c r="Y184" s="687">
        <f t="shared" si="80"/>
        <v>53.063952873376977</v>
      </c>
      <c r="AA184" s="170">
        <f t="shared" si="81"/>
        <v>1000000000</v>
      </c>
      <c r="AB184" s="170">
        <f t="shared" si="82"/>
        <v>107163904</v>
      </c>
      <c r="AD184" s="686">
        <f t="shared" si="83"/>
        <v>13.311843391206523</v>
      </c>
      <c r="AE184" s="687">
        <f t="shared" si="84"/>
        <v>-32.33612895559969</v>
      </c>
      <c r="AG184" s="686">
        <f t="shared" si="85"/>
        <v>29.660963953070588</v>
      </c>
      <c r="AH184" s="687">
        <f t="shared" si="86"/>
        <v>-62.305672506111058</v>
      </c>
      <c r="AJ184" s="170">
        <f t="shared" si="87"/>
        <v>0</v>
      </c>
      <c r="AK184" s="170">
        <f t="shared" si="99"/>
        <v>0</v>
      </c>
      <c r="AM184" s="170" t="str">
        <f t="shared" si="91"/>
        <v>0.082028045409803+0.396645295680982i</v>
      </c>
      <c r="AN184" s="170" t="str">
        <f t="shared" si="92"/>
        <v>0.407859474378938i</v>
      </c>
      <c r="AO184" s="170" t="str">
        <f t="shared" si="93"/>
        <v>0.972504797847268-0.20111840122069i</v>
      </c>
      <c r="AP184" s="170" t="str">
        <f t="shared" si="94"/>
        <v>0.152995325765033-0.0661075492801637i</v>
      </c>
      <c r="AQ184" s="170" t="str">
        <f t="shared" si="95"/>
        <v>0.847004674234967+0.0661075492801637i</v>
      </c>
      <c r="AR184" s="170" t="str">
        <f t="shared" si="96"/>
        <v>0.977511052747131-0.0762933925361777i</v>
      </c>
    </row>
    <row r="185" spans="7:44">
      <c r="G185" s="688">
        <v>10411.5</v>
      </c>
      <c r="H185" s="676">
        <f t="shared" si="88"/>
        <v>10.4115</v>
      </c>
      <c r="I185" s="677">
        <f t="shared" si="66"/>
        <v>3.6982001300658345</v>
      </c>
      <c r="J185" s="678">
        <f t="shared" si="67"/>
        <v>1.296985964687829</v>
      </c>
      <c r="K185" s="678">
        <f t="shared" si="68"/>
        <v>1.0000855850195387</v>
      </c>
      <c r="L185" s="679">
        <f t="shared" si="69"/>
        <v>1.3082730295167424E-2</v>
      </c>
      <c r="M185" s="678">
        <f t="shared" si="70"/>
        <v>1.0038204552619272</v>
      </c>
      <c r="N185" s="679">
        <f t="shared" si="71"/>
        <v>-8.7273496000802378E-2</v>
      </c>
      <c r="O185" s="677">
        <f t="shared" si="72"/>
        <v>78500.86050750938</v>
      </c>
      <c r="P185" s="680">
        <f t="shared" si="73"/>
        <v>1.5707835880810332</v>
      </c>
      <c r="Q185" s="689">
        <f t="shared" si="100"/>
        <v>2.018331178399452</v>
      </c>
      <c r="R185" s="690">
        <f t="shared" si="101"/>
        <v>1.0524333553470764</v>
      </c>
      <c r="S185" s="677">
        <f t="shared" si="76"/>
        <v>1.0009600581272273</v>
      </c>
      <c r="T185" s="680">
        <f t="shared" si="77"/>
        <v>4.3801613279769822E-2</v>
      </c>
      <c r="U185" s="681">
        <f t="shared" si="89"/>
        <v>0.97341443296888119</v>
      </c>
      <c r="V185" s="682">
        <f t="shared" si="90"/>
        <v>-0.28339892762436397</v>
      </c>
      <c r="W185" s="683">
        <f t="shared" si="78"/>
        <v>0.4878473026557355</v>
      </c>
      <c r="X185" s="684">
        <f t="shared" si="79"/>
        <v>-127.00913045670636</v>
      </c>
      <c r="Y185" s="687">
        <f t="shared" si="80"/>
        <v>52.990869543293641</v>
      </c>
      <c r="AA185" s="170">
        <f t="shared" si="81"/>
        <v>1000000000</v>
      </c>
      <c r="AB185" s="170">
        <f t="shared" si="82"/>
        <v>108399332.25</v>
      </c>
      <c r="AD185" s="686">
        <f t="shared" si="83"/>
        <v>13.299475376887724</v>
      </c>
      <c r="AE185" s="687">
        <f t="shared" si="84"/>
        <v>-32.208928258878757</v>
      </c>
      <c r="AG185" s="686">
        <f t="shared" si="85"/>
        <v>29.617792477615623</v>
      </c>
      <c r="AH185" s="687">
        <f t="shared" si="86"/>
        <v>-62.325077217900272</v>
      </c>
      <c r="AJ185" s="170">
        <f t="shared" si="87"/>
        <v>0</v>
      </c>
      <c r="AK185" s="170">
        <f t="shared" si="99"/>
        <v>0</v>
      </c>
      <c r="AM185" s="170" t="str">
        <f t="shared" si="91"/>
        <v>0.082960401216588+0.398796156279319i</v>
      </c>
      <c r="AN185" s="170" t="str">
        <f t="shared" si="92"/>
        <v>0.410203720778237i</v>
      </c>
      <c r="AO185" s="170" t="str">
        <f t="shared" si="93"/>
        <v>0.97219048994174-0.202241952021293i</v>
      </c>
      <c r="AP185" s="170" t="str">
        <f t="shared" si="94"/>
        <v>0.152839933130569-0.0664660260465532i</v>
      </c>
      <c r="AQ185" s="170" t="str">
        <f t="shared" si="95"/>
        <v>0.847160066869431+0.0664660260465532i</v>
      </c>
      <c r="AR185" s="170" t="str">
        <f t="shared" si="96"/>
        <v>0.977269597996856-0.0766740892249527i</v>
      </c>
    </row>
    <row r="186" spans="7:44">
      <c r="G186" s="688">
        <v>10471</v>
      </c>
      <c r="H186" s="676">
        <f t="shared" si="88"/>
        <v>10.471</v>
      </c>
      <c r="I186" s="677">
        <f t="shared" si="66"/>
        <v>3.7177935015272476</v>
      </c>
      <c r="J186" s="678">
        <f t="shared" si="67"/>
        <v>1.2984658599609391</v>
      </c>
      <c r="K186" s="678">
        <f t="shared" si="68"/>
        <v>1.0000865659806859</v>
      </c>
      <c r="L186" s="679">
        <f t="shared" si="69"/>
        <v>1.3157487330254848E-2</v>
      </c>
      <c r="M186" s="678">
        <f t="shared" si="70"/>
        <v>1.0038641622904445</v>
      </c>
      <c r="N186" s="679">
        <f t="shared" si="71"/>
        <v>-8.7769699303488283E-2</v>
      </c>
      <c r="O186" s="677">
        <f t="shared" si="72"/>
        <v>78949.479937893178</v>
      </c>
      <c r="P186" s="680">
        <f t="shared" si="73"/>
        <v>1.5707836604670018</v>
      </c>
      <c r="Q186" s="689">
        <f t="shared" si="100"/>
        <v>2.0270402202990718</v>
      </c>
      <c r="R186" s="690">
        <f t="shared" si="101"/>
        <v>1.0548822903948787</v>
      </c>
      <c r="S186" s="677">
        <f t="shared" si="76"/>
        <v>1.0009710572909658</v>
      </c>
      <c r="T186" s="680">
        <f t="shared" si="77"/>
        <v>4.4051609459821311E-2</v>
      </c>
      <c r="U186" s="681">
        <f t="shared" si="89"/>
        <v>0.97312546532524768</v>
      </c>
      <c r="V186" s="682">
        <f t="shared" si="90"/>
        <v>-0.284976716370546</v>
      </c>
      <c r="W186" s="683">
        <f t="shared" si="78"/>
        <v>0.42756421125639404</v>
      </c>
      <c r="X186" s="684">
        <f t="shared" si="79"/>
        <v>-127.08248416948622</v>
      </c>
      <c r="Y186" s="687">
        <f t="shared" si="80"/>
        <v>52.917515830513778</v>
      </c>
      <c r="AA186" s="170">
        <f t="shared" si="81"/>
        <v>1000000000</v>
      </c>
      <c r="AB186" s="170">
        <f t="shared" si="82"/>
        <v>109641841</v>
      </c>
      <c r="AD186" s="686">
        <f t="shared" si="83"/>
        <v>13.287281547426719</v>
      </c>
      <c r="AE186" s="687">
        <f t="shared" si="84"/>
        <v>-32.082942489615895</v>
      </c>
      <c r="AG186" s="686">
        <f t="shared" si="85"/>
        <v>29.574860964731819</v>
      </c>
      <c r="AH186" s="687">
        <f t="shared" si="86"/>
        <v>-62.343615427497511</v>
      </c>
      <c r="AJ186" s="170">
        <f t="shared" si="87"/>
        <v>0</v>
      </c>
      <c r="AK186" s="170">
        <f t="shared" si="99"/>
        <v>0</v>
      </c>
      <c r="AM186" s="170" t="str">
        <f t="shared" si="91"/>
        <v>0.083897796604093+0.4009448252979i</v>
      </c>
      <c r="AN186" s="170" t="str">
        <f t="shared" si="92"/>
        <v>0.412547967177536i</v>
      </c>
      <c r="AO186" s="170" t="str">
        <f t="shared" si="93"/>
        <v>0.971874441755175-0.203364949724715i</v>
      </c>
      <c r="AP186" s="170" t="str">
        <f t="shared" si="94"/>
        <v>0.152683700565984-0.06682413754965i</v>
      </c>
      <c r="AQ186" s="170" t="str">
        <f t="shared" si="95"/>
        <v>0.847316299434016+0.06682413754965i</v>
      </c>
      <c r="AR186" s="170" t="str">
        <f t="shared" si="96"/>
        <v>0.977027047570482-0.0770538579987067i</v>
      </c>
    </row>
    <row r="187" spans="7:44">
      <c r="G187" s="688">
        <v>10532</v>
      </c>
      <c r="H187" s="676">
        <f t="shared" si="88"/>
        <v>10.532</v>
      </c>
      <c r="I187" s="677">
        <f t="shared" si="66"/>
        <v>3.7378891865774992</v>
      </c>
      <c r="J187" s="678">
        <f t="shared" si="67"/>
        <v>1.2999669538061527</v>
      </c>
      <c r="K187" s="678">
        <f t="shared" si="68"/>
        <v>1.0000875774741611</v>
      </c>
      <c r="L187" s="679">
        <f t="shared" si="69"/>
        <v>1.3234128843790905E-2</v>
      </c>
      <c r="M187" s="678">
        <f t="shared" si="70"/>
        <v>1.0039092277485804</v>
      </c>
      <c r="N187" s="679">
        <f t="shared" si="71"/>
        <v>-8.8278366950361425E-2</v>
      </c>
      <c r="O187" s="677">
        <f t="shared" si="72"/>
        <v>79409.409101816491</v>
      </c>
      <c r="P187" s="680">
        <f t="shared" si="73"/>
        <v>1.5707837338287565</v>
      </c>
      <c r="Q187" s="689">
        <f t="shared" si="100"/>
        <v>2.0359813288072757</v>
      </c>
      <c r="R187" s="690">
        <f t="shared" si="101"/>
        <v>1.0573711980779925</v>
      </c>
      <c r="S187" s="677">
        <f t="shared" si="76"/>
        <v>1.0009823986874258</v>
      </c>
      <c r="T187" s="680">
        <f t="shared" si="77"/>
        <v>4.4307902344481301E-2</v>
      </c>
      <c r="U187" s="681">
        <f t="shared" si="89"/>
        <v>0.97282775735492355</v>
      </c>
      <c r="V187" s="682">
        <f t="shared" si="90"/>
        <v>-0.28659357106197081</v>
      </c>
      <c r="W187" s="683">
        <f t="shared" si="78"/>
        <v>0.36615834053177654</v>
      </c>
      <c r="X187" s="684">
        <f t="shared" si="79"/>
        <v>-127.15796753362946</v>
      </c>
      <c r="Y187" s="687">
        <f t="shared" si="80"/>
        <v>52.84203246637054</v>
      </c>
      <c r="AA187" s="170">
        <f t="shared" si="81"/>
        <v>1000000000</v>
      </c>
      <c r="AB187" s="170">
        <f t="shared" si="82"/>
        <v>110923024</v>
      </c>
      <c r="AD187" s="686">
        <f t="shared" si="83"/>
        <v>13.274957815336473</v>
      </c>
      <c r="AE187" s="687">
        <f t="shared" si="84"/>
        <v>-31.955027287558785</v>
      </c>
      <c r="AG187" s="686">
        <f t="shared" si="85"/>
        <v>29.531094182221416</v>
      </c>
      <c r="AH187" s="687">
        <f t="shared" si="86"/>
        <v>-62.36173609367701</v>
      </c>
      <c r="AJ187" s="170">
        <f t="shared" si="87"/>
        <v>0</v>
      </c>
      <c r="AK187" s="170">
        <f t="shared" si="99"/>
        <v>0</v>
      </c>
      <c r="AM187" s="170" t="str">
        <f t="shared" si="91"/>
        <v>0.0848640501696289+0.403145374930762i</v>
      </c>
      <c r="AN187" s="170" t="str">
        <f t="shared" si="92"/>
        <v>0.414951312225557i</v>
      </c>
      <c r="AO187" s="170" t="str">
        <f t="shared" si="93"/>
        <v>0.971548620411694-0.204515680922823i</v>
      </c>
      <c r="AP187" s="170" t="str">
        <f t="shared" si="94"/>
        <v>0.152522658305062-0.0671908958217937i</v>
      </c>
      <c r="AQ187" s="170" t="str">
        <f t="shared" si="95"/>
        <v>0.847477341694938+0.0671908958217937i</v>
      </c>
      <c r="AR187" s="170" t="str">
        <f t="shared" si="96"/>
        <v>0.976777249622005-0.0774422337819564i</v>
      </c>
    </row>
    <row r="188" spans="7:44">
      <c r="G188" s="688">
        <v>10593</v>
      </c>
      <c r="H188" s="676">
        <f t="shared" si="88"/>
        <v>10.593</v>
      </c>
      <c r="I188" s="677">
        <f t="shared" si="66"/>
        <v>3.7579932040598667</v>
      </c>
      <c r="J188" s="678">
        <f t="shared" si="67"/>
        <v>1.3014519902591959</v>
      </c>
      <c r="K188" s="678">
        <f t="shared" si="68"/>
        <v>1.0000885948420604</v>
      </c>
      <c r="L188" s="679">
        <f t="shared" si="69"/>
        <v>1.3310770201845725E-2</v>
      </c>
      <c r="M188" s="678">
        <f t="shared" si="70"/>
        <v>1.0039545529376168</v>
      </c>
      <c r="N188" s="679">
        <f t="shared" si="71"/>
        <v>-8.8786988799542221E-2</v>
      </c>
      <c r="O188" s="677">
        <f t="shared" si="72"/>
        <v>79869.338265740254</v>
      </c>
      <c r="P188" s="680">
        <f t="shared" si="73"/>
        <v>1.570783806345601</v>
      </c>
      <c r="Q188" s="689">
        <f t="shared" si="100"/>
        <v>2.0449349391959335</v>
      </c>
      <c r="R188" s="690">
        <f t="shared" si="101"/>
        <v>1.059838325902364</v>
      </c>
      <c r="S188" s="677">
        <f t="shared" si="76"/>
        <v>1.0009938058329657</v>
      </c>
      <c r="T188" s="680">
        <f t="shared" si="77"/>
        <v>4.4564189404640131E-2</v>
      </c>
      <c r="U188" s="681">
        <f t="shared" si="89"/>
        <v>0.97252857991833486</v>
      </c>
      <c r="V188" s="682">
        <f t="shared" si="90"/>
        <v>-0.28820970339552432</v>
      </c>
      <c r="W188" s="683">
        <f t="shared" si="78"/>
        <v>0.30514900914333931</v>
      </c>
      <c r="X188" s="684">
        <f t="shared" si="79"/>
        <v>-127.23373438566357</v>
      </c>
      <c r="Y188" s="687">
        <f t="shared" si="80"/>
        <v>52.766265614336433</v>
      </c>
      <c r="AA188" s="170">
        <f t="shared" si="81"/>
        <v>1000000000</v>
      </c>
      <c r="AB188" s="170">
        <f t="shared" si="82"/>
        <v>112211649</v>
      </c>
      <c r="AD188" s="686">
        <f t="shared" si="83"/>
        <v>13.262810480815158</v>
      </c>
      <c r="AE188" s="687">
        <f t="shared" si="84"/>
        <v>-31.828359597358329</v>
      </c>
      <c r="AG188" s="686">
        <f t="shared" si="85"/>
        <v>29.48757541665255</v>
      </c>
      <c r="AH188" s="687">
        <f t="shared" si="86"/>
        <v>-62.378975512005418</v>
      </c>
      <c r="AJ188" s="170">
        <f t="shared" si="87"/>
        <v>0</v>
      </c>
      <c r="AK188" s="170">
        <f t="shared" si="99"/>
        <v>0</v>
      </c>
      <c r="AM188" s="170" t="str">
        <f t="shared" si="91"/>
        <v>0.0858355896195661+0.40534359596988i</v>
      </c>
      <c r="AN188" s="170" t="str">
        <f t="shared" si="92"/>
        <v>0.417354657273579i</v>
      </c>
      <c r="AO188" s="170" t="str">
        <f t="shared" si="93"/>
        <v>0.971220972153126-0.20566582431426i</v>
      </c>
      <c r="AP188" s="170" t="str">
        <f t="shared" si="94"/>
        <v>0.152360735063406-0.06755726599498i</v>
      </c>
      <c r="AQ188" s="170" t="str">
        <f t="shared" si="95"/>
        <v>0.847639264936594+0.06755726599498i</v>
      </c>
      <c r="AR188" s="170" t="str">
        <f t="shared" si="96"/>
        <v>0.976526309529166-0.0778296267916434i</v>
      </c>
    </row>
    <row r="189" spans="7:44">
      <c r="G189" s="688">
        <v>10654</v>
      </c>
      <c r="H189" s="676">
        <f t="shared" si="88"/>
        <v>10.654</v>
      </c>
      <c r="I189" s="677">
        <f t="shared" si="66"/>
        <v>3.7781054209589846</v>
      </c>
      <c r="J189" s="678">
        <f t="shared" si="67"/>
        <v>1.3029212191551147</v>
      </c>
      <c r="K189" s="678">
        <f t="shared" si="68"/>
        <v>1.0000896180843659</v>
      </c>
      <c r="L189" s="679">
        <f t="shared" si="69"/>
        <v>1.3387411403519426E-2</v>
      </c>
      <c r="M189" s="678">
        <f t="shared" si="70"/>
        <v>1.0040001378223773</v>
      </c>
      <c r="N189" s="679">
        <f t="shared" si="71"/>
        <v>-8.9295564594094032E-2</v>
      </c>
      <c r="O189" s="677">
        <f t="shared" si="72"/>
        <v>80329.267429664396</v>
      </c>
      <c r="P189" s="680">
        <f t="shared" si="73"/>
        <v>1.5707838780320482</v>
      </c>
      <c r="Q189" s="689">
        <f t="shared" si="100"/>
        <v>2.0539008879659746</v>
      </c>
      <c r="R189" s="690">
        <f t="shared" si="101"/>
        <v>1.0622839288655375</v>
      </c>
      <c r="S189" s="677">
        <f t="shared" si="76"/>
        <v>1.0010052787253383</v>
      </c>
      <c r="T189" s="680">
        <f t="shared" si="77"/>
        <v>4.482047060683008E-2</v>
      </c>
      <c r="U189" s="681">
        <f t="shared" si="89"/>
        <v>0.97222793714190336</v>
      </c>
      <c r="V189" s="682">
        <f t="shared" si="90"/>
        <v>-0.28982511008286599</v>
      </c>
      <c r="W189" s="683">
        <f t="shared" si="78"/>
        <v>0.24453090566264596</v>
      </c>
      <c r="X189" s="684">
        <f t="shared" si="79"/>
        <v>-127.3097842256351</v>
      </c>
      <c r="Y189" s="687">
        <f t="shared" si="80"/>
        <v>52.690215774364901</v>
      </c>
      <c r="AA189" s="170">
        <f t="shared" si="81"/>
        <v>1000000000</v>
      </c>
      <c r="AB189" s="170">
        <f t="shared" si="82"/>
        <v>113507716</v>
      </c>
      <c r="AD189" s="686">
        <f t="shared" si="83"/>
        <v>13.250836273447417</v>
      </c>
      <c r="AE189" s="687">
        <f t="shared" si="84"/>
        <v>-31.70292480764536</v>
      </c>
      <c r="AG189" s="686">
        <f t="shared" si="85"/>
        <v>29.444302578508985</v>
      </c>
      <c r="AH189" s="687">
        <f t="shared" si="86"/>
        <v>-62.395348170714676</v>
      </c>
      <c r="AJ189" s="170">
        <f t="shared" si="87"/>
        <v>0</v>
      </c>
      <c r="AK189" s="170">
        <f t="shared" si="99"/>
        <v>0</v>
      </c>
      <c r="AM189" s="170" t="str">
        <f t="shared" si="91"/>
        <v>0.086812409342228+0.407539475718186i</v>
      </c>
      <c r="AN189" s="170" t="str">
        <f t="shared" si="92"/>
        <v>0.4197580023216i</v>
      </c>
      <c r="AO189" s="170" t="str">
        <f t="shared" si="93"/>
        <v>0.970891498111208-0.206815376626736i</v>
      </c>
      <c r="AP189" s="170" t="str">
        <f t="shared" si="94"/>
        <v>0.152197931776295-0.067923245953031i</v>
      </c>
      <c r="AQ189" s="170" t="str">
        <f t="shared" si="95"/>
        <v>0.847802068223705+0.067923245953031i</v>
      </c>
      <c r="AR189" s="170" t="str">
        <f t="shared" si="96"/>
        <v>0.976274232107082-0.0782160332823327i</v>
      </c>
    </row>
    <row r="190" spans="7:44">
      <c r="G190" s="688">
        <v>10715</v>
      </c>
      <c r="H190" s="676">
        <f t="shared" si="88"/>
        <v>10.715</v>
      </c>
      <c r="I190" s="677">
        <f t="shared" si="66"/>
        <v>3.7982257070231586</v>
      </c>
      <c r="J190" s="678">
        <f t="shared" si="67"/>
        <v>1.3043748853113943</v>
      </c>
      <c r="K190" s="678">
        <f t="shared" si="68"/>
        <v>1.0000906472010598</v>
      </c>
      <c r="L190" s="679">
        <f t="shared" si="69"/>
        <v>1.3464052447912125E-2</v>
      </c>
      <c r="M190" s="678">
        <f t="shared" si="70"/>
        <v>1.0040459823674905</v>
      </c>
      <c r="N190" s="679">
        <f t="shared" si="71"/>
        <v>-8.9804094077222105E-2</v>
      </c>
      <c r="O190" s="677">
        <f t="shared" si="72"/>
        <v>80789.19659358896</v>
      </c>
      <c r="P190" s="680">
        <f t="shared" si="73"/>
        <v>1.5707839489022799</v>
      </c>
      <c r="Q190" s="689">
        <f t="shared" si="100"/>
        <v>2.0628790142374496</v>
      </c>
      <c r="R190" s="690">
        <f t="shared" si="101"/>
        <v>1.0647082585649168</v>
      </c>
      <c r="S190" s="677">
        <f t="shared" si="76"/>
        <v>1.0010168173622827</v>
      </c>
      <c r="T190" s="680">
        <f t="shared" si="77"/>
        <v>4.5076745917588007E-2</v>
      </c>
      <c r="U190" s="681">
        <f t="shared" si="89"/>
        <v>0.9719258331654903</v>
      </c>
      <c r="V190" s="682">
        <f t="shared" si="90"/>
        <v>-0.29143978784957503</v>
      </c>
      <c r="W190" s="683">
        <f t="shared" si="78"/>
        <v>0.18429881461508257</v>
      </c>
      <c r="X190" s="684">
        <f t="shared" si="79"/>
        <v>-127.38611646170658</v>
      </c>
      <c r="Y190" s="687">
        <f t="shared" si="80"/>
        <v>52.613883538293422</v>
      </c>
      <c r="AA190" s="170">
        <f t="shared" si="81"/>
        <v>1000000000</v>
      </c>
      <c r="AB190" s="170">
        <f t="shared" si="82"/>
        <v>114811225</v>
      </c>
      <c r="AD190" s="686">
        <f t="shared" si="83"/>
        <v>13.239031995249125</v>
      </c>
      <c r="AE190" s="687">
        <f t="shared" si="84"/>
        <v>-31.578708501845774</v>
      </c>
      <c r="AG190" s="686">
        <f t="shared" si="85"/>
        <v>29.401273601615067</v>
      </c>
      <c r="AH190" s="687">
        <f t="shared" si="86"/>
        <v>-62.410868269762233</v>
      </c>
      <c r="AJ190" s="170">
        <f t="shared" si="87"/>
        <v>0</v>
      </c>
      <c r="AK190" s="170">
        <f t="shared" si="99"/>
        <v>0</v>
      </c>
      <c r="AM190" s="170" t="str">
        <f t="shared" si="91"/>
        <v>0.0877945036954419+0.409733001492137i</v>
      </c>
      <c r="AN190" s="170" t="str">
        <f t="shared" si="92"/>
        <v>0.422161347369621i</v>
      </c>
      <c r="AO190" s="170" t="str">
        <f t="shared" si="93"/>
        <v>0.970560199423936-0.207964334590239i</v>
      </c>
      <c r="AP190" s="170" t="str">
        <f t="shared" si="94"/>
        <v>0.152034249384093-0.0682888335820228i</v>
      </c>
      <c r="AQ190" s="170" t="str">
        <f t="shared" si="95"/>
        <v>0.847965750615907+0.0682888335820228i</v>
      </c>
      <c r="AR190" s="170" t="str">
        <f t="shared" si="96"/>
        <v>0.976021022184087-0.0786014495374061i</v>
      </c>
    </row>
    <row r="191" spans="7:44">
      <c r="G191" s="688">
        <v>10777.5</v>
      </c>
      <c r="H191" s="676">
        <f t="shared" si="88"/>
        <v>10.7775</v>
      </c>
      <c r="I191" s="677">
        <f t="shared" si="66"/>
        <v>3.8188489900887812</v>
      </c>
      <c r="J191" s="678">
        <f t="shared" si="67"/>
        <v>1.3058484067289109</v>
      </c>
      <c r="K191" s="678">
        <f t="shared" si="68"/>
        <v>1.0000917077167251</v>
      </c>
      <c r="L191" s="679">
        <f t="shared" si="69"/>
        <v>1.3542577944079655E-2</v>
      </c>
      <c r="M191" s="678">
        <f t="shared" si="70"/>
        <v>1.0040932235167848</v>
      </c>
      <c r="N191" s="679">
        <f t="shared" si="71"/>
        <v>-9.032508008169457E-2</v>
      </c>
      <c r="O191" s="677">
        <f t="shared" si="72"/>
        <v>81260.435491053082</v>
      </c>
      <c r="P191" s="680">
        <f t="shared" si="73"/>
        <v>1.5707840206831465</v>
      </c>
      <c r="Q191" s="689">
        <f t="shared" si="100"/>
        <v>2.0720903789344129</v>
      </c>
      <c r="R191" s="690">
        <f t="shared" si="101"/>
        <v>1.0671703981241201</v>
      </c>
      <c r="S191" s="677">
        <f t="shared" si="76"/>
        <v>1.0010287079232769</v>
      </c>
      <c r="T191" s="680">
        <f t="shared" si="77"/>
        <v>4.5339316934742531E-2</v>
      </c>
      <c r="U191" s="681">
        <f t="shared" si="89"/>
        <v>0.9716147892072805</v>
      </c>
      <c r="V191" s="682">
        <f t="shared" si="90"/>
        <v>-0.29309341137048495</v>
      </c>
      <c r="W191" s="683">
        <f t="shared" si="78"/>
        <v>0.12298061885356912</v>
      </c>
      <c r="X191" s="684">
        <f t="shared" si="79"/>
        <v>-127.46461790695251</v>
      </c>
      <c r="Y191" s="687">
        <f t="shared" si="80"/>
        <v>52.535382093047488</v>
      </c>
      <c r="AA191" s="170">
        <f t="shared" si="81"/>
        <v>1000000000</v>
      </c>
      <c r="AB191" s="170">
        <f t="shared" si="82"/>
        <v>116154506.25</v>
      </c>
      <c r="AD191" s="686">
        <f t="shared" si="83"/>
        <v>13.227110426494498</v>
      </c>
      <c r="AE191" s="687">
        <f t="shared" si="84"/>
        <v>-31.452686620233337</v>
      </c>
      <c r="AG191" s="686">
        <f t="shared" si="85"/>
        <v>29.35743732870742</v>
      </c>
      <c r="AH191" s="687">
        <f t="shared" si="86"/>
        <v>-62.425900299100633</v>
      </c>
      <c r="AJ191" s="170">
        <f t="shared" si="87"/>
        <v>0</v>
      </c>
      <c r="AK191" s="170">
        <f t="shared" si="99"/>
        <v>0</v>
      </c>
      <c r="AM191" s="170" t="str">
        <f t="shared" si="91"/>
        <v>0.0888062127591051+0.411978011662752i</v>
      </c>
      <c r="AN191" s="170" t="str">
        <f t="shared" si="92"/>
        <v>0.424623791066364i</v>
      </c>
      <c r="AO191" s="170" t="str">
        <f t="shared" si="93"/>
        <v>0.970218862744703-0.209140925750026i</v>
      </c>
      <c r="AP191" s="170" t="str">
        <f t="shared" si="94"/>
        <v>0.151865631206816-0.068663001943792i</v>
      </c>
      <c r="AQ191" s="170" t="str">
        <f t="shared" si="95"/>
        <v>0.848134368793184+0.068663001943792i</v>
      </c>
      <c r="AR191" s="170" t="str">
        <f t="shared" si="96"/>
        <v>0.975760416234312-0.0789953123252212i</v>
      </c>
    </row>
    <row r="192" spans="7:44">
      <c r="G192" s="688">
        <v>10840</v>
      </c>
      <c r="H192" s="676">
        <f t="shared" si="88"/>
        <v>10.84</v>
      </c>
      <c r="I192" s="677">
        <f t="shared" si="66"/>
        <v>3.8394804758025205</v>
      </c>
      <c r="J192" s="678">
        <f t="shared" si="67"/>
        <v>1.3073060953198132</v>
      </c>
      <c r="K192" s="678">
        <f t="shared" si="68"/>
        <v>1.0000927743991963</v>
      </c>
      <c r="L192" s="679">
        <f t="shared" si="69"/>
        <v>1.3621103273223394E-2</v>
      </c>
      <c r="M192" s="678">
        <f t="shared" si="70"/>
        <v>1.0041407371778179</v>
      </c>
      <c r="N192" s="679">
        <f t="shared" si="71"/>
        <v>-9.0846016923800982E-2</v>
      </c>
      <c r="O192" s="677">
        <f t="shared" si="72"/>
        <v>81731.674388517597</v>
      </c>
      <c r="P192" s="680">
        <f t="shared" si="73"/>
        <v>1.5707840916362814</v>
      </c>
      <c r="Q192" s="689">
        <f t="shared" si="100"/>
        <v>2.081314193684876</v>
      </c>
      <c r="R192" s="690">
        <f t="shared" si="101"/>
        <v>1.0696107293108816</v>
      </c>
      <c r="S192" s="677">
        <f t="shared" si="76"/>
        <v>1.0010406674970909</v>
      </c>
      <c r="T192" s="680">
        <f t="shared" si="77"/>
        <v>4.5601881696053004E-2</v>
      </c>
      <c r="U192" s="681">
        <f t="shared" si="89"/>
        <v>0.97130222014464229</v>
      </c>
      <c r="V192" s="682">
        <f t="shared" si="90"/>
        <v>-0.29474626276697286</v>
      </c>
      <c r="W192" s="683">
        <f t="shared" si="78"/>
        <v>6.2056868103029406E-2</v>
      </c>
      <c r="X192" s="684">
        <f t="shared" si="79"/>
        <v>-127.54341427319893</v>
      </c>
      <c r="Y192" s="687">
        <f t="shared" si="80"/>
        <v>52.456585726801066</v>
      </c>
      <c r="AA192" s="170">
        <f t="shared" si="81"/>
        <v>1000000000</v>
      </c>
      <c r="AB192" s="170">
        <f t="shared" si="82"/>
        <v>117505600</v>
      </c>
      <c r="AD192" s="686">
        <f t="shared" si="83"/>
        <v>13.215360675077692</v>
      </c>
      <c r="AE192" s="687">
        <f t="shared" si="84"/>
        <v>-31.327913860462303</v>
      </c>
      <c r="AG192" s="686">
        <f t="shared" si="85"/>
        <v>29.31385274033196</v>
      </c>
      <c r="AH192" s="687">
        <f t="shared" si="86"/>
        <v>-62.440066606539588</v>
      </c>
      <c r="AJ192" s="170">
        <f t="shared" si="87"/>
        <v>0</v>
      </c>
      <c r="AK192" s="170">
        <f t="shared" si="99"/>
        <v>0</v>
      </c>
      <c r="AM192" s="170" t="str">
        <f t="shared" si="91"/>
        <v>0.089823446961012+0.414220523752828i</v>
      </c>
      <c r="AN192" s="170" t="str">
        <f t="shared" si="92"/>
        <v>0.427086234763107i</v>
      </c>
      <c r="AO192" s="170" t="str">
        <f t="shared" si="93"/>
        <v>0.96987561301896-0.210316886028496i</v>
      </c>
      <c r="AP192" s="170" t="str">
        <f t="shared" si="94"/>
        <v>0.151696092173165-0.0690367539588047i</v>
      </c>
      <c r="AQ192" s="170" t="str">
        <f t="shared" si="95"/>
        <v>0.848303907826835+0.0690367539588047i</v>
      </c>
      <c r="AR192" s="170" t="str">
        <f t="shared" si="96"/>
        <v>0.975498631705775-0.0793881277722105i</v>
      </c>
    </row>
    <row r="193" spans="7:44">
      <c r="G193" s="688">
        <v>10902.5</v>
      </c>
      <c r="H193" s="676">
        <f t="shared" si="88"/>
        <v>10.9025</v>
      </c>
      <c r="I193" s="677">
        <f t="shared" si="66"/>
        <v>3.8601200326403724</v>
      </c>
      <c r="J193" s="678">
        <f t="shared" si="67"/>
        <v>1.3087481988073295</v>
      </c>
      <c r="K193" s="678">
        <f t="shared" si="68"/>
        <v>1.000093847248454</v>
      </c>
      <c r="L193" s="679">
        <f t="shared" si="69"/>
        <v>1.3699628434375466E-2</v>
      </c>
      <c r="M193" s="678">
        <f t="shared" si="70"/>
        <v>1.0041885233119079</v>
      </c>
      <c r="N193" s="679">
        <f t="shared" si="71"/>
        <v>-9.1366904327801229E-2</v>
      </c>
      <c r="O193" s="677">
        <f t="shared" si="72"/>
        <v>82202.913285982533</v>
      </c>
      <c r="P193" s="680">
        <f t="shared" si="73"/>
        <v>1.5707841617759204</v>
      </c>
      <c r="Q193" s="689">
        <f t="shared" si="100"/>
        <v>2.0905502936944536</v>
      </c>
      <c r="R193" s="690">
        <f t="shared" si="101"/>
        <v>1.0720295119158783</v>
      </c>
      <c r="S193" s="677">
        <f t="shared" si="76"/>
        <v>1.0010526960812509</v>
      </c>
      <c r="T193" s="680">
        <f t="shared" si="77"/>
        <v>4.5864440165541739E-2</v>
      </c>
      <c r="U193" s="681">
        <f t="shared" si="89"/>
        <v>0.97098813047331733</v>
      </c>
      <c r="V193" s="682">
        <f t="shared" si="90"/>
        <v>-0.2963983385627611</v>
      </c>
      <c r="W193" s="683">
        <f t="shared" si="78"/>
        <v>1.5222524457911986E-3</v>
      </c>
      <c r="X193" s="684">
        <f t="shared" si="79"/>
        <v>-127.62250465286705</v>
      </c>
      <c r="Y193" s="687">
        <f t="shared" si="80"/>
        <v>52.37749534713295</v>
      </c>
      <c r="AA193" s="170">
        <f t="shared" si="81"/>
        <v>1000000000</v>
      </c>
      <c r="AB193" s="170">
        <f t="shared" si="82"/>
        <v>118864506.25</v>
      </c>
      <c r="AD193" s="686">
        <f t="shared" si="83"/>
        <v>13.203779525881112</v>
      </c>
      <c r="AE193" s="687">
        <f t="shared" si="84"/>
        <v>-31.204375336377577</v>
      </c>
      <c r="AG193" s="686">
        <f t="shared" si="85"/>
        <v>29.270517688738046</v>
      </c>
      <c r="AH193" s="687">
        <f t="shared" si="86"/>
        <v>-62.453381569007341</v>
      </c>
      <c r="AJ193" s="170">
        <f t="shared" si="87"/>
        <v>10902.5</v>
      </c>
      <c r="AK193" s="170">
        <f t="shared" si="99"/>
        <v>52.37749534713295</v>
      </c>
      <c r="AM193" s="170" t="str">
        <f t="shared" si="91"/>
        <v>0.090846200133036+0.416460524164609i</v>
      </c>
      <c r="AN193" s="170" t="str">
        <f t="shared" si="92"/>
        <v>0.42954867845985i</v>
      </c>
      <c r="AO193" s="170" t="str">
        <f t="shared" si="93"/>
        <v>0.969530451491159-0.211492211915925i</v>
      </c>
      <c r="AP193" s="170" t="str">
        <f t="shared" si="94"/>
        <v>0.151525633311161-0.0694100873607682i</v>
      </c>
      <c r="AQ193" s="170" t="str">
        <f t="shared" si="95"/>
        <v>0.848474366688839+0.0694100873607682i</v>
      </c>
      <c r="AR193" s="170" t="str">
        <f t="shared" si="96"/>
        <v>0.975235673833652-0.0797798919751642i</v>
      </c>
    </row>
    <row r="194" spans="7:44">
      <c r="G194" s="688">
        <v>10965</v>
      </c>
      <c r="H194" s="676">
        <f t="shared" si="88"/>
        <v>10.965</v>
      </c>
      <c r="I194" s="677">
        <f t="shared" si="66"/>
        <v>3.8807675318254233</v>
      </c>
      <c r="J194" s="678">
        <f t="shared" si="67"/>
        <v>1.3101749599050712</v>
      </c>
      <c r="K194" s="678">
        <f t="shared" si="68"/>
        <v>1.0000949262644778</v>
      </c>
      <c r="L194" s="679">
        <f t="shared" si="69"/>
        <v>1.3778153426568004E-2</v>
      </c>
      <c r="M194" s="678">
        <f t="shared" si="70"/>
        <v>1.0042365818801584</v>
      </c>
      <c r="N194" s="679">
        <f t="shared" si="71"/>
        <v>-9.1887742018114893E-2</v>
      </c>
      <c r="O194" s="677">
        <f t="shared" si="72"/>
        <v>82674.152183447863</v>
      </c>
      <c r="P194" s="680">
        <f t="shared" si="73"/>
        <v>1.5707842311159739</v>
      </c>
      <c r="Q194" s="689">
        <f t="shared" si="100"/>
        <v>2.0997985168506248</v>
      </c>
      <c r="R194" s="690">
        <f t="shared" si="101"/>
        <v>1.0744270021706694</v>
      </c>
      <c r="S194" s="677">
        <f t="shared" si="76"/>
        <v>1.0010647936732693</v>
      </c>
      <c r="T194" s="680">
        <f t="shared" si="77"/>
        <v>4.6126992307236228E-2</v>
      </c>
      <c r="U194" s="681">
        <f t="shared" si="89"/>
        <v>0.97067252470318999</v>
      </c>
      <c r="V194" s="682">
        <f t="shared" si="90"/>
        <v>-0.29804963529706313</v>
      </c>
      <c r="W194" s="683">
        <f t="shared" si="78"/>
        <v>-5.8628441286143515E-2</v>
      </c>
      <c r="X194" s="684">
        <f t="shared" si="79"/>
        <v>-127.7018880561488</v>
      </c>
      <c r="Y194" s="687">
        <f t="shared" si="80"/>
        <v>52.298111943851197</v>
      </c>
      <c r="AA194" s="170">
        <f t="shared" si="81"/>
        <v>10965</v>
      </c>
      <c r="AB194" s="170">
        <f t="shared" si="82"/>
        <v>120231225</v>
      </c>
      <c r="AD194" s="686">
        <f t="shared" si="83"/>
        <v>13.192363835715121</v>
      </c>
      <c r="AE194" s="687">
        <f t="shared" si="84"/>
        <v>-31.082056365728164</v>
      </c>
      <c r="AG194" s="686">
        <f t="shared" si="85"/>
        <v>29.227430050802752</v>
      </c>
      <c r="AH194" s="687">
        <f t="shared" si="86"/>
        <v>-62.465859275523783</v>
      </c>
      <c r="AJ194" s="170">
        <f t="shared" si="87"/>
        <v>0</v>
      </c>
      <c r="AK194" s="170">
        <f t="shared" si="99"/>
        <v>0</v>
      </c>
      <c r="AM194" s="170" t="str">
        <f t="shared" si="91"/>
        <v>0.091874466073584+0.418697999315571i</v>
      </c>
      <c r="AN194" s="170" t="str">
        <f t="shared" si="92"/>
        <v>0.432011122156593i</v>
      </c>
      <c r="AO194" s="170" t="str">
        <f t="shared" si="93"/>
        <v>0.969183379412634-0.212666899905141i</v>
      </c>
      <c r="AP194" s="170" t="str">
        <f t="shared" si="94"/>
        <v>0.151354255654403-0.0697829998859285i</v>
      </c>
      <c r="AQ194" s="170" t="str">
        <f t="shared" si="95"/>
        <v>0.848645744345597+0.0697829998859285i</v>
      </c>
      <c r="AR194" s="170" t="str">
        <f t="shared" si="96"/>
        <v>0.974971547866777-0.0801706010627965i</v>
      </c>
    </row>
    <row r="195" spans="7:44">
      <c r="G195" s="688">
        <v>11028.75</v>
      </c>
      <c r="H195" s="676">
        <f t="shared" si="88"/>
        <v>11.02875</v>
      </c>
      <c r="I195" s="677">
        <f t="shared" si="66"/>
        <v>3.9018360324397428</v>
      </c>
      <c r="J195" s="678">
        <f t="shared" si="67"/>
        <v>1.3116146971121727</v>
      </c>
      <c r="K195" s="678">
        <f t="shared" si="68"/>
        <v>1.0000960332138042</v>
      </c>
      <c r="L195" s="679">
        <f t="shared" si="69"/>
        <v>1.3858248743538564E-2</v>
      </c>
      <c r="M195" s="678">
        <f t="shared" si="70"/>
        <v>1.004285882240884</v>
      </c>
      <c r="N195" s="679">
        <f t="shared" si="71"/>
        <v>-9.2418944961566482E-2</v>
      </c>
      <c r="O195" s="677">
        <f t="shared" si="72"/>
        <v>83154.815858862901</v>
      </c>
      <c r="P195" s="680">
        <f t="shared" si="73"/>
        <v>1.570784301033193</v>
      </c>
      <c r="Q195" s="689">
        <f t="shared" si="100"/>
        <v>2.1092440283573834</v>
      </c>
      <c r="R195" s="690">
        <f t="shared" si="101"/>
        <v>1.0768507689205666</v>
      </c>
      <c r="S195" s="677">
        <f t="shared" si="76"/>
        <v>1.0010772043064291</v>
      </c>
      <c r="T195" s="680">
        <f t="shared" si="77"/>
        <v>4.6394788935570502E-2</v>
      </c>
      <c r="U195" s="681">
        <f t="shared" si="89"/>
        <v>0.97034904962429747</v>
      </c>
      <c r="V195" s="682">
        <f t="shared" si="90"/>
        <v>-0.29973315180403481</v>
      </c>
      <c r="W195" s="683">
        <f t="shared" si="78"/>
        <v>-0.11959194033203596</v>
      </c>
      <c r="X195" s="684">
        <f t="shared" si="79"/>
        <v>-127.78315989274985</v>
      </c>
      <c r="Y195" s="687">
        <f t="shared" si="80"/>
        <v>52.21684010725015</v>
      </c>
      <c r="AA195" s="170">
        <f t="shared" si="81"/>
        <v>11028.75</v>
      </c>
      <c r="AB195" s="170">
        <f t="shared" si="82"/>
        <v>121633326.5625</v>
      </c>
      <c r="AD195" s="686">
        <f t="shared" si="83"/>
        <v>13.180887100963288</v>
      </c>
      <c r="AE195" s="687">
        <f t="shared" si="84"/>
        <v>-30.958532382826721</v>
      </c>
      <c r="AG195" s="686">
        <f t="shared" si="85"/>
        <v>29.183733369213797</v>
      </c>
      <c r="AH195" s="687">
        <f t="shared" si="86"/>
        <v>-62.477738313625679</v>
      </c>
      <c r="AJ195" s="170">
        <f t="shared" si="87"/>
        <v>0</v>
      </c>
      <c r="AK195" s="170">
        <f t="shared" si="99"/>
        <v>0</v>
      </c>
      <c r="AM195" s="170" t="str">
        <f t="shared" si="91"/>
        <v>0.092928970120763+0.420977608375815i</v>
      </c>
      <c r="AN195" s="170" t="str">
        <f t="shared" si="92"/>
        <v>0.434522814727271i</v>
      </c>
      <c r="AO195" s="170" t="str">
        <f t="shared" si="93"/>
        <v>0.968827398948067-0.213864420856912i</v>
      </c>
      <c r="AP195" s="170" t="str">
        <f t="shared" si="94"/>
        <v>0.151178504979873-0.0701629347293025i</v>
      </c>
      <c r="AQ195" s="170" t="str">
        <f t="shared" si="95"/>
        <v>0.848821495020127+0.0701629347293025i</v>
      </c>
      <c r="AR195" s="170" t="str">
        <f t="shared" si="96"/>
        <v>0.974700941466746-0.0805680333709026i</v>
      </c>
    </row>
    <row r="196" spans="7:44">
      <c r="G196" s="688">
        <v>11092.5</v>
      </c>
      <c r="H196" s="676">
        <f t="shared" si="88"/>
        <v>11.092499999999999</v>
      </c>
      <c r="I196" s="677">
        <f t="shared" si="66"/>
        <v>3.9229125340646003</v>
      </c>
      <c r="J196" s="678">
        <f t="shared" si="67"/>
        <v>1.3130389667888256</v>
      </c>
      <c r="K196" s="678">
        <f t="shared" si="68"/>
        <v>1.0000971465789923</v>
      </c>
      <c r="L196" s="679">
        <f t="shared" si="69"/>
        <v>1.3938343882689601E-2</v>
      </c>
      <c r="M196" s="678">
        <f t="shared" si="70"/>
        <v>1.0043354659596841</v>
      </c>
      <c r="N196" s="679">
        <f t="shared" si="71"/>
        <v>-9.295009560424726E-2</v>
      </c>
      <c r="O196" s="677">
        <f t="shared" si="72"/>
        <v>83635.479534278333</v>
      </c>
      <c r="P196" s="680">
        <f t="shared" si="73"/>
        <v>1.5707843701467661</v>
      </c>
      <c r="Q196" s="689">
        <f t="shared" si="100"/>
        <v>2.1187018203996706</v>
      </c>
      <c r="R196" s="690">
        <f t="shared" si="101"/>
        <v>1.0792529105004247</v>
      </c>
      <c r="S196" s="677">
        <f t="shared" si="76"/>
        <v>1.0010896867300916</v>
      </c>
      <c r="T196" s="680">
        <f t="shared" si="77"/>
        <v>4.6662578904884164E-2</v>
      </c>
      <c r="U196" s="681">
        <f t="shared" si="89"/>
        <v>0.97002400671844347</v>
      </c>
      <c r="V196" s="682">
        <f t="shared" si="90"/>
        <v>-0.30141585055162623</v>
      </c>
      <c r="W196" s="683">
        <f t="shared" si="78"/>
        <v>-0.18016666472129542</v>
      </c>
      <c r="X196" s="684">
        <f t="shared" si="79"/>
        <v>-127.86473426794599</v>
      </c>
      <c r="Y196" s="687">
        <f t="shared" si="80"/>
        <v>52.135265732054009</v>
      </c>
      <c r="AA196" s="170">
        <f t="shared" si="81"/>
        <v>11092.5</v>
      </c>
      <c r="AB196" s="170">
        <f t="shared" si="82"/>
        <v>123043556.25</v>
      </c>
      <c r="AD196" s="686">
        <f t="shared" si="83"/>
        <v>13.169576124692915</v>
      </c>
      <c r="AE196" s="687">
        <f t="shared" si="84"/>
        <v>-30.836247003321898</v>
      </c>
      <c r="AG196" s="686">
        <f t="shared" si="85"/>
        <v>29.140289711876033</v>
      </c>
      <c r="AH196" s="687">
        <f t="shared" si="86"/>
        <v>-62.48877499524842</v>
      </c>
      <c r="AJ196" s="170">
        <f t="shared" si="87"/>
        <v>0</v>
      </c>
      <c r="AK196" s="170">
        <f t="shared" si="99"/>
        <v>0</v>
      </c>
      <c r="AM196" s="170" t="str">
        <f t="shared" si="91"/>
        <v>0.093989196512843+0.423254561658296i</v>
      </c>
      <c r="AN196" s="170" t="str">
        <f t="shared" si="92"/>
        <v>0.437034507297949i</v>
      </c>
      <c r="AO196" s="170" t="str">
        <f t="shared" si="93"/>
        <v>0.968469433398177-0.215061270776876i</v>
      </c>
      <c r="AP196" s="170" t="str">
        <f t="shared" si="94"/>
        <v>0.151001800581193-0.0705424269430493i</v>
      </c>
      <c r="AQ196" s="170" t="str">
        <f t="shared" si="95"/>
        <v>0.848998199418807+0.0705424269430493i</v>
      </c>
      <c r="AR196" s="170" t="str">
        <f t="shared" si="96"/>
        <v>0.974429130854348-0.0809643599026803i</v>
      </c>
    </row>
    <row r="197" spans="7:44">
      <c r="G197" s="688">
        <v>11156.25</v>
      </c>
      <c r="H197" s="676">
        <f t="shared" si="88"/>
        <v>11.15625</v>
      </c>
      <c r="I197" s="677">
        <f t="shared" si="66"/>
        <v>3.943996908429122</v>
      </c>
      <c r="J197" s="678">
        <f t="shared" si="67"/>
        <v>1.3144480111753571</v>
      </c>
      <c r="K197" s="678">
        <f t="shared" si="68"/>
        <v>1.0000982663600206</v>
      </c>
      <c r="L197" s="679">
        <f t="shared" si="69"/>
        <v>1.4018438842994058E-2</v>
      </c>
      <c r="M197" s="678">
        <f t="shared" si="70"/>
        <v>1.0043853329945933</v>
      </c>
      <c r="N197" s="679">
        <f t="shared" si="71"/>
        <v>-9.3481193654227801E-2</v>
      </c>
      <c r="O197" s="677">
        <f t="shared" si="72"/>
        <v>84116.143209694186</v>
      </c>
      <c r="P197" s="680">
        <f t="shared" si="73"/>
        <v>1.5707844384704697</v>
      </c>
      <c r="Q197" s="689">
        <f t="shared" si="100"/>
        <v>2.128171729249984</v>
      </c>
      <c r="R197" s="690">
        <f t="shared" si="101"/>
        <v>1.0816336876842663</v>
      </c>
      <c r="S197" s="677">
        <f t="shared" si="76"/>
        <v>1.0011022409415717</v>
      </c>
      <c r="T197" s="680">
        <f t="shared" si="77"/>
        <v>4.6930362177019819E-2</v>
      </c>
      <c r="U197" s="681">
        <f t="shared" si="89"/>
        <v>0.96969740081593669</v>
      </c>
      <c r="V197" s="682">
        <f t="shared" si="90"/>
        <v>-0.30309772791731054</v>
      </c>
      <c r="W197" s="683">
        <f t="shared" si="78"/>
        <v>-0.24035784922956324</v>
      </c>
      <c r="X197" s="684">
        <f t="shared" si="79"/>
        <v>-127.94660989421475</v>
      </c>
      <c r="Y197" s="687">
        <f t="shared" si="80"/>
        <v>52.053390105785255</v>
      </c>
      <c r="AA197" s="170">
        <f t="shared" si="81"/>
        <v>11156.25</v>
      </c>
      <c r="AB197" s="170">
        <f t="shared" si="82"/>
        <v>124461914.0625</v>
      </c>
      <c r="AD197" s="686">
        <f t="shared" si="83"/>
        <v>13.158427790809428</v>
      </c>
      <c r="AE197" s="687">
        <f t="shared" si="84"/>
        <v>-30.71518528456583</v>
      </c>
      <c r="AG197" s="686">
        <f t="shared" si="85"/>
        <v>29.097096903097686</v>
      </c>
      <c r="AH197" s="687">
        <f t="shared" si="86"/>
        <v>-62.498983390628446</v>
      </c>
      <c r="AJ197" s="170">
        <f t="shared" si="87"/>
        <v>0</v>
      </c>
      <c r="AK197" s="170">
        <f t="shared" si="99"/>
        <v>0</v>
      </c>
      <c r="AM197" s="170" t="str">
        <f t="shared" si="91"/>
        <v>0.095055138561283+0.425528844798635i</v>
      </c>
      <c r="AN197" s="170" t="str">
        <f t="shared" si="92"/>
        <v>0.439546199868627i</v>
      </c>
      <c r="AO197" s="170" t="str">
        <f t="shared" si="93"/>
        <v>0.968109484112975-0.216257445951514i</v>
      </c>
      <c r="AP197" s="170" t="str">
        <f t="shared" si="94"/>
        <v>0.150824143573119-0.0709214741331058i</v>
      </c>
      <c r="AQ197" s="170" t="str">
        <f t="shared" si="95"/>
        <v>0.849175856426881+0.0709214741331058i</v>
      </c>
      <c r="AR197" s="170" t="str">
        <f t="shared" si="96"/>
        <v>0.974156121642124-0.0813595766527749i</v>
      </c>
    </row>
    <row r="198" spans="7:44">
      <c r="G198" s="688">
        <v>11220</v>
      </c>
      <c r="H198" s="676">
        <f t="shared" si="88"/>
        <v>11.22</v>
      </c>
      <c r="I198" s="677">
        <f t="shared" si="66"/>
        <v>3.9650890299433512</v>
      </c>
      <c r="J198" s="678">
        <f t="shared" si="67"/>
        <v>1.3158420676024716</v>
      </c>
      <c r="K198" s="678">
        <f t="shared" si="68"/>
        <v>1.0000993925568675</v>
      </c>
      <c r="L198" s="679">
        <f t="shared" si="69"/>
        <v>1.4098533623424883E-2</v>
      </c>
      <c r="M198" s="678">
        <f t="shared" si="70"/>
        <v>1.0044354833034139</v>
      </c>
      <c r="N198" s="679">
        <f t="shared" si="71"/>
        <v>-9.4012238819755262E-2</v>
      </c>
      <c r="O198" s="677">
        <f t="shared" si="72"/>
        <v>84596.806885110404</v>
      </c>
      <c r="P198" s="680">
        <f t="shared" si="73"/>
        <v>1.5707845060177674</v>
      </c>
      <c r="Q198" s="689">
        <f t="shared" si="100"/>
        <v>2.1376535938741923</v>
      </c>
      <c r="R198" s="690">
        <f t="shared" si="101"/>
        <v>1.0839933575969725</v>
      </c>
      <c r="S198" s="677">
        <f t="shared" si="76"/>
        <v>1.0011148669381686</v>
      </c>
      <c r="T198" s="680">
        <f t="shared" si="77"/>
        <v>4.7198138713825798E-2</v>
      </c>
      <c r="U198" s="681">
        <f t="shared" si="89"/>
        <v>0.96936923676167219</v>
      </c>
      <c r="V198" s="682">
        <f t="shared" si="90"/>
        <v>-0.3047787802955006</v>
      </c>
      <c r="W198" s="683">
        <f t="shared" si="78"/>
        <v>-0.30017063289630158</v>
      </c>
      <c r="X198" s="684">
        <f t="shared" si="79"/>
        <v>-128.02878541277659</v>
      </c>
      <c r="Y198" s="687">
        <f t="shared" si="80"/>
        <v>51.971214587223415</v>
      </c>
      <c r="AA198" s="170">
        <f t="shared" si="81"/>
        <v>11220</v>
      </c>
      <c r="AB198" s="170">
        <f t="shared" si="82"/>
        <v>125888400</v>
      </c>
      <c r="AD198" s="686">
        <f t="shared" si="83"/>
        <v>13.147439053310928</v>
      </c>
      <c r="AE198" s="687">
        <f t="shared" si="84"/>
        <v>-30.595332492973501</v>
      </c>
      <c r="AG198" s="686">
        <f t="shared" si="85"/>
        <v>29.05415279262737</v>
      </c>
      <c r="AH198" s="687">
        <f t="shared" si="86"/>
        <v>-62.508377287741048</v>
      </c>
      <c r="AJ198" s="170">
        <f t="shared" si="87"/>
        <v>0</v>
      </c>
      <c r="AK198" s="170">
        <f t="shared" si="99"/>
        <v>0</v>
      </c>
      <c r="AM198" s="170" t="str">
        <f t="shared" si="91"/>
        <v>0.096126789541484+0.427800443449298i</v>
      </c>
      <c r="AN198" s="170" t="str">
        <f t="shared" si="92"/>
        <v>0.442057892439304i</v>
      </c>
      <c r="AO198" s="170" t="str">
        <f t="shared" si="93"/>
        <v>0.967747552449901-0.217452942670133i</v>
      </c>
      <c r="AP198" s="170" t="str">
        <f t="shared" si="94"/>
        <v>0.150645535076419-0.0713000739082163i</v>
      </c>
      <c r="AQ198" s="170" t="str">
        <f t="shared" si="95"/>
        <v>0.849354464923581+0.0713000739082163i</v>
      </c>
      <c r="AR198" s="170" t="str">
        <f t="shared" si="96"/>
        <v>0.973881919456409-0.0817536796505391i</v>
      </c>
    </row>
    <row r="199" spans="7:44">
      <c r="G199" s="688">
        <v>11285.5</v>
      </c>
      <c r="H199" s="676">
        <f t="shared" si="88"/>
        <v>11.285500000000001</v>
      </c>
      <c r="I199" s="677">
        <f t="shared" si="66"/>
        <v>3.98676809069946</v>
      </c>
      <c r="J199" s="678">
        <f t="shared" si="67"/>
        <v>1.317259025874187</v>
      </c>
      <c r="K199" s="678">
        <f t="shared" si="68"/>
        <v>1.0001005563513161</v>
      </c>
      <c r="L199" s="679">
        <f t="shared" si="69"/>
        <v>1.4180826895675363E-2</v>
      </c>
      <c r="M199" s="678">
        <f t="shared" si="70"/>
        <v>1.004487305287644</v>
      </c>
      <c r="N199" s="679">
        <f t="shared" si="71"/>
        <v>-9.455780630726604E-2</v>
      </c>
      <c r="O199" s="677">
        <f t="shared" si="72"/>
        <v>85090.6652496561</v>
      </c>
      <c r="P199" s="680">
        <f t="shared" si="73"/>
        <v>1.5707845746244666</v>
      </c>
      <c r="Q199" s="689">
        <f t="shared" si="100"/>
        <v>2.1474080310898511</v>
      </c>
      <c r="R199" s="690">
        <f t="shared" si="101"/>
        <v>1.0863960848669445</v>
      </c>
      <c r="S199" s="677">
        <f t="shared" si="76"/>
        <v>1.0011279142959171</v>
      </c>
      <c r="T199" s="680">
        <f t="shared" si="77"/>
        <v>4.7473258923794136E-2</v>
      </c>
      <c r="U199" s="681">
        <f t="shared" si="89"/>
        <v>0.96903044649196812</v>
      </c>
      <c r="V199" s="682">
        <f t="shared" si="90"/>
        <v>-0.30650511616936887</v>
      </c>
      <c r="W199" s="683">
        <f t="shared" si="78"/>
        <v>-0.36123651399667894</v>
      </c>
      <c r="X199" s="684">
        <f t="shared" si="79"/>
        <v>-128.11352758434904</v>
      </c>
      <c r="Y199" s="687">
        <f t="shared" si="80"/>
        <v>51.886472415650957</v>
      </c>
      <c r="AA199" s="170">
        <f t="shared" si="81"/>
        <v>11285.5</v>
      </c>
      <c r="AB199" s="170">
        <f t="shared" si="82"/>
        <v>127362510.25</v>
      </c>
      <c r="AD199" s="686">
        <f t="shared" si="83"/>
        <v>13.136311762967578</v>
      </c>
      <c r="AE199" s="687">
        <f t="shared" si="84"/>
        <v>-30.473433518708067</v>
      </c>
      <c r="AG199" s="686">
        <f t="shared" si="85"/>
        <v>29.010286623256881</v>
      </c>
      <c r="AH199" s="687">
        <f t="shared" si="86"/>
        <v>-62.517194914163547</v>
      </c>
      <c r="AJ199" s="170">
        <f t="shared" si="87"/>
        <v>0</v>
      </c>
      <c r="AK199" s="170">
        <f t="shared" si="99"/>
        <v>0</v>
      </c>
      <c r="AM199" s="170" t="str">
        <f t="shared" si="91"/>
        <v>0.097233797441924+0.430131588608499i</v>
      </c>
      <c r="AN199" s="170" t="str">
        <f t="shared" si="92"/>
        <v>0.444638533433491i</v>
      </c>
      <c r="AO199" s="170" t="str">
        <f t="shared" si="93"/>
        <v>0.967373622090354-0.218680546400435i</v>
      </c>
      <c r="AP199" s="170" t="str">
        <f t="shared" si="94"/>
        <v>0.150461033759679-0.0716885981014165i</v>
      </c>
      <c r="AQ199" s="170" t="str">
        <f t="shared" si="95"/>
        <v>0.849538966240321+0.0716885981014165i</v>
      </c>
      <c r="AR199" s="170" t="str">
        <f t="shared" si="96"/>
        <v>0.97359895353452-0.0821574369928921i</v>
      </c>
    </row>
    <row r="200" spans="7:44">
      <c r="G200" s="688">
        <v>11351</v>
      </c>
      <c r="H200" s="676">
        <f t="shared" si="88"/>
        <v>11.351000000000001</v>
      </c>
      <c r="I200" s="677">
        <f t="shared" si="66"/>
        <v>4.0084550693804033</v>
      </c>
      <c r="J200" s="678">
        <f t="shared" si="67"/>
        <v>1.3186606545718675</v>
      </c>
      <c r="K200" s="678">
        <f t="shared" si="68"/>
        <v>1.0001017269186123</v>
      </c>
      <c r="L200" s="679">
        <f t="shared" si="69"/>
        <v>1.4263119975843118E-2</v>
      </c>
      <c r="M200" s="678">
        <f t="shared" si="70"/>
        <v>1.0045394262204768</v>
      </c>
      <c r="N200" s="679">
        <f t="shared" si="71"/>
        <v>-9.5103317343153068E-2</v>
      </c>
      <c r="O200" s="677">
        <f t="shared" si="72"/>
        <v>85584.523614202189</v>
      </c>
      <c r="P200" s="680">
        <f t="shared" si="73"/>
        <v>1.570784642439387</v>
      </c>
      <c r="Q200" s="689">
        <f t="shared" si="100"/>
        <v>2.1571747533449788</v>
      </c>
      <c r="R200" s="690">
        <f t="shared" si="101"/>
        <v>1.0887770688306924</v>
      </c>
      <c r="S200" s="677">
        <f t="shared" si="76"/>
        <v>1.0011410374281902</v>
      </c>
      <c r="T200" s="680">
        <f t="shared" si="77"/>
        <v>4.7748371941937727E-2</v>
      </c>
      <c r="U200" s="681">
        <f t="shared" si="89"/>
        <v>0.9686900217667016</v>
      </c>
      <c r="V200" s="682">
        <f t="shared" si="90"/>
        <v>-0.30823057347880189</v>
      </c>
      <c r="W200" s="683">
        <f t="shared" si="78"/>
        <v>-0.42191363178389307</v>
      </c>
      <c r="X200" s="684">
        <f t="shared" si="79"/>
        <v>-128.19858321681204</v>
      </c>
      <c r="Y200" s="687">
        <f t="shared" si="80"/>
        <v>51.80141678318796</v>
      </c>
      <c r="AA200" s="170">
        <f t="shared" si="81"/>
        <v>11351</v>
      </c>
      <c r="AB200" s="170">
        <f t="shared" si="82"/>
        <v>128845201</v>
      </c>
      <c r="AD200" s="686">
        <f t="shared" si="83"/>
        <v>13.125346651650325</v>
      </c>
      <c r="AE200" s="687">
        <f t="shared" si="84"/>
        <v>-30.352779886696585</v>
      </c>
      <c r="AG200" s="686">
        <f t="shared" si="85"/>
        <v>28.966678472678606</v>
      </c>
      <c r="AH200" s="687">
        <f t="shared" si="86"/>
        <v>-62.525181335291052</v>
      </c>
      <c r="AJ200" s="170">
        <f t="shared" si="87"/>
        <v>0</v>
      </c>
      <c r="AK200" s="170">
        <f t="shared" si="99"/>
        <v>0</v>
      </c>
      <c r="AM200" s="170" t="str">
        <f t="shared" si="91"/>
        <v>0.098346817498275+0.432459869218534i</v>
      </c>
      <c r="AN200" s="170" t="str">
        <f t="shared" si="92"/>
        <v>0.447219174427678i</v>
      </c>
      <c r="AO200" s="170" t="str">
        <f t="shared" si="93"/>
        <v>0.966997601952036-0.2199074259822i</v>
      </c>
      <c r="AP200" s="170" t="str">
        <f t="shared" si="94"/>
        <v>0.150275530416954-0.0720766448697557i</v>
      </c>
      <c r="AQ200" s="170" t="str">
        <f t="shared" si="95"/>
        <v>0.849724469583046+0.0720766448697557i</v>
      </c>
      <c r="AR200" s="170" t="str">
        <f t="shared" si="96"/>
        <v>0.973314740329197-0.0825600102108743i</v>
      </c>
    </row>
    <row r="201" spans="7:44">
      <c r="G201" s="688">
        <v>11416.5</v>
      </c>
      <c r="H201" s="676">
        <f t="shared" si="88"/>
        <v>11.416499999999999</v>
      </c>
      <c r="I201" s="677">
        <f t="shared" si="66"/>
        <v>4.0301498381627479</v>
      </c>
      <c r="J201" s="678">
        <f t="shared" si="67"/>
        <v>1.3200471957061024</v>
      </c>
      <c r="K201" s="678">
        <f t="shared" si="68"/>
        <v>1.0001029042587328</v>
      </c>
      <c r="L201" s="679">
        <f t="shared" si="69"/>
        <v>1.4345412862814218E-2</v>
      </c>
      <c r="M201" s="678">
        <f t="shared" si="70"/>
        <v>1.0045918460553822</v>
      </c>
      <c r="N201" s="679">
        <f t="shared" si="71"/>
        <v>-9.5648771611559477E-2</v>
      </c>
      <c r="O201" s="677">
        <f t="shared" si="72"/>
        <v>86078.381978748672</v>
      </c>
      <c r="P201" s="680">
        <f t="shared" si="73"/>
        <v>1.5707847094761571</v>
      </c>
      <c r="Q201" s="689">
        <f t="shared" si="100"/>
        <v>2.1669535945290996</v>
      </c>
      <c r="R201" s="690">
        <f t="shared" si="101"/>
        <v>1.0911365766723928</v>
      </c>
      <c r="S201" s="677">
        <f t="shared" si="76"/>
        <v>1.0011542363320083</v>
      </c>
      <c r="T201" s="680">
        <f t="shared" si="77"/>
        <v>4.8023477726895143E-2</v>
      </c>
      <c r="U201" s="681">
        <f t="shared" si="89"/>
        <v>0.96834796788763622</v>
      </c>
      <c r="V201" s="682">
        <f t="shared" si="90"/>
        <v>-0.30995514836922372</v>
      </c>
      <c r="W201" s="683">
        <f t="shared" si="78"/>
        <v>-0.48220725839724787</v>
      </c>
      <c r="X201" s="684">
        <f t="shared" si="79"/>
        <v>-128.28395062735186</v>
      </c>
      <c r="Y201" s="687">
        <f t="shared" si="80"/>
        <v>51.716049372648143</v>
      </c>
      <c r="AA201" s="170">
        <f t="shared" si="81"/>
        <v>11416.5</v>
      </c>
      <c r="AB201" s="170">
        <f t="shared" si="82"/>
        <v>130336472.25</v>
      </c>
      <c r="AD201" s="686">
        <f t="shared" si="83"/>
        <v>13.114540634863959</v>
      </c>
      <c r="AE201" s="687">
        <f t="shared" si="84"/>
        <v>-30.23335628682435</v>
      </c>
      <c r="AG201" s="686">
        <f t="shared" si="85"/>
        <v>28.9233260905355</v>
      </c>
      <c r="AH201" s="687">
        <f t="shared" si="86"/>
        <v>-62.532350620126479</v>
      </c>
      <c r="AJ201" s="170">
        <f t="shared" si="87"/>
        <v>0</v>
      </c>
      <c r="AK201" s="170">
        <f t="shared" si="99"/>
        <v>0</v>
      </c>
      <c r="AM201" s="170" t="str">
        <f t="shared" si="91"/>
        <v>0.099465842298153+0.434785269773741i</v>
      </c>
      <c r="AN201" s="170" t="str">
        <f t="shared" si="92"/>
        <v>0.449799815421864i</v>
      </c>
      <c r="AO201" s="170" t="str">
        <f t="shared" si="93"/>
        <v>0.966619493531715-0.221133577400126i</v>
      </c>
      <c r="AP201" s="170" t="str">
        <f t="shared" si="94"/>
        <v>0.150089026283641-0.0724642116289568i</v>
      </c>
      <c r="AQ201" s="170" t="str">
        <f t="shared" si="95"/>
        <v>0.849910973716359+0.0724642116289568i</v>
      </c>
      <c r="AR201" s="170" t="str">
        <f t="shared" si="96"/>
        <v>0.973029285986754-0.0829613951124816i</v>
      </c>
    </row>
    <row r="202" spans="7:44">
      <c r="G202" s="688">
        <v>11482</v>
      </c>
      <c r="H202" s="676">
        <f t="shared" si="88"/>
        <v>11.481999999999999</v>
      </c>
      <c r="I202" s="677">
        <f t="shared" si="66"/>
        <v>4.0518522719152443</v>
      </c>
      <c r="J202" s="678">
        <f t="shared" si="67"/>
        <v>1.3214188863373255</v>
      </c>
      <c r="K202" s="678">
        <f t="shared" si="68"/>
        <v>1.0001040883716534</v>
      </c>
      <c r="L202" s="679">
        <f t="shared" si="69"/>
        <v>1.4427705555474755E-2</v>
      </c>
      <c r="M202" s="678">
        <f t="shared" si="70"/>
        <v>1.0046445647455722</v>
      </c>
      <c r="N202" s="679">
        <f t="shared" si="71"/>
        <v>-9.619416879682921E-2</v>
      </c>
      <c r="O202" s="677">
        <f t="shared" si="72"/>
        <v>86572.240343295547</v>
      </c>
      <c r="P202" s="680">
        <f t="shared" si="73"/>
        <v>1.5707847757480939</v>
      </c>
      <c r="Q202" s="689">
        <f t="shared" si="100"/>
        <v>2.1767443913124107</v>
      </c>
      <c r="R202" s="690">
        <f t="shared" si="101"/>
        <v>1.0934748717346023</v>
      </c>
      <c r="S202" s="677">
        <f t="shared" si="76"/>
        <v>1.0011675110043741</v>
      </c>
      <c r="T202" s="680">
        <f t="shared" si="77"/>
        <v>4.8298576237311527E-2</v>
      </c>
      <c r="U202" s="681">
        <f t="shared" si="89"/>
        <v>0.96800429017193368</v>
      </c>
      <c r="V202" s="682">
        <f t="shared" si="90"/>
        <v>-0.31167883700511984</v>
      </c>
      <c r="W202" s="683">
        <f t="shared" si="78"/>
        <v>-0.54212256853479401</v>
      </c>
      <c r="X202" s="684">
        <f t="shared" si="79"/>
        <v>-128.36962807072663</v>
      </c>
      <c r="Y202" s="687">
        <f t="shared" si="80"/>
        <v>51.630371929273366</v>
      </c>
      <c r="AA202" s="170">
        <f t="shared" si="81"/>
        <v>11482</v>
      </c>
      <c r="AB202" s="170">
        <f t="shared" si="82"/>
        <v>131836324</v>
      </c>
      <c r="AD202" s="686">
        <f t="shared" si="83"/>
        <v>13.103890698361219</v>
      </c>
      <c r="AE202" s="687">
        <f t="shared" si="84"/>
        <v>-30.115147629067877</v>
      </c>
      <c r="AG202" s="686">
        <f t="shared" si="85"/>
        <v>28.880227253446048</v>
      </c>
      <c r="AH202" s="687">
        <f t="shared" si="86"/>
        <v>-62.538716552969014</v>
      </c>
      <c r="AJ202" s="170">
        <f t="shared" si="87"/>
        <v>0</v>
      </c>
      <c r="AK202" s="170">
        <f t="shared" si="99"/>
        <v>0</v>
      </c>
      <c r="AM202" s="170" t="str">
        <f t="shared" si="91"/>
        <v>0.100590864389184+0.437107774787642i</v>
      </c>
      <c r="AN202" s="170" t="str">
        <f t="shared" si="92"/>
        <v>0.452380456416051i</v>
      </c>
      <c r="AO202" s="170" t="str">
        <f t="shared" si="93"/>
        <v>0.966239298334403-0.222358996642135i</v>
      </c>
      <c r="AP202" s="170" t="str">
        <f t="shared" si="94"/>
        <v>0.149901522601803-0.0728512957979403i</v>
      </c>
      <c r="AQ202" s="170" t="str">
        <f t="shared" si="95"/>
        <v>0.850098477398197+0.0728512957979403i</v>
      </c>
      <c r="AR202" s="170" t="str">
        <f t="shared" si="96"/>
        <v>0.972742596667732-0.0833615875445253i</v>
      </c>
    </row>
    <row r="203" spans="7:44">
      <c r="G203" s="688">
        <v>11548.75</v>
      </c>
      <c r="H203" s="676">
        <f t="shared" si="88"/>
        <v>11.54875</v>
      </c>
      <c r="I203" s="677">
        <f t="shared" si="66"/>
        <v>4.0739766332071357</v>
      </c>
      <c r="J203" s="678">
        <f t="shared" si="67"/>
        <v>1.3228017163732753</v>
      </c>
      <c r="K203" s="678">
        <f t="shared" si="68"/>
        <v>1.0001053020500352</v>
      </c>
      <c r="L203" s="679">
        <f t="shared" si="69"/>
        <v>1.4511568518307727E-2</v>
      </c>
      <c r="M203" s="678">
        <f t="shared" si="70"/>
        <v>1.0046985969336499</v>
      </c>
      <c r="N203" s="679">
        <f t="shared" si="71"/>
        <v>-9.6749915271133372E-2</v>
      </c>
      <c r="O203" s="677">
        <f t="shared" si="72"/>
        <v>87075.52348579216</v>
      </c>
      <c r="P203" s="680">
        <f t="shared" si="73"/>
        <v>1.5707848425113691</v>
      </c>
      <c r="Q203" s="689">
        <f t="shared" si="100"/>
        <v>2.186734169112539</v>
      </c>
      <c r="R203" s="690">
        <f t="shared" si="101"/>
        <v>1.0958362355842277</v>
      </c>
      <c r="S203" s="677">
        <f t="shared" si="76"/>
        <v>1.0011811169583542</v>
      </c>
      <c r="T203" s="680">
        <f t="shared" si="77"/>
        <v>4.8578917192384337E-2</v>
      </c>
      <c r="U203" s="681">
        <f t="shared" si="89"/>
        <v>0.96765238862592873</v>
      </c>
      <c r="V203" s="682">
        <f t="shared" si="90"/>
        <v>-0.31343450472528339</v>
      </c>
      <c r="W203" s="683">
        <f t="shared" si="78"/>
        <v>-0.60279734414614183</v>
      </c>
      <c r="X203" s="684">
        <f t="shared" si="79"/>
        <v>-128.45725767621838</v>
      </c>
      <c r="Y203" s="687">
        <f t="shared" si="80"/>
        <v>51.542742323781624</v>
      </c>
      <c r="AA203" s="170">
        <f t="shared" si="81"/>
        <v>11548.75</v>
      </c>
      <c r="AB203" s="170">
        <f t="shared" si="82"/>
        <v>133373626.5625</v>
      </c>
      <c r="AD203" s="686">
        <f t="shared" si="83"/>
        <v>13.093195045787972</v>
      </c>
      <c r="AE203" s="687">
        <f t="shared" si="84"/>
        <v>-29.995917625257558</v>
      </c>
      <c r="AG203" s="686">
        <f t="shared" si="85"/>
        <v>28.836564494377278</v>
      </c>
      <c r="AH203" s="687">
        <f t="shared" si="86"/>
        <v>-62.544391460855735</v>
      </c>
      <c r="AJ203" s="170">
        <f t="shared" si="87"/>
        <v>0</v>
      </c>
      <c r="AK203" s="170">
        <f t="shared" si="99"/>
        <v>0</v>
      </c>
      <c r="AM203" s="170" t="str">
        <f t="shared" si="91"/>
        <v>0.101743518671498+0.439471607446191i</v>
      </c>
      <c r="AN203" s="170" t="str">
        <f t="shared" si="92"/>
        <v>0.455010346284173i</v>
      </c>
      <c r="AO203" s="170" t="str">
        <f t="shared" si="93"/>
        <v>0.965849702177371-0.223607044328515i</v>
      </c>
      <c r="AP203" s="170" t="str">
        <f t="shared" si="94"/>
        <v>0.14970941355475-0.0732452679076985i</v>
      </c>
      <c r="AQ203" s="170" t="str">
        <f t="shared" si="95"/>
        <v>0.85029058644525+0.0732452679076985i</v>
      </c>
      <c r="AR203" s="170" t="str">
        <f t="shared" si="96"/>
        <v>0.972449172017488-0.0837681861548244i</v>
      </c>
    </row>
    <row r="204" spans="7:44">
      <c r="G204" s="688">
        <v>11615.5</v>
      </c>
      <c r="H204" s="676">
        <f t="shared" si="88"/>
        <v>11.615500000000001</v>
      </c>
      <c r="I204" s="677">
        <f t="shared" si="66"/>
        <v>4.0961087006694799</v>
      </c>
      <c r="J204" s="678">
        <f t="shared" si="67"/>
        <v>1.3241696056052044</v>
      </c>
      <c r="K204" s="678">
        <f t="shared" si="68"/>
        <v>1.0001065227621371</v>
      </c>
      <c r="L204" s="679">
        <f t="shared" si="69"/>
        <v>1.4595431277007246E-2</v>
      </c>
      <c r="M204" s="678">
        <f t="shared" si="70"/>
        <v>1.0047529393936223</v>
      </c>
      <c r="N204" s="679">
        <f t="shared" si="71"/>
        <v>-9.7305601801512598E-2</v>
      </c>
      <c r="O204" s="677">
        <f t="shared" si="72"/>
        <v>87578.806628289152</v>
      </c>
      <c r="P204" s="680">
        <f t="shared" si="73"/>
        <v>1.5707849085073162</v>
      </c>
      <c r="Q204" s="689">
        <f t="shared" si="100"/>
        <v>2.1967360292891844</v>
      </c>
      <c r="R204" s="690">
        <f t="shared" si="101"/>
        <v>1.0981761095428815</v>
      </c>
      <c r="S204" s="677">
        <f t="shared" si="76"/>
        <v>1.0011948015940684</v>
      </c>
      <c r="T204" s="680">
        <f t="shared" si="77"/>
        <v>4.8859250505917086E-2</v>
      </c>
      <c r="U204" s="681">
        <f t="shared" si="89"/>
        <v>0.9672988118707595</v>
      </c>
      <c r="V204" s="682">
        <f t="shared" si="90"/>
        <v>-0.31518924405960536</v>
      </c>
      <c r="W204" s="683">
        <f t="shared" si="78"/>
        <v>-0.66308977718721029</v>
      </c>
      <c r="X204" s="684">
        <f t="shared" si="79"/>
        <v>-128.54520541953141</v>
      </c>
      <c r="Y204" s="687">
        <f t="shared" si="80"/>
        <v>51.454794580468587</v>
      </c>
      <c r="AA204" s="170">
        <f t="shared" si="81"/>
        <v>11615.5</v>
      </c>
      <c r="AB204" s="170">
        <f t="shared" si="82"/>
        <v>134919840.25</v>
      </c>
      <c r="AD204" s="686">
        <f t="shared" si="83"/>
        <v>13.08265538187583</v>
      </c>
      <c r="AE204" s="687">
        <f t="shared" si="84"/>
        <v>-29.87791841971088</v>
      </c>
      <c r="AG204" s="686">
        <f t="shared" si="85"/>
        <v>28.793160471836647</v>
      </c>
      <c r="AH204" s="687">
        <f t="shared" si="86"/>
        <v>-62.549260093481166</v>
      </c>
      <c r="AJ204" s="170">
        <f t="shared" si="87"/>
        <v>0</v>
      </c>
      <c r="AK204" s="170">
        <f t="shared" si="99"/>
        <v>0</v>
      </c>
      <c r="AM204" s="170" t="str">
        <f t="shared" si="91"/>
        <v>0.102902385580144+0.441832400579907i</v>
      </c>
      <c r="AN204" s="170" t="str">
        <f t="shared" si="92"/>
        <v>0.457640236152294i</v>
      </c>
      <c r="AO204" s="170" t="str">
        <f t="shared" si="93"/>
        <v>0.965457942017305-0.224854323224106i</v>
      </c>
      <c r="AP204" s="170" t="str">
        <f t="shared" si="94"/>
        <v>0.149516269069976-0.0736387334299845i</v>
      </c>
      <c r="AQ204" s="170" t="str">
        <f t="shared" si="95"/>
        <v>0.850483730930024+0.0736387334299845i</v>
      </c>
      <c r="AR204" s="170" t="str">
        <f t="shared" si="96"/>
        <v>0.972154477766193-0.0841735377615126i</v>
      </c>
    </row>
    <row r="205" spans="7:44">
      <c r="G205" s="688">
        <v>11682.25</v>
      </c>
      <c r="H205" s="676">
        <f t="shared" si="88"/>
        <v>11.68225</v>
      </c>
      <c r="I205" s="677">
        <f t="shared" ref="I205:I268" si="102">SQRT(1+(G205/pole1)^2)</f>
        <v>4.1182483500600258</v>
      </c>
      <c r="J205" s="678">
        <f t="shared" ref="J205:J268" si="103">ATAN(G205/pole1)</f>
        <v>1.3255227898371482</v>
      </c>
      <c r="K205" s="678">
        <f t="shared" ref="K205:K268" si="104">SQRT(1+(G205/Zero1)^2)</f>
        <v>1.0001077505079332</v>
      </c>
      <c r="L205" s="679">
        <f t="shared" ref="L205:L268" si="105">ATAN(G205/Zero1)</f>
        <v>1.4679293830394451E-2</v>
      </c>
      <c r="M205" s="678">
        <f t="shared" ref="M205:M268" si="106">SQRT(1+(G205/z_RHP)^2)</f>
        <v>1.0048075920751487</v>
      </c>
      <c r="N205" s="679">
        <f t="shared" ref="N205:N268" si="107">-ATAN(G205/z_RHP)</f>
        <v>-9.7861228054542504E-2</v>
      </c>
      <c r="O205" s="677">
        <f t="shared" ref="O205:O268" si="108">SQRT(1+(G205/Pole2)^2)</f>
        <v>88082.089770786552</v>
      </c>
      <c r="P205" s="680">
        <f t="shared" ref="P205:P268" si="109">ATAN(G205/Pole2)</f>
        <v>1.5707849737490887</v>
      </c>
      <c r="Q205" s="689">
        <f t="shared" si="100"/>
        <v>2.2067498075560699</v>
      </c>
      <c r="R205" s="690">
        <f t="shared" si="101"/>
        <v>1.1004947603636368</v>
      </c>
      <c r="S205" s="677">
        <f t="shared" ref="S205:S268" si="110">SQRT(1+(G205/pole4)^2)</f>
        <v>1.0012085649082902</v>
      </c>
      <c r="T205" s="680">
        <f t="shared" ref="T205:T268" si="111">ATAN(G205/pole4)</f>
        <v>4.9139576134163046E-2</v>
      </c>
      <c r="U205" s="681">
        <f t="shared" si="89"/>
        <v>0.96694356558184025</v>
      </c>
      <c r="V205" s="682">
        <f t="shared" si="90"/>
        <v>-0.31694305101014636</v>
      </c>
      <c r="W205" s="683">
        <f t="shared" ref="W205:W268" si="112">20*LOG10(((K205*Q205*M205*U205)/(I205*O205*S205))*Adc)</f>
        <v>-0.7230050459091184</v>
      </c>
      <c r="X205" s="684">
        <f t="shared" ref="X205:X268" si="113">((L205+R205+N205+V205)-(J205+P205+T205))*radconv</f>
        <v>-128.63346927756223</v>
      </c>
      <c r="Y205" s="687">
        <f t="shared" ref="Y205:Y268" si="114">IF(X205&gt;0,X205,X205+180)</f>
        <v>51.366530722437773</v>
      </c>
      <c r="AA205" s="170">
        <f t="shared" ref="AA205:AA268" si="115">IF(W205&lt;0,G205,1000000000)</f>
        <v>11682.25</v>
      </c>
      <c r="AB205" s="170">
        <f t="shared" ref="AB205:AB268" si="116">G205^2</f>
        <v>136474965.0625</v>
      </c>
      <c r="AD205" s="686">
        <f t="shared" ref="AD205:AD268" si="117">20*LOG10((Q205/(O205*S205))*Aea)</f>
        <v>13.072268729956605</v>
      </c>
      <c r="AE205" s="687">
        <f t="shared" ref="AE205:AE268" si="118">(R205-(P205+T205))*radconv</f>
        <v>-29.761134726849669</v>
      </c>
      <c r="AG205" s="686">
        <f t="shared" ref="AG205:AG268" si="119">20*LOG10((K205*M205/(I205*U205))*Acs*Am)</f>
        <v>28.750012916953708</v>
      </c>
      <c r="AH205" s="687">
        <f t="shared" ref="AH205:AH268" si="120">(L205+N205-(J205+V205))*radconv</f>
        <v>-62.553336171450162</v>
      </c>
      <c r="AJ205" s="170">
        <f t="shared" ref="AJ205:AJ268" si="121">SUM((W206&lt;0)*(W205&gt;0))*G205</f>
        <v>0</v>
      </c>
      <c r="AK205" s="170">
        <f t="shared" si="99"/>
        <v>0</v>
      </c>
      <c r="AM205" s="170" t="str">
        <f t="shared" si="91"/>
        <v>0.104067457100031+0.444190137860799i</v>
      </c>
      <c r="AN205" s="170" t="str">
        <f t="shared" si="92"/>
        <v>0.460270126020416i</v>
      </c>
      <c r="AO205" s="170" t="str">
        <f t="shared" si="93"/>
        <v>0.965064019473417-0.226100829093164i</v>
      </c>
      <c r="AP205" s="170" t="str">
        <f t="shared" si="94"/>
        <v>0.149322090483328-0.0740316896434665i</v>
      </c>
      <c r="AQ205" s="170" t="str">
        <f t="shared" si="95"/>
        <v>0.850677909516672+0.0740316896434665i</v>
      </c>
      <c r="AR205" s="170" t="str">
        <f t="shared" si="96"/>
        <v>0.971858520477628-0.0845776380936435i</v>
      </c>
    </row>
    <row r="206" spans="7:44">
      <c r="G206" s="688">
        <v>11749</v>
      </c>
      <c r="H206" s="676">
        <f t="shared" ref="H206:H269" si="122">G206/1000</f>
        <v>11.749000000000001</v>
      </c>
      <c r="I206" s="677">
        <f t="shared" si="102"/>
        <v>4.1403954597518187</v>
      </c>
      <c r="J206" s="678">
        <f t="shared" si="103"/>
        <v>1.3268615000458617</v>
      </c>
      <c r="K206" s="678">
        <f t="shared" si="104"/>
        <v>1.0001089852873979</v>
      </c>
      <c r="L206" s="679">
        <f t="shared" si="105"/>
        <v>1.4763156177290505E-2</v>
      </c>
      <c r="M206" s="678">
        <f t="shared" si="106"/>
        <v>1.0048625549276113</v>
      </c>
      <c r="N206" s="679">
        <f t="shared" si="107"/>
        <v>-9.8416793697019861E-2</v>
      </c>
      <c r="O206" s="677">
        <f t="shared" si="108"/>
        <v>88585.372913284285</v>
      </c>
      <c r="P206" s="680">
        <f t="shared" si="109"/>
        <v>1.5707850382495405</v>
      </c>
      <c r="Q206" s="689">
        <f t="shared" si="100"/>
        <v>2.2167753424014185</v>
      </c>
      <c r="R206" s="690">
        <f t="shared" si="101"/>
        <v>1.1027924508953424</v>
      </c>
      <c r="S206" s="677">
        <f t="shared" si="110"/>
        <v>1.0012224068977753</v>
      </c>
      <c r="T206" s="680">
        <f t="shared" si="111"/>
        <v>4.9419894033382719E-2</v>
      </c>
      <c r="U206" s="681">
        <f t="shared" ref="U206:U269" si="123">IMABS(IMPRODUCT(AO206, AR206))</f>
        <v>0.96658665545027156</v>
      </c>
      <c r="V206" s="682">
        <f t="shared" ref="V206:V269" si="124">IMARGUMENT(IMPRODUCT(AO206, AR206))</f>
        <v>-0.31869592159971055</v>
      </c>
      <c r="W206" s="683">
        <f t="shared" si="112"/>
        <v>-0.7825482326584654</v>
      </c>
      <c r="X206" s="684">
        <f t="shared" si="113"/>
        <v>-128.72204717550466</v>
      </c>
      <c r="Y206" s="687">
        <f t="shared" si="114"/>
        <v>51.277952824495344</v>
      </c>
      <c r="AA206" s="170">
        <f t="shared" si="115"/>
        <v>11749</v>
      </c>
      <c r="AB206" s="170">
        <f t="shared" si="116"/>
        <v>138039001</v>
      </c>
      <c r="AD206" s="686">
        <f t="shared" si="117"/>
        <v>13.062032181432864</v>
      </c>
      <c r="AE206" s="687">
        <f t="shared" si="118"/>
        <v>-29.645551484774625</v>
      </c>
      <c r="AG206" s="686">
        <f t="shared" si="119"/>
        <v>28.707119588465908</v>
      </c>
      <c r="AH206" s="687">
        <f t="shared" si="120"/>
        <v>-62.556633137608877</v>
      </c>
      <c r="AJ206" s="170">
        <f t="shared" si="121"/>
        <v>0</v>
      </c>
      <c r="AK206" s="170">
        <f t="shared" si="99"/>
        <v>0</v>
      </c>
      <c r="AM206" s="170" t="str">
        <f t="shared" ref="AM206:AM269" si="125">IMSUB(1,IMEXP(COMPLEX(0,-2*Pi*G206*Tsw)))</f>
        <v>0.105238725173155+0.446544802982007i</v>
      </c>
      <c r="AN206" s="170" t="str">
        <f t="shared" ref="AN206:AN269" si="126">COMPLEX(0, 2*Pi*G206*Tsw)</f>
        <v>0.462900015888537i</v>
      </c>
      <c r="AO206" s="170" t="str">
        <f t="shared" ref="AO206:AO269" si="127">IMDIV(AM206, AN206)</f>
        <v>0.964667936173784-0.227346557703501i</v>
      </c>
      <c r="AP206" s="170" t="str">
        <f t="shared" ref="AP206:AP269" si="128">IMDIV(IMEXP(COMPLEX(0,-2*Pi*G206*Tsw)),6)</f>
        <v>0.149126879137808-0.0744241338303345i</v>
      </c>
      <c r="AQ206" s="170" t="str">
        <f t="shared" ref="AQ206:AQ269" si="129">IMSUB(1, AP206)</f>
        <v>0.850873120862192+0.0744241338303345i</v>
      </c>
      <c r="AR206" s="170" t="str">
        <f t="shared" ref="AR206:AR269" si="130">IMDIV(0.833, AQ206)</f>
        <v>0.971561306729676-0.0849804829222418i</v>
      </c>
    </row>
    <row r="207" spans="7:44">
      <c r="G207" s="688">
        <v>11817.5</v>
      </c>
      <c r="H207" s="676">
        <f t="shared" si="122"/>
        <v>11.817500000000001</v>
      </c>
      <c r="I207" s="677">
        <f t="shared" si="102"/>
        <v>4.1631308366584134</v>
      </c>
      <c r="J207" s="678">
        <f t="shared" si="103"/>
        <v>1.3282204965948099</v>
      </c>
      <c r="K207" s="678">
        <f t="shared" si="104"/>
        <v>1.0001102597520208</v>
      </c>
      <c r="L207" s="679">
        <f t="shared" si="105"/>
        <v>1.4849216946575842E-2</v>
      </c>
      <c r="M207" s="678">
        <f t="shared" si="106"/>
        <v>1.0049192811756249</v>
      </c>
      <c r="N207" s="679">
        <f t="shared" si="107"/>
        <v>-9.8986861366715403E-2</v>
      </c>
      <c r="O207" s="677">
        <f t="shared" si="108"/>
        <v>89101.850744911571</v>
      </c>
      <c r="P207" s="680">
        <f t="shared" si="109"/>
        <v>1.570785103683461</v>
      </c>
      <c r="Q207" s="689">
        <f t="shared" si="100"/>
        <v>2.2270757754259378</v>
      </c>
      <c r="R207" s="690">
        <f t="shared" si="101"/>
        <v>1.1051288603361917</v>
      </c>
      <c r="S207" s="677">
        <f t="shared" si="110"/>
        <v>1.0012366935787114</v>
      </c>
      <c r="T207" s="680">
        <f t="shared" si="111"/>
        <v>4.9707553009511525E-2</v>
      </c>
      <c r="U207" s="681">
        <f t="shared" si="123"/>
        <v>0.96621866426264458</v>
      </c>
      <c r="V207" s="682">
        <f t="shared" si="124"/>
        <v>-0.3204937699428751</v>
      </c>
      <c r="W207" s="683">
        <f t="shared" si="112"/>
        <v>-0.84327086565605047</v>
      </c>
      <c r="X207" s="684">
        <f t="shared" si="113"/>
        <v>-128.81327161133666</v>
      </c>
      <c r="Y207" s="687">
        <f t="shared" si="114"/>
        <v>51.18672838866334</v>
      </c>
      <c r="AA207" s="170">
        <f t="shared" si="115"/>
        <v>11817.5</v>
      </c>
      <c r="AB207" s="170">
        <f t="shared" si="116"/>
        <v>139653306.25</v>
      </c>
      <c r="AD207" s="686">
        <f t="shared" si="117"/>
        <v>13.051680336442903</v>
      </c>
      <c r="AE207" s="687">
        <f t="shared" si="118"/>
        <v>-29.52817047882402</v>
      </c>
      <c r="AG207" s="686">
        <f t="shared" si="119"/>
        <v>28.663363705435067</v>
      </c>
      <c r="AH207" s="687">
        <f t="shared" si="120"/>
        <v>-62.5592203346202</v>
      </c>
      <c r="AJ207" s="170">
        <f t="shared" si="121"/>
        <v>0</v>
      </c>
      <c r="AK207" s="170">
        <f t="shared" si="99"/>
        <v>0</v>
      </c>
      <c r="AM207" s="170" t="str">
        <f t="shared" si="125"/>
        <v>0.106447134520326+0.44895798978642i</v>
      </c>
      <c r="AN207" s="170" t="str">
        <f t="shared" si="126"/>
        <v>0.465598854180168i</v>
      </c>
      <c r="AO207" s="170" t="str">
        <f t="shared" si="127"/>
        <v>0.964259223912719-0.228624133338471i</v>
      </c>
      <c r="AP207" s="170" t="str">
        <f t="shared" si="128"/>
        <v>0.148925477579946-0.07482633163107i</v>
      </c>
      <c r="AQ207" s="170" t="str">
        <f t="shared" si="129"/>
        <v>0.851074522420054+0.07482633163107i</v>
      </c>
      <c r="AR207" s="170" t="str">
        <f t="shared" si="130"/>
        <v>0.971255001471614-0.0853925795261685i</v>
      </c>
    </row>
    <row r="208" spans="7:44">
      <c r="G208" s="688">
        <v>11886</v>
      </c>
      <c r="H208" s="676">
        <f t="shared" si="122"/>
        <v>11.885999999999999</v>
      </c>
      <c r="I208" s="677">
        <f t="shared" si="102"/>
        <v>4.1858738188026043</v>
      </c>
      <c r="J208" s="678">
        <f t="shared" si="103"/>
        <v>1.3295647280139171</v>
      </c>
      <c r="K208" s="678">
        <f t="shared" si="104"/>
        <v>1.0001115416238977</v>
      </c>
      <c r="L208" s="679">
        <f t="shared" si="105"/>
        <v>1.493527749588543E-2</v>
      </c>
      <c r="M208" s="678">
        <f t="shared" si="106"/>
        <v>1.0049763339625108</v>
      </c>
      <c r="N208" s="679">
        <f t="shared" si="107"/>
        <v>-9.9556864495830122E-2</v>
      </c>
      <c r="O208" s="677">
        <f t="shared" si="108"/>
        <v>89618.328576539236</v>
      </c>
      <c r="P208" s="680">
        <f t="shared" si="109"/>
        <v>1.5707851683631795</v>
      </c>
      <c r="Q208" s="689">
        <f t="shared" si="100"/>
        <v>2.2373882536555403</v>
      </c>
      <c r="R208" s="690">
        <f t="shared" si="101"/>
        <v>1.1074437445514556</v>
      </c>
      <c r="S208" s="677">
        <f t="shared" si="110"/>
        <v>1.0012510631072995</v>
      </c>
      <c r="T208" s="680">
        <f t="shared" si="111"/>
        <v>4.9995203752724114E-2</v>
      </c>
      <c r="U208" s="681">
        <f t="shared" si="123"/>
        <v>0.96584893303971298</v>
      </c>
      <c r="V208" s="682">
        <f t="shared" si="124"/>
        <v>-0.32229062376439904</v>
      </c>
      <c r="W208" s="683">
        <f t="shared" si="112"/>
        <v>-0.90361219527456615</v>
      </c>
      <c r="X208" s="684">
        <f t="shared" si="113"/>
        <v>-128.90482219000845</v>
      </c>
      <c r="Y208" s="687">
        <f t="shared" si="114"/>
        <v>51.095177809991554</v>
      </c>
      <c r="AA208" s="170">
        <f t="shared" si="115"/>
        <v>11886</v>
      </c>
      <c r="AB208" s="170">
        <f t="shared" si="116"/>
        <v>141276996</v>
      </c>
      <c r="AD208" s="686">
        <f t="shared" si="117"/>
        <v>13.041480574426531</v>
      </c>
      <c r="AE208" s="687">
        <f t="shared" si="118"/>
        <v>-29.412022262530002</v>
      </c>
      <c r="AG208" s="686">
        <f t="shared" si="119"/>
        <v>28.619870858906275</v>
      </c>
      <c r="AH208" s="687">
        <f t="shared" si="120"/>
        <v>-62.561014848600209</v>
      </c>
      <c r="AJ208" s="170">
        <f t="shared" si="121"/>
        <v>0</v>
      </c>
      <c r="AK208" s="170">
        <f t="shared" si="99"/>
        <v>0</v>
      </c>
      <c r="AM208" s="170" t="str">
        <f t="shared" si="125"/>
        <v>0.107662052259682+0.451367906504879i</v>
      </c>
      <c r="AN208" s="170" t="str">
        <f t="shared" si="126"/>
        <v>0.468297692471798i</v>
      </c>
      <c r="AO208" s="170" t="str">
        <f t="shared" si="127"/>
        <v>0.963848239615363-0.229900881406042i</v>
      </c>
      <c r="AP208" s="170" t="str">
        <f t="shared" si="128"/>
        <v>0.148722991290053-0.0752279844174798i</v>
      </c>
      <c r="AQ208" s="170" t="str">
        <f t="shared" si="129"/>
        <v>0.851277008709947+0.0752279844174798i</v>
      </c>
      <c r="AR208" s="170" t="str">
        <f t="shared" si="130"/>
        <v>0.970947387089257-0.0858033450437411i</v>
      </c>
    </row>
    <row r="209" spans="7:44">
      <c r="G209" s="688">
        <v>11954.5</v>
      </c>
      <c r="H209" s="676">
        <f t="shared" si="122"/>
        <v>11.954499999999999</v>
      </c>
      <c r="I209" s="677">
        <f t="shared" si="102"/>
        <v>4.2086242828905753</v>
      </c>
      <c r="J209" s="678">
        <f t="shared" si="103"/>
        <v>1.3308944288520275</v>
      </c>
      <c r="K209" s="678">
        <f t="shared" si="104"/>
        <v>1.0001128309029996</v>
      </c>
      <c r="L209" s="679">
        <f t="shared" si="105"/>
        <v>1.5021337823945314E-2</v>
      </c>
      <c r="M209" s="678">
        <f t="shared" si="106"/>
        <v>1.0050337132326597</v>
      </c>
      <c r="N209" s="679">
        <f t="shared" si="107"/>
        <v>-0.10012680272499491</v>
      </c>
      <c r="O209" s="677">
        <f t="shared" si="108"/>
        <v>90134.806408167264</v>
      </c>
      <c r="P209" s="680">
        <f t="shared" si="109"/>
        <v>1.5707852323016607</v>
      </c>
      <c r="Q209" s="689">
        <f t="shared" si="100"/>
        <v>2.2477126113004662</v>
      </c>
      <c r="R209" s="690">
        <f t="shared" si="101"/>
        <v>1.1097373751733821</v>
      </c>
      <c r="S209" s="677">
        <f t="shared" si="110"/>
        <v>1.0012655154799721</v>
      </c>
      <c r="T209" s="680">
        <f t="shared" si="111"/>
        <v>5.0282846215773835E-2</v>
      </c>
      <c r="U209" s="681">
        <f t="shared" si="123"/>
        <v>0.96547746798199729</v>
      </c>
      <c r="V209" s="682">
        <f t="shared" si="124"/>
        <v>-0.32408647883443475</v>
      </c>
      <c r="W209" s="683">
        <f t="shared" si="112"/>
        <v>-0.96357741331195623</v>
      </c>
      <c r="X209" s="684">
        <f t="shared" si="113"/>
        <v>-128.99669652196363</v>
      </c>
      <c r="Y209" s="687">
        <f t="shared" si="114"/>
        <v>51.003303478036372</v>
      </c>
      <c r="AA209" s="170">
        <f t="shared" si="115"/>
        <v>11954.5</v>
      </c>
      <c r="AB209" s="170">
        <f t="shared" si="116"/>
        <v>142910070.25</v>
      </c>
      <c r="AD209" s="686">
        <f t="shared" si="117"/>
        <v>13.031429963849185</v>
      </c>
      <c r="AE209" s="687">
        <f t="shared" si="118"/>
        <v>-29.297091270546936</v>
      </c>
      <c r="AG209" s="686">
        <f t="shared" si="119"/>
        <v>28.576638714925831</v>
      </c>
      <c r="AH209" s="687">
        <f t="shared" si="120"/>
        <v>-62.562030340042853</v>
      </c>
      <c r="AJ209" s="170">
        <f t="shared" si="121"/>
        <v>0</v>
      </c>
      <c r="AK209" s="170">
        <f t="shared" si="99"/>
        <v>0</v>
      </c>
      <c r="AM209" s="170" t="str">
        <f t="shared" si="125"/>
        <v>0.108883469542099+0.453774535584218i</v>
      </c>
      <c r="AN209" s="170" t="str">
        <f t="shared" si="126"/>
        <v>0.470996530763428i</v>
      </c>
      <c r="AO209" s="170" t="str">
        <f t="shared" si="127"/>
        <v>0.963434985070282-0.231176797344159i</v>
      </c>
      <c r="AP209" s="170" t="str">
        <f t="shared" si="128"/>
        <v>0.148519421742983-0.0756290892640363i</v>
      </c>
      <c r="AQ209" s="170" t="str">
        <f t="shared" si="129"/>
        <v>0.851480578257017+0.0756290892640363i</v>
      </c>
      <c r="AR209" s="170" t="str">
        <f t="shared" si="130"/>
        <v>0.970638470735777-0.0862127750425631i</v>
      </c>
    </row>
    <row r="210" spans="7:44">
      <c r="G210" s="688">
        <v>12023</v>
      </c>
      <c r="H210" s="676">
        <f t="shared" si="122"/>
        <v>12.023</v>
      </c>
      <c r="I210" s="677">
        <f t="shared" si="102"/>
        <v>4.2313821082399938</v>
      </c>
      <c r="J210" s="678">
        <f t="shared" si="103"/>
        <v>1.3322098288200794</v>
      </c>
      <c r="K210" s="678">
        <f t="shared" si="104"/>
        <v>1.0001141275892984</v>
      </c>
      <c r="L210" s="679">
        <f t="shared" si="105"/>
        <v>1.5107397929481564E-2</v>
      </c>
      <c r="M210" s="678">
        <f t="shared" si="106"/>
        <v>1.0050914189301561</v>
      </c>
      <c r="N210" s="679">
        <f t="shared" si="107"/>
        <v>-0.10069667569509122</v>
      </c>
      <c r="O210" s="677">
        <f t="shared" si="108"/>
        <v>90651.284239795656</v>
      </c>
      <c r="P210" s="680">
        <f t="shared" si="109"/>
        <v>1.570785295511574</v>
      </c>
      <c r="Q210" s="689">
        <f t="shared" si="100"/>
        <v>2.2580486854138373</v>
      </c>
      <c r="R210" s="690">
        <f t="shared" si="101"/>
        <v>1.1120100197637808</v>
      </c>
      <c r="S210" s="677">
        <f t="shared" si="110"/>
        <v>1.0012800506931425</v>
      </c>
      <c r="T210" s="680">
        <f t="shared" si="111"/>
        <v>5.0570480351422219E-2</v>
      </c>
      <c r="U210" s="681">
        <f t="shared" si="123"/>
        <v>0.96510427530635867</v>
      </c>
      <c r="V210" s="682">
        <f t="shared" si="124"/>
        <v>-0.32588133094633331</v>
      </c>
      <c r="W210" s="683">
        <f t="shared" si="112"/>
        <v>-1.0231716145771224</v>
      </c>
      <c r="X210" s="684">
        <f t="shared" si="113"/>
        <v>-129.08889217500007</v>
      </c>
      <c r="Y210" s="687">
        <f t="shared" si="114"/>
        <v>50.911107824999931</v>
      </c>
      <c r="AA210" s="170">
        <f t="shared" si="115"/>
        <v>12023</v>
      </c>
      <c r="AB210" s="170">
        <f t="shared" si="116"/>
        <v>144552529</v>
      </c>
      <c r="AD210" s="686">
        <f t="shared" si="117"/>
        <v>13.02152564094148</v>
      </c>
      <c r="AE210" s="687">
        <f t="shared" si="118"/>
        <v>-29.183362170731701</v>
      </c>
      <c r="AG210" s="686">
        <f t="shared" si="119"/>
        <v>28.53366496852388</v>
      </c>
      <c r="AH210" s="687">
        <f t="shared" si="120"/>
        <v>-62.562280190935653</v>
      </c>
      <c r="AJ210" s="170">
        <f t="shared" si="121"/>
        <v>0</v>
      </c>
      <c r="AK210" s="170">
        <f t="shared" si="99"/>
        <v>0</v>
      </c>
      <c r="AM210" s="170" t="str">
        <f t="shared" si="125"/>
        <v>0.110111377471112+0.456177859495218i</v>
      </c>
      <c r="AN210" s="170" t="str">
        <f t="shared" si="126"/>
        <v>0.473695369055059i</v>
      </c>
      <c r="AO210" s="170" t="str">
        <f t="shared" si="127"/>
        <v>0.963019462075837-0.232451876594794i</v>
      </c>
      <c r="AP210" s="170" t="str">
        <f t="shared" si="128"/>
        <v>0.148314770421481-0.076029643249203i</v>
      </c>
      <c r="AQ210" s="170" t="str">
        <f t="shared" si="129"/>
        <v>0.851685229578519+0.076029643249203i</v>
      </c>
      <c r="AR210" s="170" t="str">
        <f t="shared" si="130"/>
        <v>0.970328259578579-0.0866208651368634i</v>
      </c>
    </row>
    <row r="211" spans="7:44">
      <c r="G211" s="688">
        <v>12093</v>
      </c>
      <c r="H211" s="676">
        <f t="shared" si="122"/>
        <v>12.093</v>
      </c>
      <c r="I211" s="677">
        <f t="shared" si="102"/>
        <v>4.2546457620254943</v>
      </c>
      <c r="J211" s="678">
        <f t="shared" si="103"/>
        <v>1.3335394932404785</v>
      </c>
      <c r="K211" s="678">
        <f t="shared" si="104"/>
        <v>1.000115460322432</v>
      </c>
      <c r="L211" s="679">
        <f t="shared" si="105"/>
        <v>1.5195342331664448E-2</v>
      </c>
      <c r="M211" s="678">
        <f t="shared" si="106"/>
        <v>1.005150725425235</v>
      </c>
      <c r="N211" s="679">
        <f t="shared" si="107"/>
        <v>-0.10127895984362958</v>
      </c>
      <c r="O211" s="677">
        <f t="shared" si="108"/>
        <v>91179.071804963736</v>
      </c>
      <c r="P211" s="680">
        <f t="shared" si="109"/>
        <v>1.5707853593658558</v>
      </c>
      <c r="Q211" s="689">
        <f t="shared" si="100"/>
        <v>2.2686230343901448</v>
      </c>
      <c r="R211" s="690">
        <f t="shared" si="101"/>
        <v>1.1143110241489811</v>
      </c>
      <c r="S211" s="677">
        <f t="shared" si="110"/>
        <v>1.0012949897732952</v>
      </c>
      <c r="T211" s="680">
        <f t="shared" si="111"/>
        <v>5.0864404392710894E-2</v>
      </c>
      <c r="U211" s="681">
        <f t="shared" si="123"/>
        <v>0.96472113223588318</v>
      </c>
      <c r="V211" s="682">
        <f t="shared" si="124"/>
        <v>-0.32771444589342824</v>
      </c>
      <c r="W211" s="683">
        <f t="shared" si="112"/>
        <v>-1.0836927085913424</v>
      </c>
      <c r="X211" s="684">
        <f t="shared" si="113"/>
        <v>-129.18343609123934</v>
      </c>
      <c r="Y211" s="687">
        <f t="shared" si="114"/>
        <v>50.816563908760656</v>
      </c>
      <c r="AA211" s="170">
        <f t="shared" si="115"/>
        <v>12093</v>
      </c>
      <c r="AB211" s="170">
        <f t="shared" si="116"/>
        <v>146240649</v>
      </c>
      <c r="AD211" s="686">
        <f t="shared" si="117"/>
        <v>13.011552651745934</v>
      </c>
      <c r="AE211" s="687">
        <f t="shared" si="118"/>
        <v>-29.068368596331357</v>
      </c>
      <c r="AG211" s="686">
        <f t="shared" si="119"/>
        <v>28.490014769508413</v>
      </c>
      <c r="AH211" s="687">
        <f t="shared" si="120"/>
        <v>-62.561758181673476</v>
      </c>
      <c r="AJ211" s="170">
        <f t="shared" si="121"/>
        <v>0</v>
      </c>
      <c r="AK211" s="170">
        <f t="shared" si="99"/>
        <v>0</v>
      </c>
      <c r="AM211" s="170" t="str">
        <f t="shared" si="125"/>
        <v>0.111372869986745+0.458630378196218i</v>
      </c>
      <c r="AN211" s="170" t="str">
        <f t="shared" si="126"/>
        <v>0.476453305995411i</v>
      </c>
      <c r="AO211" s="170" t="str">
        <f t="shared" si="127"/>
        <v>0.962592498415018-0.233754008179382i</v>
      </c>
      <c r="AP211" s="170" t="str">
        <f t="shared" si="128"/>
        <v>0.148104521668876-0.0764383963660363i</v>
      </c>
      <c r="AQ211" s="170" t="str">
        <f t="shared" si="129"/>
        <v>0.851895478331124+0.0764383963660363i</v>
      </c>
      <c r="AR211" s="170" t="str">
        <f t="shared" si="130"/>
        <v>0.970009925305251-0.0870365027582083i</v>
      </c>
    </row>
    <row r="212" spans="7:44">
      <c r="G212" s="688">
        <v>12163</v>
      </c>
      <c r="H212" s="676">
        <f t="shared" si="122"/>
        <v>12.163</v>
      </c>
      <c r="I212" s="677">
        <f t="shared" si="102"/>
        <v>4.2779168562356356</v>
      </c>
      <c r="J212" s="678">
        <f t="shared" si="103"/>
        <v>1.3348546936970667</v>
      </c>
      <c r="K212" s="678">
        <f t="shared" si="104"/>
        <v>1.0001168007906562</v>
      </c>
      <c r="L212" s="679">
        <f t="shared" si="105"/>
        <v>1.528328649878169E-2</v>
      </c>
      <c r="M212" s="678">
        <f t="shared" si="106"/>
        <v>1.0052103726812405</v>
      </c>
      <c r="N212" s="679">
        <f t="shared" si="107"/>
        <v>-0.1018611750863017</v>
      </c>
      <c r="O212" s="677">
        <f t="shared" si="108"/>
        <v>91706.859370132166</v>
      </c>
      <c r="P212" s="680">
        <f t="shared" si="109"/>
        <v>1.5707854224851547</v>
      </c>
      <c r="Q212" s="689">
        <f t="shared" si="100"/>
        <v>2.2792092833748656</v>
      </c>
      <c r="R212" s="690">
        <f t="shared" si="101"/>
        <v>1.1165906655493087</v>
      </c>
      <c r="S212" s="677">
        <f t="shared" si="110"/>
        <v>1.0013100153540804</v>
      </c>
      <c r="T212" s="680">
        <f t="shared" si="111"/>
        <v>5.1158319638187726E-2</v>
      </c>
      <c r="U212" s="681">
        <f t="shared" si="123"/>
        <v>0.96433619823442107</v>
      </c>
      <c r="V212" s="682">
        <f t="shared" si="124"/>
        <v>-0.32954650466856988</v>
      </c>
      <c r="W212" s="683">
        <f t="shared" si="112"/>
        <v>-1.1438368159493888</v>
      </c>
      <c r="X212" s="684">
        <f t="shared" si="113"/>
        <v>-129.27831029745187</v>
      </c>
      <c r="Y212" s="687">
        <f t="shared" si="114"/>
        <v>50.721689702548133</v>
      </c>
      <c r="AA212" s="170">
        <f t="shared" si="115"/>
        <v>12163</v>
      </c>
      <c r="AB212" s="170">
        <f t="shared" si="116"/>
        <v>147938569</v>
      </c>
      <c r="AD212" s="686">
        <f t="shared" si="117"/>
        <v>13.001726589247376</v>
      </c>
      <c r="AE212" s="687">
        <f t="shared" si="118"/>
        <v>-28.954598484729093</v>
      </c>
      <c r="AG212" s="686">
        <f t="shared" si="119"/>
        <v>28.446629632751144</v>
      </c>
      <c r="AH212" s="687">
        <f t="shared" si="120"/>
        <v>-62.560464027977332</v>
      </c>
      <c r="AJ212" s="170">
        <f t="shared" si="121"/>
        <v>0</v>
      </c>
      <c r="AK212" s="170">
        <f t="shared" si="99"/>
        <v>0</v>
      </c>
      <c r="AM212" s="170" t="str">
        <f t="shared" si="125"/>
        <v>0.112641121588136+0.461079408457631i</v>
      </c>
      <c r="AN212" s="170" t="str">
        <f t="shared" si="126"/>
        <v>0.479211242935763i</v>
      </c>
      <c r="AO212" s="170" t="str">
        <f t="shared" si="127"/>
        <v>0.962163169697247-0.235055256421092i</v>
      </c>
      <c r="AP212" s="170" t="str">
        <f t="shared" si="128"/>
        <v>0.147893146401977-0.0768465680762718i</v>
      </c>
      <c r="AQ212" s="170" t="str">
        <f t="shared" si="129"/>
        <v>0.852106853598023+0.0768465680762718i</v>
      </c>
      <c r="AR212" s="170" t="str">
        <f t="shared" si="130"/>
        <v>0.969690254077937-0.0874507320393536i</v>
      </c>
    </row>
    <row r="213" spans="7:44">
      <c r="G213" s="688">
        <v>12233</v>
      </c>
      <c r="H213" s="676">
        <f t="shared" si="122"/>
        <v>12.233000000000001</v>
      </c>
      <c r="I213" s="677">
        <f t="shared" si="102"/>
        <v>4.3011952701038787</v>
      </c>
      <c r="J213" s="678">
        <f t="shared" si="103"/>
        <v>1.3361556604429854</v>
      </c>
      <c r="K213" s="678">
        <f t="shared" si="104"/>
        <v>1.0001181489939392</v>
      </c>
      <c r="L213" s="679">
        <f t="shared" si="105"/>
        <v>1.5371230429473887E-2</v>
      </c>
      <c r="M213" s="678">
        <f t="shared" si="106"/>
        <v>1.005270360637516</v>
      </c>
      <c r="N213" s="679">
        <f t="shared" si="107"/>
        <v>-0.10244332104069601</v>
      </c>
      <c r="O213" s="677">
        <f t="shared" si="108"/>
        <v>92234.646935300974</v>
      </c>
      <c r="P213" s="680">
        <f t="shared" si="109"/>
        <v>1.5707854848820879</v>
      </c>
      <c r="Q213" s="689">
        <f t="shared" si="100"/>
        <v>2.2898072673194632</v>
      </c>
      <c r="R213" s="690">
        <f t="shared" si="101"/>
        <v>1.118849216730557</v>
      </c>
      <c r="S213" s="677">
        <f t="shared" si="110"/>
        <v>1.001325127431604</v>
      </c>
      <c r="T213" s="680">
        <f t="shared" si="111"/>
        <v>5.1452226037469392E-2</v>
      </c>
      <c r="U213" s="681">
        <f t="shared" si="123"/>
        <v>0.9639494799874142</v>
      </c>
      <c r="V213" s="682">
        <f t="shared" si="124"/>
        <v>-0.33137750285804018</v>
      </c>
      <c r="W213" s="683">
        <f t="shared" si="112"/>
        <v>-1.2036090738789966</v>
      </c>
      <c r="X213" s="684">
        <f t="shared" si="113"/>
        <v>-129.37351208095825</v>
      </c>
      <c r="Y213" s="687">
        <f t="shared" si="114"/>
        <v>50.62648791904175</v>
      </c>
      <c r="AA213" s="170">
        <f t="shared" si="115"/>
        <v>12233</v>
      </c>
      <c r="AB213" s="170">
        <f t="shared" si="116"/>
        <v>149646289</v>
      </c>
      <c r="AD213" s="686">
        <f t="shared" si="117"/>
        <v>12.992044605115156</v>
      </c>
      <c r="AE213" s="687">
        <f t="shared" si="118"/>
        <v>-28.842036205432315</v>
      </c>
      <c r="AG213" s="686">
        <f t="shared" si="119"/>
        <v>28.403507189701035</v>
      </c>
      <c r="AH213" s="687">
        <f t="shared" si="120"/>
        <v>-62.558411153435216</v>
      </c>
      <c r="AJ213" s="170">
        <f t="shared" si="121"/>
        <v>0</v>
      </c>
      <c r="AK213" s="170">
        <f t="shared" si="99"/>
        <v>0</v>
      </c>
      <c r="AM213" s="170" t="str">
        <f t="shared" si="125"/>
        <v>0.113916122628696+0.463524931651616i</v>
      </c>
      <c r="AN213" s="170" t="str">
        <f t="shared" si="126"/>
        <v>0.481969179876115i</v>
      </c>
      <c r="AO213" s="170" t="str">
        <f t="shared" si="127"/>
        <v>0.961731477873254-0.236355616469038i</v>
      </c>
      <c r="AP213" s="170" t="str">
        <f t="shared" si="128"/>
        <v>0.147680646228551-0.0772541552752693i</v>
      </c>
      <c r="AQ213" s="170" t="str">
        <f t="shared" si="129"/>
        <v>0.852319353771449+0.0772541552752693i</v>
      </c>
      <c r="AR213" s="170" t="str">
        <f t="shared" si="130"/>
        <v>0.969369253589047-0.0878635484510205i</v>
      </c>
    </row>
    <row r="214" spans="7:44">
      <c r="G214" s="688">
        <v>12303</v>
      </c>
      <c r="H214" s="676">
        <f t="shared" si="122"/>
        <v>12.303000000000001</v>
      </c>
      <c r="I214" s="677">
        <f t="shared" si="102"/>
        <v>4.3244808854264205</v>
      </c>
      <c r="J214" s="678">
        <f t="shared" si="103"/>
        <v>1.3374426189671627</v>
      </c>
      <c r="K214" s="678">
        <f t="shared" si="104"/>
        <v>1.0001195049322502</v>
      </c>
      <c r="L214" s="679">
        <f t="shared" si="105"/>
        <v>1.5459174122381661E-2</v>
      </c>
      <c r="M214" s="678">
        <f t="shared" si="106"/>
        <v>1.0053306892330727</v>
      </c>
      <c r="N214" s="679">
        <f t="shared" si="107"/>
        <v>-0.10302539732467982</v>
      </c>
      <c r="O214" s="677">
        <f t="shared" si="108"/>
        <v>92762.434500470117</v>
      </c>
      <c r="P214" s="680">
        <f t="shared" si="109"/>
        <v>1.5707855465689851</v>
      </c>
      <c r="Q214" s="689">
        <f t="shared" si="100"/>
        <v>2.3004168240356173</v>
      </c>
      <c r="R214" s="690">
        <f t="shared" si="101"/>
        <v>1.1210869462955524</v>
      </c>
      <c r="S214" s="677">
        <f t="shared" si="110"/>
        <v>1.00134032600195</v>
      </c>
      <c r="T214" s="680">
        <f t="shared" si="111"/>
        <v>5.1746123540181724E-2</v>
      </c>
      <c r="U214" s="681">
        <f t="shared" si="123"/>
        <v>0.96356098419696201</v>
      </c>
      <c r="V214" s="682">
        <f t="shared" si="124"/>
        <v>-0.33320743607360553</v>
      </c>
      <c r="W214" s="683">
        <f t="shared" si="112"/>
        <v>-1.2630145232444763</v>
      </c>
      <c r="X214" s="684">
        <f t="shared" si="113"/>
        <v>-129.46903869609017</v>
      </c>
      <c r="Y214" s="687">
        <f t="shared" si="114"/>
        <v>50.530961303909834</v>
      </c>
      <c r="AA214" s="170">
        <f t="shared" si="115"/>
        <v>12303</v>
      </c>
      <c r="AB214" s="170">
        <f t="shared" si="116"/>
        <v>151363809</v>
      </c>
      <c r="AD214" s="686">
        <f t="shared" si="117"/>
        <v>12.98250391728155</v>
      </c>
      <c r="AE214" s="687">
        <f t="shared" si="118"/>
        <v>-28.73066636645288</v>
      </c>
      <c r="AG214" s="686">
        <f t="shared" si="119"/>
        <v>28.360645101657301</v>
      </c>
      <c r="AH214" s="687">
        <f t="shared" si="120"/>
        <v>-62.555612707221592</v>
      </c>
      <c r="AJ214" s="170">
        <f t="shared" si="121"/>
        <v>0</v>
      </c>
      <c r="AK214" s="170">
        <f t="shared" si="99"/>
        <v>0</v>
      </c>
      <c r="AM214" s="170" t="str">
        <f t="shared" si="125"/>
        <v>0.115197863410497+0.465966929177008i</v>
      </c>
      <c r="AN214" s="170" t="str">
        <f t="shared" si="126"/>
        <v>0.484727116816467i</v>
      </c>
      <c r="AO214" s="170" t="str">
        <f t="shared" si="127"/>
        <v>0.961297424904408-0.237655083476823i</v>
      </c>
      <c r="AP214" s="170" t="str">
        <f t="shared" si="128"/>
        <v>0.147467022764917-0.0776611548628347i</v>
      </c>
      <c r="AQ214" s="170" t="str">
        <f t="shared" si="129"/>
        <v>0.852532977235083+0.0776611548628347i</v>
      </c>
      <c r="AR214" s="170" t="str">
        <f t="shared" si="130"/>
        <v>0.969046931544957-0.0882749475148054i</v>
      </c>
    </row>
    <row r="215" spans="7:44">
      <c r="G215" s="688">
        <v>12374.5</v>
      </c>
      <c r="H215" s="676">
        <f t="shared" si="122"/>
        <v>12.374499999999999</v>
      </c>
      <c r="I215" s="677">
        <f t="shared" si="102"/>
        <v>4.3482727925101043</v>
      </c>
      <c r="J215" s="678">
        <f t="shared" si="103"/>
        <v>1.3387429230689452</v>
      </c>
      <c r="K215" s="678">
        <f t="shared" si="104"/>
        <v>1.000120897911779</v>
      </c>
      <c r="L215" s="679">
        <f t="shared" si="105"/>
        <v>1.5549002076099123E-2</v>
      </c>
      <c r="M215" s="678">
        <f t="shared" si="106"/>
        <v>1.0053926621870983</v>
      </c>
      <c r="N215" s="679">
        <f t="shared" si="107"/>
        <v>-0.10361987434905141</v>
      </c>
      <c r="O215" s="677">
        <f t="shared" si="108"/>
        <v>93301.531799178993</v>
      </c>
      <c r="P215" s="680">
        <f t="shared" si="109"/>
        <v>1.5707856088572514</v>
      </c>
      <c r="Q215" s="689">
        <f t="shared" ref="Q215:Q278" si="131">SQRT(1+(G215/Zero2)^2)</f>
        <v>2.3112655101010411</v>
      </c>
      <c r="R215" s="690">
        <f t="shared" ref="R215:R278" si="132">ATAN(G215/Zero2)</f>
        <v>1.1233514065434318</v>
      </c>
      <c r="S215" s="677">
        <f t="shared" si="110"/>
        <v>1.0013559395446576</v>
      </c>
      <c r="T215" s="680">
        <f t="shared" si="111"/>
        <v>5.2046309609583799E-2</v>
      </c>
      <c r="U215" s="681">
        <f t="shared" si="123"/>
        <v>0.96316233539541574</v>
      </c>
      <c r="V215" s="682">
        <f t="shared" si="124"/>
        <v>-0.3350754781581205</v>
      </c>
      <c r="W215" s="683">
        <f t="shared" si="112"/>
        <v>-1.3233194062912566</v>
      </c>
      <c r="X215" s="684">
        <f t="shared" si="113"/>
        <v>-129.56694477121846</v>
      </c>
      <c r="Y215" s="687">
        <f t="shared" si="114"/>
        <v>50.433055228781541</v>
      </c>
      <c r="AA215" s="170">
        <f t="shared" si="115"/>
        <v>12374.5</v>
      </c>
      <c r="AB215" s="170">
        <f t="shared" si="116"/>
        <v>153128250.25</v>
      </c>
      <c r="AD215" s="686">
        <f t="shared" si="117"/>
        <v>12.972901831289116</v>
      </c>
      <c r="AE215" s="687">
        <f t="shared" si="118"/>
        <v>-28.618125314945779</v>
      </c>
      <c r="AG215" s="686">
        <f t="shared" si="119"/>
        <v>28.317130922727365</v>
      </c>
      <c r="AH215" s="687">
        <f t="shared" si="120"/>
        <v>-62.551997978821291</v>
      </c>
      <c r="AJ215" s="170">
        <f t="shared" si="121"/>
        <v>0</v>
      </c>
      <c r="AK215" s="170">
        <f t="shared" ref="AK215:AK278" si="133">IF(AJ215&gt;0,Y215,0)</f>
        <v>0</v>
      </c>
      <c r="AM215" s="170" t="str">
        <f t="shared" si="125"/>
        <v>0.116514017852392+0.468457596105214i</v>
      </c>
      <c r="AN215" s="170" t="str">
        <f t="shared" si="126"/>
        <v>0.487544152405541i</v>
      </c>
      <c r="AO215" s="170" t="str">
        <f t="shared" si="127"/>
        <v>0.960851635270049-0.238981469221838i</v>
      </c>
      <c r="AP215" s="170" t="str">
        <f t="shared" si="128"/>
        <v>0.147247663691268-0.0780762660175357i</v>
      </c>
      <c r="AQ215" s="170" t="str">
        <f t="shared" si="129"/>
        <v>0.852752336308732+0.0780762660175357i</v>
      </c>
      <c r="AR215" s="170" t="str">
        <f t="shared" si="130"/>
        <v>0.968716346289614-0.088693694438687i</v>
      </c>
    </row>
    <row r="216" spans="7:44">
      <c r="G216" s="688">
        <v>12446</v>
      </c>
      <c r="H216" s="676">
        <f t="shared" si="122"/>
        <v>12.446</v>
      </c>
      <c r="I216" s="677">
        <f t="shared" si="102"/>
        <v>4.3720719715897065</v>
      </c>
      <c r="J216" s="678">
        <f t="shared" si="103"/>
        <v>1.3400290730307094</v>
      </c>
      <c r="K216" s="678">
        <f t="shared" si="104"/>
        <v>1.0001222989613221</v>
      </c>
      <c r="L216" s="679">
        <f t="shared" si="105"/>
        <v>1.5638829778865361E-2</v>
      </c>
      <c r="M216" s="678">
        <f t="shared" si="106"/>
        <v>1.0054549904059655</v>
      </c>
      <c r="N216" s="679">
        <f t="shared" si="107"/>
        <v>-0.10421427788012813</v>
      </c>
      <c r="O216" s="677">
        <f t="shared" si="108"/>
        <v>93840.629097888203</v>
      </c>
      <c r="P216" s="680">
        <f t="shared" si="109"/>
        <v>1.5707856704298484</v>
      </c>
      <c r="Q216" s="689">
        <f t="shared" si="131"/>
        <v>2.3221259370537553</v>
      </c>
      <c r="R216" s="690">
        <f t="shared" si="132"/>
        <v>1.1255946967481567</v>
      </c>
      <c r="S216" s="677">
        <f t="shared" si="110"/>
        <v>1.001371643318409</v>
      </c>
      <c r="T216" s="680">
        <f t="shared" si="111"/>
        <v>5.2346486290840641E-2</v>
      </c>
      <c r="U216" s="681">
        <f t="shared" si="123"/>
        <v>0.96276184624029093</v>
      </c>
      <c r="V216" s="682">
        <f t="shared" si="124"/>
        <v>-0.33694239996475095</v>
      </c>
      <c r="W216" s="683">
        <f t="shared" si="112"/>
        <v>-1.3832519251635422</v>
      </c>
      <c r="X216" s="684">
        <f t="shared" si="113"/>
        <v>-129.66518386540849</v>
      </c>
      <c r="Y216" s="687">
        <f t="shared" si="114"/>
        <v>50.334816134591506</v>
      </c>
      <c r="AA216" s="170">
        <f t="shared" si="115"/>
        <v>12446</v>
      </c>
      <c r="AB216" s="170">
        <f t="shared" si="116"/>
        <v>154902916</v>
      </c>
      <c r="AD216" s="686">
        <f t="shared" si="117"/>
        <v>12.963441498462023</v>
      </c>
      <c r="AE216" s="687">
        <f t="shared" si="118"/>
        <v>-28.506796638659001</v>
      </c>
      <c r="AG216" s="686">
        <f t="shared" si="119"/>
        <v>28.273883537504485</v>
      </c>
      <c r="AH216" s="687">
        <f t="shared" si="120"/>
        <v>-62.547632268651952</v>
      </c>
      <c r="AJ216" s="170">
        <f t="shared" si="121"/>
        <v>0</v>
      </c>
      <c r="AK216" s="170">
        <f t="shared" si="133"/>
        <v>0</v>
      </c>
      <c r="AM216" s="170" t="str">
        <f t="shared" si="125"/>
        <v>0.117837183360091+0.470944545501847i</v>
      </c>
      <c r="AN216" s="170" t="str">
        <f t="shared" si="126"/>
        <v>0.490361187994615i</v>
      </c>
      <c r="AO216" s="170" t="str">
        <f t="shared" si="127"/>
        <v>0.960403386385096-0.240306913036896i</v>
      </c>
      <c r="AP216" s="170" t="str">
        <f t="shared" si="128"/>
        <v>0.147027136106651-0.0784907575836412i</v>
      </c>
      <c r="AQ216" s="170" t="str">
        <f t="shared" si="129"/>
        <v>0.852972863893349+0.0784907575836412i</v>
      </c>
      <c r="AR216" s="170" t="str">
        <f t="shared" si="130"/>
        <v>0.968384398529703-0.0891109533377592i</v>
      </c>
    </row>
    <row r="217" spans="7:44">
      <c r="G217" s="688">
        <v>12517.5</v>
      </c>
      <c r="H217" s="676">
        <f t="shared" si="122"/>
        <v>12.5175</v>
      </c>
      <c r="I217" s="677">
        <f t="shared" si="102"/>
        <v>4.395878304553996</v>
      </c>
      <c r="J217" s="678">
        <f t="shared" si="103"/>
        <v>1.341301294522105</v>
      </c>
      <c r="K217" s="678">
        <f t="shared" si="104"/>
        <v>1.0001237080808456</v>
      </c>
      <c r="L217" s="679">
        <f t="shared" si="105"/>
        <v>1.572865722923179E-2</v>
      </c>
      <c r="M217" s="678">
        <f t="shared" si="106"/>
        <v>1.0055176738236102</v>
      </c>
      <c r="N217" s="679">
        <f t="shared" si="107"/>
        <v>-0.10480860751159189</v>
      </c>
      <c r="O217" s="677">
        <f t="shared" si="108"/>
        <v>94379.726396597762</v>
      </c>
      <c r="P217" s="680">
        <f t="shared" si="109"/>
        <v>1.5707857312990396</v>
      </c>
      <c r="Q217" s="689">
        <f t="shared" si="131"/>
        <v>2.3329979409274211</v>
      </c>
      <c r="R217" s="690">
        <f t="shared" si="132"/>
        <v>1.1278170901363935</v>
      </c>
      <c r="S217" s="677">
        <f t="shared" si="110"/>
        <v>1.0013874373189591</v>
      </c>
      <c r="T217" s="680">
        <f t="shared" si="111"/>
        <v>5.2646653530299743E-2</v>
      </c>
      <c r="U217" s="681">
        <f t="shared" si="123"/>
        <v>0.96235952392573709</v>
      </c>
      <c r="V217" s="682">
        <f t="shared" si="124"/>
        <v>-0.33880819689973884</v>
      </c>
      <c r="W217" s="683">
        <f t="shared" si="112"/>
        <v>-1.4428171546169108</v>
      </c>
      <c r="X217" s="684">
        <f t="shared" si="113"/>
        <v>-129.76375296507234</v>
      </c>
      <c r="Y217" s="687">
        <f t="shared" si="114"/>
        <v>50.236247034927658</v>
      </c>
      <c r="AA217" s="170">
        <f t="shared" si="115"/>
        <v>12517.5</v>
      </c>
      <c r="AB217" s="170">
        <f t="shared" si="116"/>
        <v>156687806.25</v>
      </c>
      <c r="AD217" s="686">
        <f t="shared" si="117"/>
        <v>12.954120156734119</v>
      </c>
      <c r="AE217" s="687">
        <f t="shared" si="118"/>
        <v>-28.396664680486268</v>
      </c>
      <c r="AG217" s="686">
        <f t="shared" si="119"/>
        <v>28.230900547358104</v>
      </c>
      <c r="AH217" s="687">
        <f t="shared" si="120"/>
        <v>-62.542528746637686</v>
      </c>
      <c r="AJ217" s="170">
        <f t="shared" si="121"/>
        <v>0</v>
      </c>
      <c r="AK217" s="170">
        <f t="shared" si="133"/>
        <v>0</v>
      </c>
      <c r="AM217" s="170" t="str">
        <f t="shared" si="125"/>
        <v>0.11916734943337+0.473427757631263i</v>
      </c>
      <c r="AN217" s="170" t="str">
        <f t="shared" si="126"/>
        <v>0.493178223583689i</v>
      </c>
      <c r="AO217" s="170" t="str">
        <f t="shared" si="127"/>
        <v>0.959952680374026-0.241631409771985i</v>
      </c>
      <c r="AP217" s="170" t="str">
        <f t="shared" si="128"/>
        <v>0.146805441761105-0.0789046262718772i</v>
      </c>
      <c r="AQ217" s="170" t="str">
        <f t="shared" si="129"/>
        <v>0.853194558238895+0.0789046262718772i</v>
      </c>
      <c r="AR217" s="170" t="str">
        <f t="shared" si="130"/>
        <v>0.968051096520292-0.0895267196038855i</v>
      </c>
    </row>
    <row r="218" spans="7:44">
      <c r="G218" s="688">
        <v>12589</v>
      </c>
      <c r="H218" s="676">
        <f t="shared" si="122"/>
        <v>12.589</v>
      </c>
      <c r="I218" s="677">
        <f t="shared" si="102"/>
        <v>4.419691675801408</v>
      </c>
      <c r="J218" s="678">
        <f t="shared" si="103"/>
        <v>1.3425598085316863</v>
      </c>
      <c r="K218" s="678">
        <f t="shared" si="104"/>
        <v>1.0001251252703154</v>
      </c>
      <c r="L218" s="679">
        <f t="shared" si="105"/>
        <v>1.5818484425749853E-2</v>
      </c>
      <c r="M218" s="678">
        <f t="shared" si="106"/>
        <v>1.0055807123736074</v>
      </c>
      <c r="N218" s="679">
        <f t="shared" si="107"/>
        <v>-0.10540286283743447</v>
      </c>
      <c r="O218" s="677">
        <f t="shared" si="108"/>
        <v>94918.823695307685</v>
      </c>
      <c r="P218" s="680">
        <f t="shared" si="109"/>
        <v>1.5707857914768102</v>
      </c>
      <c r="Q218" s="689">
        <f t="shared" si="131"/>
        <v>2.3438813606247306</v>
      </c>
      <c r="R218" s="690">
        <f t="shared" si="132"/>
        <v>1.1300188556938839</v>
      </c>
      <c r="S218" s="677">
        <f t="shared" si="110"/>
        <v>1.0014033215420386</v>
      </c>
      <c r="T218" s="680">
        <f t="shared" si="111"/>
        <v>5.2946811274318786E-2</v>
      </c>
      <c r="U218" s="681">
        <f t="shared" si="123"/>
        <v>0.96195537566273015</v>
      </c>
      <c r="V218" s="682">
        <f t="shared" si="124"/>
        <v>-0.3406728643972704</v>
      </c>
      <c r="W218" s="683">
        <f t="shared" si="112"/>
        <v>-1.5020200738976477</v>
      </c>
      <c r="X218" s="684">
        <f t="shared" si="113"/>
        <v>-129.86264903300545</v>
      </c>
      <c r="Y218" s="687">
        <f t="shared" si="114"/>
        <v>50.137350966994546</v>
      </c>
      <c r="AA218" s="170">
        <f t="shared" si="115"/>
        <v>12589</v>
      </c>
      <c r="AB218" s="170">
        <f t="shared" si="116"/>
        <v>158482921</v>
      </c>
      <c r="AD218" s="686">
        <f t="shared" si="117"/>
        <v>12.944935108664042</v>
      </c>
      <c r="AE218" s="687">
        <f t="shared" si="118"/>
        <v>-28.287714026293031</v>
      </c>
      <c r="AG218" s="686">
        <f t="shared" si="119"/>
        <v>28.188179584282924</v>
      </c>
      <c r="AH218" s="687">
        <f t="shared" si="120"/>
        <v>-62.536700312912316</v>
      </c>
      <c r="AJ218" s="170">
        <f t="shared" si="121"/>
        <v>0</v>
      </c>
      <c r="AK218" s="170">
        <f t="shared" si="133"/>
        <v>0</v>
      </c>
      <c r="AM218" s="170" t="str">
        <f t="shared" si="125"/>
        <v>0.120504505516453+0.475907212787473i</v>
      </c>
      <c r="AN218" s="170" t="str">
        <f t="shared" si="126"/>
        <v>0.495995259172763i</v>
      </c>
      <c r="AO218" s="170" t="str">
        <f t="shared" si="127"/>
        <v>0.959499519372839-0.242954954282092i</v>
      </c>
      <c r="AP218" s="170" t="str">
        <f t="shared" si="128"/>
        <v>0.146582582413924-0.0793178687979122i</v>
      </c>
      <c r="AQ218" s="170" t="str">
        <f t="shared" si="129"/>
        <v>0.853417417586076+0.0793178687979122i</v>
      </c>
      <c r="AR218" s="170" t="str">
        <f t="shared" si="130"/>
        <v>0.967716448529934-0.0899409886842825i</v>
      </c>
    </row>
    <row r="219" spans="7:44">
      <c r="G219" s="688">
        <v>12662.25</v>
      </c>
      <c r="H219" s="676">
        <f t="shared" si="122"/>
        <v>12.66225</v>
      </c>
      <c r="I219" s="677">
        <f t="shared" si="102"/>
        <v>4.4440950723017991</v>
      </c>
      <c r="J219" s="678">
        <f t="shared" si="103"/>
        <v>1.3438351367361836</v>
      </c>
      <c r="K219" s="678">
        <f t="shared" si="104"/>
        <v>1.0001265855148425</v>
      </c>
      <c r="L219" s="679">
        <f t="shared" si="105"/>
        <v>1.5910509925256444E-2</v>
      </c>
      <c r="M219" s="678">
        <f t="shared" si="106"/>
        <v>1.0056456620321546</v>
      </c>
      <c r="N219" s="679">
        <f t="shared" si="107"/>
        <v>-0.10601158539402503</v>
      </c>
      <c r="O219" s="677">
        <f t="shared" si="108"/>
        <v>95471.115683147204</v>
      </c>
      <c r="P219" s="680">
        <f t="shared" si="109"/>
        <v>1.5707858524226965</v>
      </c>
      <c r="Q219" s="689">
        <f t="shared" si="131"/>
        <v>2.3550428306158326</v>
      </c>
      <c r="R219" s="690">
        <f t="shared" si="132"/>
        <v>1.1322533961247019</v>
      </c>
      <c r="S219" s="677">
        <f t="shared" si="110"/>
        <v>1.0014196880972392</v>
      </c>
      <c r="T219" s="680">
        <f t="shared" si="111"/>
        <v>5.3254305633584208E-2</v>
      </c>
      <c r="U219" s="681">
        <f t="shared" si="123"/>
        <v>0.96153944968334026</v>
      </c>
      <c r="V219" s="682">
        <f t="shared" si="124"/>
        <v>-0.34258199462465488</v>
      </c>
      <c r="W219" s="683">
        <f t="shared" si="112"/>
        <v>-1.5623014029322118</v>
      </c>
      <c r="X219" s="684">
        <f t="shared" si="113"/>
        <v>-129.96430150707585</v>
      </c>
      <c r="Y219" s="687">
        <f t="shared" si="114"/>
        <v>50.035698492924155</v>
      </c>
      <c r="AA219" s="170">
        <f t="shared" si="115"/>
        <v>12662.25</v>
      </c>
      <c r="AB219" s="170">
        <f t="shared" si="116"/>
        <v>160332575.0625</v>
      </c>
      <c r="AD219" s="686">
        <f t="shared" si="117"/>
        <v>12.935663836015577</v>
      </c>
      <c r="AE219" s="687">
        <f t="shared" si="118"/>
        <v>-28.17730591128171</v>
      </c>
      <c r="AG219" s="686">
        <f t="shared" si="119"/>
        <v>28.144682284704455</v>
      </c>
      <c r="AH219" s="687">
        <f t="shared" si="120"/>
        <v>-62.529990692604109</v>
      </c>
      <c r="AJ219" s="170">
        <f t="shared" si="121"/>
        <v>0</v>
      </c>
      <c r="AK219" s="170">
        <f t="shared" si="133"/>
        <v>0</v>
      </c>
      <c r="AM219" s="170" t="str">
        <f t="shared" si="125"/>
        <v>0.121881626831567+0.478443437308973i</v>
      </c>
      <c r="AN219" s="170" t="str">
        <f t="shared" si="126"/>
        <v>0.498881243185346i</v>
      </c>
      <c r="AO219" s="170" t="str">
        <f t="shared" si="127"/>
        <v>0.959032723407523-0.244309900395043i</v>
      </c>
      <c r="AP219" s="170" t="str">
        <f t="shared" si="128"/>
        <v>0.146353062194739-0.0797405728848288i</v>
      </c>
      <c r="AQ219" s="170" t="str">
        <f t="shared" si="129"/>
        <v>0.853646937805261+0.0797405728848288i</v>
      </c>
      <c r="AR219" s="170" t="str">
        <f t="shared" si="130"/>
        <v>0.967372222713303-0.0903638399153097i</v>
      </c>
    </row>
    <row r="220" spans="7:44">
      <c r="G220" s="688">
        <v>12735.5</v>
      </c>
      <c r="H220" s="676">
        <f t="shared" si="122"/>
        <v>12.7355</v>
      </c>
      <c r="I220" s="677">
        <f t="shared" si="102"/>
        <v>4.4685056179985176</v>
      </c>
      <c r="J220" s="678">
        <f t="shared" si="103"/>
        <v>1.3450965332517051</v>
      </c>
      <c r="K220" s="678">
        <f t="shared" si="104"/>
        <v>1.0001280542291093</v>
      </c>
      <c r="L220" s="679">
        <f t="shared" si="105"/>
        <v>1.6002535155258648E-2</v>
      </c>
      <c r="M220" s="678">
        <f t="shared" si="106"/>
        <v>1.0057109842776033</v>
      </c>
      <c r="N220" s="679">
        <f t="shared" si="107"/>
        <v>-0.10662022910146561</v>
      </c>
      <c r="O220" s="677">
        <f t="shared" si="108"/>
        <v>96023.407670987086</v>
      </c>
      <c r="P220" s="680">
        <f t="shared" si="109"/>
        <v>1.5707859126675054</v>
      </c>
      <c r="Q220" s="689">
        <f t="shared" si="131"/>
        <v>2.3662159487683514</v>
      </c>
      <c r="R220" s="690">
        <f t="shared" si="132"/>
        <v>1.1344668448110693</v>
      </c>
      <c r="S220" s="677">
        <f t="shared" si="110"/>
        <v>1.0014361493363562</v>
      </c>
      <c r="T220" s="680">
        <f t="shared" si="111"/>
        <v>5.3561789912963967E-2</v>
      </c>
      <c r="U220" s="681">
        <f t="shared" si="123"/>
        <v>0.96112162265414425</v>
      </c>
      <c r="V220" s="682">
        <f t="shared" si="124"/>
        <v>-0.34448992983953763</v>
      </c>
      <c r="W220" s="683">
        <f t="shared" si="112"/>
        <v>-1.6222127513350522</v>
      </c>
      <c r="X220" s="684">
        <f t="shared" si="113"/>
        <v>-130.0662906329479</v>
      </c>
      <c r="Y220" s="687">
        <f t="shared" si="114"/>
        <v>49.933709367052103</v>
      </c>
      <c r="AA220" s="170">
        <f t="shared" si="115"/>
        <v>12735.5</v>
      </c>
      <c r="AB220" s="170">
        <f t="shared" si="116"/>
        <v>162192960.25</v>
      </c>
      <c r="AD220" s="686">
        <f t="shared" si="117"/>
        <v>12.92653007930825</v>
      </c>
      <c r="AE220" s="687">
        <f t="shared" si="118"/>
        <v>-28.068105646507671</v>
      </c>
      <c r="AG220" s="686">
        <f t="shared" si="119"/>
        <v>28.101455060721161</v>
      </c>
      <c r="AH220" s="687">
        <f t="shared" si="120"/>
        <v>-62.522546812206016</v>
      </c>
      <c r="AJ220" s="170">
        <f t="shared" si="121"/>
        <v>0</v>
      </c>
      <c r="AK220" s="170">
        <f t="shared" si="133"/>
        <v>0</v>
      </c>
      <c r="AM220" s="170" t="str">
        <f t="shared" si="125"/>
        <v>0.123266061904991+0.480975676923913i</v>
      </c>
      <c r="AN220" s="170" t="str">
        <f t="shared" si="126"/>
        <v>0.501767227197929i</v>
      </c>
      <c r="AO220" s="170" t="str">
        <f t="shared" si="127"/>
        <v>0.958563355382685-0.245663836184277i</v>
      </c>
      <c r="AP220" s="170" t="str">
        <f t="shared" si="128"/>
        <v>0.146122323015835-0.0801626128206522i</v>
      </c>
      <c r="AQ220" s="170" t="str">
        <f t="shared" si="129"/>
        <v>0.853877676984165+0.0801626128206522i</v>
      </c>
      <c r="AR220" s="170" t="str">
        <f t="shared" si="130"/>
        <v>0.96702660183271-0.0907851102792374i</v>
      </c>
    </row>
    <row r="221" spans="7:44">
      <c r="G221" s="688">
        <v>12808.75</v>
      </c>
      <c r="H221" s="676">
        <f t="shared" si="122"/>
        <v>12.80875</v>
      </c>
      <c r="I221" s="677">
        <f t="shared" si="102"/>
        <v>4.4929231963644591</v>
      </c>
      <c r="J221" s="678">
        <f t="shared" si="103"/>
        <v>1.3463442211737351</v>
      </c>
      <c r="K221" s="678">
        <f t="shared" si="104"/>
        <v>1.0001295314130787</v>
      </c>
      <c r="L221" s="679">
        <f t="shared" si="105"/>
        <v>1.6094560114198998E-2</v>
      </c>
      <c r="M221" s="678">
        <f t="shared" si="106"/>
        <v>1.0057766790373583</v>
      </c>
      <c r="N221" s="679">
        <f t="shared" si="107"/>
        <v>-0.10722879352422274</v>
      </c>
      <c r="O221" s="677">
        <f t="shared" si="108"/>
        <v>96575.699658827303</v>
      </c>
      <c r="P221" s="680">
        <f t="shared" si="109"/>
        <v>1.5707859722232647</v>
      </c>
      <c r="Q221" s="689">
        <f t="shared" si="131"/>
        <v>2.3774005508529816</v>
      </c>
      <c r="R221" s="690">
        <f t="shared" si="132"/>
        <v>1.1366594775915289</v>
      </c>
      <c r="S221" s="677">
        <f t="shared" si="110"/>
        <v>1.0014527052547202</v>
      </c>
      <c r="T221" s="680">
        <f t="shared" si="111"/>
        <v>5.3869264054813369E-2</v>
      </c>
      <c r="U221" s="681">
        <f t="shared" si="123"/>
        <v>0.960701902381498</v>
      </c>
      <c r="V221" s="682">
        <f t="shared" si="124"/>
        <v>-0.34639666522409018</v>
      </c>
      <c r="W221" s="683">
        <f t="shared" si="112"/>
        <v>-1.681759175464455</v>
      </c>
      <c r="X221" s="684">
        <f t="shared" si="113"/>
        <v>-130.16861308514697</v>
      </c>
      <c r="Y221" s="687">
        <f t="shared" si="114"/>
        <v>49.831386914853027</v>
      </c>
      <c r="AA221" s="170">
        <f t="shared" si="115"/>
        <v>12808.75</v>
      </c>
      <c r="AB221" s="170">
        <f t="shared" si="116"/>
        <v>164064076.5625</v>
      </c>
      <c r="AD221" s="686">
        <f t="shared" si="117"/>
        <v>12.917531137834926</v>
      </c>
      <c r="AE221" s="687">
        <f t="shared" si="118"/>
        <v>-27.960097424972911</v>
      </c>
      <c r="AG221" s="686">
        <f t="shared" si="119"/>
        <v>28.058495463170104</v>
      </c>
      <c r="AH221" s="687">
        <f t="shared" si="120"/>
        <v>-62.514381705323999</v>
      </c>
      <c r="AJ221" s="170">
        <f t="shared" si="121"/>
        <v>0</v>
      </c>
      <c r="AK221" s="170">
        <f t="shared" si="133"/>
        <v>0</v>
      </c>
      <c r="AM221" s="170" t="str">
        <f t="shared" si="125"/>
        <v>0.124657799205905+0.483503910541529i</v>
      </c>
      <c r="AN221" s="170" t="str">
        <f t="shared" si="126"/>
        <v>0.504653211210512i</v>
      </c>
      <c r="AO221" s="170" t="str">
        <f t="shared" si="127"/>
        <v>0.958091417632611-0.247016756134154i</v>
      </c>
      <c r="AP221" s="170" t="str">
        <f t="shared" si="128"/>
        <v>0.145890366799016-0.0805839850902548i</v>
      </c>
      <c r="AQ221" s="170" t="str">
        <f t="shared" si="129"/>
        <v>0.854109633200984+0.0805839850902548i</v>
      </c>
      <c r="AR221" s="170" t="str">
        <f t="shared" si="130"/>
        <v>0.966679594820034-0.0912047950613624i</v>
      </c>
    </row>
    <row r="222" spans="7:44">
      <c r="G222" s="688">
        <v>12882</v>
      </c>
      <c r="H222" s="676">
        <f t="shared" si="122"/>
        <v>12.882</v>
      </c>
      <c r="I222" s="677">
        <f t="shared" si="102"/>
        <v>4.5173476933587544</v>
      </c>
      <c r="J222" s="678">
        <f t="shared" si="103"/>
        <v>1.3475784189456232</v>
      </c>
      <c r="K222" s="678">
        <f t="shared" si="104"/>
        <v>1.0001310170667128</v>
      </c>
      <c r="L222" s="679">
        <f t="shared" si="105"/>
        <v>1.618658480052006E-2</v>
      </c>
      <c r="M222" s="678">
        <f t="shared" si="106"/>
        <v>1.0058427462384294</v>
      </c>
      <c r="N222" s="679">
        <f t="shared" si="107"/>
        <v>-0.10783727822711128</v>
      </c>
      <c r="O222" s="677">
        <f t="shared" si="108"/>
        <v>97127.991646667855</v>
      </c>
      <c r="P222" s="680">
        <f t="shared" si="109"/>
        <v>1.5707860311017285</v>
      </c>
      <c r="Q222" s="689">
        <f t="shared" si="131"/>
        <v>2.3885964755492073</v>
      </c>
      <c r="R222" s="690">
        <f t="shared" si="132"/>
        <v>1.1388315659415227</v>
      </c>
      <c r="S222" s="677">
        <f t="shared" si="110"/>
        <v>1.001469355847636</v>
      </c>
      <c r="T222" s="680">
        <f t="shared" si="111"/>
        <v>5.4176728001499211E-2</v>
      </c>
      <c r="U222" s="681">
        <f t="shared" si="123"/>
        <v>0.96028029668885284</v>
      </c>
      <c r="V222" s="682">
        <f t="shared" si="124"/>
        <v>-0.34830219599146062</v>
      </c>
      <c r="W222" s="683">
        <f t="shared" si="112"/>
        <v>-1.7409456359457938</v>
      </c>
      <c r="X222" s="684">
        <f t="shared" si="113"/>
        <v>-130.27126552341801</v>
      </c>
      <c r="Y222" s="687">
        <f t="shared" si="114"/>
        <v>49.728734476581991</v>
      </c>
      <c r="AA222" s="170">
        <f t="shared" si="115"/>
        <v>12882</v>
      </c>
      <c r="AB222" s="170">
        <f t="shared" si="116"/>
        <v>165945924</v>
      </c>
      <c r="AD222" s="686">
        <f t="shared" si="117"/>
        <v>12.908664374613601</v>
      </c>
      <c r="AE222" s="687">
        <f t="shared" si="118"/>
        <v>-27.853265689651685</v>
      </c>
      <c r="AG222" s="686">
        <f t="shared" si="119"/>
        <v>28.015801074624914</v>
      </c>
      <c r="AH222" s="687">
        <f t="shared" si="120"/>
        <v>-62.505508137261415</v>
      </c>
      <c r="AJ222" s="170">
        <f t="shared" si="121"/>
        <v>0</v>
      </c>
      <c r="AK222" s="170">
        <f t="shared" si="133"/>
        <v>0</v>
      </c>
      <c r="AM222" s="170" t="str">
        <f t="shared" si="125"/>
        <v>0.126056827142673+0.48602811710442i</v>
      </c>
      <c r="AN222" s="170" t="str">
        <f t="shared" si="126"/>
        <v>0.507539195223094i</v>
      </c>
      <c r="AO222" s="170" t="str">
        <f t="shared" si="127"/>
        <v>0.957616912504228-0.248368654734662i</v>
      </c>
      <c r="AP222" s="170" t="str">
        <f t="shared" si="128"/>
        <v>0.145657195476221-0.08100468618407i</v>
      </c>
      <c r="AQ222" s="170" t="str">
        <f t="shared" si="129"/>
        <v>0.854342804523779+0.08100468618407i</v>
      </c>
      <c r="AR222" s="170" t="str">
        <f t="shared" si="130"/>
        <v>0.966331210620103-0.0916228896078625i</v>
      </c>
    </row>
    <row r="223" spans="7:44">
      <c r="G223" s="688">
        <v>12957.25</v>
      </c>
      <c r="H223" s="676">
        <f t="shared" si="122"/>
        <v>12.95725</v>
      </c>
      <c r="I223" s="677">
        <f t="shared" si="102"/>
        <v>4.5424461581074738</v>
      </c>
      <c r="J223" s="678">
        <f t="shared" si="103"/>
        <v>1.3488324920195083</v>
      </c>
      <c r="K223" s="678">
        <f t="shared" si="104"/>
        <v>1.0001325521039319</v>
      </c>
      <c r="L223" s="679">
        <f t="shared" si="105"/>
        <v>1.6281121820740114E-2</v>
      </c>
      <c r="M223" s="678">
        <f t="shared" si="106"/>
        <v>1.0059110050787194</v>
      </c>
      <c r="N223" s="679">
        <f t="shared" si="107"/>
        <v>-0.1084622933753162</v>
      </c>
      <c r="O223" s="677">
        <f t="shared" si="108"/>
        <v>97695.363279227968</v>
      </c>
      <c r="P223" s="680">
        <f t="shared" si="109"/>
        <v>1.570786090894579</v>
      </c>
      <c r="Q223" s="689">
        <f t="shared" si="131"/>
        <v>2.4001097150758568</v>
      </c>
      <c r="R223" s="690">
        <f t="shared" si="132"/>
        <v>1.1410418476913418</v>
      </c>
      <c r="S223" s="677">
        <f t="shared" si="110"/>
        <v>1.0014865596465841</v>
      </c>
      <c r="T223" s="680">
        <f t="shared" si="111"/>
        <v>5.4492576191168839E-2</v>
      </c>
      <c r="U223" s="681">
        <f t="shared" si="123"/>
        <v>0.95984522447524967</v>
      </c>
      <c r="V223" s="682">
        <f t="shared" si="124"/>
        <v>-0.35025849550334559</v>
      </c>
      <c r="W223" s="683">
        <f t="shared" si="112"/>
        <v>-1.8013783823880387</v>
      </c>
      <c r="X223" s="684">
        <f t="shared" si="113"/>
        <v>-130.37706085953903</v>
      </c>
      <c r="Y223" s="687">
        <f t="shared" si="114"/>
        <v>49.622939140460971</v>
      </c>
      <c r="AA223" s="170">
        <f t="shared" si="115"/>
        <v>12957.25</v>
      </c>
      <c r="AB223" s="170">
        <f t="shared" si="116"/>
        <v>167890327.5625</v>
      </c>
      <c r="AD223" s="686">
        <f t="shared" si="117"/>
        <v>12.89969045104084</v>
      </c>
      <c r="AE223" s="687">
        <f t="shared" si="118"/>
        <v>-27.744726067841121</v>
      </c>
      <c r="AG223" s="686">
        <f t="shared" si="119"/>
        <v>27.972214631461782</v>
      </c>
      <c r="AH223" s="687">
        <f t="shared" si="120"/>
        <v>-62.495667683947808</v>
      </c>
      <c r="AJ223" s="170">
        <f t="shared" si="121"/>
        <v>0</v>
      </c>
      <c r="AK223" s="170">
        <f t="shared" si="133"/>
        <v>0</v>
      </c>
      <c r="AM223" s="170" t="str">
        <f t="shared" si="125"/>
        <v>0.127501633495648+0.488617028404903i</v>
      </c>
      <c r="AN223" s="170" t="str">
        <f t="shared" si="126"/>
        <v>0.510503977433973i</v>
      </c>
      <c r="AO223" s="170" t="str">
        <f t="shared" si="127"/>
        <v>0.957126780600058-0.249756395898284i</v>
      </c>
      <c r="AP223" s="170" t="str">
        <f t="shared" si="128"/>
        <v>0.145416394417392-0.0814361714008172i</v>
      </c>
      <c r="AQ223" s="170" t="str">
        <f t="shared" si="129"/>
        <v>0.854583605582608+0.0814361714008172i</v>
      </c>
      <c r="AR223" s="170" t="str">
        <f t="shared" si="130"/>
        <v>0.965971889531878-0.0920507389217463i</v>
      </c>
    </row>
    <row r="224" spans="7:44">
      <c r="G224" s="688">
        <v>13032.5</v>
      </c>
      <c r="H224" s="676">
        <f t="shared" si="122"/>
        <v>13.032500000000001</v>
      </c>
      <c r="I224" s="677">
        <f t="shared" si="102"/>
        <v>4.5675516882407026</v>
      </c>
      <c r="J224" s="678">
        <f t="shared" si="103"/>
        <v>1.350072781010597</v>
      </c>
      <c r="K224" s="678">
        <f t="shared" si="104"/>
        <v>1.0001340960795559</v>
      </c>
      <c r="L224" s="679">
        <f t="shared" si="105"/>
        <v>1.6375658549918494E-2</v>
      </c>
      <c r="M224" s="678">
        <f t="shared" si="106"/>
        <v>1.0059796568186274</v>
      </c>
      <c r="N224" s="679">
        <f t="shared" si="107"/>
        <v>-0.10908722346096826</v>
      </c>
      <c r="O224" s="677">
        <f t="shared" si="108"/>
        <v>98262.734911788415</v>
      </c>
      <c r="P224" s="680">
        <f t="shared" si="109"/>
        <v>1.5707861499969384</v>
      </c>
      <c r="Q224" s="689">
        <f t="shared" si="131"/>
        <v>2.4116345679795459</v>
      </c>
      <c r="R224" s="690">
        <f t="shared" si="132"/>
        <v>1.1432310148172193</v>
      </c>
      <c r="S224" s="677">
        <f t="shared" si="110"/>
        <v>1.001503863350472</v>
      </c>
      <c r="T224" s="680">
        <f t="shared" si="111"/>
        <v>5.4808413498071994E-2</v>
      </c>
      <c r="U224" s="681">
        <f t="shared" si="123"/>
        <v>0.95940817927027877</v>
      </c>
      <c r="V224" s="682">
        <f t="shared" si="124"/>
        <v>-0.3522135135779193</v>
      </c>
      <c r="W224" s="683">
        <f t="shared" si="112"/>
        <v>-1.8614415526706294</v>
      </c>
      <c r="X224" s="684">
        <f t="shared" si="113"/>
        <v>-130.48319726363133</v>
      </c>
      <c r="Y224" s="687">
        <f t="shared" si="114"/>
        <v>49.516802736368675</v>
      </c>
      <c r="AA224" s="170">
        <f t="shared" si="115"/>
        <v>13032.5</v>
      </c>
      <c r="AB224" s="170">
        <f t="shared" si="116"/>
        <v>169846056.25</v>
      </c>
      <c r="AD224" s="686">
        <f t="shared" si="117"/>
        <v>12.890850579436696</v>
      </c>
      <c r="AE224" s="687">
        <f t="shared" si="118"/>
        <v>-27.637395561770997</v>
      </c>
      <c r="AG224" s="686">
        <f t="shared" si="119"/>
        <v>27.928903006094281</v>
      </c>
      <c r="AH224" s="687">
        <f t="shared" si="120"/>
        <v>-62.485106024764519</v>
      </c>
      <c r="AJ224" s="170">
        <f t="shared" si="121"/>
        <v>0</v>
      </c>
      <c r="AK224" s="170">
        <f t="shared" si="133"/>
        <v>0</v>
      </c>
      <c r="AM224" s="170" t="str">
        <f t="shared" si="125"/>
        <v>0.128954109045677+0.491201644797317i</v>
      </c>
      <c r="AN224" s="170" t="str">
        <f t="shared" si="126"/>
        <v>0.513468759644852i</v>
      </c>
      <c r="AO224" s="170" t="str">
        <f t="shared" si="127"/>
        <v>0.956633944267736-0.251143047407344i</v>
      </c>
      <c r="AP224" s="170" t="str">
        <f t="shared" si="128"/>
        <v>0.145174315159054-0.0818669407995528i</v>
      </c>
      <c r="AQ224" s="170" t="str">
        <f t="shared" si="129"/>
        <v>0.854825684840946+0.0818669407995528i</v>
      </c>
      <c r="AR224" s="170" t="str">
        <f t="shared" si="130"/>
        <v>0.965611134202491-0.0924769002160402i</v>
      </c>
    </row>
    <row r="225" spans="7:44">
      <c r="G225" s="688">
        <v>13107.75</v>
      </c>
      <c r="H225" s="676">
        <f t="shared" si="122"/>
        <v>13.107749999999999</v>
      </c>
      <c r="I225" s="677">
        <f t="shared" si="102"/>
        <v>4.5926641678909101</v>
      </c>
      <c r="J225" s="678">
        <f t="shared" si="103"/>
        <v>1.3512995081835717</v>
      </c>
      <c r="K225" s="678">
        <f t="shared" si="104"/>
        <v>1.0001356489935442</v>
      </c>
      <c r="L225" s="679">
        <f t="shared" si="105"/>
        <v>1.6470194986366767E-2</v>
      </c>
      <c r="M225" s="678">
        <f t="shared" si="106"/>
        <v>1.0060487013777204</v>
      </c>
      <c r="N225" s="679">
        <f t="shared" si="107"/>
        <v>-0.10971206801341402</v>
      </c>
      <c r="O225" s="677">
        <f t="shared" si="108"/>
        <v>98830.106544349197</v>
      </c>
      <c r="P225" s="680">
        <f t="shared" si="109"/>
        <v>1.5707862084206989</v>
      </c>
      <c r="Q225" s="689">
        <f t="shared" si="131"/>
        <v>2.4231708685569897</v>
      </c>
      <c r="R225" s="690">
        <f t="shared" si="132"/>
        <v>1.1453993477546203</v>
      </c>
      <c r="S225" s="677">
        <f t="shared" si="110"/>
        <v>1.001521266954122</v>
      </c>
      <c r="T225" s="680">
        <f t="shared" si="111"/>
        <v>5.5124239859762836E-2</v>
      </c>
      <c r="U225" s="681">
        <f t="shared" si="123"/>
        <v>0.9589691696098136</v>
      </c>
      <c r="V225" s="682">
        <f t="shared" si="124"/>
        <v>-0.35416724512780745</v>
      </c>
      <c r="W225" s="683">
        <f t="shared" si="112"/>
        <v>-1.921140223968101</v>
      </c>
      <c r="X225" s="684">
        <f t="shared" si="113"/>
        <v>-130.58967108150324</v>
      </c>
      <c r="Y225" s="687">
        <f t="shared" si="114"/>
        <v>49.410328918496759</v>
      </c>
      <c r="AA225" s="170">
        <f t="shared" si="115"/>
        <v>13107.75</v>
      </c>
      <c r="AB225" s="170">
        <f t="shared" si="116"/>
        <v>171813110.0625</v>
      </c>
      <c r="AD225" s="686">
        <f t="shared" si="117"/>
        <v>12.882142099571096</v>
      </c>
      <c r="AE225" s="687">
        <f t="shared" si="118"/>
        <v>-27.531258100776199</v>
      </c>
      <c r="AG225" s="686">
        <f t="shared" si="119"/>
        <v>27.885863679031473</v>
      </c>
      <c r="AH225" s="687">
        <f t="shared" si="120"/>
        <v>-62.473836159155141</v>
      </c>
      <c r="AJ225" s="170">
        <f t="shared" si="121"/>
        <v>0</v>
      </c>
      <c r="AK225" s="170">
        <f t="shared" si="133"/>
        <v>0</v>
      </c>
      <c r="AM225" s="170" t="str">
        <f t="shared" si="125"/>
        <v>0.130414241025605+0.493781943563072i</v>
      </c>
      <c r="AN225" s="170" t="str">
        <f t="shared" si="126"/>
        <v>0.51643354185573i</v>
      </c>
      <c r="AO225" s="170" t="str">
        <f t="shared" si="127"/>
        <v>0.956138406093332-0.252528603306788i</v>
      </c>
      <c r="AP225" s="170" t="str">
        <f t="shared" si="128"/>
        <v>0.144930959829066-0.0822969905938453i</v>
      </c>
      <c r="AQ225" s="170" t="str">
        <f t="shared" si="129"/>
        <v>0.855069040170934+0.0822969905938453i</v>
      </c>
      <c r="AR225" s="170" t="str">
        <f t="shared" si="130"/>
        <v>0.965248954369131-0.092901368645689i</v>
      </c>
    </row>
    <row r="226" spans="7:44">
      <c r="G226" s="688">
        <v>13183</v>
      </c>
      <c r="H226" s="676">
        <f t="shared" si="122"/>
        <v>13.183</v>
      </c>
      <c r="I226" s="677">
        <f t="shared" si="102"/>
        <v>4.6177834836792835</v>
      </c>
      <c r="J226" s="678">
        <f t="shared" si="103"/>
        <v>1.3525128911321933</v>
      </c>
      <c r="K226" s="678">
        <f t="shared" si="104"/>
        <v>1.0001372108458548</v>
      </c>
      <c r="L226" s="679">
        <f t="shared" si="105"/>
        <v>1.6564731128396532E-2</v>
      </c>
      <c r="M226" s="678">
        <f t="shared" si="106"/>
        <v>1.0061181386751268</v>
      </c>
      <c r="N226" s="679">
        <f t="shared" si="107"/>
        <v>-0.11033682656239599</v>
      </c>
      <c r="O226" s="677">
        <f t="shared" si="108"/>
        <v>99397.478176910328</v>
      </c>
      <c r="P226" s="680">
        <f t="shared" si="109"/>
        <v>1.570786266177481</v>
      </c>
      <c r="Q226" s="689">
        <f t="shared" si="131"/>
        <v>2.4347184540824318</v>
      </c>
      <c r="R226" s="690">
        <f t="shared" si="132"/>
        <v>1.1475471224102991</v>
      </c>
      <c r="S226" s="677">
        <f t="shared" si="110"/>
        <v>1.0015387704523255</v>
      </c>
      <c r="T226" s="680">
        <f t="shared" si="111"/>
        <v>5.544005521380857E-2</v>
      </c>
      <c r="U226" s="681">
        <f t="shared" si="123"/>
        <v>0.95852820404712213</v>
      </c>
      <c r="V226" s="682">
        <f t="shared" si="124"/>
        <v>-0.35611968510031589</v>
      </c>
      <c r="W226" s="683">
        <f t="shared" si="112"/>
        <v>-1.9804793765222426</v>
      </c>
      <c r="X226" s="684">
        <f t="shared" si="113"/>
        <v>-130.69647865281001</v>
      </c>
      <c r="Y226" s="687">
        <f t="shared" si="114"/>
        <v>49.303521347189985</v>
      </c>
      <c r="AA226" s="170">
        <f t="shared" si="115"/>
        <v>13183</v>
      </c>
      <c r="AB226" s="170">
        <f t="shared" si="116"/>
        <v>173791489</v>
      </c>
      <c r="AD226" s="686">
        <f t="shared" si="117"/>
        <v>12.873562414672474</v>
      </c>
      <c r="AE226" s="687">
        <f t="shared" si="118"/>
        <v>-27.4262978736528</v>
      </c>
      <c r="AG226" s="686">
        <f t="shared" si="119"/>
        <v>27.84309416397118</v>
      </c>
      <c r="AH226" s="687">
        <f t="shared" si="120"/>
        <v>-62.461870816974894</v>
      </c>
      <c r="AJ226" s="170">
        <f t="shared" si="121"/>
        <v>0</v>
      </c>
      <c r="AK226" s="170">
        <f t="shared" si="133"/>
        <v>0</v>
      </c>
      <c r="AM226" s="170" t="str">
        <f t="shared" si="125"/>
        <v>0.131882016600978+0.496357902021531i</v>
      </c>
      <c r="AN226" s="170" t="str">
        <f t="shared" si="126"/>
        <v>0.519398324066609i</v>
      </c>
      <c r="AO226" s="170" t="str">
        <f t="shared" si="127"/>
        <v>0.955640168676934-0.253913057647959i</v>
      </c>
      <c r="AP226" s="170" t="str">
        <f t="shared" si="128"/>
        <v>0.144686330566504-0.0827263170035885i</v>
      </c>
      <c r="AQ226" s="170" t="str">
        <f t="shared" si="129"/>
        <v>0.855313669433496+0.0827263170035885i</v>
      </c>
      <c r="AR226" s="170" t="str">
        <f t="shared" si="130"/>
        <v>0.964885359781247-0.0933241394332601i</v>
      </c>
    </row>
    <row r="227" spans="7:44">
      <c r="G227" s="688">
        <v>13259.75</v>
      </c>
      <c r="H227" s="676">
        <f t="shared" si="122"/>
        <v>13.25975</v>
      </c>
      <c r="I227" s="677">
        <f t="shared" si="102"/>
        <v>4.6434104435824723</v>
      </c>
      <c r="J227" s="678">
        <f t="shared" si="103"/>
        <v>1.3537369361342675</v>
      </c>
      <c r="K227" s="678">
        <f t="shared" si="104"/>
        <v>1.0001388130387474</v>
      </c>
      <c r="L227" s="679">
        <f t="shared" si="105"/>
        <v>1.6661151406764701E-2</v>
      </c>
      <c r="M227" s="678">
        <f t="shared" si="106"/>
        <v>1.0061893645797388</v>
      </c>
      <c r="N227" s="679">
        <f t="shared" si="107"/>
        <v>-0.11097394969086345</v>
      </c>
      <c r="O227" s="677">
        <f t="shared" si="108"/>
        <v>99976.159543011207</v>
      </c>
      <c r="P227" s="680">
        <f t="shared" si="109"/>
        <v>1.5707863244102822</v>
      </c>
      <c r="Q227" s="689">
        <f t="shared" si="131"/>
        <v>2.4465076829506192</v>
      </c>
      <c r="R227" s="690">
        <f t="shared" si="132"/>
        <v>1.149716814248654</v>
      </c>
      <c r="S227" s="677">
        <f t="shared" si="110"/>
        <v>1.0015567257533196</v>
      </c>
      <c r="T227" s="680">
        <f t="shared" si="111"/>
        <v>5.5762154486836468E-2</v>
      </c>
      <c r="U227" s="681">
        <f t="shared" si="123"/>
        <v>0.95807644258722136</v>
      </c>
      <c r="V227" s="682">
        <f t="shared" si="124"/>
        <v>-0.35810970848629337</v>
      </c>
      <c r="W227" s="683">
        <f t="shared" si="112"/>
        <v>-2.0406360950365086</v>
      </c>
      <c r="X227" s="684">
        <f t="shared" si="113"/>
        <v>-130.80575527815878</v>
      </c>
      <c r="Y227" s="687">
        <f t="shared" si="114"/>
        <v>49.194244721841216</v>
      </c>
      <c r="AA227" s="170">
        <f t="shared" si="115"/>
        <v>13259.75</v>
      </c>
      <c r="AB227" s="170">
        <f t="shared" si="116"/>
        <v>175820970.0625</v>
      </c>
      <c r="AD227" s="686">
        <f t="shared" si="117"/>
        <v>12.864941749307775</v>
      </c>
      <c r="AE227" s="687">
        <f t="shared" si="118"/>
        <v>-27.320441953772601</v>
      </c>
      <c r="AG227" s="686">
        <f t="shared" si="119"/>
        <v>27.799747489393745</v>
      </c>
      <c r="AH227" s="687">
        <f t="shared" si="120"/>
        <v>-62.448963479645613</v>
      </c>
      <c r="AJ227" s="170">
        <f t="shared" si="121"/>
        <v>0</v>
      </c>
      <c r="AK227" s="170">
        <f t="shared" si="133"/>
        <v>0</v>
      </c>
      <c r="AM227" s="170" t="str">
        <f t="shared" si="125"/>
        <v>0.13338691044269+0.498980714064115i</v>
      </c>
      <c r="AN227" s="170" t="str">
        <f t="shared" si="126"/>
        <v>0.522422204926209i</v>
      </c>
      <c r="AO227" s="170" t="str">
        <f t="shared" si="127"/>
        <v>0.955129221841929-0.255323968209832i</v>
      </c>
      <c r="AP227" s="170" t="str">
        <f t="shared" si="128"/>
        <v>0.144435514926218-0.0831634523440192i</v>
      </c>
      <c r="AQ227" s="170" t="str">
        <f t="shared" si="129"/>
        <v>0.855564485073782+0.0831634523440192i</v>
      </c>
      <c r="AR227" s="170" t="str">
        <f t="shared" si="130"/>
        <v>0.964513070245326-0.0937535839225649i</v>
      </c>
    </row>
    <row r="228" spans="7:44">
      <c r="G228" s="688">
        <v>13336.5</v>
      </c>
      <c r="H228" s="676">
        <f t="shared" si="122"/>
        <v>13.336499999999999</v>
      </c>
      <c r="I228" s="677">
        <f t="shared" si="102"/>
        <v>4.6690442842658237</v>
      </c>
      <c r="J228" s="678">
        <f t="shared" si="103"/>
        <v>1.3549475425065574</v>
      </c>
      <c r="K228" s="678">
        <f t="shared" si="104"/>
        <v>1.0001404245297709</v>
      </c>
      <c r="L228" s="679">
        <f t="shared" si="105"/>
        <v>1.6757571375312075E-2</v>
      </c>
      <c r="M228" s="678">
        <f t="shared" si="106"/>
        <v>1.0062609988647373</v>
      </c>
      <c r="N228" s="679">
        <f t="shared" si="107"/>
        <v>-0.11161098236611514</v>
      </c>
      <c r="O228" s="677">
        <f t="shared" si="108"/>
        <v>100554.84090911243</v>
      </c>
      <c r="P228" s="680">
        <f t="shared" si="109"/>
        <v>1.5707863819728376</v>
      </c>
      <c r="Q228" s="689">
        <f t="shared" si="131"/>
        <v>2.458308318411357</v>
      </c>
      <c r="R228" s="690">
        <f t="shared" si="132"/>
        <v>1.1518656857469065</v>
      </c>
      <c r="S228" s="677">
        <f t="shared" si="110"/>
        <v>1.0015747849600305</v>
      </c>
      <c r="T228" s="680">
        <f t="shared" si="111"/>
        <v>5.6084242177856375E-2</v>
      </c>
      <c r="U228" s="681">
        <f t="shared" si="123"/>
        <v>0.95762266449793731</v>
      </c>
      <c r="V228" s="682">
        <f t="shared" si="124"/>
        <v>-0.36009837778351389</v>
      </c>
      <c r="W228" s="683">
        <f t="shared" si="112"/>
        <v>-2.1004289855866478</v>
      </c>
      <c r="X228" s="684">
        <f t="shared" si="113"/>
        <v>-130.91537139394535</v>
      </c>
      <c r="Y228" s="687">
        <f t="shared" si="114"/>
        <v>49.08462860605465</v>
      </c>
      <c r="AA228" s="170">
        <f t="shared" si="115"/>
        <v>13336.5</v>
      </c>
      <c r="AB228" s="170">
        <f t="shared" si="116"/>
        <v>177862232.25</v>
      </c>
      <c r="AD228" s="686">
        <f t="shared" si="117"/>
        <v>12.85644980239481</v>
      </c>
      <c r="AE228" s="687">
        <f t="shared" si="118"/>
        <v>-27.21577824950722</v>
      </c>
      <c r="AG228" s="686">
        <f t="shared" si="119"/>
        <v>27.756676369454532</v>
      </c>
      <c r="AH228" s="687">
        <f t="shared" si="120"/>
        <v>-62.435358584281239</v>
      </c>
      <c r="AJ228" s="170">
        <f t="shared" si="121"/>
        <v>0</v>
      </c>
      <c r="AK228" s="170">
        <f t="shared" si="133"/>
        <v>0</v>
      </c>
      <c r="AM228" s="170" t="str">
        <f t="shared" si="125"/>
        <v>0.13489972846319+0.501598963502654i</v>
      </c>
      <c r="AN228" s="170" t="str">
        <f t="shared" si="126"/>
        <v>0.52544608578581i</v>
      </c>
      <c r="AO228" s="170" t="str">
        <f t="shared" si="127"/>
        <v>0.954615472589367-0.256733720380553i</v>
      </c>
      <c r="AP228" s="170" t="str">
        <f t="shared" si="128"/>
        <v>0.144183378589468-0.0835998272504423i</v>
      </c>
      <c r="AQ228" s="170" t="str">
        <f t="shared" si="129"/>
        <v>0.855816621410532+0.0835998272504423i</v>
      </c>
      <c r="AR228" s="170" t="str">
        <f t="shared" si="130"/>
        <v>0.964139329513383-0.0941812525910403i</v>
      </c>
    </row>
    <row r="229" spans="7:44">
      <c r="G229" s="688">
        <v>13413.25</v>
      </c>
      <c r="H229" s="676">
        <f t="shared" si="122"/>
        <v>13.41325</v>
      </c>
      <c r="I229" s="677">
        <f t="shared" si="102"/>
        <v>4.6946848930183727</v>
      </c>
      <c r="J229" s="678">
        <f t="shared" si="103"/>
        <v>1.3561449268615091</v>
      </c>
      <c r="K229" s="678">
        <f t="shared" si="104"/>
        <v>1.0001420453188803</v>
      </c>
      <c r="L229" s="679">
        <f t="shared" si="105"/>
        <v>1.6853991032247367E-2</v>
      </c>
      <c r="M229" s="678">
        <f t="shared" si="106"/>
        <v>1.0063330414429128</v>
      </c>
      <c r="N229" s="679">
        <f t="shared" si="107"/>
        <v>-0.1122479240904936</v>
      </c>
      <c r="O229" s="677">
        <f t="shared" si="108"/>
        <v>101133.52227521398</v>
      </c>
      <c r="P229" s="680">
        <f t="shared" si="109"/>
        <v>1.5707864388766524</v>
      </c>
      <c r="Q229" s="689">
        <f t="shared" si="131"/>
        <v>2.470120196984702</v>
      </c>
      <c r="R229" s="690">
        <f t="shared" si="132"/>
        <v>1.1539940155988635</v>
      </c>
      <c r="S229" s="677">
        <f t="shared" si="110"/>
        <v>1.0015929480668382</v>
      </c>
      <c r="T229" s="680">
        <f t="shared" si="111"/>
        <v>5.6406318220669542E-2</v>
      </c>
      <c r="U229" s="681">
        <f t="shared" si="123"/>
        <v>0.9571668789075336</v>
      </c>
      <c r="V229" s="682">
        <f t="shared" si="124"/>
        <v>-0.36208568774280686</v>
      </c>
      <c r="W229" s="683">
        <f t="shared" si="112"/>
        <v>-2.1598630351660981</v>
      </c>
      <c r="X229" s="684">
        <f t="shared" si="113"/>
        <v>-131.02532311086978</v>
      </c>
      <c r="Y229" s="687">
        <f t="shared" si="114"/>
        <v>48.974676889130222</v>
      </c>
      <c r="AA229" s="170">
        <f t="shared" si="115"/>
        <v>13413.25</v>
      </c>
      <c r="AB229" s="170">
        <f t="shared" si="116"/>
        <v>179915275.5625</v>
      </c>
      <c r="AD229" s="686">
        <f t="shared" si="117"/>
        <v>12.848084011599362</v>
      </c>
      <c r="AE229" s="687">
        <f t="shared" si="118"/>
        <v>-27.112290789744019</v>
      </c>
      <c r="AG229" s="686">
        <f t="shared" si="119"/>
        <v>27.713878269498732</v>
      </c>
      <c r="AH229" s="687">
        <f t="shared" si="120"/>
        <v>-62.421068814205022</v>
      </c>
      <c r="AJ229" s="170">
        <f t="shared" si="121"/>
        <v>0</v>
      </c>
      <c r="AK229" s="170">
        <f t="shared" si="133"/>
        <v>0</v>
      </c>
      <c r="AM229" s="170" t="str">
        <f t="shared" si="125"/>
        <v>0.136420456829496+0.504212626396269i</v>
      </c>
      <c r="AN229" s="170" t="str">
        <f t="shared" si="126"/>
        <v>0.52846996664541i</v>
      </c>
      <c r="AO229" s="170" t="str">
        <f t="shared" si="127"/>
        <v>0.954098923722912-0.258142307869372i</v>
      </c>
      <c r="AP229" s="170" t="str">
        <f t="shared" si="128"/>
        <v>0.143929923861751-0.0840354377327115i</v>
      </c>
      <c r="AQ229" s="170" t="str">
        <f t="shared" si="129"/>
        <v>0.856070076138249+0.0840354377327115i</v>
      </c>
      <c r="AR229" s="170" t="str">
        <f t="shared" si="130"/>
        <v>0.963764147965508-0.0946071405868132i</v>
      </c>
    </row>
    <row r="230" spans="7:44">
      <c r="G230" s="688">
        <v>13490</v>
      </c>
      <c r="H230" s="676">
        <f t="shared" si="122"/>
        <v>13.49</v>
      </c>
      <c r="I230" s="677">
        <f t="shared" si="102"/>
        <v>4.7203321595486765</v>
      </c>
      <c r="J230" s="678">
        <f t="shared" si="103"/>
        <v>1.3573293012573608</v>
      </c>
      <c r="K230" s="678">
        <f t="shared" si="104"/>
        <v>1.00014367540603</v>
      </c>
      <c r="L230" s="679">
        <f t="shared" si="105"/>
        <v>1.6950410375779313E-2</v>
      </c>
      <c r="M230" s="678">
        <f t="shared" si="106"/>
        <v>1.006405492226583</v>
      </c>
      <c r="N230" s="679">
        <f t="shared" si="107"/>
        <v>-0.11288477436677859</v>
      </c>
      <c r="O230" s="677">
        <f t="shared" si="108"/>
        <v>101712.20364131585</v>
      </c>
      <c r="P230" s="680">
        <f t="shared" si="109"/>
        <v>1.57078649513297</v>
      </c>
      <c r="Q230" s="689">
        <f t="shared" si="131"/>
        <v>2.4819431581485141</v>
      </c>
      <c r="R230" s="690">
        <f t="shared" si="132"/>
        <v>1.1561020779399931</v>
      </c>
      <c r="S230" s="677">
        <f t="shared" si="110"/>
        <v>1.0016112150680898</v>
      </c>
      <c r="T230" s="680">
        <f t="shared" si="111"/>
        <v>5.6728382549091662E-2</v>
      </c>
      <c r="U230" s="681">
        <f t="shared" si="123"/>
        <v>0.95670909496130097</v>
      </c>
      <c r="V230" s="682">
        <f t="shared" si="124"/>
        <v>-0.36407163315271551</v>
      </c>
      <c r="W230" s="683">
        <f t="shared" si="112"/>
        <v>-2.2189431354696598</v>
      </c>
      <c r="X230" s="684">
        <f t="shared" si="113"/>
        <v>-131.13560654204034</v>
      </c>
      <c r="Y230" s="687">
        <f t="shared" si="114"/>
        <v>48.864393457959665</v>
      </c>
      <c r="AA230" s="170">
        <f t="shared" si="115"/>
        <v>13490</v>
      </c>
      <c r="AB230" s="170">
        <f t="shared" si="116"/>
        <v>181980100</v>
      </c>
      <c r="AD230" s="686">
        <f t="shared" si="117"/>
        <v>12.839841875929064</v>
      </c>
      <c r="AE230" s="687">
        <f t="shared" si="118"/>
        <v>-27.009963864529769</v>
      </c>
      <c r="AG230" s="686">
        <f t="shared" si="119"/>
        <v>27.671350688537505</v>
      </c>
      <c r="AH230" s="687">
        <f t="shared" si="120"/>
        <v>-62.406106589667502</v>
      </c>
      <c r="AJ230" s="170">
        <f t="shared" si="121"/>
        <v>0</v>
      </c>
      <c r="AK230" s="170">
        <f t="shared" si="133"/>
        <v>0</v>
      </c>
      <c r="AM230" s="170" t="str">
        <f t="shared" si="125"/>
        <v>0.137949081636301+0.506821678846024i</v>
      </c>
      <c r="AN230" s="170" t="str">
        <f t="shared" si="126"/>
        <v>0.53149384750501i</v>
      </c>
      <c r="AO230" s="170" t="str">
        <f t="shared" si="127"/>
        <v>0.953579578061337-0.259549724392625i</v>
      </c>
      <c r="AP230" s="170" t="str">
        <f t="shared" si="128"/>
        <v>0.143675153060616-0.0844702798076707i</v>
      </c>
      <c r="AQ230" s="170" t="str">
        <f t="shared" si="129"/>
        <v>0.856324846939384+0.0844702798076707i</v>
      </c>
      <c r="AR230" s="170" t="str">
        <f t="shared" si="130"/>
        <v>0.963387535992704-0.0950312431308986i</v>
      </c>
    </row>
    <row r="231" spans="7:44">
      <c r="G231" s="688">
        <v>13568.5</v>
      </c>
      <c r="H231" s="676">
        <f t="shared" si="122"/>
        <v>13.5685</v>
      </c>
      <c r="I231" s="677">
        <f t="shared" si="102"/>
        <v>4.7465709918996453</v>
      </c>
      <c r="J231" s="678">
        <f t="shared" si="103"/>
        <v>1.3585274390081341</v>
      </c>
      <c r="K231" s="678">
        <f t="shared" si="104"/>
        <v>1.0001453522797124</v>
      </c>
      <c r="L231" s="679">
        <f t="shared" si="105"/>
        <v>1.7049027879900733E-2</v>
      </c>
      <c r="M231" s="678">
        <f t="shared" si="106"/>
        <v>1.0064800171636661</v>
      </c>
      <c r="N231" s="679">
        <f t="shared" si="107"/>
        <v>-0.11353605054176238</v>
      </c>
      <c r="O231" s="677">
        <f t="shared" si="108"/>
        <v>102304.07969654741</v>
      </c>
      <c r="P231" s="680">
        <f t="shared" si="109"/>
        <v>1.5707865520136466</v>
      </c>
      <c r="Q231" s="689">
        <f t="shared" si="131"/>
        <v>2.4940469984672551</v>
      </c>
      <c r="R231" s="690">
        <f t="shared" si="132"/>
        <v>1.1582375219281185</v>
      </c>
      <c r="S231" s="677">
        <f t="shared" si="110"/>
        <v>1.0016300060496901</v>
      </c>
      <c r="T231" s="680">
        <f t="shared" si="111"/>
        <v>5.7057778176768062E-2</v>
      </c>
      <c r="U231" s="681">
        <f t="shared" si="123"/>
        <v>0.95623881527138388</v>
      </c>
      <c r="V231" s="682">
        <f t="shared" si="124"/>
        <v>-0.3661014437386913</v>
      </c>
      <c r="W231" s="683">
        <f t="shared" si="112"/>
        <v>-2.2790091932065741</v>
      </c>
      <c r="X231" s="684">
        <f t="shared" si="113"/>
        <v>-131.24874367807581</v>
      </c>
      <c r="Y231" s="687">
        <f t="shared" si="114"/>
        <v>48.751256321924188</v>
      </c>
      <c r="AA231" s="170">
        <f t="shared" si="115"/>
        <v>13568.5</v>
      </c>
      <c r="AB231" s="170">
        <f t="shared" si="116"/>
        <v>184104192.25</v>
      </c>
      <c r="AD231" s="686">
        <f t="shared" si="117"/>
        <v>12.831537181002471</v>
      </c>
      <c r="AE231" s="687">
        <f t="shared" si="118"/>
        <v>-26.906488174783991</v>
      </c>
      <c r="AG231" s="686">
        <f t="shared" si="119"/>
        <v>27.628130692789163</v>
      </c>
      <c r="AH231" s="687">
        <f t="shared" si="120"/>
        <v>-62.390120255608181</v>
      </c>
      <c r="AJ231" s="170">
        <f t="shared" si="121"/>
        <v>0</v>
      </c>
      <c r="AK231" s="170">
        <f t="shared" si="133"/>
        <v>0</v>
      </c>
      <c r="AM231" s="170" t="str">
        <f t="shared" si="125"/>
        <v>0.139520715077737+0.509485426896267i</v>
      </c>
      <c r="AN231" s="170" t="str">
        <f t="shared" si="126"/>
        <v>0.53458667678812i</v>
      </c>
      <c r="AO231" s="170" t="str">
        <f t="shared" si="127"/>
        <v>0.953045500417883-0.260988013984934i</v>
      </c>
      <c r="AP231" s="170" t="str">
        <f t="shared" si="128"/>
        <v>0.14341321415371-0.0849142378160445i</v>
      </c>
      <c r="AQ231" s="170" t="str">
        <f t="shared" si="129"/>
        <v>0.85658678584629+0.0849142378160445i</v>
      </c>
      <c r="AR231" s="170" t="str">
        <f t="shared" si="130"/>
        <v>0.963000867897745-0.0954631638788787i</v>
      </c>
    </row>
    <row r="232" spans="7:44">
      <c r="G232" s="688">
        <v>13647</v>
      </c>
      <c r="H232" s="676">
        <f t="shared" si="122"/>
        <v>13.647</v>
      </c>
      <c r="I232" s="677">
        <f t="shared" si="102"/>
        <v>4.7728165631900978</v>
      </c>
      <c r="J232" s="678">
        <f t="shared" si="103"/>
        <v>1.3597124013992234</v>
      </c>
      <c r="K232" s="678">
        <f t="shared" si="104"/>
        <v>1.0001470388801876</v>
      </c>
      <c r="L232" s="679">
        <f t="shared" si="105"/>
        <v>1.7147645052373494E-2</v>
      </c>
      <c r="M232" s="678">
        <f t="shared" si="106"/>
        <v>1.0065549689466513</v>
      </c>
      <c r="N232" s="679">
        <f t="shared" si="107"/>
        <v>-0.11418723000008066</v>
      </c>
      <c r="O232" s="677">
        <f t="shared" si="108"/>
        <v>102895.9557517793</v>
      </c>
      <c r="P232" s="680">
        <f t="shared" si="109"/>
        <v>1.5707866082399475</v>
      </c>
      <c r="Q232" s="689">
        <f t="shared" si="131"/>
        <v>2.5061621020557565</v>
      </c>
      <c r="R232" s="690">
        <f t="shared" si="132"/>
        <v>1.1603523294715379</v>
      </c>
      <c r="S232" s="677">
        <f t="shared" si="110"/>
        <v>1.0016489057055435</v>
      </c>
      <c r="T232" s="680">
        <f t="shared" si="111"/>
        <v>5.7387161409750517E-2</v>
      </c>
      <c r="U232" s="681">
        <f t="shared" si="123"/>
        <v>0.95576646446135782</v>
      </c>
      <c r="V232" s="682">
        <f t="shared" si="124"/>
        <v>-0.36812981593177335</v>
      </c>
      <c r="W232" s="683">
        <f t="shared" si="112"/>
        <v>-2.3387150324116783</v>
      </c>
      <c r="X232" s="684">
        <f t="shared" si="113"/>
        <v>-131.36221961884061</v>
      </c>
      <c r="Y232" s="687">
        <f t="shared" si="114"/>
        <v>48.637780381159388</v>
      </c>
      <c r="AA232" s="170">
        <f t="shared" si="115"/>
        <v>13647</v>
      </c>
      <c r="AB232" s="170">
        <f t="shared" si="116"/>
        <v>186240609</v>
      </c>
      <c r="AD232" s="686">
        <f t="shared" si="117"/>
        <v>12.823356741290972</v>
      </c>
      <c r="AE232" s="687">
        <f t="shared" si="118"/>
        <v>-26.804194118568752</v>
      </c>
      <c r="AG232" s="686">
        <f t="shared" si="119"/>
        <v>27.585188506183705</v>
      </c>
      <c r="AH232" s="687">
        <f t="shared" si="120"/>
        <v>-62.373455920432043</v>
      </c>
      <c r="AJ232" s="170">
        <f t="shared" si="121"/>
        <v>0</v>
      </c>
      <c r="AK232" s="170">
        <f t="shared" si="133"/>
        <v>0</v>
      </c>
      <c r="AM232" s="170" t="str">
        <f t="shared" si="125"/>
        <v>0.141100579507215+0.512144301420175i</v>
      </c>
      <c r="AN232" s="170" t="str">
        <f t="shared" si="126"/>
        <v>0.537679506071229i</v>
      </c>
      <c r="AO232" s="170" t="str">
        <f t="shared" si="127"/>
        <v>0.95250850299719-0.262425065329759i</v>
      </c>
      <c r="AP232" s="170" t="str">
        <f t="shared" si="128"/>
        <v>0.143149903415464-0.0853573835700292i</v>
      </c>
      <c r="AQ232" s="170" t="str">
        <f t="shared" si="129"/>
        <v>0.856850096584536+0.0853573835700292i</v>
      </c>
      <c r="AR232" s="170" t="str">
        <f t="shared" si="130"/>
        <v>0.962612725423884-0.0958932069459027i</v>
      </c>
    </row>
    <row r="233" spans="7:44">
      <c r="G233" s="688">
        <v>13725.5</v>
      </c>
      <c r="H233" s="676">
        <f t="shared" si="122"/>
        <v>13.7255</v>
      </c>
      <c r="I233" s="677">
        <f t="shared" si="102"/>
        <v>4.799068762856515</v>
      </c>
      <c r="J233" s="678">
        <f t="shared" si="103"/>
        <v>1.3608844012936463</v>
      </c>
      <c r="K233" s="678">
        <f t="shared" si="104"/>
        <v>1.0001487352074068</v>
      </c>
      <c r="L233" s="679">
        <f t="shared" si="105"/>
        <v>1.7246261891281103E-2</v>
      </c>
      <c r="M233" s="678">
        <f t="shared" si="106"/>
        <v>1.0066303474801928</v>
      </c>
      <c r="N233" s="679">
        <f t="shared" si="107"/>
        <v>-0.11483831221115404</v>
      </c>
      <c r="O233" s="677">
        <f t="shared" si="108"/>
        <v>103487.83180701151</v>
      </c>
      <c r="P233" s="680">
        <f t="shared" si="109"/>
        <v>1.5707866638231003</v>
      </c>
      <c r="Q233" s="689">
        <f t="shared" si="131"/>
        <v>2.5182883063563692</v>
      </c>
      <c r="R233" s="690">
        <f t="shared" si="132"/>
        <v>1.1624467796253826</v>
      </c>
      <c r="S233" s="677">
        <f t="shared" si="110"/>
        <v>1.0016679140294986</v>
      </c>
      <c r="T233" s="680">
        <f t="shared" si="111"/>
        <v>5.7716532177270893E-2</v>
      </c>
      <c r="U233" s="681">
        <f t="shared" si="123"/>
        <v>0.95529205236875236</v>
      </c>
      <c r="V233" s="682">
        <f t="shared" si="124"/>
        <v>-0.37015674427846562</v>
      </c>
      <c r="W233" s="683">
        <f t="shared" si="112"/>
        <v>-2.3980655922102412</v>
      </c>
      <c r="X233" s="684">
        <f t="shared" si="113"/>
        <v>-131.47603022564212</v>
      </c>
      <c r="Y233" s="687">
        <f t="shared" si="114"/>
        <v>48.52396977435788</v>
      </c>
      <c r="AA233" s="170">
        <f t="shared" si="115"/>
        <v>13725.5</v>
      </c>
      <c r="AB233" s="170">
        <f t="shared" si="116"/>
        <v>188389350.25</v>
      </c>
      <c r="AD233" s="686">
        <f t="shared" si="117"/>
        <v>12.815298068987333</v>
      </c>
      <c r="AE233" s="687">
        <f t="shared" si="118"/>
        <v>-26.703065703791331</v>
      </c>
      <c r="AG233" s="686">
        <f t="shared" si="119"/>
        <v>27.542521558485635</v>
      </c>
      <c r="AH233" s="687">
        <f t="shared" si="120"/>
        <v>-62.356126062463765</v>
      </c>
      <c r="AJ233" s="170">
        <f t="shared" si="121"/>
        <v>0</v>
      </c>
      <c r="AK233" s="170">
        <f t="shared" si="133"/>
        <v>0</v>
      </c>
      <c r="AM233" s="170" t="str">
        <f t="shared" si="125"/>
        <v>0.142688659812406+0.514798276984055i</v>
      </c>
      <c r="AN233" s="170" t="str">
        <f t="shared" si="126"/>
        <v>0.540772335354338i</v>
      </c>
      <c r="AO233" s="170" t="str">
        <f t="shared" si="127"/>
        <v>0.951968588864178-0.263860871726935i</v>
      </c>
      <c r="AP233" s="170" t="str">
        <f t="shared" si="128"/>
        <v>0.142885223364599-0.0857997128306758i</v>
      </c>
      <c r="AQ233" s="170" t="str">
        <f t="shared" si="129"/>
        <v>0.857114776635401+0.0857997128306758i</v>
      </c>
      <c r="AR233" s="170" t="str">
        <f t="shared" si="130"/>
        <v>0.962223119720827-0.0963213674546211i</v>
      </c>
    </row>
    <row r="234" spans="7:44">
      <c r="G234" s="688">
        <v>13804</v>
      </c>
      <c r="H234" s="676">
        <f t="shared" si="122"/>
        <v>13.804</v>
      </c>
      <c r="I234" s="677">
        <f t="shared" si="102"/>
        <v>4.8253274827138348</v>
      </c>
      <c r="J234" s="678">
        <f t="shared" si="103"/>
        <v>1.3620436470651465</v>
      </c>
      <c r="K234" s="678">
        <f t="shared" si="104"/>
        <v>1.0001504412613202</v>
      </c>
      <c r="L234" s="679">
        <f t="shared" si="105"/>
        <v>1.7344878394707108E-2</v>
      </c>
      <c r="M234" s="678">
        <f t="shared" si="106"/>
        <v>1.0067061526684296</v>
      </c>
      <c r="N234" s="679">
        <f t="shared" si="107"/>
        <v>-0.11548929664489141</v>
      </c>
      <c r="O234" s="677">
        <f t="shared" si="108"/>
        <v>104079.70786224403</v>
      </c>
      <c r="P234" s="680">
        <f t="shared" si="109"/>
        <v>1.5707867187740772</v>
      </c>
      <c r="Q234" s="689">
        <f t="shared" si="131"/>
        <v>2.5304254517799238</v>
      </c>
      <c r="R234" s="690">
        <f t="shared" si="132"/>
        <v>1.1645211468126375</v>
      </c>
      <c r="S234" s="677">
        <f t="shared" si="110"/>
        <v>1.0016870310153689</v>
      </c>
      <c r="T234" s="680">
        <f t="shared" si="111"/>
        <v>5.8045890408577237E-2</v>
      </c>
      <c r="U234" s="681">
        <f t="shared" si="123"/>
        <v>0.9548155888477351</v>
      </c>
      <c r="V234" s="682">
        <f t="shared" si="124"/>
        <v>-0.37218222336668694</v>
      </c>
      <c r="W234" s="683">
        <f t="shared" si="112"/>
        <v>-2.4570657170166417</v>
      </c>
      <c r="X234" s="684">
        <f t="shared" si="113"/>
        <v>-131.59017137036091</v>
      </c>
      <c r="Y234" s="687">
        <f t="shared" si="114"/>
        <v>48.409828629639094</v>
      </c>
      <c r="AA234" s="170">
        <f t="shared" si="115"/>
        <v>13804</v>
      </c>
      <c r="AB234" s="170">
        <f t="shared" si="116"/>
        <v>190550416</v>
      </c>
      <c r="AD234" s="686">
        <f t="shared" si="117"/>
        <v>12.807358736209807</v>
      </c>
      <c r="AE234" s="687">
        <f t="shared" si="118"/>
        <v>-26.603087203747762</v>
      </c>
      <c r="AG234" s="686">
        <f t="shared" si="119"/>
        <v>27.500127313946873</v>
      </c>
      <c r="AH234" s="687">
        <f t="shared" si="120"/>
        <v>-62.3381429004667</v>
      </c>
      <c r="AJ234" s="170">
        <f t="shared" si="121"/>
        <v>0</v>
      </c>
      <c r="AK234" s="170">
        <f t="shared" si="133"/>
        <v>0</v>
      </c>
      <c r="AM234" s="170" t="str">
        <f t="shared" si="125"/>
        <v>0.144284940802393+0.51744732820108i</v>
      </c>
      <c r="AN234" s="170" t="str">
        <f t="shared" si="126"/>
        <v>0.543865164637447i</v>
      </c>
      <c r="AO234" s="170" t="str">
        <f t="shared" si="127"/>
        <v>0.951425761100221-0.265295426484203i</v>
      </c>
      <c r="AP234" s="170" t="str">
        <f t="shared" si="128"/>
        <v>0.142619176532935-0.0862412213668467i</v>
      </c>
      <c r="AQ234" s="170" t="str">
        <f t="shared" si="129"/>
        <v>0.857380823467065+0.0862412213668467i</v>
      </c>
      <c r="AR234" s="170" t="str">
        <f t="shared" si="130"/>
        <v>0.961832061947635-0.0967476406070365i</v>
      </c>
    </row>
    <row r="235" spans="7:44">
      <c r="G235" s="688">
        <v>13884.25</v>
      </c>
      <c r="H235" s="676">
        <f t="shared" si="122"/>
        <v>13.88425</v>
      </c>
      <c r="I235" s="677">
        <f t="shared" si="102"/>
        <v>4.8521782176525647</v>
      </c>
      <c r="J235" s="678">
        <f t="shared" si="103"/>
        <v>1.363215764526434</v>
      </c>
      <c r="K235" s="678">
        <f t="shared" si="104"/>
        <v>1.000152195402598</v>
      </c>
      <c r="L235" s="679">
        <f t="shared" si="105"/>
        <v>1.7445693006436867E-2</v>
      </c>
      <c r="M235" s="678">
        <f t="shared" si="106"/>
        <v>1.0067840887087105</v>
      </c>
      <c r="N235" s="679">
        <f t="shared" si="107"/>
        <v>-0.11615469184770001</v>
      </c>
      <c r="O235" s="677">
        <f t="shared" si="108"/>
        <v>104684.77860660627</v>
      </c>
      <c r="P235" s="680">
        <f t="shared" si="109"/>
        <v>1.5707867743077697</v>
      </c>
      <c r="Q235" s="689">
        <f t="shared" si="131"/>
        <v>2.5428443170664377</v>
      </c>
      <c r="R235" s="690">
        <f t="shared" si="132"/>
        <v>1.1666212793487327</v>
      </c>
      <c r="S235" s="677">
        <f t="shared" si="110"/>
        <v>1.0017066864921205</v>
      </c>
      <c r="T235" s="680">
        <f t="shared" si="111"/>
        <v>5.8382577988640633E-2</v>
      </c>
      <c r="U235" s="681">
        <f t="shared" si="123"/>
        <v>0.95432639327029789</v>
      </c>
      <c r="V235" s="682">
        <f t="shared" si="124"/>
        <v>-0.3742513527736861</v>
      </c>
      <c r="W235" s="683">
        <f t="shared" si="112"/>
        <v>-2.5170238388090516</v>
      </c>
      <c r="X235" s="684">
        <f t="shared" si="113"/>
        <v>-131.70719444993318</v>
      </c>
      <c r="Y235" s="687">
        <f t="shared" si="114"/>
        <v>48.292805550066817</v>
      </c>
      <c r="AA235" s="170">
        <f t="shared" si="115"/>
        <v>13884.25</v>
      </c>
      <c r="AB235" s="170">
        <f t="shared" si="116"/>
        <v>192772398.0625</v>
      </c>
      <c r="AD235" s="686">
        <f t="shared" si="117"/>
        <v>12.799363304434927</v>
      </c>
      <c r="AE235" s="687">
        <f t="shared" si="118"/>
        <v>-26.502052432094263</v>
      </c>
      <c r="AG235" s="686">
        <f t="shared" si="119"/>
        <v>27.457067259626097</v>
      </c>
      <c r="AH235" s="687">
        <f t="shared" si="120"/>
        <v>-62.319095986846655</v>
      </c>
      <c r="AJ235" s="170">
        <f t="shared" si="121"/>
        <v>0</v>
      </c>
      <c r="AK235" s="170">
        <f t="shared" si="133"/>
        <v>0</v>
      </c>
      <c r="AM235" s="170" t="str">
        <f t="shared" si="125"/>
        <v>0.145925268722117+0.520150318074124i</v>
      </c>
      <c r="AN235" s="170" t="str">
        <f t="shared" si="126"/>
        <v>0.547026942344065i</v>
      </c>
      <c r="AO235" s="170" t="str">
        <f t="shared" si="127"/>
        <v>0.950867823521138-0.266760660995622i</v>
      </c>
      <c r="AP235" s="170" t="str">
        <f t="shared" si="128"/>
        <v>0.142345788546314-0.0866917196790207i</v>
      </c>
      <c r="AQ235" s="170" t="str">
        <f t="shared" si="129"/>
        <v>0.857654211453686+0.0866917196790207i</v>
      </c>
      <c r="AR235" s="170" t="str">
        <f t="shared" si="130"/>
        <v>0.961430796968368-0.0971814608130798i</v>
      </c>
    </row>
    <row r="236" spans="7:44">
      <c r="G236" s="688">
        <v>13964.5</v>
      </c>
      <c r="H236" s="676">
        <f t="shared" si="122"/>
        <v>13.964499999999999</v>
      </c>
      <c r="I236" s="677">
        <f t="shared" si="102"/>
        <v>4.8790355454242214</v>
      </c>
      <c r="J236" s="678">
        <f t="shared" si="103"/>
        <v>1.3643749793995188</v>
      </c>
      <c r="K236" s="678">
        <f t="shared" si="104"/>
        <v>1.0001539597089728</v>
      </c>
      <c r="L236" s="679">
        <f t="shared" si="105"/>
        <v>1.7546507263510293E-2</v>
      </c>
      <c r="M236" s="678">
        <f t="shared" si="106"/>
        <v>1.0068624704343059</v>
      </c>
      <c r="N236" s="679">
        <f t="shared" si="107"/>
        <v>-0.11681998374632369</v>
      </c>
      <c r="O236" s="677">
        <f t="shared" si="108"/>
        <v>105289.84935096881</v>
      </c>
      <c r="P236" s="680">
        <f t="shared" si="109"/>
        <v>1.5707868292031897</v>
      </c>
      <c r="Q236" s="689">
        <f t="shared" si="131"/>
        <v>2.5552742886678925</v>
      </c>
      <c r="R236" s="690">
        <f t="shared" si="132"/>
        <v>1.1687009890571605</v>
      </c>
      <c r="S236" s="677">
        <f t="shared" si="110"/>
        <v>1.0017264555164023</v>
      </c>
      <c r="T236" s="680">
        <f t="shared" si="111"/>
        <v>5.8719252317840719E-2</v>
      </c>
      <c r="U236" s="681">
        <f t="shared" si="123"/>
        <v>0.95383507465741935</v>
      </c>
      <c r="V236" s="682">
        <f t="shared" si="124"/>
        <v>-0.37631895627968043</v>
      </c>
      <c r="W236" s="683">
        <f t="shared" si="112"/>
        <v>-2.5766256722177534</v>
      </c>
      <c r="X236" s="684">
        <f t="shared" si="113"/>
        <v>-131.82455428543827</v>
      </c>
      <c r="Y236" s="687">
        <f t="shared" si="114"/>
        <v>48.175445714561732</v>
      </c>
      <c r="AA236" s="170">
        <f t="shared" si="115"/>
        <v>13964.5</v>
      </c>
      <c r="AB236" s="170">
        <f t="shared" si="116"/>
        <v>195007260.25</v>
      </c>
      <c r="AD236" s="686">
        <f t="shared" si="117"/>
        <v>12.7914876455936</v>
      </c>
      <c r="AE236" s="687">
        <f t="shared" si="118"/>
        <v>-26.402187006484304</v>
      </c>
      <c r="AG236" s="686">
        <f t="shared" si="119"/>
        <v>27.414286951359088</v>
      </c>
      <c r="AH236" s="687">
        <f t="shared" si="120"/>
        <v>-62.299391338491091</v>
      </c>
      <c r="AJ236" s="170">
        <f t="shared" si="121"/>
        <v>0</v>
      </c>
      <c r="AK236" s="170">
        <f t="shared" si="133"/>
        <v>0</v>
      </c>
      <c r="AM236" s="170" t="str">
        <f t="shared" si="125"/>
        <v>0.147574134681684+0.522848108092896i</v>
      </c>
      <c r="AN236" s="170" t="str">
        <f t="shared" si="126"/>
        <v>0.550188720050683i</v>
      </c>
      <c r="AO236" s="170" t="str">
        <f t="shared" si="127"/>
        <v>0.95030684752085-0.268224573321113i</v>
      </c>
      <c r="AP236" s="170" t="str">
        <f t="shared" si="128"/>
        <v>0.142070977553053-0.087141351348816i</v>
      </c>
      <c r="AQ236" s="170" t="str">
        <f t="shared" si="129"/>
        <v>0.857929022446947+0.087141351348816i</v>
      </c>
      <c r="AR236" s="170" t="str">
        <f t="shared" si="130"/>
        <v>0.961028038066745-0.0976132986880231i</v>
      </c>
    </row>
    <row r="237" spans="7:44">
      <c r="G237" s="688">
        <v>14044.75</v>
      </c>
      <c r="H237" s="676">
        <f t="shared" si="122"/>
        <v>14.044750000000001</v>
      </c>
      <c r="I237" s="677">
        <f t="shared" si="102"/>
        <v>4.9058993577514887</v>
      </c>
      <c r="J237" s="678">
        <f t="shared" si="103"/>
        <v>1.3655215004997603</v>
      </c>
      <c r="K237" s="678">
        <f t="shared" si="104"/>
        <v>1.0001557341803908</v>
      </c>
      <c r="L237" s="679">
        <f t="shared" si="105"/>
        <v>1.7647321163880014E-2</v>
      </c>
      <c r="M237" s="678">
        <f t="shared" si="106"/>
        <v>1.0069412977411369</v>
      </c>
      <c r="N237" s="679">
        <f t="shared" si="107"/>
        <v>-0.11748517177602139</v>
      </c>
      <c r="O237" s="677">
        <f t="shared" si="108"/>
        <v>105894.92009533168</v>
      </c>
      <c r="P237" s="680">
        <f t="shared" si="109"/>
        <v>1.5707868834712782</v>
      </c>
      <c r="Q237" s="689">
        <f t="shared" si="131"/>
        <v>2.5677152052916639</v>
      </c>
      <c r="R237" s="690">
        <f t="shared" si="132"/>
        <v>1.1707605546697459</v>
      </c>
      <c r="S237" s="677">
        <f t="shared" si="110"/>
        <v>1.0017463380814919</v>
      </c>
      <c r="T237" s="680">
        <f t="shared" si="111"/>
        <v>5.9055913320640439E-2</v>
      </c>
      <c r="U237" s="681">
        <f t="shared" si="123"/>
        <v>0.95334164358772511</v>
      </c>
      <c r="V237" s="682">
        <f t="shared" si="124"/>
        <v>-0.37838502823693315</v>
      </c>
      <c r="W237" s="683">
        <f t="shared" si="112"/>
        <v>-2.6358761004566893</v>
      </c>
      <c r="X237" s="684">
        <f t="shared" si="113"/>
        <v>-131.94224651142511</v>
      </c>
      <c r="Y237" s="687">
        <f t="shared" si="114"/>
        <v>48.057753488574889</v>
      </c>
      <c r="AA237" s="170">
        <f t="shared" si="115"/>
        <v>14044.75</v>
      </c>
      <c r="AB237" s="170">
        <f t="shared" si="116"/>
        <v>197255002.5625</v>
      </c>
      <c r="AD237" s="686">
        <f t="shared" si="117"/>
        <v>12.783729349239277</v>
      </c>
      <c r="AE237" s="687">
        <f t="shared" si="118"/>
        <v>-26.303474953059585</v>
      </c>
      <c r="AG237" s="686">
        <f t="shared" si="119"/>
        <v>27.371783788079188</v>
      </c>
      <c r="AH237" s="687">
        <f t="shared" si="120"/>
        <v>-62.279041210990322</v>
      </c>
      <c r="AJ237" s="170">
        <f t="shared" si="121"/>
        <v>0</v>
      </c>
      <c r="AK237" s="170">
        <f t="shared" si="133"/>
        <v>0</v>
      </c>
      <c r="AM237" s="170" t="str">
        <f t="shared" si="125"/>
        <v>0.149231522197661+0.525540671288048i</v>
      </c>
      <c r="AN237" s="170" t="str">
        <f t="shared" si="126"/>
        <v>0.553350497757301i</v>
      </c>
      <c r="AO237" s="170" t="str">
        <f t="shared" si="127"/>
        <v>0.949742836444596-0.269687156336695i</v>
      </c>
      <c r="AP237" s="170" t="str">
        <f t="shared" si="128"/>
        <v>0.14179474630039-0.0875901118813413i</v>
      </c>
      <c r="AQ237" s="170" t="str">
        <f t="shared" si="129"/>
        <v>0.85820525369961+0.0875901118813413i</v>
      </c>
      <c r="AR237" s="170" t="str">
        <f t="shared" si="130"/>
        <v>0.960623797190985-0.098043149362132i</v>
      </c>
    </row>
    <row r="238" spans="7:44">
      <c r="G238" s="688">
        <v>14125</v>
      </c>
      <c r="H238" s="676">
        <f t="shared" si="122"/>
        <v>14.125</v>
      </c>
      <c r="I238" s="677">
        <f t="shared" si="102"/>
        <v>4.9327695486898975</v>
      </c>
      <c r="J238" s="678">
        <f t="shared" si="103"/>
        <v>1.3666555322277554</v>
      </c>
      <c r="K238" s="678">
        <f t="shared" si="104"/>
        <v>1.0001575188167982</v>
      </c>
      <c r="L238" s="679">
        <f t="shared" si="105"/>
        <v>1.77481347054987E-2</v>
      </c>
      <c r="M238" s="678">
        <f t="shared" si="106"/>
        <v>1.0070205705245667</v>
      </c>
      <c r="N238" s="679">
        <f t="shared" si="107"/>
        <v>-0.11815025537259616</v>
      </c>
      <c r="O238" s="677">
        <f t="shared" si="108"/>
        <v>106499.99083969484</v>
      </c>
      <c r="P238" s="680">
        <f t="shared" si="109"/>
        <v>1.5707869371227274</v>
      </c>
      <c r="Q238" s="689">
        <f t="shared" si="131"/>
        <v>2.5801669086153125</v>
      </c>
      <c r="R238" s="690">
        <f t="shared" si="132"/>
        <v>1.1728002502284505</v>
      </c>
      <c r="S238" s="677">
        <f t="shared" si="110"/>
        <v>1.0017663341806291</v>
      </c>
      <c r="T238" s="680">
        <f t="shared" si="111"/>
        <v>5.9392560921520829E-2</v>
      </c>
      <c r="U238" s="681">
        <f t="shared" si="123"/>
        <v>0.95284611065579494</v>
      </c>
      <c r="V238" s="682">
        <f t="shared" si="124"/>
        <v>-0.38044956304307465</v>
      </c>
      <c r="W238" s="683">
        <f t="shared" si="112"/>
        <v>-2.6947799128461778</v>
      </c>
      <c r="X238" s="684">
        <f t="shared" si="113"/>
        <v>-132.06026678082227</v>
      </c>
      <c r="Y238" s="687">
        <f t="shared" si="114"/>
        <v>47.939733219177725</v>
      </c>
      <c r="AA238" s="170">
        <f t="shared" si="115"/>
        <v>14125</v>
      </c>
      <c r="AB238" s="170">
        <f t="shared" si="116"/>
        <v>199515625</v>
      </c>
      <c r="AD238" s="686">
        <f t="shared" si="117"/>
        <v>12.776086063305531</v>
      </c>
      <c r="AE238" s="687">
        <f t="shared" si="118"/>
        <v>-26.205900566657998</v>
      </c>
      <c r="AG238" s="686">
        <f t="shared" si="119"/>
        <v>27.329555203930589</v>
      </c>
      <c r="AH238" s="687">
        <f t="shared" si="120"/>
        <v>-62.258057604419228</v>
      </c>
      <c r="AJ238" s="170">
        <f t="shared" si="121"/>
        <v>0</v>
      </c>
      <c r="AK238" s="170">
        <f t="shared" si="133"/>
        <v>0</v>
      </c>
      <c r="AM238" s="170" t="str">
        <f t="shared" si="125"/>
        <v>0.150897414701428+0.528227980742483i</v>
      </c>
      <c r="AN238" s="170" t="str">
        <f t="shared" si="126"/>
        <v>0.556512275463919i</v>
      </c>
      <c r="AO238" s="170" t="str">
        <f t="shared" si="127"/>
        <v>0.949175793655481-0.271148402927208i</v>
      </c>
      <c r="AP238" s="170" t="str">
        <f t="shared" si="128"/>
        <v>0.141517097549762-0.0880379967904138i</v>
      </c>
      <c r="AQ238" s="170" t="str">
        <f t="shared" si="129"/>
        <v>0.858482902450238+0.0880379967904138i</v>
      </c>
      <c r="AR238" s="170" t="str">
        <f t="shared" si="130"/>
        <v>0.960218086296683-0.0984710080517705i</v>
      </c>
    </row>
    <row r="239" spans="7:44">
      <c r="G239" s="688">
        <v>14207.25</v>
      </c>
      <c r="H239" s="676">
        <f t="shared" si="122"/>
        <v>14.20725</v>
      </c>
      <c r="I239" s="677">
        <f t="shared" si="102"/>
        <v>4.9603159122920859</v>
      </c>
      <c r="J239" s="678">
        <f t="shared" si="103"/>
        <v>1.3678050756255002</v>
      </c>
      <c r="K239" s="678">
        <f t="shared" si="104"/>
        <v>1.0001593584782138</v>
      </c>
      <c r="L239" s="679">
        <f t="shared" si="105"/>
        <v>1.7851460359720118E-2</v>
      </c>
      <c r="M239" s="678">
        <f t="shared" si="106"/>
        <v>1.007102281111893</v>
      </c>
      <c r="N239" s="679">
        <f t="shared" si="107"/>
        <v>-0.1188318053019484</v>
      </c>
      <c r="O239" s="677">
        <f t="shared" si="108"/>
        <v>107120.14122877768</v>
      </c>
      <c r="P239" s="680">
        <f t="shared" si="109"/>
        <v>1.5707869914823349</v>
      </c>
      <c r="Q239" s="689">
        <f t="shared" si="131"/>
        <v>2.5929399654578096</v>
      </c>
      <c r="R239" s="690">
        <f t="shared" si="132"/>
        <v>1.1748704421814185</v>
      </c>
      <c r="S239" s="677">
        <f t="shared" si="110"/>
        <v>1.001786946431372</v>
      </c>
      <c r="T239" s="680">
        <f t="shared" si="111"/>
        <v>5.973758450767757E-2</v>
      </c>
      <c r="U239" s="681">
        <f t="shared" si="123"/>
        <v>0.95233605800568533</v>
      </c>
      <c r="V239" s="682">
        <f t="shared" si="124"/>
        <v>-0.38256394952393047</v>
      </c>
      <c r="W239" s="683">
        <f t="shared" si="112"/>
        <v>-2.7547969665825258</v>
      </c>
      <c r="X239" s="684">
        <f t="shared" si="113"/>
        <v>-132.18156424641668</v>
      </c>
      <c r="Y239" s="687">
        <f t="shared" si="114"/>
        <v>47.818435753583316</v>
      </c>
      <c r="AA239" s="170">
        <f t="shared" si="115"/>
        <v>14207.25</v>
      </c>
      <c r="AB239" s="170">
        <f t="shared" si="116"/>
        <v>201845952.5625</v>
      </c>
      <c r="AD239" s="686">
        <f t="shared" si="117"/>
        <v>12.768369234809246</v>
      </c>
      <c r="AE239" s="687">
        <f t="shared" si="118"/>
        <v>-26.107058814753373</v>
      </c>
      <c r="AG239" s="686">
        <f t="shared" si="119"/>
        <v>27.286556474803973</v>
      </c>
      <c r="AH239" s="687">
        <f t="shared" si="120"/>
        <v>-62.235905978416277</v>
      </c>
      <c r="AJ239" s="170">
        <f t="shared" si="121"/>
        <v>0</v>
      </c>
      <c r="AK239" s="170">
        <f t="shared" si="133"/>
        <v>0</v>
      </c>
      <c r="AM239" s="170" t="str">
        <f t="shared" si="125"/>
        <v>0.152613632922417+0.530976783759003i</v>
      </c>
      <c r="AN239" s="170" t="str">
        <f t="shared" si="126"/>
        <v>0.559752851368833i</v>
      </c>
      <c r="AO239" s="170" t="str">
        <f t="shared" si="127"/>
        <v>0.948591476507069-0.272644672642957i</v>
      </c>
      <c r="AP239" s="170" t="str">
        <f t="shared" si="128"/>
        <v>0.141231061179597-0.0884961306265005i</v>
      </c>
      <c r="AQ239" s="170" t="str">
        <f t="shared" si="129"/>
        <v>0.858768938820403+0.0884961306265005i</v>
      </c>
      <c r="AR239" s="170" t="str">
        <f t="shared" si="130"/>
        <v>0.959800751314742-0.0989074579018119i</v>
      </c>
    </row>
    <row r="240" spans="7:44">
      <c r="G240" s="688">
        <v>14289.5</v>
      </c>
      <c r="H240" s="676">
        <f t="shared" si="122"/>
        <v>14.2895</v>
      </c>
      <c r="I240" s="677">
        <f t="shared" si="102"/>
        <v>4.9878687582987027</v>
      </c>
      <c r="J240" s="678">
        <f t="shared" si="103"/>
        <v>1.3689419204212701</v>
      </c>
      <c r="K240" s="678">
        <f t="shared" si="104"/>
        <v>1.0001612088174823</v>
      </c>
      <c r="L240" s="679">
        <f t="shared" si="105"/>
        <v>1.7954785632731257E-2</v>
      </c>
      <c r="M240" s="678">
        <f t="shared" si="106"/>
        <v>1.007184459432577</v>
      </c>
      <c r="N240" s="679">
        <f t="shared" si="107"/>
        <v>-0.11951324432957859</v>
      </c>
      <c r="O240" s="677">
        <f t="shared" si="108"/>
        <v>107740.29161786081</v>
      </c>
      <c r="P240" s="680">
        <f t="shared" si="109"/>
        <v>1.5707870452161576</v>
      </c>
      <c r="Q240" s="689">
        <f t="shared" si="131"/>
        <v>2.6057240258761025</v>
      </c>
      <c r="R240" s="690">
        <f t="shared" si="132"/>
        <v>1.1769203295232906</v>
      </c>
      <c r="S240" s="677">
        <f t="shared" si="110"/>
        <v>1.0018076779311949</v>
      </c>
      <c r="T240" s="680">
        <f t="shared" si="111"/>
        <v>6.0082593855003884E-2</v>
      </c>
      <c r="U240" s="681">
        <f t="shared" si="123"/>
        <v>0.95182382000699661</v>
      </c>
      <c r="V240" s="682">
        <f t="shared" si="124"/>
        <v>-0.38467670951020511</v>
      </c>
      <c r="W240" s="683">
        <f t="shared" si="112"/>
        <v>-2.8144598069623772</v>
      </c>
      <c r="X240" s="684">
        <f t="shared" si="113"/>
        <v>-132.30319712891952</v>
      </c>
      <c r="Y240" s="687">
        <f t="shared" si="114"/>
        <v>47.696802871080479</v>
      </c>
      <c r="AA240" s="170">
        <f t="shared" si="115"/>
        <v>14289.5</v>
      </c>
      <c r="AB240" s="170">
        <f t="shared" si="116"/>
        <v>204189810.25</v>
      </c>
      <c r="AD240" s="686">
        <f t="shared" si="117"/>
        <v>12.760768398674283</v>
      </c>
      <c r="AE240" s="687">
        <f t="shared" si="118"/>
        <v>-26.009379579690812</v>
      </c>
      <c r="AG240" s="686">
        <f t="shared" si="119"/>
        <v>27.243840834556625</v>
      </c>
      <c r="AH240" s="687">
        <f t="shared" si="120"/>
        <v>-62.213113635029742</v>
      </c>
      <c r="AJ240" s="170">
        <f t="shared" si="121"/>
        <v>0</v>
      </c>
      <c r="AK240" s="170">
        <f t="shared" si="133"/>
        <v>0</v>
      </c>
      <c r="AM240" s="170" t="str">
        <f t="shared" si="125"/>
        <v>0.154338749821356+0.533720010816808i</v>
      </c>
      <c r="AN240" s="170" t="str">
        <f t="shared" si="126"/>
        <v>0.562993427273747i</v>
      </c>
      <c r="AO240" s="170" t="str">
        <f t="shared" si="127"/>
        <v>0.948003981860511-0.274139523384366i</v>
      </c>
      <c r="AP240" s="170" t="str">
        <f t="shared" si="128"/>
        <v>0.140943541696441-0.0889533351361347i</v>
      </c>
      <c r="AQ240" s="170" t="str">
        <f t="shared" si="129"/>
        <v>0.859056458303559+0.0889533351361347i</v>
      </c>
      <c r="AR240" s="170" t="str">
        <f t="shared" si="130"/>
        <v>0.95938189758083-0.0993418053425452i</v>
      </c>
    </row>
    <row r="241" spans="7:44">
      <c r="G241" s="688">
        <v>14371.75</v>
      </c>
      <c r="H241" s="676">
        <f t="shared" si="122"/>
        <v>14.37175</v>
      </c>
      <c r="I241" s="677">
        <f t="shared" si="102"/>
        <v>5.0154279798741879</v>
      </c>
      <c r="J241" s="678">
        <f t="shared" si="103"/>
        <v>1.3700662729842705</v>
      </c>
      <c r="K241" s="678">
        <f t="shared" si="104"/>
        <v>1.0001630698345443</v>
      </c>
      <c r="L241" s="679">
        <f t="shared" si="105"/>
        <v>1.8058110522328013E-2</v>
      </c>
      <c r="M241" s="678">
        <f t="shared" si="106"/>
        <v>1.0072671053721378</v>
      </c>
      <c r="N241" s="679">
        <f t="shared" si="107"/>
        <v>-0.12019457184984356</v>
      </c>
      <c r="O241" s="677">
        <f t="shared" si="108"/>
        <v>108360.44200694426</v>
      </c>
      <c r="P241" s="680">
        <f t="shared" si="109"/>
        <v>1.5707870983349392</v>
      </c>
      <c r="Q241" s="689">
        <f t="shared" si="131"/>
        <v>2.618518928706139</v>
      </c>
      <c r="R241" s="690">
        <f t="shared" si="132"/>
        <v>1.1789501925434833</v>
      </c>
      <c r="S241" s="677">
        <f t="shared" si="110"/>
        <v>1.0018285286726942</v>
      </c>
      <c r="T241" s="680">
        <f t="shared" si="111"/>
        <v>6.0427588882252366E-2</v>
      </c>
      <c r="U241" s="681">
        <f t="shared" si="123"/>
        <v>0.95130940811488085</v>
      </c>
      <c r="V241" s="682">
        <f t="shared" si="124"/>
        <v>-0.38678783711865872</v>
      </c>
      <c r="W241" s="683">
        <f t="shared" si="112"/>
        <v>-2.8737732978978787</v>
      </c>
      <c r="X241" s="684">
        <f t="shared" si="113"/>
        <v>-132.42516081731588</v>
      </c>
      <c r="Y241" s="687">
        <f t="shared" si="114"/>
        <v>47.574839182684116</v>
      </c>
      <c r="AA241" s="170">
        <f t="shared" si="115"/>
        <v>14371.75</v>
      </c>
      <c r="AB241" s="170">
        <f t="shared" si="116"/>
        <v>206547198.0625</v>
      </c>
      <c r="AD241" s="686">
        <f t="shared" si="117"/>
        <v>12.753281202824805</v>
      </c>
      <c r="AE241" s="687">
        <f t="shared" si="118"/>
        <v>-25.912846798030124</v>
      </c>
      <c r="AG241" s="686">
        <f t="shared" si="119"/>
        <v>27.2014056319411</v>
      </c>
      <c r="AH241" s="687">
        <f t="shared" si="120"/>
        <v>-62.18969270085443</v>
      </c>
      <c r="AJ241" s="170">
        <f t="shared" si="121"/>
        <v>0</v>
      </c>
      <c r="AK241" s="170">
        <f t="shared" si="133"/>
        <v>0</v>
      </c>
      <c r="AM241" s="170" t="str">
        <f t="shared" si="125"/>
        <v>0.156072747282238+0.536457633108385i</v>
      </c>
      <c r="AN241" s="170" t="str">
        <f t="shared" si="126"/>
        <v>0.566234003178661i</v>
      </c>
      <c r="AO241" s="170" t="str">
        <f t="shared" si="127"/>
        <v>0.947413313394955-0.275632947520096i</v>
      </c>
      <c r="AP241" s="170" t="str">
        <f t="shared" si="128"/>
        <v>0.140654542119627-0.0894096055180642i</v>
      </c>
      <c r="AQ241" s="170" t="str">
        <f t="shared" si="129"/>
        <v>0.859345457880373+0.0894096055180642i</v>
      </c>
      <c r="AR241" s="170" t="str">
        <f t="shared" si="130"/>
        <v>0.958961537986332-0.0997740455041653i</v>
      </c>
    </row>
    <row r="242" spans="7:44">
      <c r="G242" s="688">
        <v>14454</v>
      </c>
      <c r="H242" s="676">
        <f t="shared" si="122"/>
        <v>14.454000000000001</v>
      </c>
      <c r="I242" s="677">
        <f t="shared" si="102"/>
        <v>5.0429934724938885</v>
      </c>
      <c r="J242" s="678">
        <f t="shared" si="103"/>
        <v>1.3711783352994806</v>
      </c>
      <c r="K242" s="678">
        <f t="shared" si="104"/>
        <v>1.0001649415293403</v>
      </c>
      <c r="L242" s="679">
        <f t="shared" si="105"/>
        <v>1.8161435026306332E-2</v>
      </c>
      <c r="M242" s="678">
        <f t="shared" si="106"/>
        <v>1.007350218815481</v>
      </c>
      <c r="N242" s="679">
        <f t="shared" si="107"/>
        <v>-0.12087578725771238</v>
      </c>
      <c r="O242" s="677">
        <f t="shared" si="108"/>
        <v>108980.59239602799</v>
      </c>
      <c r="P242" s="680">
        <f t="shared" si="109"/>
        <v>1.5707871508491797</v>
      </c>
      <c r="Q242" s="689">
        <f t="shared" si="131"/>
        <v>2.6313245157831635</v>
      </c>
      <c r="R242" s="690">
        <f t="shared" si="132"/>
        <v>1.1809603067422048</v>
      </c>
      <c r="S242" s="677">
        <f t="shared" si="110"/>
        <v>1.0018494986484252</v>
      </c>
      <c r="T242" s="680">
        <f t="shared" si="111"/>
        <v>6.0772569508195977E-2</v>
      </c>
      <c r="U242" s="681">
        <f t="shared" si="123"/>
        <v>0.9507928337996373</v>
      </c>
      <c r="V242" s="682">
        <f t="shared" si="124"/>
        <v>-0.38889732651620113</v>
      </c>
      <c r="W242" s="683">
        <f t="shared" si="112"/>
        <v>-2.9327422093088567</v>
      </c>
      <c r="X242" s="684">
        <f t="shared" si="113"/>
        <v>-132.54745072669002</v>
      </c>
      <c r="Y242" s="687">
        <f t="shared" si="114"/>
        <v>47.452549273309984</v>
      </c>
      <c r="AA242" s="170">
        <f t="shared" si="115"/>
        <v>14454</v>
      </c>
      <c r="AB242" s="170">
        <f t="shared" si="116"/>
        <v>208918116</v>
      </c>
      <c r="AD242" s="686">
        <f t="shared" si="117"/>
        <v>12.74590535259655</v>
      </c>
      <c r="AE242" s="687">
        <f t="shared" si="118"/>
        <v>-25.817444680719749</v>
      </c>
      <c r="AG242" s="686">
        <f t="shared" si="119"/>
        <v>27.159248251982035</v>
      </c>
      <c r="AH242" s="687">
        <f t="shared" si="120"/>
        <v>-62.165655048449196</v>
      </c>
      <c r="AJ242" s="170">
        <f t="shared" si="121"/>
        <v>0</v>
      </c>
      <c r="AK242" s="170">
        <f t="shared" si="133"/>
        <v>0</v>
      </c>
      <c r="AM242" s="170" t="str">
        <f t="shared" si="125"/>
        <v>0.157815607095793+0.539189621885077i</v>
      </c>
      <c r="AN242" s="170" t="str">
        <f t="shared" si="126"/>
        <v>0.569474579083575i</v>
      </c>
      <c r="AO242" s="170" t="str">
        <f t="shared" si="127"/>
        <v>0.946819474809158-0.277124937428739i</v>
      </c>
      <c r="AP242" s="170" t="str">
        <f t="shared" si="128"/>
        <v>0.140364065484034-0.0898649369808462i</v>
      </c>
      <c r="AQ242" s="170" t="str">
        <f t="shared" si="129"/>
        <v>0.859635934515966+0.0898649369808462i</v>
      </c>
      <c r="AR242" s="170" t="str">
        <f t="shared" si="130"/>
        <v>0.958539685427628-0.100204173611118i</v>
      </c>
    </row>
    <row r="243" spans="7:44">
      <c r="G243" s="688">
        <v>14622.5</v>
      </c>
      <c r="H243" s="676">
        <f t="shared" si="122"/>
        <v>14.6225</v>
      </c>
      <c r="I243" s="677">
        <f t="shared" si="102"/>
        <v>5.0994841831879265</v>
      </c>
      <c r="J243" s="678">
        <f t="shared" si="103"/>
        <v>1.3734189910920729</v>
      </c>
      <c r="K243" s="678">
        <f t="shared" si="104"/>
        <v>1.0001688092873837</v>
      </c>
      <c r="L243" s="679">
        <f t="shared" si="105"/>
        <v>1.8373107720669173E-2</v>
      </c>
      <c r="M243" s="678">
        <f t="shared" si="106"/>
        <v>1.0075219471085886</v>
      </c>
      <c r="N243" s="679">
        <f t="shared" si="107"/>
        <v>-0.12227099444328371</v>
      </c>
      <c r="O243" s="677">
        <f t="shared" si="108"/>
        <v>110251.05246363513</v>
      </c>
      <c r="P243" s="680">
        <f t="shared" si="109"/>
        <v>1.5707872565866976</v>
      </c>
      <c r="Q243" s="689">
        <f t="shared" si="131"/>
        <v>2.657591167397749</v>
      </c>
      <c r="R243" s="690">
        <f t="shared" si="132"/>
        <v>1.1850177567260138</v>
      </c>
      <c r="S243" s="677">
        <f t="shared" si="110"/>
        <v>1.0018928307249952</v>
      </c>
      <c r="T243" s="680">
        <f t="shared" si="111"/>
        <v>6.147926261931163E-2</v>
      </c>
      <c r="U243" s="681">
        <f t="shared" si="123"/>
        <v>0.94972785869487442</v>
      </c>
      <c r="V243" s="682">
        <f t="shared" si="124"/>
        <v>-0.39321375440125755</v>
      </c>
      <c r="W243" s="683">
        <f t="shared" si="112"/>
        <v>-3.0524913973561558</v>
      </c>
      <c r="X243" s="684">
        <f t="shared" si="113"/>
        <v>-132.79897731020893</v>
      </c>
      <c r="Y243" s="687">
        <f t="shared" si="114"/>
        <v>47.201022689791074</v>
      </c>
      <c r="AA243" s="170">
        <f t="shared" si="115"/>
        <v>14622.5</v>
      </c>
      <c r="AB243" s="170">
        <f t="shared" si="116"/>
        <v>213817506.25</v>
      </c>
      <c r="AD243" s="686">
        <f t="shared" si="117"/>
        <v>12.731133278681945</v>
      </c>
      <c r="AE243" s="687">
        <f t="shared" si="118"/>
        <v>-25.625466511834109</v>
      </c>
      <c r="AG243" s="686">
        <f t="shared" si="119"/>
        <v>27.073740028100289</v>
      </c>
      <c r="AH243" s="687">
        <f t="shared" si="120"/>
        <v>-62.114533599515958</v>
      </c>
      <c r="AJ243" s="170">
        <f t="shared" si="121"/>
        <v>0</v>
      </c>
      <c r="AK243" s="170">
        <f t="shared" si="133"/>
        <v>0</v>
      </c>
      <c r="AM243" s="170" t="str">
        <f t="shared" si="125"/>
        <v>0.161413683656375+0.544768749141532i</v>
      </c>
      <c r="AN243" s="170" t="str">
        <f t="shared" si="126"/>
        <v>0.576113327289994i</v>
      </c>
      <c r="AO243" s="170" t="str">
        <f t="shared" si="127"/>
        <v>0.945593034106839-0.280176965208662i</v>
      </c>
      <c r="AP243" s="170" t="str">
        <f t="shared" si="128"/>
        <v>0.139764386057271-0.0907947915235887i</v>
      </c>
      <c r="AQ243" s="170" t="str">
        <f t="shared" si="129"/>
        <v>0.860235613942729+0.0907947915235887i</v>
      </c>
      <c r="AR243" s="170" t="str">
        <f t="shared" si="130"/>
        <v>0.957670856881569-0.10107873283722i</v>
      </c>
    </row>
    <row r="244" spans="7:44">
      <c r="G244" s="688">
        <v>14706.75</v>
      </c>
      <c r="H244" s="676">
        <f t="shared" si="122"/>
        <v>14.70675</v>
      </c>
      <c r="I244" s="677">
        <f t="shared" si="102"/>
        <v>5.1277389806768374</v>
      </c>
      <c r="J244" s="678">
        <f t="shared" si="103"/>
        <v>1.3745208027687179</v>
      </c>
      <c r="K244" s="678">
        <f t="shared" si="104"/>
        <v>1.0001707599711425</v>
      </c>
      <c r="L244" s="679">
        <f t="shared" si="105"/>
        <v>1.8478943451560349E-2</v>
      </c>
      <c r="M244" s="678">
        <f t="shared" si="106"/>
        <v>1.0076085465337354</v>
      </c>
      <c r="N244" s="679">
        <f t="shared" si="107"/>
        <v>-0.12296841901678003</v>
      </c>
      <c r="O244" s="677">
        <f t="shared" si="108"/>
        <v>110886.28249743914</v>
      </c>
      <c r="P244" s="680">
        <f t="shared" si="109"/>
        <v>1.5707873085468547</v>
      </c>
      <c r="Q244" s="689">
        <f t="shared" si="131"/>
        <v>2.6707406579628459</v>
      </c>
      <c r="R244" s="690">
        <f t="shared" si="132"/>
        <v>1.1870165366144374</v>
      </c>
      <c r="S244" s="677">
        <f t="shared" si="110"/>
        <v>1.0019146843862554</v>
      </c>
      <c r="T244" s="680">
        <f t="shared" si="111"/>
        <v>6.1832586163672619E-2</v>
      </c>
      <c r="U244" s="681">
        <f t="shared" si="123"/>
        <v>0.94919201683052756</v>
      </c>
      <c r="V244" s="682">
        <f t="shared" si="124"/>
        <v>-0.39536936562272135</v>
      </c>
      <c r="W244" s="683">
        <f t="shared" si="112"/>
        <v>-3.1118432721105025</v>
      </c>
      <c r="X244" s="684">
        <f t="shared" si="113"/>
        <v>-132.92523471160231</v>
      </c>
      <c r="Y244" s="687">
        <f t="shared" si="114"/>
        <v>47.074765288397685</v>
      </c>
      <c r="AA244" s="170">
        <f t="shared" si="115"/>
        <v>14706.75</v>
      </c>
      <c r="AB244" s="170">
        <f t="shared" si="116"/>
        <v>216288495.5625</v>
      </c>
      <c r="AD244" s="686">
        <f t="shared" si="117"/>
        <v>12.723913147843664</v>
      </c>
      <c r="AE244" s="687">
        <f t="shared" si="118"/>
        <v>-25.531191784936269</v>
      </c>
      <c r="AG244" s="686">
        <f t="shared" si="119"/>
        <v>27.031412306946208</v>
      </c>
      <c r="AH244" s="687">
        <f t="shared" si="120"/>
        <v>-62.088050877003077</v>
      </c>
      <c r="AJ244" s="170">
        <f t="shared" si="121"/>
        <v>0</v>
      </c>
      <c r="AK244" s="170">
        <f t="shared" si="133"/>
        <v>0</v>
      </c>
      <c r="AM244" s="170" t="str">
        <f t="shared" si="125"/>
        <v>0.163226591484081+0.54754932453675i</v>
      </c>
      <c r="AN244" s="170" t="str">
        <f t="shared" si="126"/>
        <v>0.579432701393203i</v>
      </c>
      <c r="AO244" s="170" t="str">
        <f t="shared" si="127"/>
        <v>0.944974840426176-0.281700689470261i</v>
      </c>
      <c r="AP244" s="170" t="str">
        <f t="shared" si="128"/>
        <v>0.139462234752653-0.091258220756125i</v>
      </c>
      <c r="AQ244" s="170" t="str">
        <f t="shared" si="129"/>
        <v>0.860537765247347+0.091258220756125i</v>
      </c>
      <c r="AR244" s="170" t="str">
        <f t="shared" si="130"/>
        <v>0.957234147906336-0.101512668836595i</v>
      </c>
    </row>
    <row r="245" spans="7:44">
      <c r="G245" s="688">
        <v>14791</v>
      </c>
      <c r="H245" s="676">
        <f t="shared" si="122"/>
        <v>14.791</v>
      </c>
      <c r="I245" s="677">
        <f t="shared" si="102"/>
        <v>5.1559999349539298</v>
      </c>
      <c r="J245" s="678">
        <f t="shared" si="103"/>
        <v>1.3756105373040164</v>
      </c>
      <c r="K245" s="678">
        <f t="shared" si="104"/>
        <v>1.0001727218579723</v>
      </c>
      <c r="L245" s="679">
        <f t="shared" si="105"/>
        <v>1.8584778768433268E-2</v>
      </c>
      <c r="M245" s="678">
        <f t="shared" si="106"/>
        <v>1.0076956359763471</v>
      </c>
      <c r="N245" s="679">
        <f t="shared" si="107"/>
        <v>-0.12366572338046315</v>
      </c>
      <c r="O245" s="677">
        <f t="shared" si="108"/>
        <v>111521.51253124347</v>
      </c>
      <c r="P245" s="680">
        <f t="shared" si="109"/>
        <v>1.5707873599150783</v>
      </c>
      <c r="Q245" s="689">
        <f t="shared" si="131"/>
        <v>2.6839007138829873</v>
      </c>
      <c r="R245" s="690">
        <f t="shared" si="132"/>
        <v>1.1889957229832047</v>
      </c>
      <c r="S245" s="677">
        <f t="shared" si="110"/>
        <v>1.0019366631186017</v>
      </c>
      <c r="T245" s="680">
        <f t="shared" si="111"/>
        <v>6.218589425095146E-2</v>
      </c>
      <c r="U245" s="681">
        <f t="shared" si="123"/>
        <v>0.94865395526942131</v>
      </c>
      <c r="V245" s="682">
        <f t="shared" si="124"/>
        <v>-0.39752323361178332</v>
      </c>
      <c r="W245" s="683">
        <f t="shared" si="112"/>
        <v>-3.1708530192895186</v>
      </c>
      <c r="X245" s="684">
        <f t="shared" si="113"/>
        <v>-133.0518151065568</v>
      </c>
      <c r="Y245" s="687">
        <f t="shared" si="114"/>
        <v>46.948184893443198</v>
      </c>
      <c r="AA245" s="170">
        <f t="shared" si="115"/>
        <v>14791</v>
      </c>
      <c r="AB245" s="170">
        <f t="shared" si="116"/>
        <v>218773681</v>
      </c>
      <c r="AD245" s="686">
        <f t="shared" si="117"/>
        <v>12.716800624904781</v>
      </c>
      <c r="AE245" s="687">
        <f t="shared" si="118"/>
        <v>-25.438038764480975</v>
      </c>
      <c r="AG245" s="686">
        <f t="shared" si="119"/>
        <v>26.989365288744235</v>
      </c>
      <c r="AH245" s="687">
        <f t="shared" si="120"/>
        <v>-62.060969201327651</v>
      </c>
      <c r="AJ245" s="170">
        <f t="shared" si="121"/>
        <v>0</v>
      </c>
      <c r="AK245" s="170">
        <f t="shared" si="133"/>
        <v>0</v>
      </c>
      <c r="AM245" s="170" t="str">
        <f t="shared" si="125"/>
        <v>0.165048719077276+0.550323866905209i</v>
      </c>
      <c r="AN245" s="170" t="str">
        <f t="shared" si="126"/>
        <v>0.582752075496413i</v>
      </c>
      <c r="AO245" s="170" t="str">
        <f t="shared" si="127"/>
        <v>0.944353336599307-0.283222876446524i</v>
      </c>
      <c r="AP245" s="170" t="str">
        <f t="shared" si="128"/>
        <v>0.139158546820454-0.0917206444842015i</v>
      </c>
      <c r="AQ245" s="170" t="str">
        <f t="shared" si="129"/>
        <v>0.860841453179546+0.0917206444842015i</v>
      </c>
      <c r="AR245" s="170" t="str">
        <f t="shared" si="130"/>
        <v>0.956795927626812-0.101944369427906i</v>
      </c>
    </row>
    <row r="246" spans="7:44">
      <c r="G246" s="688">
        <v>14877.25</v>
      </c>
      <c r="H246" s="676">
        <f t="shared" si="122"/>
        <v>14.87725</v>
      </c>
      <c r="I246" s="677">
        <f t="shared" si="102"/>
        <v>5.1849380450614957</v>
      </c>
      <c r="J246" s="678">
        <f t="shared" si="103"/>
        <v>1.3767138338271057</v>
      </c>
      <c r="K246" s="678">
        <f t="shared" si="104"/>
        <v>1.0001747419228644</v>
      </c>
      <c r="L246" s="679">
        <f t="shared" si="105"/>
        <v>1.8693126065038892E-2</v>
      </c>
      <c r="M246" s="678">
        <f t="shared" si="106"/>
        <v>1.0077853002957111</v>
      </c>
      <c r="N246" s="679">
        <f t="shared" si="107"/>
        <v>-0.12437945576394367</v>
      </c>
      <c r="O246" s="677">
        <f t="shared" si="108"/>
        <v>112171.82220976747</v>
      </c>
      <c r="P246" s="680">
        <f t="shared" si="109"/>
        <v>1.5707874119000478</v>
      </c>
      <c r="Q246" s="689">
        <f t="shared" si="131"/>
        <v>2.6973839577800627</v>
      </c>
      <c r="R246" s="690">
        <f t="shared" si="132"/>
        <v>1.1910018796289925</v>
      </c>
      <c r="S246" s="677">
        <f t="shared" si="110"/>
        <v>1.001959293152574</v>
      </c>
      <c r="T246" s="680">
        <f t="shared" si="111"/>
        <v>6.2547573370967405E-2</v>
      </c>
      <c r="U246" s="681">
        <f t="shared" si="123"/>
        <v>0.94810083431866488</v>
      </c>
      <c r="V246" s="682">
        <f t="shared" si="124"/>
        <v>-0.39972641994245062</v>
      </c>
      <c r="W246" s="683">
        <f t="shared" si="112"/>
        <v>-3.2309140381324823</v>
      </c>
      <c r="X246" s="684">
        <f t="shared" si="113"/>
        <v>-133.18172998650445</v>
      </c>
      <c r="Y246" s="687">
        <f t="shared" si="114"/>
        <v>46.81827001349555</v>
      </c>
      <c r="AA246" s="170">
        <f t="shared" si="115"/>
        <v>14877.25</v>
      </c>
      <c r="AB246" s="170">
        <f t="shared" si="116"/>
        <v>221332567.5625</v>
      </c>
      <c r="AD246" s="686">
        <f t="shared" si="117"/>
        <v>12.709628454527842</v>
      </c>
      <c r="AE246" s="687">
        <f t="shared" si="118"/>
        <v>-25.343820121161823</v>
      </c>
      <c r="AG246" s="686">
        <f t="shared" si="119"/>
        <v>26.946608161462905</v>
      </c>
      <c r="AH246" s="687">
        <f t="shared" si="120"/>
        <v>-62.032636167849688</v>
      </c>
      <c r="AJ246" s="170">
        <f t="shared" si="121"/>
        <v>0</v>
      </c>
      <c r="AK246" s="170">
        <f t="shared" si="133"/>
        <v>0</v>
      </c>
      <c r="AM246" s="170" t="str">
        <f t="shared" si="125"/>
        <v>0.1669236316261+0.553157992310474i</v>
      </c>
      <c r="AN246" s="170" t="str">
        <f t="shared" si="126"/>
        <v>0.586150247797918i</v>
      </c>
      <c r="AO246" s="170" t="str">
        <f t="shared" si="127"/>
        <v>0.943713654286779-0.284779597472164i</v>
      </c>
      <c r="AP246" s="170" t="str">
        <f t="shared" si="128"/>
        <v>0.13884606139565-0.0921929987184123i</v>
      </c>
      <c r="AQ246" s="170" t="str">
        <f t="shared" si="129"/>
        <v>0.86115393860435+0.0921929987184123i</v>
      </c>
      <c r="AR246" s="170" t="str">
        <f t="shared" si="130"/>
        <v>0.956345753433127-0.102383997643338i</v>
      </c>
    </row>
    <row r="247" spans="7:44">
      <c r="G247" s="688">
        <v>14963.5</v>
      </c>
      <c r="H247" s="676">
        <f t="shared" si="122"/>
        <v>14.9635</v>
      </c>
      <c r="I247" s="677">
        <f t="shared" si="102"/>
        <v>5.2138823965394829</v>
      </c>
      <c r="J247" s="678">
        <f t="shared" si="103"/>
        <v>1.3778048819833848</v>
      </c>
      <c r="K247" s="678">
        <f t="shared" si="104"/>
        <v>1.0001767737288969</v>
      </c>
      <c r="L247" s="679">
        <f t="shared" si="105"/>
        <v>1.8801472922712847E-2</v>
      </c>
      <c r="M247" s="678">
        <f t="shared" si="106"/>
        <v>1.0078754779034338</v>
      </c>
      <c r="N247" s="679">
        <f t="shared" si="107"/>
        <v>-0.1250930607913848</v>
      </c>
      <c r="O247" s="677">
        <f t="shared" si="108"/>
        <v>112822.13188829178</v>
      </c>
      <c r="P247" s="680">
        <f t="shared" si="109"/>
        <v>1.5707874632857315</v>
      </c>
      <c r="Q247" s="689">
        <f t="shared" si="131"/>
        <v>2.7108779497263931</v>
      </c>
      <c r="R247" s="690">
        <f t="shared" si="132"/>
        <v>1.1929880720294319</v>
      </c>
      <c r="S247" s="677">
        <f t="shared" si="110"/>
        <v>1.0019820542487003</v>
      </c>
      <c r="T247" s="680">
        <f t="shared" si="111"/>
        <v>6.2909236106433716E-2</v>
      </c>
      <c r="U247" s="681">
        <f t="shared" si="123"/>
        <v>0.94754541334808096</v>
      </c>
      <c r="V247" s="682">
        <f t="shared" si="124"/>
        <v>-0.40192776663939972</v>
      </c>
      <c r="W247" s="683">
        <f t="shared" si="112"/>
        <v>-3.290626256095984</v>
      </c>
      <c r="X247" s="684">
        <f t="shared" si="113"/>
        <v>-133.31197330556338</v>
      </c>
      <c r="Y247" s="687">
        <f t="shared" si="114"/>
        <v>46.688026694436616</v>
      </c>
      <c r="AA247" s="170">
        <f t="shared" si="115"/>
        <v>14963.5</v>
      </c>
      <c r="AB247" s="170">
        <f t="shared" si="116"/>
        <v>223906332.25</v>
      </c>
      <c r="AD247" s="686">
        <f t="shared" si="117"/>
        <v>12.702564499194423</v>
      </c>
      <c r="AE247" s="687">
        <f t="shared" si="118"/>
        <v>-25.250744371741501</v>
      </c>
      <c r="AG247" s="686">
        <f t="shared" si="119"/>
        <v>26.90413969983134</v>
      </c>
      <c r="AH247" s="687">
        <f t="shared" si="120"/>
        <v>-62.003699486080173</v>
      </c>
      <c r="AJ247" s="170">
        <f t="shared" si="121"/>
        <v>0</v>
      </c>
      <c r="AK247" s="170">
        <f t="shared" si="133"/>
        <v>0</v>
      </c>
      <c r="AM247" s="170" t="str">
        <f t="shared" si="125"/>
        <v>0.168808164177505+0.55598573008849i</v>
      </c>
      <c r="AN247" s="170" t="str">
        <f t="shared" si="126"/>
        <v>0.589548420099424i</v>
      </c>
      <c r="AO247" s="170" t="str">
        <f t="shared" si="127"/>
        <v>0.943070511485259-0.286334690115931i</v>
      </c>
      <c r="AP247" s="170" t="str">
        <f t="shared" si="128"/>
        <v>0.138531972637083-0.0926642883480817i</v>
      </c>
      <c r="AQ247" s="170" t="str">
        <f t="shared" si="129"/>
        <v>0.861468027362917+0.0926642883480817i</v>
      </c>
      <c r="AR247" s="170" t="str">
        <f t="shared" si="130"/>
        <v>0.955894024757906-0.102821273369278i</v>
      </c>
    </row>
    <row r="248" spans="7:44">
      <c r="G248" s="688">
        <v>15049.75</v>
      </c>
      <c r="H248" s="676">
        <f t="shared" si="122"/>
        <v>15.04975</v>
      </c>
      <c r="I248" s="677">
        <f t="shared" si="102"/>
        <v>5.2428328860168216</v>
      </c>
      <c r="J248" s="678">
        <f t="shared" si="103"/>
        <v>1.3788838820569753</v>
      </c>
      <c r="K248" s="678">
        <f t="shared" si="104"/>
        <v>1.0001788172759982</v>
      </c>
      <c r="L248" s="679">
        <f t="shared" si="105"/>
        <v>1.8909819338914037E-2</v>
      </c>
      <c r="M248" s="678">
        <f t="shared" si="106"/>
        <v>1.0079661686617514</v>
      </c>
      <c r="N248" s="679">
        <f t="shared" si="107"/>
        <v>-0.12580653777028497</v>
      </c>
      <c r="O248" s="677">
        <f t="shared" si="108"/>
        <v>113472.44156681639</v>
      </c>
      <c r="P248" s="680">
        <f t="shared" si="109"/>
        <v>1.5707875140824334</v>
      </c>
      <c r="Q248" s="689">
        <f t="shared" si="131"/>
        <v>2.7243825300152373</v>
      </c>
      <c r="R248" s="690">
        <f t="shared" si="132"/>
        <v>1.1949545812804325</v>
      </c>
      <c r="S248" s="677">
        <f t="shared" si="110"/>
        <v>1.0020049463980492</v>
      </c>
      <c r="T248" s="680">
        <f t="shared" si="111"/>
        <v>6.3270882363859249E-2</v>
      </c>
      <c r="U248" s="681">
        <f t="shared" si="123"/>
        <v>0.9469877056887831</v>
      </c>
      <c r="V248" s="682">
        <f t="shared" si="124"/>
        <v>-0.40412726739157845</v>
      </c>
      <c r="W248" s="683">
        <f t="shared" si="112"/>
        <v>-3.3499944684827989</v>
      </c>
      <c r="X248" s="684">
        <f t="shared" si="113"/>
        <v>-133.44254002766439</v>
      </c>
      <c r="Y248" s="687">
        <f t="shared" si="114"/>
        <v>46.557459972335607</v>
      </c>
      <c r="AA248" s="170">
        <f t="shared" si="115"/>
        <v>15049.75</v>
      </c>
      <c r="AB248" s="170">
        <f t="shared" si="116"/>
        <v>226494975.0625</v>
      </c>
      <c r="AD248" s="686">
        <f t="shared" si="117"/>
        <v>12.695606535890816</v>
      </c>
      <c r="AE248" s="687">
        <f t="shared" si="118"/>
        <v>-25.15879540584449</v>
      </c>
      <c r="AG248" s="686">
        <f t="shared" si="119"/>
        <v>26.861957168110724</v>
      </c>
      <c r="AH248" s="687">
        <f t="shared" si="120"/>
        <v>-61.974170953518801</v>
      </c>
      <c r="AJ248" s="170">
        <f t="shared" si="121"/>
        <v>0</v>
      </c>
      <c r="AK248" s="170">
        <f t="shared" si="133"/>
        <v>0</v>
      </c>
      <c r="AM248" s="170" t="str">
        <f t="shared" si="125"/>
        <v>0.170702294969729+0.55880704758577i</v>
      </c>
      <c r="AN248" s="170" t="str">
        <f t="shared" si="126"/>
        <v>0.592946592400929i</v>
      </c>
      <c r="AO248" s="170" t="str">
        <f t="shared" si="127"/>
        <v>0.942423912620995-0.287888145673508i</v>
      </c>
      <c r="AP248" s="170" t="str">
        <f t="shared" si="128"/>
        <v>0.138216284171712-0.0931345079309617i</v>
      </c>
      <c r="AQ248" s="170" t="str">
        <f t="shared" si="129"/>
        <v>0.861783715828288+0.0931345079309617i</v>
      </c>
      <c r="AR248" s="170" t="str">
        <f t="shared" si="130"/>
        <v>0.955440756487162-0.103256191870708i</v>
      </c>
    </row>
    <row r="249" spans="7:44">
      <c r="G249" s="688">
        <v>15136</v>
      </c>
      <c r="H249" s="676">
        <f t="shared" si="122"/>
        <v>15.135999999999999</v>
      </c>
      <c r="I249" s="677">
        <f t="shared" si="102"/>
        <v>5.2717894123714419</v>
      </c>
      <c r="J249" s="678">
        <f t="shared" si="103"/>
        <v>1.3799510300451912</v>
      </c>
      <c r="K249" s="678">
        <f t="shared" si="104"/>
        <v>1.0001808725640968</v>
      </c>
      <c r="L249" s="679">
        <f t="shared" si="105"/>
        <v>1.9018165311101426E-2</v>
      </c>
      <c r="M249" s="678">
        <f t="shared" si="106"/>
        <v>1.0080573724321653</v>
      </c>
      <c r="N249" s="679">
        <f t="shared" si="107"/>
        <v>-0.12651988600891262</v>
      </c>
      <c r="O249" s="677">
        <f t="shared" si="108"/>
        <v>114122.75124534126</v>
      </c>
      <c r="P249" s="680">
        <f t="shared" si="109"/>
        <v>1.5707875643002223</v>
      </c>
      <c r="Q249" s="689">
        <f t="shared" si="131"/>
        <v>2.7378975419667535</v>
      </c>
      <c r="R249" s="690">
        <f t="shared" si="132"/>
        <v>1.1969016835431265</v>
      </c>
      <c r="S249" s="677">
        <f t="shared" si="110"/>
        <v>1.0020279695916388</v>
      </c>
      <c r="T249" s="680">
        <f t="shared" si="111"/>
        <v>6.3632512049778642E-2</v>
      </c>
      <c r="U249" s="681">
        <f t="shared" si="123"/>
        <v>0.9464277246842101</v>
      </c>
      <c r="V249" s="682">
        <f t="shared" si="124"/>
        <v>-0.40632491594866316</v>
      </c>
      <c r="W249" s="683">
        <f t="shared" si="112"/>
        <v>-3.4090233772261431</v>
      </c>
      <c r="X249" s="684">
        <f t="shared" si="113"/>
        <v>-133.57342515737588</v>
      </c>
      <c r="Y249" s="687">
        <f t="shared" si="114"/>
        <v>46.42657484262412</v>
      </c>
      <c r="AA249" s="170">
        <f t="shared" si="115"/>
        <v>15136</v>
      </c>
      <c r="AB249" s="170">
        <f t="shared" si="116"/>
        <v>229098496</v>
      </c>
      <c r="AD249" s="686">
        <f t="shared" si="117"/>
        <v>12.688752396583942</v>
      </c>
      <c r="AE249" s="687">
        <f t="shared" si="118"/>
        <v>-25.067957395825136</v>
      </c>
      <c r="AG249" s="686">
        <f t="shared" si="119"/>
        <v>26.82005786864017</v>
      </c>
      <c r="AH249" s="687">
        <f t="shared" si="120"/>
        <v>-61.944062118613957</v>
      </c>
      <c r="AJ249" s="170">
        <f t="shared" si="121"/>
        <v>0</v>
      </c>
      <c r="AK249" s="170">
        <f t="shared" si="133"/>
        <v>0</v>
      </c>
      <c r="AM249" s="170" t="str">
        <f t="shared" si="125"/>
        <v>0.172606002130176+0.561621912222974i</v>
      </c>
      <c r="AN249" s="170" t="str">
        <f t="shared" si="126"/>
        <v>0.596344764702434i</v>
      </c>
      <c r="AO249" s="170" t="str">
        <f t="shared" si="127"/>
        <v>0.941773862143678-0.289439955453124i</v>
      </c>
      <c r="AP249" s="170" t="str">
        <f t="shared" si="128"/>
        <v>0.137898999644971-0.0936036520371623i</v>
      </c>
      <c r="AQ249" s="170" t="str">
        <f t="shared" si="129"/>
        <v>0.862101000355029+0.0936036520371623i</v>
      </c>
      <c r="AR249" s="170" t="str">
        <f t="shared" si="130"/>
        <v>0.954985963505341-0.103688748524263i</v>
      </c>
    </row>
    <row r="250" spans="7:44">
      <c r="G250" s="688">
        <v>15224</v>
      </c>
      <c r="H250" s="676">
        <f t="shared" si="122"/>
        <v>15.224</v>
      </c>
      <c r="I250" s="677">
        <f t="shared" si="102"/>
        <v>5.3013395816571096</v>
      </c>
      <c r="J250" s="678">
        <f t="shared" si="103"/>
        <v>1.3810278140870096</v>
      </c>
      <c r="K250" s="678">
        <f t="shared" si="104"/>
        <v>1.0001829816543661</v>
      </c>
      <c r="L250" s="679">
        <f t="shared" si="105"/>
        <v>1.9128709147106997E-2</v>
      </c>
      <c r="M250" s="678">
        <f t="shared" si="106"/>
        <v>1.0081509553004977</v>
      </c>
      <c r="N250" s="679">
        <f t="shared" si="107"/>
        <v>-0.12724757457802219</v>
      </c>
      <c r="O250" s="677">
        <f t="shared" si="108"/>
        <v>114786.25561299596</v>
      </c>
      <c r="P250" s="680">
        <f t="shared" si="109"/>
        <v>1.5707876149504805</v>
      </c>
      <c r="Q250" s="689">
        <f t="shared" si="131"/>
        <v>2.7516973633597908</v>
      </c>
      <c r="R250" s="690">
        <f t="shared" si="132"/>
        <v>1.1988685721037826</v>
      </c>
      <c r="S250" s="677">
        <f t="shared" si="110"/>
        <v>1.0020515949726345</v>
      </c>
      <c r="T250" s="680">
        <f t="shared" si="111"/>
        <v>6.4001461973394125E-2</v>
      </c>
      <c r="U250" s="681">
        <f t="shared" si="123"/>
        <v>0.94585405260155098</v>
      </c>
      <c r="V250" s="682">
        <f t="shared" si="124"/>
        <v>-0.40856523910688081</v>
      </c>
      <c r="W250" s="683">
        <f t="shared" si="112"/>
        <v>-3.4689050576404377</v>
      </c>
      <c r="X250" s="684">
        <f t="shared" si="113"/>
        <v>-133.70728895106163</v>
      </c>
      <c r="Y250" s="687">
        <f t="shared" si="114"/>
        <v>46.292711048938372</v>
      </c>
      <c r="AA250" s="170">
        <f t="shared" si="115"/>
        <v>15224</v>
      </c>
      <c r="AB250" s="170">
        <f t="shared" si="116"/>
        <v>231770176</v>
      </c>
      <c r="AD250" s="686">
        <f t="shared" si="117"/>
        <v>12.681863999112577</v>
      </c>
      <c r="AE250" s="687">
        <f t="shared" si="118"/>
        <v>-24.976405157943237</v>
      </c>
      <c r="AG250" s="686">
        <f t="shared" si="119"/>
        <v>26.777597588997033</v>
      </c>
      <c r="AH250" s="687">
        <f t="shared" si="120"/>
        <v>-61.912756026465708</v>
      </c>
      <c r="AJ250" s="170">
        <f t="shared" si="121"/>
        <v>0</v>
      </c>
      <c r="AK250" s="170">
        <f t="shared" si="133"/>
        <v>0</v>
      </c>
      <c r="AM250" s="170" t="str">
        <f t="shared" si="125"/>
        <v>0.174558182216535+0.564487205749013i</v>
      </c>
      <c r="AN250" s="170" t="str">
        <f t="shared" si="126"/>
        <v>0.599811885427448i</v>
      </c>
      <c r="AO250" s="170" t="str">
        <f t="shared" si="127"/>
        <v>0.941107069505198-0.291021546017112i</v>
      </c>
      <c r="AP250" s="170" t="str">
        <f t="shared" si="128"/>
        <v>0.137573636297244-0.0940812009581688i</v>
      </c>
      <c r="AQ250" s="170" t="str">
        <f t="shared" si="129"/>
        <v>0.862426363702756+0.0940812009581688i</v>
      </c>
      <c r="AR250" s="170" t="str">
        <f t="shared" si="130"/>
        <v>0.9545203868523-0.104127642792088i</v>
      </c>
    </row>
    <row r="251" spans="7:44">
      <c r="G251" s="688">
        <v>15312</v>
      </c>
      <c r="H251" s="676">
        <f t="shared" si="122"/>
        <v>15.311999999999999</v>
      </c>
      <c r="I251" s="677">
        <f t="shared" si="102"/>
        <v>5.3308958295055859</v>
      </c>
      <c r="J251" s="678">
        <f t="shared" si="103"/>
        <v>1.3820926592590834</v>
      </c>
      <c r="K251" s="678">
        <f t="shared" si="104"/>
        <v>1.0001851029667597</v>
      </c>
      <c r="L251" s="679">
        <f t="shared" si="105"/>
        <v>1.9239252515554167E-2</v>
      </c>
      <c r="M251" s="678">
        <f t="shared" si="106"/>
        <v>1.0082450719163987</v>
      </c>
      <c r="N251" s="679">
        <f t="shared" si="107"/>
        <v>-0.1279751276772971</v>
      </c>
      <c r="O251" s="677">
        <f t="shared" si="108"/>
        <v>115449.75998065091</v>
      </c>
      <c r="P251" s="680">
        <f t="shared" si="109"/>
        <v>1.5707876650185517</v>
      </c>
      <c r="Q251" s="689">
        <f t="shared" si="131"/>
        <v>2.7655077238444554</v>
      </c>
      <c r="R251" s="690">
        <f t="shared" si="132"/>
        <v>1.2008158236844331</v>
      </c>
      <c r="S251" s="677">
        <f t="shared" si="110"/>
        <v>1.0020753567505052</v>
      </c>
      <c r="T251" s="680">
        <f t="shared" si="111"/>
        <v>6.4370394449729529E-2</v>
      </c>
      <c r="U251" s="681">
        <f t="shared" si="123"/>
        <v>0.94527804208457289</v>
      </c>
      <c r="V251" s="682">
        <f t="shared" si="124"/>
        <v>-0.41080362119390645</v>
      </c>
      <c r="W251" s="683">
        <f t="shared" si="112"/>
        <v>-3.5284431272936785</v>
      </c>
      <c r="X251" s="684">
        <f t="shared" si="113"/>
        <v>-133.84147383071596</v>
      </c>
      <c r="Y251" s="687">
        <f t="shared" si="114"/>
        <v>46.158526169284045</v>
      </c>
      <c r="AA251" s="170">
        <f t="shared" si="115"/>
        <v>15312</v>
      </c>
      <c r="AB251" s="170">
        <f t="shared" si="116"/>
        <v>234457344</v>
      </c>
      <c r="AD251" s="686">
        <f t="shared" si="117"/>
        <v>12.675079290023312</v>
      </c>
      <c r="AE251" s="687">
        <f t="shared" si="118"/>
        <v>-24.885977003126957</v>
      </c>
      <c r="AG251" s="686">
        <f t="shared" si="119"/>
        <v>26.735426596422286</v>
      </c>
      <c r="AH251" s="687">
        <f t="shared" si="120"/>
        <v>-61.88086936759467</v>
      </c>
      <c r="AJ251" s="170">
        <f t="shared" si="121"/>
        <v>0</v>
      </c>
      <c r="AK251" s="170">
        <f t="shared" si="133"/>
        <v>0</v>
      </c>
      <c r="AM251" s="170" t="str">
        <f t="shared" si="125"/>
        <v>0.176520284868063+0.567345713622853i</v>
      </c>
      <c r="AN251" s="170" t="str">
        <f t="shared" si="126"/>
        <v>0.603279006152463i</v>
      </c>
      <c r="AO251" s="170" t="str">
        <f t="shared" si="127"/>
        <v>0.940436693199749-0.292601405100863i</v>
      </c>
      <c r="AP251" s="170" t="str">
        <f t="shared" si="128"/>
        <v>0.137246619188656-0.0945576189371422i</v>
      </c>
      <c r="AQ251" s="170" t="str">
        <f t="shared" si="129"/>
        <v>0.862753380811344+0.0945576189371422i</v>
      </c>
      <c r="AR251" s="170" t="str">
        <f t="shared" si="130"/>
        <v>0.954053254282687-0.104564069026731i</v>
      </c>
    </row>
    <row r="252" spans="7:44">
      <c r="G252" s="688">
        <v>15400</v>
      </c>
      <c r="H252" s="676">
        <f t="shared" si="122"/>
        <v>15.4</v>
      </c>
      <c r="I252" s="677">
        <f t="shared" si="102"/>
        <v>5.3604580553697687</v>
      </c>
      <c r="J252" s="678">
        <f t="shared" si="103"/>
        <v>1.383145760650297</v>
      </c>
      <c r="K252" s="678">
        <f t="shared" si="104"/>
        <v>1.0001872365011992</v>
      </c>
      <c r="L252" s="679">
        <f t="shared" si="105"/>
        <v>1.9349795413744288E-2</v>
      </c>
      <c r="M252" s="678">
        <f t="shared" si="106"/>
        <v>1.0083397221304111</v>
      </c>
      <c r="N252" s="679">
        <f t="shared" si="107"/>
        <v>-0.12870254457454269</v>
      </c>
      <c r="O252" s="677">
        <f t="shared" si="108"/>
        <v>116113.26434830617</v>
      </c>
      <c r="P252" s="680">
        <f t="shared" si="109"/>
        <v>1.5707877145144167</v>
      </c>
      <c r="Q252" s="689">
        <f t="shared" si="131"/>
        <v>2.7793284663159095</v>
      </c>
      <c r="R252" s="690">
        <f t="shared" si="132"/>
        <v>1.2027437163528309</v>
      </c>
      <c r="S252" s="677">
        <f t="shared" si="110"/>
        <v>1.0020992549155479</v>
      </c>
      <c r="T252" s="680">
        <f t="shared" si="111"/>
        <v>6.4739309379597876E-2</v>
      </c>
      <c r="U252" s="681">
        <f t="shared" si="123"/>
        <v>0.944699707340241</v>
      </c>
      <c r="V252" s="682">
        <f t="shared" si="124"/>
        <v>-0.41304005576656883</v>
      </c>
      <c r="W252" s="683">
        <f t="shared" si="112"/>
        <v>-3.5876422941135093</v>
      </c>
      <c r="X252" s="684">
        <f t="shared" si="113"/>
        <v>-133.97597462592503</v>
      </c>
      <c r="Y252" s="687">
        <f t="shared" si="114"/>
        <v>46.024025374074967</v>
      </c>
      <c r="AA252" s="170">
        <f t="shared" si="115"/>
        <v>15400</v>
      </c>
      <c r="AB252" s="170">
        <f t="shared" si="116"/>
        <v>237160000</v>
      </c>
      <c r="AD252" s="686">
        <f t="shared" si="117"/>
        <v>12.66839613350345</v>
      </c>
      <c r="AE252" s="687">
        <f t="shared" si="118"/>
        <v>-24.796656994156461</v>
      </c>
      <c r="AG252" s="686">
        <f t="shared" si="119"/>
        <v>26.693542143920169</v>
      </c>
      <c r="AH252" s="687">
        <f t="shared" si="120"/>
        <v>-61.848413647140021</v>
      </c>
      <c r="AJ252" s="170">
        <f t="shared" si="121"/>
        <v>0</v>
      </c>
      <c r="AK252" s="170">
        <f t="shared" si="133"/>
        <v>0</v>
      </c>
      <c r="AM252" s="170" t="str">
        <f t="shared" si="125"/>
        <v>0.178492286498494+0.570197401482616i</v>
      </c>
      <c r="AN252" s="170" t="str">
        <f t="shared" si="126"/>
        <v>0.606746126877477i</v>
      </c>
      <c r="AO252" s="170" t="str">
        <f t="shared" si="127"/>
        <v>0.939762738028583-0.294179523513527i</v>
      </c>
      <c r="AP252" s="170" t="str">
        <f t="shared" si="128"/>
        <v>0.136917952250251-0.0950329002471027i</v>
      </c>
      <c r="AQ252" s="170" t="str">
        <f t="shared" si="129"/>
        <v>0.863082047749749+0.0950329002471027i</v>
      </c>
      <c r="AR252" s="170" t="str">
        <f t="shared" si="130"/>
        <v>0.953584581594309-0.104998022674784i</v>
      </c>
    </row>
    <row r="253" spans="7:44">
      <c r="G253" s="688">
        <v>15488</v>
      </c>
      <c r="H253" s="676">
        <f t="shared" si="122"/>
        <v>15.488</v>
      </c>
      <c r="I253" s="677">
        <f t="shared" si="102"/>
        <v>5.3900261608882882</v>
      </c>
      <c r="J253" s="678">
        <f t="shared" si="103"/>
        <v>1.3841873091742281</v>
      </c>
      <c r="K253" s="678">
        <f t="shared" si="104"/>
        <v>1.0001893822576073</v>
      </c>
      <c r="L253" s="679">
        <f t="shared" si="105"/>
        <v>1.9460337838978763E-2</v>
      </c>
      <c r="M253" s="678">
        <f t="shared" si="106"/>
        <v>1.0084349057922872</v>
      </c>
      <c r="N253" s="679">
        <f t="shared" si="107"/>
        <v>-0.12942982453841506</v>
      </c>
      <c r="O253" s="677">
        <f t="shared" si="108"/>
        <v>116776.76871596171</v>
      </c>
      <c r="P253" s="680">
        <f t="shared" si="109"/>
        <v>1.5707877634478284</v>
      </c>
      <c r="Q253" s="689">
        <f t="shared" si="131"/>
        <v>2.79315943666183</v>
      </c>
      <c r="R253" s="690">
        <f t="shared" si="132"/>
        <v>1.2046525232509075</v>
      </c>
      <c r="S253" s="677">
        <f t="shared" si="110"/>
        <v>1.0021232894580052</v>
      </c>
      <c r="T253" s="680">
        <f t="shared" si="111"/>
        <v>6.5108206663840748E-2</v>
      </c>
      <c r="U253" s="681">
        <f t="shared" si="123"/>
        <v>0.94411906258557476</v>
      </c>
      <c r="V253" s="682">
        <f t="shared" si="124"/>
        <v>-0.41527453644743306</v>
      </c>
      <c r="W253" s="683">
        <f t="shared" si="112"/>
        <v>-3.6465071743713242</v>
      </c>
      <c r="X253" s="684">
        <f t="shared" si="113"/>
        <v>-134.11078621308036</v>
      </c>
      <c r="Y253" s="687">
        <f t="shared" si="114"/>
        <v>45.88921378691964</v>
      </c>
      <c r="AA253" s="170">
        <f t="shared" si="115"/>
        <v>15488</v>
      </c>
      <c r="AB253" s="170">
        <f t="shared" si="116"/>
        <v>239878144</v>
      </c>
      <c r="AD253" s="686">
        <f t="shared" si="117"/>
        <v>12.661812446706445</v>
      </c>
      <c r="AE253" s="687">
        <f t="shared" si="118"/>
        <v>-24.708429476029323</v>
      </c>
      <c r="AG253" s="686">
        <f t="shared" si="119"/>
        <v>26.651941522882979</v>
      </c>
      <c r="AH253" s="687">
        <f t="shared" si="120"/>
        <v>-61.815400127295817</v>
      </c>
      <c r="AJ253" s="170">
        <f t="shared" si="121"/>
        <v>0</v>
      </c>
      <c r="AK253" s="170">
        <f t="shared" si="133"/>
        <v>0</v>
      </c>
      <c r="AM253" s="170" t="str">
        <f t="shared" si="125"/>
        <v>0.180474163402564+0.573042235048406i</v>
      </c>
      <c r="AN253" s="170" t="str">
        <f t="shared" si="126"/>
        <v>0.610213247602491i</v>
      </c>
      <c r="AO253" s="170" t="str">
        <f t="shared" si="127"/>
        <v>0.939085208818182-0.295755892078124i</v>
      </c>
      <c r="AP253" s="170" t="str">
        <f t="shared" si="128"/>
        <v>0.136587639432906-0.0955070391747343i</v>
      </c>
      <c r="AQ253" s="170" t="str">
        <f t="shared" si="129"/>
        <v>0.863412360567094+0.0955070391747343i</v>
      </c>
      <c r="AR253" s="170" t="str">
        <f t="shared" si="130"/>
        <v>0.95311438457918-0.105429499302301i</v>
      </c>
    </row>
    <row r="254" spans="7:44">
      <c r="G254" s="688">
        <v>15578.25</v>
      </c>
      <c r="H254" s="676">
        <f t="shared" si="122"/>
        <v>15.578250000000001</v>
      </c>
      <c r="I254" s="677">
        <f t="shared" si="102"/>
        <v>5.4203562753846368</v>
      </c>
      <c r="J254" s="678">
        <f t="shared" si="103"/>
        <v>1.385243684180423</v>
      </c>
      <c r="K254" s="678">
        <f t="shared" si="104"/>
        <v>1.000191595571726</v>
      </c>
      <c r="L254" s="679">
        <f t="shared" si="105"/>
        <v>1.9573706138964309E-2</v>
      </c>
      <c r="M254" s="678">
        <f t="shared" si="106"/>
        <v>1.0085330770502809</v>
      </c>
      <c r="N254" s="679">
        <f t="shared" si="107"/>
        <v>-0.13017555673359354</v>
      </c>
      <c r="O254" s="677">
        <f t="shared" si="108"/>
        <v>117457.2376839269</v>
      </c>
      <c r="P254" s="680">
        <f t="shared" si="109"/>
        <v>1.5707878130581552</v>
      </c>
      <c r="Q254" s="689">
        <f t="shared" si="131"/>
        <v>2.8073545048973401</v>
      </c>
      <c r="R254" s="690">
        <f t="shared" si="132"/>
        <v>1.2065905919179643</v>
      </c>
      <c r="S254" s="677">
        <f t="shared" si="110"/>
        <v>1.002148080162111</v>
      </c>
      <c r="T254" s="680">
        <f t="shared" si="111"/>
        <v>6.5486517548935044E-2</v>
      </c>
      <c r="U254" s="681">
        <f t="shared" si="123"/>
        <v>0.9435211873432251</v>
      </c>
      <c r="V254" s="682">
        <f t="shared" si="124"/>
        <v>-0.41756411265868953</v>
      </c>
      <c r="W254" s="683">
        <f t="shared" si="112"/>
        <v>-3.7065346475417575</v>
      </c>
      <c r="X254" s="684">
        <f t="shared" si="113"/>
        <v>-134.24936218325956</v>
      </c>
      <c r="Y254" s="687">
        <f t="shared" si="114"/>
        <v>45.750637816740436</v>
      </c>
      <c r="AA254" s="170">
        <f t="shared" si="115"/>
        <v>15578.25</v>
      </c>
      <c r="AB254" s="170">
        <f t="shared" si="116"/>
        <v>242681873.0625</v>
      </c>
      <c r="AD254" s="686">
        <f t="shared" si="117"/>
        <v>12.655161616499065</v>
      </c>
      <c r="AE254" s="687">
        <f t="shared" si="118"/>
        <v>-24.61906478042042</v>
      </c>
      <c r="AG254" s="686">
        <f t="shared" si="119"/>
        <v>26.609569261811515</v>
      </c>
      <c r="AH254" s="687">
        <f t="shared" si="120"/>
        <v>-61.780974685227022</v>
      </c>
      <c r="AJ254" s="170">
        <f t="shared" si="121"/>
        <v>0</v>
      </c>
      <c r="AK254" s="170">
        <f t="shared" si="133"/>
        <v>0</v>
      </c>
      <c r="AM254" s="170" t="str">
        <f t="shared" si="125"/>
        <v>0.182516945579223+0.575952650601486i</v>
      </c>
      <c r="AN254" s="170" t="str">
        <f t="shared" si="126"/>
        <v>0.613769016300588i</v>
      </c>
      <c r="AO254" s="170" t="str">
        <f t="shared" si="127"/>
        <v>0.938386649220198-0.297370738391651i</v>
      </c>
      <c r="AP254" s="170" t="str">
        <f t="shared" si="128"/>
        <v>0.136247175736796-0.095992108433581i</v>
      </c>
      <c r="AQ254" s="170" t="str">
        <f t="shared" si="129"/>
        <v>0.863752824263204+0.095992108433581i</v>
      </c>
      <c r="AR254" s="170" t="str">
        <f t="shared" si="130"/>
        <v>0.952630598730327-0.105869430653929i</v>
      </c>
    </row>
    <row r="255" spans="7:44">
      <c r="G255" s="688">
        <v>15668.5</v>
      </c>
      <c r="H255" s="676">
        <f t="shared" si="122"/>
        <v>15.6685</v>
      </c>
      <c r="I255" s="677">
        <f t="shared" si="102"/>
        <v>5.4506923712895334</v>
      </c>
      <c r="J255" s="678">
        <f t="shared" si="103"/>
        <v>1.3862883017276628</v>
      </c>
      <c r="K255" s="678">
        <f t="shared" si="104"/>
        <v>1.0001938217406217</v>
      </c>
      <c r="L255" s="679">
        <f t="shared" si="105"/>
        <v>1.9687073935750737E-2</v>
      </c>
      <c r="M255" s="678">
        <f t="shared" si="106"/>
        <v>1.0086318090608057</v>
      </c>
      <c r="N255" s="679">
        <f t="shared" si="107"/>
        <v>-0.13092114334826133</v>
      </c>
      <c r="O255" s="677">
        <f t="shared" si="108"/>
        <v>118137.70665189237</v>
      </c>
      <c r="P255" s="680">
        <f t="shared" si="109"/>
        <v>1.5707878620969746</v>
      </c>
      <c r="Q255" s="689">
        <f t="shared" si="131"/>
        <v>2.8215600117430495</v>
      </c>
      <c r="R255" s="690">
        <f t="shared" si="132"/>
        <v>1.2085091528189835</v>
      </c>
      <c r="S255" s="677">
        <f t="shared" si="110"/>
        <v>1.0021730142856657</v>
      </c>
      <c r="T255" s="680">
        <f t="shared" si="111"/>
        <v>6.5864809663373769E-2</v>
      </c>
      <c r="U255" s="681">
        <f t="shared" si="123"/>
        <v>0.94292091277279055</v>
      </c>
      <c r="V255" s="682">
        <f t="shared" si="124"/>
        <v>-0.41985162041103202</v>
      </c>
      <c r="W255" s="683">
        <f t="shared" si="112"/>
        <v>-3.7662200700558541</v>
      </c>
      <c r="X255" s="684">
        <f t="shared" si="113"/>
        <v>-134.38825427881702</v>
      </c>
      <c r="Y255" s="687">
        <f t="shared" si="114"/>
        <v>45.611745721182984</v>
      </c>
      <c r="AA255" s="170">
        <f t="shared" si="115"/>
        <v>15668.5</v>
      </c>
      <c r="AB255" s="170">
        <f t="shared" si="116"/>
        <v>245501892.25</v>
      </c>
      <c r="AD255" s="686">
        <f t="shared" si="117"/>
        <v>12.648611134457898</v>
      </c>
      <c r="AE255" s="687">
        <f t="shared" si="118"/>
        <v>-24.530816689250173</v>
      </c>
      <c r="AG255" s="686">
        <f t="shared" si="119"/>
        <v>26.567489882168122</v>
      </c>
      <c r="AH255" s="687">
        <f t="shared" si="120"/>
        <v>-61.745985792029856</v>
      </c>
      <c r="AJ255" s="170">
        <f t="shared" si="121"/>
        <v>0</v>
      </c>
      <c r="AK255" s="170">
        <f t="shared" si="133"/>
        <v>0</v>
      </c>
      <c r="AM255" s="170" t="str">
        <f t="shared" si="125"/>
        <v>0.184570063584662+0.578855784110064i</v>
      </c>
      <c r="AN255" s="170" t="str">
        <f t="shared" si="126"/>
        <v>0.617324784998685i</v>
      </c>
      <c r="AO255" s="170" t="str">
        <f t="shared" si="127"/>
        <v>0.937684340847091-0.298983724726126i</v>
      </c>
      <c r="AP255" s="170" t="str">
        <f t="shared" si="128"/>
        <v>0.135904989402556-0.096475964018344i</v>
      </c>
      <c r="AQ255" s="170" t="str">
        <f t="shared" si="129"/>
        <v>0.864095010597444+0.096475964018344i</v>
      </c>
      <c r="AR255" s="170" t="str">
        <f t="shared" si="130"/>
        <v>0.952145243231051-0.106306747637258i</v>
      </c>
    </row>
    <row r="256" spans="7:44">
      <c r="G256" s="688">
        <v>15758.75</v>
      </c>
      <c r="H256" s="676">
        <f t="shared" si="122"/>
        <v>15.758749999999999</v>
      </c>
      <c r="I256" s="677">
        <f t="shared" si="102"/>
        <v>5.4810343492863689</v>
      </c>
      <c r="J256" s="678">
        <f t="shared" si="103"/>
        <v>1.3873213547782466</v>
      </c>
      <c r="K256" s="678">
        <f t="shared" si="104"/>
        <v>1.0001960607642082</v>
      </c>
      <c r="L256" s="679">
        <f t="shared" si="105"/>
        <v>1.9800441226427361E-2</v>
      </c>
      <c r="M256" s="678">
        <f t="shared" si="106"/>
        <v>1.0087311016592071</v>
      </c>
      <c r="N256" s="679">
        <f t="shared" si="107"/>
        <v>-0.1316665835963455</v>
      </c>
      <c r="O256" s="677">
        <f t="shared" si="108"/>
        <v>118818.17561985813</v>
      </c>
      <c r="P256" s="680">
        <f t="shared" si="109"/>
        <v>1.5707879105741056</v>
      </c>
      <c r="Q256" s="689">
        <f t="shared" si="131"/>
        <v>2.8357758003257545</v>
      </c>
      <c r="R256" s="690">
        <f t="shared" si="132"/>
        <v>1.2104084851011325</v>
      </c>
      <c r="S256" s="677">
        <f t="shared" si="110"/>
        <v>1.0021980918179652</v>
      </c>
      <c r="T256" s="680">
        <f t="shared" si="111"/>
        <v>6.6243082900291086E-2</v>
      </c>
      <c r="U256" s="681">
        <f t="shared" si="123"/>
        <v>0.9423182542375047</v>
      </c>
      <c r="V256" s="682">
        <f t="shared" si="124"/>
        <v>-0.42213705304050719</v>
      </c>
      <c r="W256" s="683">
        <f t="shared" si="112"/>
        <v>-3.8255681355169981</v>
      </c>
      <c r="X256" s="684">
        <f t="shared" si="113"/>
        <v>-134.52745712947487</v>
      </c>
      <c r="Y256" s="687">
        <f t="shared" si="114"/>
        <v>45.472542870525132</v>
      </c>
      <c r="AA256" s="170">
        <f t="shared" si="115"/>
        <v>15758.75</v>
      </c>
      <c r="AB256" s="170">
        <f t="shared" si="116"/>
        <v>248338201.5625</v>
      </c>
      <c r="AD256" s="686">
        <f t="shared" si="117"/>
        <v>12.642158917501924</v>
      </c>
      <c r="AE256" s="687">
        <f t="shared" si="118"/>
        <v>-24.443669203003626</v>
      </c>
      <c r="AG256" s="686">
        <f t="shared" si="119"/>
        <v>26.525700583530664</v>
      </c>
      <c r="AH256" s="687">
        <f t="shared" si="120"/>
        <v>-61.710444840574205</v>
      </c>
      <c r="AJ256" s="170">
        <f t="shared" si="121"/>
        <v>0</v>
      </c>
      <c r="AK256" s="170">
        <f t="shared" si="133"/>
        <v>0</v>
      </c>
      <c r="AM256" s="170" t="str">
        <f t="shared" si="125"/>
        <v>0.186633491460327+0.581751598868437i</v>
      </c>
      <c r="AN256" s="170" t="str">
        <f t="shared" si="126"/>
        <v>0.620880553696782i</v>
      </c>
      <c r="AO256" s="170" t="str">
        <f t="shared" si="127"/>
        <v>0.936978288987523-0.300594841228467i</v>
      </c>
      <c r="AP256" s="170" t="str">
        <f t="shared" si="128"/>
        <v>0.135561084756612-0.0969585998114062i</v>
      </c>
      <c r="AQ256" s="170" t="str">
        <f t="shared" si="129"/>
        <v>0.864438915243388+0.0969585998114062i</v>
      </c>
      <c r="AR256" s="170" t="str">
        <f t="shared" si="130"/>
        <v>0.951658335090245-0.106741445858236i</v>
      </c>
    </row>
    <row r="257" spans="7:44">
      <c r="G257" s="688">
        <v>15849</v>
      </c>
      <c r="H257" s="676">
        <f t="shared" si="122"/>
        <v>15.849</v>
      </c>
      <c r="I257" s="677">
        <f t="shared" si="102"/>
        <v>5.5113821122265687</v>
      </c>
      <c r="J257" s="678">
        <f t="shared" si="103"/>
        <v>1.3883430321443517</v>
      </c>
      <c r="K257" s="678">
        <f t="shared" si="104"/>
        <v>1.0001983126423997</v>
      </c>
      <c r="L257" s="679">
        <f t="shared" si="105"/>
        <v>1.991380800808356E-2</v>
      </c>
      <c r="M257" s="678">
        <f t="shared" si="106"/>
        <v>1.0088309546799599</v>
      </c>
      <c r="N257" s="679">
        <f t="shared" si="107"/>
        <v>-0.13241187669273241</v>
      </c>
      <c r="O257" s="677">
        <f t="shared" si="108"/>
        <v>119498.64458782418</v>
      </c>
      <c r="P257" s="680">
        <f t="shared" si="109"/>
        <v>1.5707879584991435</v>
      </c>
      <c r="Q257" s="689">
        <f t="shared" si="131"/>
        <v>2.8500017167897642</v>
      </c>
      <c r="R257" s="690">
        <f t="shared" si="132"/>
        <v>1.2122888628990698</v>
      </c>
      <c r="S257" s="677">
        <f t="shared" si="110"/>
        <v>1.0022233127482445</v>
      </c>
      <c r="T257" s="680">
        <f t="shared" si="111"/>
        <v>6.6621337152853385E-2</v>
      </c>
      <c r="U257" s="681">
        <f t="shared" si="123"/>
        <v>0.9417132271080999</v>
      </c>
      <c r="V257" s="682">
        <f t="shared" si="124"/>
        <v>-0.42442040395574809</v>
      </c>
      <c r="W257" s="683">
        <f t="shared" si="112"/>
        <v>-3.884583445710954</v>
      </c>
      <c r="X257" s="684">
        <f t="shared" si="113"/>
        <v>-134.66696541856933</v>
      </c>
      <c r="Y257" s="687">
        <f t="shared" si="114"/>
        <v>45.333034581430667</v>
      </c>
      <c r="AA257" s="170">
        <f t="shared" si="115"/>
        <v>15849</v>
      </c>
      <c r="AB257" s="170">
        <f t="shared" si="116"/>
        <v>251190801</v>
      </c>
      <c r="AD257" s="686">
        <f t="shared" si="117"/>
        <v>12.635802934602438</v>
      </c>
      <c r="AE257" s="687">
        <f t="shared" si="118"/>
        <v>-24.35760660935048</v>
      </c>
      <c r="AG257" s="686">
        <f t="shared" si="119"/>
        <v>26.484198604946613</v>
      </c>
      <c r="AH257" s="687">
        <f t="shared" si="120"/>
        <v>-61.674362981841533</v>
      </c>
      <c r="AJ257" s="170">
        <f t="shared" si="121"/>
        <v>0</v>
      </c>
      <c r="AK257" s="170">
        <f t="shared" si="133"/>
        <v>0</v>
      </c>
      <c r="AM257" s="170" t="str">
        <f t="shared" si="125"/>
        <v>0.188707203117316+0.584640058263434i</v>
      </c>
      <c r="AN257" s="170" t="str">
        <f t="shared" si="126"/>
        <v>0.624436322394878i</v>
      </c>
      <c r="AO257" s="170" t="str">
        <f t="shared" si="127"/>
        <v>0.936268498957884-0.302204078061273i</v>
      </c>
      <c r="AP257" s="170" t="str">
        <f t="shared" si="128"/>
        <v>0.135215466147114-0.0974400097105723i</v>
      </c>
      <c r="AQ257" s="170" t="str">
        <f t="shared" si="129"/>
        <v>0.864784533852886+0.0974400097105723i</v>
      </c>
      <c r="AR257" s="170" t="str">
        <f t="shared" si="130"/>
        <v>0.9511698913059-0.107173521053069i</v>
      </c>
    </row>
    <row r="258" spans="7:44">
      <c r="G258" s="688">
        <v>15941.25</v>
      </c>
      <c r="H258" s="676">
        <f t="shared" si="122"/>
        <v>15.94125</v>
      </c>
      <c r="I258" s="677">
        <f t="shared" si="102"/>
        <v>5.5424082814954172</v>
      </c>
      <c r="J258" s="678">
        <f t="shared" si="103"/>
        <v>1.3893757862900984</v>
      </c>
      <c r="K258" s="678">
        <f t="shared" si="104"/>
        <v>1.0002006277086795</v>
      </c>
      <c r="L258" s="679">
        <f t="shared" si="105"/>
        <v>2.0029686543893779E-2</v>
      </c>
      <c r="M258" s="678">
        <f t="shared" si="106"/>
        <v>1.0089335995257556</v>
      </c>
      <c r="N258" s="679">
        <f t="shared" si="107"/>
        <v>-0.1331735330839327</v>
      </c>
      <c r="O258" s="677">
        <f t="shared" si="108"/>
        <v>120194.19320050997</v>
      </c>
      <c r="P258" s="680">
        <f t="shared" si="109"/>
        <v>1.5707880069254139</v>
      </c>
      <c r="Q258" s="689">
        <f t="shared" si="131"/>
        <v>2.8645531989530131</v>
      </c>
      <c r="R258" s="690">
        <f t="shared" si="132"/>
        <v>1.214191602184318</v>
      </c>
      <c r="S258" s="677">
        <f t="shared" si="110"/>
        <v>1.0022492407797174</v>
      </c>
      <c r="T258" s="680">
        <f t="shared" si="111"/>
        <v>6.7007954039855308E-2</v>
      </c>
      <c r="U258" s="681">
        <f t="shared" si="123"/>
        <v>0.94109236027480692</v>
      </c>
      <c r="V258" s="682">
        <f t="shared" si="124"/>
        <v>-0.42675219723515767</v>
      </c>
      <c r="W258" s="683">
        <f t="shared" si="112"/>
        <v>-3.944567373580854</v>
      </c>
      <c r="X258" s="684">
        <f t="shared" si="113"/>
        <v>-134.8098754917587</v>
      </c>
      <c r="Y258" s="687">
        <f t="shared" si="114"/>
        <v>45.190124508241297</v>
      </c>
      <c r="AA258" s="170">
        <f t="shared" si="115"/>
        <v>15941.25</v>
      </c>
      <c r="AB258" s="170">
        <f t="shared" si="116"/>
        <v>254123451.5625</v>
      </c>
      <c r="AD258" s="686">
        <f t="shared" si="117"/>
        <v>12.629403493846173</v>
      </c>
      <c r="AE258" s="687">
        <f t="shared" si="118"/>
        <v>-24.270741969227366</v>
      </c>
      <c r="AG258" s="686">
        <f t="shared" si="119"/>
        <v>26.442071022413089</v>
      </c>
      <c r="AH258" s="687">
        <f t="shared" si="120"/>
        <v>-61.636933867634397</v>
      </c>
      <c r="AJ258" s="170">
        <f t="shared" si="121"/>
        <v>0</v>
      </c>
      <c r="AK258" s="170">
        <f t="shared" si="133"/>
        <v>0</v>
      </c>
      <c r="AM258" s="170" t="str">
        <f t="shared" si="125"/>
        <v>0.190837470455076+0.587584888148479i</v>
      </c>
      <c r="AN258" s="170" t="str">
        <f t="shared" si="126"/>
        <v>0.628070889291271i</v>
      </c>
      <c r="AO258" s="170" t="str">
        <f t="shared" si="127"/>
        <v>0.935539121724815-0.30384702381354i</v>
      </c>
      <c r="AP258" s="170" t="str">
        <f t="shared" si="128"/>
        <v>0.134860421590821-0.0979308146914132i</v>
      </c>
      <c r="AQ258" s="170" t="str">
        <f t="shared" si="129"/>
        <v>0.865139578409179+0.0979308146914132i</v>
      </c>
      <c r="AR258" s="170" t="str">
        <f t="shared" si="130"/>
        <v>0.950669053900004-0.107612456155959i</v>
      </c>
    </row>
    <row r="259" spans="7:44">
      <c r="G259" s="688">
        <v>16033.5</v>
      </c>
      <c r="H259" s="676">
        <f t="shared" si="122"/>
        <v>16.0335</v>
      </c>
      <c r="I259" s="677">
        <f t="shared" si="102"/>
        <v>5.5734402963733221</v>
      </c>
      <c r="J259" s="678">
        <f t="shared" si="103"/>
        <v>1.3903970410986395</v>
      </c>
      <c r="K259" s="678">
        <f t="shared" si="104"/>
        <v>1.0002029562054264</v>
      </c>
      <c r="L259" s="679">
        <f t="shared" si="105"/>
        <v>2.0145564541723896E-2</v>
      </c>
      <c r="M259" s="678">
        <f t="shared" si="106"/>
        <v>1.0090368295552949</v>
      </c>
      <c r="N259" s="679">
        <f t="shared" si="107"/>
        <v>-0.13393503407352589</v>
      </c>
      <c r="O259" s="677">
        <f t="shared" si="108"/>
        <v>120889.74181319603</v>
      </c>
      <c r="P259" s="680">
        <f t="shared" si="109"/>
        <v>1.5707880547944355</v>
      </c>
      <c r="Q259" s="689">
        <f t="shared" si="131"/>
        <v>2.8791149471390236</v>
      </c>
      <c r="R259" s="690">
        <f t="shared" si="132"/>
        <v>1.2160751011981763</v>
      </c>
      <c r="S259" s="677">
        <f t="shared" si="110"/>
        <v>1.0022753186122437</v>
      </c>
      <c r="T259" s="680">
        <f t="shared" si="111"/>
        <v>6.7394550866155464E-2</v>
      </c>
      <c r="U259" s="681">
        <f t="shared" si="123"/>
        <v>0.94046905119999191</v>
      </c>
      <c r="V259" s="682">
        <f t="shared" si="124"/>
        <v>-0.42908180181935918</v>
      </c>
      <c r="W259" s="683">
        <f t="shared" si="112"/>
        <v>-4.0042130732638324</v>
      </c>
      <c r="X259" s="684">
        <f t="shared" si="113"/>
        <v>-134.95309363045484</v>
      </c>
      <c r="Y259" s="687">
        <f t="shared" si="114"/>
        <v>45.046906369545155</v>
      </c>
      <c r="AA259" s="170">
        <f t="shared" si="115"/>
        <v>16033.5</v>
      </c>
      <c r="AB259" s="170">
        <f t="shared" si="116"/>
        <v>257073122.25</v>
      </c>
      <c r="AD259" s="686">
        <f t="shared" si="117"/>
        <v>12.623100468424424</v>
      </c>
      <c r="AE259" s="687">
        <f t="shared" si="118"/>
        <v>-24.184978534131293</v>
      </c>
      <c r="AG259" s="686">
        <f t="shared" si="119"/>
        <v>26.400237925249428</v>
      </c>
      <c r="AH259" s="687">
        <f t="shared" si="120"/>
        <v>-61.598962419903422</v>
      </c>
      <c r="AJ259" s="170">
        <f t="shared" si="121"/>
        <v>0</v>
      </c>
      <c r="AK259" s="170">
        <f t="shared" si="133"/>
        <v>0</v>
      </c>
      <c r="AM259" s="170" t="str">
        <f t="shared" si="125"/>
        <v>0.192978426880006+0.590521956000732i</v>
      </c>
      <c r="AN259" s="170" t="str">
        <f t="shared" si="126"/>
        <v>0.631705456187664i</v>
      </c>
      <c r="AO259" s="170" t="str">
        <f t="shared" si="127"/>
        <v>0.934805850125984-0.305487984929921i</v>
      </c>
      <c r="AP259" s="170" t="str">
        <f t="shared" si="128"/>
        <v>0.134503595519999-0.098420326000122i</v>
      </c>
      <c r="AQ259" s="170" t="str">
        <f t="shared" si="129"/>
        <v>0.865496404480001+0.098420326000122i</v>
      </c>
      <c r="AR259" s="170" t="str">
        <f t="shared" si="130"/>
        <v>0.950166647908024-0.108048642094286i</v>
      </c>
    </row>
    <row r="260" spans="7:44">
      <c r="G260" s="688">
        <v>16125.75</v>
      </c>
      <c r="H260" s="676">
        <f t="shared" si="122"/>
        <v>16.12575</v>
      </c>
      <c r="I260" s="677">
        <f t="shared" si="102"/>
        <v>5.6044780597588115</v>
      </c>
      <c r="J260" s="678">
        <f t="shared" si="103"/>
        <v>1.3914069854728257</v>
      </c>
      <c r="K260" s="678">
        <f t="shared" si="104"/>
        <v>1.000205298132546</v>
      </c>
      <c r="L260" s="679">
        <f t="shared" si="105"/>
        <v>2.0261441998465725E-2</v>
      </c>
      <c r="M260" s="678">
        <f t="shared" si="106"/>
        <v>1.0091406445889934</v>
      </c>
      <c r="N260" s="679">
        <f t="shared" si="107"/>
        <v>-0.1346963788261745</v>
      </c>
      <c r="O260" s="677">
        <f t="shared" si="108"/>
        <v>121585.29042588237</v>
      </c>
      <c r="P260" s="680">
        <f t="shared" si="109"/>
        <v>1.5707881021157721</v>
      </c>
      <c r="Q260" s="689">
        <f t="shared" si="131"/>
        <v>2.8936868063642982</v>
      </c>
      <c r="R260" s="690">
        <f t="shared" si="132"/>
        <v>1.2179396371422853</v>
      </c>
      <c r="S260" s="677">
        <f t="shared" si="110"/>
        <v>1.0023015462341307</v>
      </c>
      <c r="T260" s="680">
        <f t="shared" si="111"/>
        <v>6.7781127517764925E-2</v>
      </c>
      <c r="U260" s="681">
        <f t="shared" si="123"/>
        <v>0.93984331631747386</v>
      </c>
      <c r="V260" s="682">
        <f t="shared" si="124"/>
        <v>-0.43140921090377365</v>
      </c>
      <c r="W260" s="683">
        <f t="shared" si="112"/>
        <v>-4.0635251763070972</v>
      </c>
      <c r="X260" s="684">
        <f t="shared" si="113"/>
        <v>-135.09661433196973</v>
      </c>
      <c r="Y260" s="687">
        <f t="shared" si="114"/>
        <v>44.903385668030268</v>
      </c>
      <c r="AA260" s="170">
        <f t="shared" si="115"/>
        <v>16125.75</v>
      </c>
      <c r="AB260" s="170">
        <f t="shared" si="116"/>
        <v>260039813.0625</v>
      </c>
      <c r="AD260" s="686">
        <f t="shared" si="117"/>
        <v>12.616891848161089</v>
      </c>
      <c r="AE260" s="687">
        <f t="shared" si="118"/>
        <v>-24.100300415595036</v>
      </c>
      <c r="AG260" s="686">
        <f t="shared" si="119"/>
        <v>26.358696488067377</v>
      </c>
      <c r="AH260" s="687">
        <f t="shared" si="120"/>
        <v>-61.560459804175103</v>
      </c>
      <c r="AJ260" s="170">
        <f t="shared" si="121"/>
        <v>0</v>
      </c>
      <c r="AK260" s="170">
        <f t="shared" si="133"/>
        <v>0</v>
      </c>
      <c r="AM260" s="170" t="str">
        <f t="shared" si="125"/>
        <v>0.195130044109938+0.593451223021344i</v>
      </c>
      <c r="AN260" s="170" t="str">
        <f t="shared" si="126"/>
        <v>0.635340023084057i</v>
      </c>
      <c r="AO260" s="170" t="str">
        <f t="shared" si="127"/>
        <v>0.934068689928619-0.307126950955712i</v>
      </c>
      <c r="AP260" s="170" t="str">
        <f t="shared" si="128"/>
        <v>0.134144992648344-0.098908537170224i</v>
      </c>
      <c r="AQ260" s="170" t="str">
        <f t="shared" si="129"/>
        <v>0.865855007351656+0.098908537170224i</v>
      </c>
      <c r="AR260" s="170" t="str">
        <f t="shared" si="130"/>
        <v>0.949662691440676-0.108482074733081i</v>
      </c>
    </row>
    <row r="261" spans="7:44">
      <c r="G261" s="688">
        <v>16218</v>
      </c>
      <c r="H261" s="676">
        <f t="shared" si="122"/>
        <v>16.218</v>
      </c>
      <c r="I261" s="677">
        <f t="shared" si="102"/>
        <v>5.6355214766717747</v>
      </c>
      <c r="J261" s="678">
        <f t="shared" si="103"/>
        <v>1.3924058042466549</v>
      </c>
      <c r="K261" s="678">
        <f t="shared" si="104"/>
        <v>1.0002076534899442</v>
      </c>
      <c r="L261" s="679">
        <f t="shared" si="105"/>
        <v>2.0377318911011178E-2</v>
      </c>
      <c r="M261" s="678">
        <f t="shared" si="106"/>
        <v>1.0092450444463239</v>
      </c>
      <c r="N261" s="679">
        <f t="shared" si="107"/>
        <v>-0.13545756650760812</v>
      </c>
      <c r="O261" s="677">
        <f t="shared" si="108"/>
        <v>122280.83903856897</v>
      </c>
      <c r="P261" s="680">
        <f t="shared" si="109"/>
        <v>1.5707881488987694</v>
      </c>
      <c r="Q261" s="689">
        <f t="shared" si="131"/>
        <v>2.90826862464497</v>
      </c>
      <c r="R261" s="690">
        <f t="shared" si="132"/>
        <v>1.2197854821920249</v>
      </c>
      <c r="S261" s="677">
        <f t="shared" si="110"/>
        <v>1.00232792363362</v>
      </c>
      <c r="T261" s="680">
        <f t="shared" si="111"/>
        <v>6.8167683880730773E-2</v>
      </c>
      <c r="U261" s="681">
        <f t="shared" si="123"/>
        <v>0.93921517206529426</v>
      </c>
      <c r="V261" s="682">
        <f t="shared" si="124"/>
        <v>-0.43373441776280597</v>
      </c>
      <c r="W261" s="683">
        <f t="shared" si="112"/>
        <v>-4.1225082235333792</v>
      </c>
      <c r="X261" s="684">
        <f t="shared" si="113"/>
        <v>-135.24043215304692</v>
      </c>
      <c r="Y261" s="687">
        <f t="shared" si="114"/>
        <v>44.759567846953075</v>
      </c>
      <c r="AA261" s="170">
        <f t="shared" si="115"/>
        <v>16218</v>
      </c>
      <c r="AB261" s="170">
        <f t="shared" si="116"/>
        <v>263023524</v>
      </c>
      <c r="AD261" s="686">
        <f t="shared" si="117"/>
        <v>12.61077567331747</v>
      </c>
      <c r="AE261" s="687">
        <f t="shared" si="118"/>
        <v>-24.016692013124473</v>
      </c>
      <c r="AG261" s="686">
        <f t="shared" si="119"/>
        <v>26.31744392548546</v>
      </c>
      <c r="AH261" s="687">
        <f t="shared" si="120"/>
        <v>-61.52143694838356</v>
      </c>
      <c r="AJ261" s="170">
        <f t="shared" si="121"/>
        <v>0</v>
      </c>
      <c r="AK261" s="170">
        <f t="shared" si="133"/>
        <v>0</v>
      </c>
      <c r="AM261" s="170" t="str">
        <f t="shared" si="125"/>
        <v>0.197292293721874+0.596372650514516i</v>
      </c>
      <c r="AN261" s="170" t="str">
        <f t="shared" si="126"/>
        <v>0.638974589980449i</v>
      </c>
      <c r="AO261" s="170" t="str">
        <f t="shared" si="127"/>
        <v>0.933327646930003-0.308763911453679i</v>
      </c>
      <c r="AP261" s="170" t="str">
        <f t="shared" si="128"/>
        <v>0.133784617713021-0.0993954417524193i</v>
      </c>
      <c r="AQ261" s="170" t="str">
        <f t="shared" si="129"/>
        <v>0.866215382286979+0.0993954417524193i</v>
      </c>
      <c r="AR261" s="170" t="str">
        <f t="shared" si="130"/>
        <v>0.949157202591918-0.108912750077277i</v>
      </c>
    </row>
    <row r="262" spans="7:44">
      <c r="G262" s="688">
        <v>16312.5</v>
      </c>
      <c r="H262" s="676">
        <f t="shared" si="122"/>
        <v>16.3125</v>
      </c>
      <c r="I262" s="677">
        <f t="shared" si="102"/>
        <v>5.667327815026959</v>
      </c>
      <c r="J262" s="678">
        <f t="shared" si="103"/>
        <v>1.3934176375542335</v>
      </c>
      <c r="K262" s="678">
        <f t="shared" si="104"/>
        <v>1.00021008022061</v>
      </c>
      <c r="L262" s="679">
        <f t="shared" si="105"/>
        <v>2.0496021522199558E-2</v>
      </c>
      <c r="M262" s="678">
        <f t="shared" si="106"/>
        <v>1.0093525968455086</v>
      </c>
      <c r="N262" s="679">
        <f t="shared" si="107"/>
        <v>-0.13623715600685934</v>
      </c>
      <c r="O262" s="677">
        <f t="shared" si="108"/>
        <v>122993.35225156527</v>
      </c>
      <c r="P262" s="680">
        <f t="shared" si="109"/>
        <v>1.5707881962741677</v>
      </c>
      <c r="Q262" s="689">
        <f t="shared" si="131"/>
        <v>2.9232162676138724</v>
      </c>
      <c r="R262" s="690">
        <f t="shared" si="132"/>
        <v>1.2216572469203115</v>
      </c>
      <c r="S262" s="677">
        <f t="shared" si="110"/>
        <v>1.0023550996737765</v>
      </c>
      <c r="T262" s="680">
        <f t="shared" si="111"/>
        <v>6.8563647291647267E-2</v>
      </c>
      <c r="U262" s="681">
        <f t="shared" si="123"/>
        <v>0.93856922617392036</v>
      </c>
      <c r="V262" s="682">
        <f t="shared" si="124"/>
        <v>-0.43611404658725456</v>
      </c>
      <c r="W262" s="683">
        <f t="shared" si="112"/>
        <v>-4.1825933428702289</v>
      </c>
      <c r="X262" s="684">
        <f t="shared" si="113"/>
        <v>-135.38806017670595</v>
      </c>
      <c r="Y262" s="687">
        <f t="shared" si="114"/>
        <v>44.611939823294051</v>
      </c>
      <c r="AA262" s="170">
        <f t="shared" si="115"/>
        <v>16312.5</v>
      </c>
      <c r="AB262" s="170">
        <f t="shared" si="116"/>
        <v>266097656.25</v>
      </c>
      <c r="AD262" s="686">
        <f t="shared" si="117"/>
        <v>12.604604181483321</v>
      </c>
      <c r="AE262" s="687">
        <f t="shared" si="118"/>
        <v>-23.932137540553075</v>
      </c>
      <c r="AG262" s="686">
        <f t="shared" si="119"/>
        <v>26.275481861647254</v>
      </c>
      <c r="AH262" s="687">
        <f t="shared" si="120"/>
        <v>-61.480934067405251</v>
      </c>
      <c r="AJ262" s="170">
        <f t="shared" si="121"/>
        <v>0</v>
      </c>
      <c r="AK262" s="170">
        <f t="shared" si="133"/>
        <v>0</v>
      </c>
      <c r="AM262" s="170" t="str">
        <f t="shared" si="125"/>
        <v>0.199518275804698+0.599357163325271i</v>
      </c>
      <c r="AN262" s="170" t="str">
        <f t="shared" si="126"/>
        <v>0.642697804849925i</v>
      </c>
      <c r="AO262" s="170" t="str">
        <f t="shared" si="127"/>
        <v>0.932564509793566-0.310438707428427i</v>
      </c>
      <c r="AP262" s="170" t="str">
        <f t="shared" si="128"/>
        <v>0.133413620699217-0.0998928605542118i</v>
      </c>
      <c r="AQ262" s="170" t="str">
        <f t="shared" si="129"/>
        <v>0.866586379300783+0.0998928605542118i</v>
      </c>
      <c r="AR262" s="170" t="str">
        <f t="shared" si="130"/>
        <v>0.948637814741867-0.109351066677186i</v>
      </c>
    </row>
    <row r="263" spans="7:44">
      <c r="G263" s="688">
        <v>16407</v>
      </c>
      <c r="H263" s="676">
        <f t="shared" si="122"/>
        <v>16.407</v>
      </c>
      <c r="I263" s="677">
        <f t="shared" si="102"/>
        <v>5.699139890863016</v>
      </c>
      <c r="J263" s="678">
        <f t="shared" si="103"/>
        <v>1.3944181759553371</v>
      </c>
      <c r="K263" s="678">
        <f t="shared" si="104"/>
        <v>1.000212521044477</v>
      </c>
      <c r="L263" s="679">
        <f t="shared" si="105"/>
        <v>2.0614723555719271E-2</v>
      </c>
      <c r="M263" s="678">
        <f t="shared" si="106"/>
        <v>1.0094607625576775</v>
      </c>
      <c r="N263" s="679">
        <f t="shared" si="107"/>
        <v>-0.13701657891062241</v>
      </c>
      <c r="O263" s="677">
        <f t="shared" si="108"/>
        <v>123705.86546456188</v>
      </c>
      <c r="P263" s="680">
        <f t="shared" si="109"/>
        <v>1.5707882431038263</v>
      </c>
      <c r="Q263" s="689">
        <f t="shared" si="131"/>
        <v>2.9381740478544862</v>
      </c>
      <c r="R263" s="690">
        <f t="shared" si="132"/>
        <v>1.223509960367152</v>
      </c>
      <c r="S263" s="677">
        <f t="shared" si="110"/>
        <v>1.0023824328616691</v>
      </c>
      <c r="T263" s="680">
        <f t="shared" si="111"/>
        <v>6.895958917020216E-2</v>
      </c>
      <c r="U263" s="681">
        <f t="shared" si="123"/>
        <v>0.93792078687878422</v>
      </c>
      <c r="V263" s="682">
        <f t="shared" si="124"/>
        <v>-0.43849135041688503</v>
      </c>
      <c r="W263" s="683">
        <f t="shared" si="112"/>
        <v>-4.2423425231389436</v>
      </c>
      <c r="X263" s="684">
        <f t="shared" si="113"/>
        <v>-135.53598861842264</v>
      </c>
      <c r="Y263" s="687">
        <f t="shared" si="114"/>
        <v>44.464011381577365</v>
      </c>
      <c r="AA263" s="170">
        <f t="shared" si="115"/>
        <v>16407</v>
      </c>
      <c r="AB263" s="170">
        <f t="shared" si="116"/>
        <v>269189649</v>
      </c>
      <c r="AD263" s="686">
        <f t="shared" si="117"/>
        <v>12.598525692331</v>
      </c>
      <c r="AE263" s="687">
        <f t="shared" si="118"/>
        <v>-23.848673361022076</v>
      </c>
      <c r="AG263" s="686">
        <f t="shared" si="119"/>
        <v>26.233817144108222</v>
      </c>
      <c r="AH263" s="687">
        <f t="shared" si="120"/>
        <v>-61.439907736225415</v>
      </c>
      <c r="AJ263" s="170">
        <f t="shared" si="121"/>
        <v>0</v>
      </c>
      <c r="AK263" s="170">
        <f t="shared" si="133"/>
        <v>0</v>
      </c>
      <c r="AM263" s="170" t="str">
        <f t="shared" si="125"/>
        <v>0.201755354415693+0.602333367659458i</v>
      </c>
      <c r="AN263" s="170" t="str">
        <f t="shared" si="126"/>
        <v>0.6464210197194i</v>
      </c>
      <c r="AO263" s="170" t="str">
        <f t="shared" si="127"/>
        <v>0.93179731055299-0.312111376735972i</v>
      </c>
      <c r="AP263" s="170" t="str">
        <f t="shared" si="128"/>
        <v>0.133040774264051-0.10038889460991i</v>
      </c>
      <c r="AQ263" s="170" t="str">
        <f t="shared" si="129"/>
        <v>0.866959225735949+0.10038889460991i</v>
      </c>
      <c r="AR263" s="170" t="str">
        <f t="shared" si="130"/>
        <v>0.948116857227245-0.109786481800534i</v>
      </c>
    </row>
    <row r="264" spans="7:44">
      <c r="G264" s="688">
        <v>16501.5</v>
      </c>
      <c r="H264" s="676">
        <f t="shared" si="122"/>
        <v>16.5015</v>
      </c>
      <c r="I264" s="677">
        <f t="shared" si="102"/>
        <v>5.7309576086350855</v>
      </c>
      <c r="J264" s="678">
        <f t="shared" si="103"/>
        <v>1.3954076055545268</v>
      </c>
      <c r="K264" s="678">
        <f t="shared" si="104"/>
        <v>1.0002149759614423</v>
      </c>
      <c r="L264" s="679">
        <f t="shared" si="105"/>
        <v>2.0733425008229493E-2</v>
      </c>
      <c r="M264" s="678">
        <f t="shared" si="106"/>
        <v>1.0095695413856984</v>
      </c>
      <c r="N264" s="679">
        <f t="shared" si="107"/>
        <v>-0.13779583432559869</v>
      </c>
      <c r="O264" s="677">
        <f t="shared" si="108"/>
        <v>124418.37867755872</v>
      </c>
      <c r="P264" s="680">
        <f t="shared" si="109"/>
        <v>1.5707882893971212</v>
      </c>
      <c r="Q264" s="689">
        <f t="shared" si="131"/>
        <v>2.9531418113297669</v>
      </c>
      <c r="R264" s="690">
        <f t="shared" si="132"/>
        <v>1.2253438993956727</v>
      </c>
      <c r="S264" s="677">
        <f t="shared" si="110"/>
        <v>1.0024099231844426</v>
      </c>
      <c r="T264" s="680">
        <f t="shared" si="111"/>
        <v>6.9355509394018383E-2</v>
      </c>
      <c r="U264" s="681">
        <f t="shared" si="123"/>
        <v>0.93726987185761412</v>
      </c>
      <c r="V264" s="682">
        <f t="shared" si="124"/>
        <v>-0.44086632227919037</v>
      </c>
      <c r="W264" s="683">
        <f t="shared" si="112"/>
        <v>-4.3017603638538411</v>
      </c>
      <c r="X264" s="684">
        <f t="shared" si="113"/>
        <v>-135.6842118211537</v>
      </c>
      <c r="Y264" s="687">
        <f t="shared" si="114"/>
        <v>44.315788178846304</v>
      </c>
      <c r="AA264" s="170">
        <f t="shared" si="115"/>
        <v>16501.5</v>
      </c>
      <c r="AB264" s="170">
        <f t="shared" si="116"/>
        <v>272299502.25</v>
      </c>
      <c r="AD264" s="686">
        <f t="shared" si="117"/>
        <v>12.592538254291654</v>
      </c>
      <c r="AE264" s="687">
        <f t="shared" si="118"/>
        <v>-23.766283604968336</v>
      </c>
      <c r="AG264" s="686">
        <f t="shared" si="119"/>
        <v>26.192446904463832</v>
      </c>
      <c r="AH264" s="687">
        <f t="shared" si="120"/>
        <v>-61.398368966354361</v>
      </c>
      <c r="AJ264" s="170">
        <f t="shared" si="121"/>
        <v>0</v>
      </c>
      <c r="AK264" s="170">
        <f t="shared" si="133"/>
        <v>0</v>
      </c>
      <c r="AM264" s="170" t="str">
        <f t="shared" si="125"/>
        <v>0.204003498543777+0.605301222260002i</v>
      </c>
      <c r="AN264" s="170" t="str">
        <f t="shared" si="126"/>
        <v>0.650144234588875i</v>
      </c>
      <c r="AO264" s="170" t="str">
        <f t="shared" si="127"/>
        <v>0.931026055537922-0.31378190821423i</v>
      </c>
      <c r="AP264" s="170" t="str">
        <f t="shared" si="128"/>
        <v>0.132666083576037-0.100883537043334i</v>
      </c>
      <c r="AQ264" s="170" t="str">
        <f t="shared" si="129"/>
        <v>0.867333916423963+0.100883537043334i</v>
      </c>
      <c r="AR264" s="170" t="str">
        <f t="shared" si="130"/>
        <v>0.947594349435952-0.110218991605359i</v>
      </c>
    </row>
    <row r="265" spans="7:44">
      <c r="G265" s="688">
        <v>16596</v>
      </c>
      <c r="H265" s="676">
        <f t="shared" si="122"/>
        <v>16.596</v>
      </c>
      <c r="I265" s="677">
        <f t="shared" si="102"/>
        <v>5.7627808748916598</v>
      </c>
      <c r="J265" s="678">
        <f t="shared" si="103"/>
        <v>1.396386108433632</v>
      </c>
      <c r="K265" s="678">
        <f t="shared" si="104"/>
        <v>1.0002174449714023</v>
      </c>
      <c r="L265" s="679">
        <f t="shared" si="105"/>
        <v>2.0852125876389498E-2</v>
      </c>
      <c r="M265" s="678">
        <f t="shared" si="106"/>
        <v>1.0096789331314078</v>
      </c>
      <c r="N265" s="679">
        <f t="shared" si="107"/>
        <v>-0.13857492135968696</v>
      </c>
      <c r="O265" s="677">
        <f t="shared" si="108"/>
        <v>125130.89189055584</v>
      </c>
      <c r="P265" s="680">
        <f t="shared" si="109"/>
        <v>1.5707883351632148</v>
      </c>
      <c r="Q265" s="689">
        <f t="shared" si="131"/>
        <v>2.9681194070080301</v>
      </c>
      <c r="R265" s="690">
        <f t="shared" si="132"/>
        <v>1.2271593357913864</v>
      </c>
      <c r="S265" s="677">
        <f t="shared" si="110"/>
        <v>1.0024375706291695</v>
      </c>
      <c r="T265" s="680">
        <f t="shared" si="111"/>
        <v>6.975140784075938E-2</v>
      </c>
      <c r="U265" s="681">
        <f t="shared" si="123"/>
        <v>0.93661649878844855</v>
      </c>
      <c r="V265" s="682">
        <f t="shared" si="124"/>
        <v>-0.44323895528826346</v>
      </c>
      <c r="W265" s="683">
        <f t="shared" si="112"/>
        <v>-4.360851374130835</v>
      </c>
      <c r="X265" s="684">
        <f t="shared" si="113"/>
        <v>-135.83272419331658</v>
      </c>
      <c r="Y265" s="687">
        <f t="shared" si="114"/>
        <v>44.167275806683421</v>
      </c>
      <c r="AA265" s="170">
        <f t="shared" si="115"/>
        <v>16596</v>
      </c>
      <c r="AB265" s="170">
        <f t="shared" si="116"/>
        <v>275427216</v>
      </c>
      <c r="AD265" s="686">
        <f t="shared" si="117"/>
        <v>12.586639965061746</v>
      </c>
      <c r="AE265" s="687">
        <f t="shared" si="118"/>
        <v>-23.684952693744613</v>
      </c>
      <c r="AG265" s="686">
        <f t="shared" si="119"/>
        <v>26.151368315180843</v>
      </c>
      <c r="AH265" s="687">
        <f t="shared" si="120"/>
        <v>-61.356328533923673</v>
      </c>
      <c r="AJ265" s="170">
        <f t="shared" si="121"/>
        <v>0</v>
      </c>
      <c r="AK265" s="170">
        <f t="shared" si="133"/>
        <v>0</v>
      </c>
      <c r="AM265" s="170" t="str">
        <f t="shared" si="125"/>
        <v>0.206262677024472+0.608260685985575i</v>
      </c>
      <c r="AN265" s="170" t="str">
        <f t="shared" si="126"/>
        <v>0.653867449458351i</v>
      </c>
      <c r="AO265" s="170" t="str">
        <f t="shared" si="127"/>
        <v>0.930250751110863-0.31545029072075i</v>
      </c>
      <c r="AP265" s="170" t="str">
        <f t="shared" si="128"/>
        <v>0.132289553829255-0.101376780997596i</v>
      </c>
      <c r="AQ265" s="170" t="str">
        <f t="shared" si="129"/>
        <v>0.867710446170745+0.101376780997596i</v>
      </c>
      <c r="AR265" s="170" t="str">
        <f t="shared" si="130"/>
        <v>0.947070310732166-0.110648592400981i</v>
      </c>
    </row>
    <row r="266" spans="7:44">
      <c r="G266" s="688">
        <v>16692.5</v>
      </c>
      <c r="H266" s="676">
        <f t="shared" si="122"/>
        <v>16.692499999999999</v>
      </c>
      <c r="I266" s="677">
        <f t="shared" si="102"/>
        <v>5.7952832803064656</v>
      </c>
      <c r="J266" s="678">
        <f t="shared" si="103"/>
        <v>1.3973742294591553</v>
      </c>
      <c r="K266" s="678">
        <f t="shared" si="104"/>
        <v>1.0002199807789802</v>
      </c>
      <c r="L266" s="679">
        <f t="shared" si="105"/>
        <v>2.0973338325731793E-2</v>
      </c>
      <c r="M266" s="678">
        <f t="shared" si="106"/>
        <v>1.0097912723519804</v>
      </c>
      <c r="N266" s="679">
        <f t="shared" si="107"/>
        <v>-0.13937032231837065</v>
      </c>
      <c r="O266" s="677">
        <f t="shared" si="108"/>
        <v>125858.48474827273</v>
      </c>
      <c r="P266" s="680">
        <f t="shared" si="109"/>
        <v>1.5707883813631522</v>
      </c>
      <c r="Q266" s="689">
        <f t="shared" si="131"/>
        <v>2.9834239814829271</v>
      </c>
      <c r="R266" s="690">
        <f t="shared" si="132"/>
        <v>1.2289943772222824</v>
      </c>
      <c r="S266" s="677">
        <f t="shared" si="110"/>
        <v>1.0024659653366317</v>
      </c>
      <c r="T266" s="680">
        <f t="shared" si="111"/>
        <v>7.0155662490222218E-2</v>
      </c>
      <c r="U266" s="681">
        <f t="shared" si="123"/>
        <v>0.93594677945713256</v>
      </c>
      <c r="V266" s="682">
        <f t="shared" si="124"/>
        <v>-0.44565938206040112</v>
      </c>
      <c r="W266" s="683">
        <f t="shared" si="112"/>
        <v>-4.4208603025929341</v>
      </c>
      <c r="X266" s="684">
        <f t="shared" si="113"/>
        <v>-135.98467235584846</v>
      </c>
      <c r="Y266" s="687">
        <f t="shared" si="114"/>
        <v>44.01532764415154</v>
      </c>
      <c r="AA266" s="170">
        <f t="shared" si="115"/>
        <v>16692.5</v>
      </c>
      <c r="AB266" s="170">
        <f t="shared" si="116"/>
        <v>278639556.25</v>
      </c>
      <c r="AD266" s="686">
        <f t="shared" si="117"/>
        <v>12.580706916182079</v>
      </c>
      <c r="AE266" s="687">
        <f t="shared" si="118"/>
        <v>-23.602977296753146</v>
      </c>
      <c r="AG266" s="686">
        <f t="shared" si="119"/>
        <v>26.109718415571201</v>
      </c>
      <c r="AH266" s="687">
        <f t="shared" si="120"/>
        <v>-61.312891615802172</v>
      </c>
      <c r="AJ266" s="170">
        <f t="shared" si="121"/>
        <v>0</v>
      </c>
      <c r="AK266" s="170">
        <f t="shared" si="133"/>
        <v>0</v>
      </c>
      <c r="AM266" s="170" t="str">
        <f t="shared" si="125"/>
        <v>0.2085810233796+0.6112740820983i</v>
      </c>
      <c r="AN266" s="170" t="str">
        <f t="shared" si="126"/>
        <v>0.657669462526122i</v>
      </c>
      <c r="AO266" s="170" t="str">
        <f t="shared" si="127"/>
        <v>0.929454865899328-0.317151753676438i</v>
      </c>
      <c r="AP266" s="170" t="str">
        <f t="shared" si="128"/>
        <v>0.131903162770067-0.10187901368305i</v>
      </c>
      <c r="AQ266" s="170" t="str">
        <f t="shared" si="129"/>
        <v>0.868096837229933+0.10187901368305i</v>
      </c>
      <c r="AR266" s="170" t="str">
        <f t="shared" si="130"/>
        <v>0.94653362150448-0.111084279588476i</v>
      </c>
    </row>
    <row r="267" spans="7:44">
      <c r="G267" s="688">
        <v>16789</v>
      </c>
      <c r="H267" s="676">
        <f t="shared" si="122"/>
        <v>16.789000000000001</v>
      </c>
      <c r="I267" s="677">
        <f t="shared" si="102"/>
        <v>5.8277912810195156</v>
      </c>
      <c r="J267" s="678">
        <f t="shared" si="103"/>
        <v>1.398351327754688</v>
      </c>
      <c r="K267" s="678">
        <f t="shared" si="104"/>
        <v>1.0002225312821735</v>
      </c>
      <c r="L267" s="679">
        <f t="shared" si="105"/>
        <v>2.1094550158687067E-2</v>
      </c>
      <c r="M267" s="678">
        <f t="shared" si="106"/>
        <v>1.0099042502874449</v>
      </c>
      <c r="N267" s="679">
        <f t="shared" si="107"/>
        <v>-0.14016554581714205</v>
      </c>
      <c r="O267" s="677">
        <f t="shared" si="108"/>
        <v>126586.07760598991</v>
      </c>
      <c r="P267" s="680">
        <f t="shared" si="109"/>
        <v>1.5707884270319927</v>
      </c>
      <c r="Q267" s="689">
        <f t="shared" si="131"/>
        <v>2.9987384997055062</v>
      </c>
      <c r="R267" s="690">
        <f t="shared" si="132"/>
        <v>1.2308106816523405</v>
      </c>
      <c r="S267" s="677">
        <f t="shared" si="110"/>
        <v>1.0024945238596119</v>
      </c>
      <c r="T267" s="680">
        <f t="shared" si="111"/>
        <v>7.0559894173365612E-2</v>
      </c>
      <c r="U267" s="681">
        <f t="shared" si="123"/>
        <v>0.93527453418742179</v>
      </c>
      <c r="V267" s="682">
        <f t="shared" si="124"/>
        <v>-0.44807735569532442</v>
      </c>
      <c r="W267" s="683">
        <f t="shared" si="112"/>
        <v>-4.4805376449737153</v>
      </c>
      <c r="X267" s="684">
        <f t="shared" si="113"/>
        <v>-136.13691048044285</v>
      </c>
      <c r="Y267" s="687">
        <f t="shared" si="114"/>
        <v>43.86308951955715</v>
      </c>
      <c r="AA267" s="170">
        <f t="shared" si="115"/>
        <v>16789</v>
      </c>
      <c r="AB267" s="170">
        <f t="shared" si="116"/>
        <v>281870521</v>
      </c>
      <c r="AD267" s="686">
        <f t="shared" si="117"/>
        <v>12.574862971054184</v>
      </c>
      <c r="AE267" s="687">
        <f t="shared" si="118"/>
        <v>-23.522074104528858</v>
      </c>
      <c r="AG267" s="686">
        <f t="shared" si="119"/>
        <v>26.068366809608413</v>
      </c>
      <c r="AH267" s="687">
        <f t="shared" si="120"/>
        <v>-61.268953563794248</v>
      </c>
      <c r="AJ267" s="170">
        <f t="shared" si="121"/>
        <v>0</v>
      </c>
      <c r="AK267" s="170">
        <f t="shared" si="133"/>
        <v>0</v>
      </c>
      <c r="AM267" s="170" t="str">
        <f t="shared" si="125"/>
        <v>0.210910809922346+0.614278642069372i</v>
      </c>
      <c r="AN267" s="170" t="str">
        <f t="shared" si="126"/>
        <v>0.661471475593893i</v>
      </c>
      <c r="AO267" s="170" t="str">
        <f t="shared" si="127"/>
        <v>0.928654771572501-0.318850952315038i</v>
      </c>
      <c r="AP267" s="170" t="str">
        <f t="shared" si="128"/>
        <v>0.131514865012942-0.102379773678229i</v>
      </c>
      <c r="AQ267" s="170" t="str">
        <f t="shared" si="129"/>
        <v>0.868485134987058+0.102379773678229i</v>
      </c>
      <c r="AR267" s="170" t="str">
        <f t="shared" si="130"/>
        <v>0.945995376609221-0.111516926031608i</v>
      </c>
    </row>
    <row r="268" spans="7:44">
      <c r="G268" s="688">
        <v>16885.5</v>
      </c>
      <c r="H268" s="676">
        <f t="shared" si="122"/>
        <v>16.8855</v>
      </c>
      <c r="I268" s="677">
        <f t="shared" si="102"/>
        <v>5.8603047839169022</v>
      </c>
      <c r="J268" s="678">
        <f t="shared" si="103"/>
        <v>1.399317584904141</v>
      </c>
      <c r="K268" s="678">
        <f t="shared" si="104"/>
        <v>1.0002250964808697</v>
      </c>
      <c r="L268" s="679">
        <f t="shared" si="105"/>
        <v>2.1215761371698279E-2</v>
      </c>
      <c r="M268" s="678">
        <f t="shared" si="106"/>
        <v>1.0100178667234669</v>
      </c>
      <c r="N268" s="679">
        <f t="shared" si="107"/>
        <v>-0.14096059090995369</v>
      </c>
      <c r="O268" s="677">
        <f t="shared" si="108"/>
        <v>127313.67046370734</v>
      </c>
      <c r="P268" s="680">
        <f t="shared" si="109"/>
        <v>1.5707884721788419</v>
      </c>
      <c r="Q268" s="689">
        <f t="shared" si="131"/>
        <v>3.0140628101025815</v>
      </c>
      <c r="R268" s="690">
        <f t="shared" si="132"/>
        <v>1.2326085227974823</v>
      </c>
      <c r="S268" s="677">
        <f t="shared" si="110"/>
        <v>1.0025232461841107</v>
      </c>
      <c r="T268" s="680">
        <f t="shared" si="111"/>
        <v>7.0964102760052397E-2</v>
      </c>
      <c r="U268" s="681">
        <f t="shared" si="123"/>
        <v>0.93459978179767167</v>
      </c>
      <c r="V268" s="682">
        <f t="shared" si="124"/>
        <v>-0.45049286913946029</v>
      </c>
      <c r="W268" s="683">
        <f t="shared" si="112"/>
        <v>-4.5398879251913158</v>
      </c>
      <c r="X268" s="684">
        <f t="shared" si="113"/>
        <v>-136.28943282324917</v>
      </c>
      <c r="Y268" s="687">
        <f t="shared" si="114"/>
        <v>43.710567176750828</v>
      </c>
      <c r="AA268" s="170">
        <f t="shared" si="115"/>
        <v>16885.5</v>
      </c>
      <c r="AB268" s="170">
        <f t="shared" si="116"/>
        <v>285120110.25</v>
      </c>
      <c r="AD268" s="686">
        <f t="shared" si="117"/>
        <v>12.5691062537907</v>
      </c>
      <c r="AE268" s="687">
        <f t="shared" si="118"/>
        <v>-23.442227427370049</v>
      </c>
      <c r="AG268" s="686">
        <f t="shared" si="119"/>
        <v>26.027310613459495</v>
      </c>
      <c r="AH268" s="687">
        <f t="shared" si="120"/>
        <v>-61.224525132030884</v>
      </c>
      <c r="AJ268" s="170">
        <f t="shared" si="121"/>
        <v>0</v>
      </c>
      <c r="AK268" s="170">
        <f t="shared" si="133"/>
        <v>0</v>
      </c>
      <c r="AM268" s="170" t="str">
        <f t="shared" si="125"/>
        <v>0.213252002974978+0.617274322467017i</v>
      </c>
      <c r="AN268" s="170" t="str">
        <f t="shared" si="126"/>
        <v>0.665273488661664i</v>
      </c>
      <c r="AO268" s="170" t="str">
        <f t="shared" si="127"/>
        <v>0.927850475011101-0.320547874835624i</v>
      </c>
      <c r="AP268" s="170" t="str">
        <f t="shared" si="128"/>
        <v>0.131124666170837-0.102879053744503i</v>
      </c>
      <c r="AQ268" s="170" t="str">
        <f t="shared" si="129"/>
        <v>0.868875333829163+0.102879053744503i</v>
      </c>
      <c r="AR268" s="170" t="str">
        <f t="shared" si="130"/>
        <v>0.94545559658123-0.111946528283937i</v>
      </c>
    </row>
    <row r="269" spans="7:44">
      <c r="G269" s="688">
        <v>16982</v>
      </c>
      <c r="H269" s="676">
        <f t="shared" si="122"/>
        <v>16.981999999999999</v>
      </c>
      <c r="I269" s="677">
        <f t="shared" ref="I269:I332" si="134">SQRT(1+(G269/pole1)^2)</f>
        <v>5.8928236979241468</v>
      </c>
      <c r="J269" s="678">
        <f t="shared" ref="J269:J332" si="135">ATAN(G269/pole1)</f>
        <v>1.4002731785652165</v>
      </c>
      <c r="K269" s="678">
        <f t="shared" ref="K269:K332" si="136">SQRT(1+(G269/Zero1)^2)</f>
        <v>1.0002276763749556</v>
      </c>
      <c r="L269" s="679">
        <f t="shared" ref="L269:L332" si="137">ATAN(G269/Zero1)</f>
        <v>2.1336971961208512E-2</v>
      </c>
      <c r="M269" s="678">
        <f t="shared" ref="M269:M332" si="138">SQRT(1+(G269/z_RHP)^2)</f>
        <v>1.0101321214445969</v>
      </c>
      <c r="N269" s="679">
        <f t="shared" ref="N269:N332" si="139">-ATAN(G269/z_RHP)</f>
        <v>-0.14175545665208478</v>
      </c>
      <c r="O269" s="677">
        <f t="shared" ref="O269:O332" si="140">SQRT(1+(G269/Pole2)^2)</f>
        <v>128041.26332142502</v>
      </c>
      <c r="P269" s="680">
        <f t="shared" ref="P269:P332" si="141">ATAN(G269/Pole2)</f>
        <v>1.5707885168125981</v>
      </c>
      <c r="Q269" s="689">
        <f t="shared" si="131"/>
        <v>3.0293967640719757</v>
      </c>
      <c r="R269" s="690">
        <f t="shared" si="132"/>
        <v>1.2343881693144862</v>
      </c>
      <c r="S269" s="677">
        <f t="shared" ref="S269:S332" si="142">SQRT(1+(G269/pole4)^2)</f>
        <v>1.0025521322960498</v>
      </c>
      <c r="T269" s="680">
        <f t="shared" ref="T269:T332" si="143">ATAN(G269/pole4)</f>
        <v>7.1368288120190485E-2</v>
      </c>
      <c r="U269" s="681">
        <f t="shared" si="123"/>
        <v>0.93392254110187023</v>
      </c>
      <c r="V269" s="682">
        <f t="shared" si="124"/>
        <v>-0.45290591543289838</v>
      </c>
      <c r="W269" s="683">
        <f t="shared" ref="W269:W332" si="144">20*LOG10(((K269*Q269*M269*U269)/(I269*O269*S269))*Adc)</f>
        <v>-4.5989155782433135</v>
      </c>
      <c r="X269" s="684">
        <f t="shared" ref="X269:X332" si="145">((L269+R269+N269+V269)-(J269+P269+T269))*radconv</f>
        <v>-136.44223371076222</v>
      </c>
      <c r="Y269" s="687">
        <f t="shared" ref="Y269:Y332" si="146">IF(X269&gt;0,X269,X269+180)</f>
        <v>43.557766289237776</v>
      </c>
      <c r="AA269" s="170">
        <f t="shared" ref="AA269:AA332" si="147">IF(W269&lt;0,G269,1000000000)</f>
        <v>16982</v>
      </c>
      <c r="AB269" s="170">
        <f t="shared" ref="AB269:AB332" si="148">G269^2</f>
        <v>288388324</v>
      </c>
      <c r="AD269" s="686">
        <f t="shared" ref="AD269:AD332" si="149">20*LOG10((Q269/(O269*S269))*Aea)</f>
        <v>12.563434935991413</v>
      </c>
      <c r="AE269" s="687">
        <f t="shared" ref="AE269:AE332" si="150">(R269-(P269+T269))*radconv</f>
        <v>-23.363421865433256</v>
      </c>
      <c r="AG269" s="686">
        <f t="shared" ref="AG269:AG332" si="151">20*LOG10((K269*M269/(I269*U269))*Acs*Am)</f>
        <v>25.9865469844916</v>
      </c>
      <c r="AH269" s="687">
        <f t="shared" ref="AH269:AH332" si="152">(L269+N269-(J269+V269))*radconv</f>
        <v>-61.179616844397373</v>
      </c>
      <c r="AJ269" s="170">
        <f t="shared" ref="AJ269:AJ332" si="153">SUM((W270&lt;0)*(W269&gt;0))*G269</f>
        <v>0</v>
      </c>
      <c r="AK269" s="170">
        <f t="shared" si="133"/>
        <v>0</v>
      </c>
      <c r="AM269" s="170" t="str">
        <f t="shared" si="125"/>
        <v>0.215604568694881+0.62026107998782i</v>
      </c>
      <c r="AN269" s="170" t="str">
        <f t="shared" si="126"/>
        <v>0.669075501729436i</v>
      </c>
      <c r="AO269" s="170" t="str">
        <f t="shared" si="127"/>
        <v>0.927041983131291-0.322242509459072i</v>
      </c>
      <c r="AP269" s="170" t="str">
        <f t="shared" si="128"/>
        <v>0.130732571884186-0.103376846664637i</v>
      </c>
      <c r="AQ269" s="170" t="str">
        <f t="shared" si="129"/>
        <v>0.869267428115814+0.103376846664637i</v>
      </c>
      <c r="AR269" s="170" t="str">
        <f t="shared" si="130"/>
        <v>0.944914301923913-0.11237308306023i</v>
      </c>
    </row>
    <row r="270" spans="7:44">
      <c r="G270" s="688">
        <v>17081</v>
      </c>
      <c r="H270" s="676">
        <f t="shared" ref="H270:H333" si="154">G270/1000</f>
        <v>17.081</v>
      </c>
      <c r="I270" s="677">
        <f t="shared" si="134"/>
        <v>5.9261906006770584</v>
      </c>
      <c r="J270" s="678">
        <f t="shared" si="135"/>
        <v>1.4012426292718352</v>
      </c>
      <c r="K270" s="678">
        <f t="shared" si="136"/>
        <v>1.0002303383769424</v>
      </c>
      <c r="L270" s="679">
        <f t="shared" si="137"/>
        <v>2.1461322069763766E-2</v>
      </c>
      <c r="M270" s="678">
        <f t="shared" si="138"/>
        <v>1.0102499992087226</v>
      </c>
      <c r="N270" s="679">
        <f t="shared" si="139"/>
        <v>-0.14257072740168017</v>
      </c>
      <c r="O270" s="677">
        <f t="shared" si="140"/>
        <v>128787.70573504239</v>
      </c>
      <c r="P270" s="680">
        <f t="shared" si="141"/>
        <v>1.5707885620785806</v>
      </c>
      <c r="Q270" s="689">
        <f t="shared" si="131"/>
        <v>3.0451378395933437</v>
      </c>
      <c r="R270" s="690">
        <f t="shared" si="132"/>
        <v>1.2361952892617332</v>
      </c>
      <c r="S270" s="677">
        <f t="shared" si="142"/>
        <v>1.0025819369452189</v>
      </c>
      <c r="T270" s="680">
        <f t="shared" si="143"/>
        <v>7.1782920330408229E-2</v>
      </c>
      <c r="U270" s="681">
        <f t="shared" ref="U270:U333" si="155">IMABS(IMPRODUCT(AO270, AR270))</f>
        <v>0.93322518918783792</v>
      </c>
      <c r="V270" s="682">
        <f t="shared" ref="V270:V333" si="156">IMARGUMENT(IMPRODUCT(AO270, AR270))</f>
        <v>-0.45537890483013593</v>
      </c>
      <c r="W270" s="683">
        <f t="shared" si="144"/>
        <v>-4.6591417294988409</v>
      </c>
      <c r="X270" s="684">
        <f t="shared" si="145"/>
        <v>-136.59927676002351</v>
      </c>
      <c r="Y270" s="687">
        <f t="shared" si="146"/>
        <v>43.400723239976486</v>
      </c>
      <c r="AA270" s="170">
        <f t="shared" si="147"/>
        <v>17081</v>
      </c>
      <c r="AB270" s="170">
        <f t="shared" si="148"/>
        <v>291760561</v>
      </c>
      <c r="AD270" s="686">
        <f t="shared" si="149"/>
        <v>12.557703571744256</v>
      </c>
      <c r="AE270" s="687">
        <f t="shared" si="150"/>
        <v>-23.28364078853636</v>
      </c>
      <c r="AG270" s="686">
        <f t="shared" si="151"/>
        <v>25.945028400592509</v>
      </c>
      <c r="AH270" s="687">
        <f t="shared" si="152"/>
        <v>-61.133057259747147</v>
      </c>
      <c r="AJ270" s="170">
        <f t="shared" si="153"/>
        <v>0</v>
      </c>
      <c r="AK270" s="170">
        <f t="shared" si="133"/>
        <v>0</v>
      </c>
      <c r="AM270" s="170" t="str">
        <f t="shared" ref="AM270:AM333" si="157">IMSUB(1,IMEXP(COMPLEX(0,-2*Pi*G270*Tsw)))</f>
        <v>0.218029864493728+0.623315896778113i</v>
      </c>
      <c r="AN270" s="170" t="str">
        <f t="shared" ref="AN270:AN333" si="158">COMPLEX(0, 2*Pi*G270*Tsw)</f>
        <v>0.672976012545077i</v>
      </c>
      <c r="AO270" s="170" t="str">
        <f t="shared" ref="AO270:AO333" si="159">IMDIV(AM270, AN270)</f>
        <v>0.926208193395842-0.323978656637667i</v>
      </c>
      <c r="AP270" s="170" t="str">
        <f t="shared" ref="AP270:AP333" si="160">IMDIV(IMEXP(COMPLEX(0,-2*Pi*G270*Tsw)),6)</f>
        <v>0.130328355917712-0.103885982796352i</v>
      </c>
      <c r="AQ270" s="170" t="str">
        <f t="shared" ref="AQ270:AQ333" si="161">IMSUB(1, AP270)</f>
        <v>0.869671644082288+0.103885982796352i</v>
      </c>
      <c r="AR270" s="170" t="str">
        <f t="shared" ref="AR270:AR333" si="162">IMDIV(0.833, AQ270)</f>
        <v>0.944357431549122-0.112807518280125i</v>
      </c>
    </row>
    <row r="271" spans="7:44">
      <c r="G271" s="688">
        <v>17180</v>
      </c>
      <c r="H271" s="676">
        <f t="shared" si="154"/>
        <v>17.18</v>
      </c>
      <c r="I271" s="677">
        <f t="shared" si="134"/>
        <v>5.9595630106988082</v>
      </c>
      <c r="J271" s="678">
        <f t="shared" si="135"/>
        <v>1.4022012233948851</v>
      </c>
      <c r="K271" s="678">
        <f t="shared" si="136"/>
        <v>1.0002330158453578</v>
      </c>
      <c r="L271" s="679">
        <f t="shared" si="137"/>
        <v>2.158567151450997E-2</v>
      </c>
      <c r="M271" s="678">
        <f t="shared" si="138"/>
        <v>1.0103685482951328</v>
      </c>
      <c r="N271" s="679">
        <f t="shared" si="139"/>
        <v>-0.14338580737738552</v>
      </c>
      <c r="O271" s="677">
        <f t="shared" si="140"/>
        <v>129534.14814866001</v>
      </c>
      <c r="P271" s="680">
        <f t="shared" si="141"/>
        <v>1.5707886068228714</v>
      </c>
      <c r="Q271" s="689">
        <f t="shared" si="131"/>
        <v>3.0608887572675845</v>
      </c>
      <c r="R271" s="690">
        <f t="shared" si="132"/>
        <v>1.237983816612322</v>
      </c>
      <c r="S271" s="677">
        <f t="shared" si="142"/>
        <v>1.0026119139478791</v>
      </c>
      <c r="T271" s="680">
        <f t="shared" si="143"/>
        <v>7.2197527817799992E-2</v>
      </c>
      <c r="U271" s="681">
        <f t="shared" si="155"/>
        <v>0.93252525846665479</v>
      </c>
      <c r="V271" s="682">
        <f t="shared" si="156"/>
        <v>-0.4578492830509267</v>
      </c>
      <c r="W271" s="683">
        <f t="shared" si="144"/>
        <v>-4.7190374992835098</v>
      </c>
      <c r="X271" s="684">
        <f t="shared" si="145"/>
        <v>-136.75660110188588</v>
      </c>
      <c r="Y271" s="687">
        <f t="shared" si="146"/>
        <v>43.243398898114123</v>
      </c>
      <c r="AA271" s="170">
        <f t="shared" si="147"/>
        <v>17180</v>
      </c>
      <c r="AB271" s="170">
        <f t="shared" si="148"/>
        <v>295152400</v>
      </c>
      <c r="AD271" s="686">
        <f t="shared" si="149"/>
        <v>12.552058337885043</v>
      </c>
      <c r="AE271" s="687">
        <f t="shared" si="150"/>
        <v>-23.204923542555036</v>
      </c>
      <c r="AG271" s="686">
        <f t="shared" si="151"/>
        <v>25.90381180774628</v>
      </c>
      <c r="AH271" s="687">
        <f t="shared" si="152"/>
        <v>-61.086014355562646</v>
      </c>
      <c r="AJ271" s="170">
        <f t="shared" si="153"/>
        <v>0</v>
      </c>
      <c r="AK271" s="170">
        <f t="shared" si="133"/>
        <v>0</v>
      </c>
      <c r="AM271" s="170" t="str">
        <f t="shared" si="157"/>
        <v>0.220467057159109+0.62636123046196i</v>
      </c>
      <c r="AN271" s="170" t="str">
        <f t="shared" si="158"/>
        <v>0.676876523360717i</v>
      </c>
      <c r="AO271" s="170" t="str">
        <f t="shared" si="159"/>
        <v>0.925370003013331-0.325712370794723i</v>
      </c>
      <c r="AP271" s="170" t="str">
        <f t="shared" si="160"/>
        <v>0.129922157140149-0.104393538410327i</v>
      </c>
      <c r="AQ271" s="170" t="str">
        <f t="shared" si="161"/>
        <v>0.870077842859851+0.104393538410327i</v>
      </c>
      <c r="AR271" s="170" t="str">
        <f t="shared" si="162"/>
        <v>0.943799010660816-0.113238739590475i</v>
      </c>
    </row>
    <row r="272" spans="7:44">
      <c r="G272" s="688">
        <v>17279</v>
      </c>
      <c r="H272" s="676">
        <f t="shared" si="154"/>
        <v>17.279</v>
      </c>
      <c r="I272" s="677">
        <f t="shared" si="134"/>
        <v>5.9929408359857348</v>
      </c>
      <c r="J272" s="678">
        <f t="shared" si="135"/>
        <v>1.4031491405557719</v>
      </c>
      <c r="K272" s="678">
        <f t="shared" si="136"/>
        <v>1.0002357087800779</v>
      </c>
      <c r="L272" s="679">
        <f t="shared" si="137"/>
        <v>2.1710020291606895E-2</v>
      </c>
      <c r="M272" s="678">
        <f t="shared" si="138"/>
        <v>1.0104877684675515</v>
      </c>
      <c r="N272" s="679">
        <f t="shared" si="139"/>
        <v>-0.14420069556353074</v>
      </c>
      <c r="O272" s="677">
        <f t="shared" si="140"/>
        <v>130280.5905622779</v>
      </c>
      <c r="P272" s="680">
        <f t="shared" si="141"/>
        <v>1.5707886510544375</v>
      </c>
      <c r="Q272" s="689">
        <f t="shared" si="131"/>
        <v>3.0766493659338905</v>
      </c>
      <c r="R272" s="690">
        <f t="shared" si="132"/>
        <v>1.2397540255654627</v>
      </c>
      <c r="S272" s="677">
        <f t="shared" si="142"/>
        <v>1.0026420632885713</v>
      </c>
      <c r="T272" s="680">
        <f t="shared" si="143"/>
        <v>7.2612110442048211E-2</v>
      </c>
      <c r="U272" s="681">
        <f t="shared" si="155"/>
        <v>0.93182276923075369</v>
      </c>
      <c r="V272" s="682">
        <f t="shared" si="156"/>
        <v>-0.46031704288659292</v>
      </c>
      <c r="W272" s="683">
        <f t="shared" si="144"/>
        <v>-4.7786073988029152</v>
      </c>
      <c r="X272" s="684">
        <f t="shared" si="145"/>
        <v>-136.91420083891401</v>
      </c>
      <c r="Y272" s="687">
        <f t="shared" si="146"/>
        <v>43.085799161085987</v>
      </c>
      <c r="AA272" s="170">
        <f t="shared" si="147"/>
        <v>17279</v>
      </c>
      <c r="AB272" s="170">
        <f t="shared" si="148"/>
        <v>298563841</v>
      </c>
      <c r="AD272" s="686">
        <f t="shared" si="149"/>
        <v>12.546497406878787</v>
      </c>
      <c r="AE272" s="687">
        <f t="shared" si="150"/>
        <v>-23.127254409506008</v>
      </c>
      <c r="AG272" s="686">
        <f t="shared" si="151"/>
        <v>25.862894266741488</v>
      </c>
      <c r="AH272" s="687">
        <f t="shared" si="152"/>
        <v>-61.038498778445536</v>
      </c>
      <c r="AJ272" s="170">
        <f t="shared" si="153"/>
        <v>0</v>
      </c>
      <c r="AK272" s="170">
        <f t="shared" si="133"/>
        <v>0</v>
      </c>
      <c r="AM272" s="170" t="str">
        <f t="shared" si="157"/>
        <v>0.22291610961166+0.62939703470776i</v>
      </c>
      <c r="AN272" s="170" t="str">
        <f t="shared" si="158"/>
        <v>0.680777034176358i</v>
      </c>
      <c r="AO272" s="170" t="str">
        <f t="shared" si="159"/>
        <v>0.924527419567318-0.327443639283978i</v>
      </c>
      <c r="AP272" s="170" t="str">
        <f t="shared" si="160"/>
        <v>0.12951398173139-0.104899505784627i</v>
      </c>
      <c r="AQ272" s="170" t="str">
        <f t="shared" si="161"/>
        <v>0.87048601826861+0.104899505784627i</v>
      </c>
      <c r="AR272" s="170" t="str">
        <f t="shared" si="162"/>
        <v>0.943239061285332-0.113666743967225i</v>
      </c>
    </row>
    <row r="273" spans="7:44">
      <c r="G273" s="688">
        <v>17378</v>
      </c>
      <c r="H273" s="676">
        <f t="shared" si="154"/>
        <v>17.378</v>
      </c>
      <c r="I273" s="677">
        <f t="shared" si="134"/>
        <v>6.0263239865577241</v>
      </c>
      <c r="J273" s="678">
        <f t="shared" si="135"/>
        <v>1.4040865564735332</v>
      </c>
      <c r="K273" s="678">
        <f t="shared" si="136"/>
        <v>1.0002384171809777</v>
      </c>
      <c r="L273" s="679">
        <f t="shared" si="137"/>
        <v>2.1834368397214431E-2</v>
      </c>
      <c r="M273" s="678">
        <f t="shared" si="138"/>
        <v>1.0106076594884772</v>
      </c>
      <c r="N273" s="679">
        <f t="shared" si="139"/>
        <v>-0.1450153909459426</v>
      </c>
      <c r="O273" s="677">
        <f t="shared" si="140"/>
        <v>131027.03297589603</v>
      </c>
      <c r="P273" s="680">
        <f t="shared" si="141"/>
        <v>1.5707886947820418</v>
      </c>
      <c r="Q273" s="689">
        <f t="shared" si="131"/>
        <v>3.0924195174209701</v>
      </c>
      <c r="R273" s="690">
        <f t="shared" si="132"/>
        <v>1.2415061851915241</v>
      </c>
      <c r="S273" s="677">
        <f t="shared" si="142"/>
        <v>1.0026723849517492</v>
      </c>
      <c r="T273" s="680">
        <f t="shared" si="143"/>
        <v>7.3026668062886241E-2</v>
      </c>
      <c r="U273" s="681">
        <f t="shared" si="155"/>
        <v>0.93111774176257345</v>
      </c>
      <c r="V273" s="682">
        <f t="shared" si="156"/>
        <v>-0.46278217723150217</v>
      </c>
      <c r="W273" s="683">
        <f t="shared" si="144"/>
        <v>-4.8378558501876441</v>
      </c>
      <c r="X273" s="684">
        <f t="shared" si="145"/>
        <v>-137.07207014992542</v>
      </c>
      <c r="Y273" s="687">
        <f t="shared" si="146"/>
        <v>42.927929850074577</v>
      </c>
      <c r="AA273" s="170">
        <f t="shared" si="147"/>
        <v>17378</v>
      </c>
      <c r="AB273" s="170">
        <f t="shared" si="148"/>
        <v>301994884</v>
      </c>
      <c r="AD273" s="686">
        <f t="shared" si="149"/>
        <v>12.541018997787241</v>
      </c>
      <c r="AE273" s="687">
        <f t="shared" si="150"/>
        <v>-23.050617965258059</v>
      </c>
      <c r="AG273" s="686">
        <f t="shared" si="151"/>
        <v>25.822272880643471</v>
      </c>
      <c r="AH273" s="687">
        <f t="shared" si="152"/>
        <v>-60.990520945590013</v>
      </c>
      <c r="AJ273" s="170">
        <f t="shared" si="153"/>
        <v>0</v>
      </c>
      <c r="AK273" s="170">
        <f t="shared" si="133"/>
        <v>0</v>
      </c>
      <c r="AM273" s="170" t="str">
        <f t="shared" si="157"/>
        <v>0.22537698459158+0.632423263328894i</v>
      </c>
      <c r="AN273" s="170" t="str">
        <f t="shared" si="158"/>
        <v>0.684677544991999i</v>
      </c>
      <c r="AO273" s="170" t="str">
        <f t="shared" si="159"/>
        <v>0.923680450680304-0.329172449483813i</v>
      </c>
      <c r="AP273" s="170" t="str">
        <f t="shared" si="160"/>
        <v>0.129103835901403-0.105403877221482i</v>
      </c>
      <c r="AQ273" s="170" t="str">
        <f t="shared" si="161"/>
        <v>0.870896164098597+0.105403877221482i</v>
      </c>
      <c r="AR273" s="170" t="str">
        <f t="shared" si="162"/>
        <v>0.942677605408083-0.114091528560947i</v>
      </c>
    </row>
    <row r="274" spans="7:44">
      <c r="G274" s="688">
        <v>17479.25</v>
      </c>
      <c r="H274" s="676">
        <f t="shared" si="154"/>
        <v>17.47925</v>
      </c>
      <c r="I274" s="677">
        <f t="shared" si="134"/>
        <v>6.0604712615885852</v>
      </c>
      <c r="J274" s="678">
        <f t="shared" si="135"/>
        <v>1.4050345944978939</v>
      </c>
      <c r="K274" s="678">
        <f t="shared" si="136"/>
        <v>1.0002412031337424</v>
      </c>
      <c r="L274" s="679">
        <f t="shared" si="137"/>
        <v>2.1961541897574766E-2</v>
      </c>
      <c r="M274" s="678">
        <f t="shared" si="138"/>
        <v>1.0107309689481285</v>
      </c>
      <c r="N274" s="679">
        <f t="shared" si="139"/>
        <v>-0.14584840165073751</v>
      </c>
      <c r="O274" s="677">
        <f t="shared" si="140"/>
        <v>131790.43998982391</v>
      </c>
      <c r="P274" s="680">
        <f t="shared" si="141"/>
        <v>1.5707887389911068</v>
      </c>
      <c r="Q274" s="689">
        <f t="shared" si="131"/>
        <v>3.1085578006870782</v>
      </c>
      <c r="R274" s="690">
        <f t="shared" si="132"/>
        <v>1.243279772485365</v>
      </c>
      <c r="S274" s="677">
        <f t="shared" si="142"/>
        <v>1.0027035739689636</v>
      </c>
      <c r="T274" s="680">
        <f t="shared" si="143"/>
        <v>7.3450621439447583E-2</v>
      </c>
      <c r="U274" s="681">
        <f t="shared" si="155"/>
        <v>0.93039408665061907</v>
      </c>
      <c r="V274" s="682">
        <f t="shared" si="156"/>
        <v>-0.46530061438520226</v>
      </c>
      <c r="W274" s="683">
        <f t="shared" si="144"/>
        <v>-4.8981228853205465</v>
      </c>
      <c r="X274" s="684">
        <f t="shared" si="145"/>
        <v>-137.23380024608241</v>
      </c>
      <c r="Y274" s="687">
        <f t="shared" si="146"/>
        <v>42.76619975391759</v>
      </c>
      <c r="AA274" s="170">
        <f t="shared" si="147"/>
        <v>17479.25</v>
      </c>
      <c r="AB274" s="170">
        <f t="shared" si="148"/>
        <v>305524180.5625</v>
      </c>
      <c r="AD274" s="686">
        <f t="shared" si="149"/>
        <v>12.535499627176348</v>
      </c>
      <c r="AE274" s="687">
        <f t="shared" si="150"/>
        <v>-22.97329217081473</v>
      </c>
      <c r="AG274" s="686">
        <f t="shared" si="151"/>
        <v>25.781031633129725</v>
      </c>
      <c r="AH274" s="687">
        <f t="shared" si="152"/>
        <v>-60.940985196108663</v>
      </c>
      <c r="AJ274" s="170">
        <f t="shared" si="153"/>
        <v>0</v>
      </c>
      <c r="AK274" s="170">
        <f t="shared" si="133"/>
        <v>0</v>
      </c>
      <c r="AM274" s="170" t="str">
        <f t="shared" si="157"/>
        <v>0.227905978149605+0.635508317351458i</v>
      </c>
      <c r="AN274" s="170" t="str">
        <f t="shared" si="158"/>
        <v>0.688666703780723i</v>
      </c>
      <c r="AO274" s="170" t="str">
        <f t="shared" si="159"/>
        <v>0.922809704407909-0.330937994966825i</v>
      </c>
      <c r="AP274" s="170" t="str">
        <f t="shared" si="160"/>
        <v>0.128682336975066-0.10591805289191i</v>
      </c>
      <c r="AQ274" s="170" t="str">
        <f t="shared" si="161"/>
        <v>0.871317663024934+0.10591805289191i</v>
      </c>
      <c r="AR274" s="170" t="str">
        <f t="shared" si="162"/>
        <v>0.942101853789529-0.114522634182374i</v>
      </c>
    </row>
    <row r="275" spans="7:44">
      <c r="G275" s="688">
        <v>17580.5</v>
      </c>
      <c r="H275" s="676">
        <f t="shared" si="154"/>
        <v>17.580500000000001</v>
      </c>
      <c r="I275" s="677">
        <f t="shared" si="134"/>
        <v>6.0946239225857646</v>
      </c>
      <c r="J275" s="678">
        <f t="shared" si="135"/>
        <v>1.4059720082480889</v>
      </c>
      <c r="K275" s="678">
        <f t="shared" si="136"/>
        <v>1.0002440052634169</v>
      </c>
      <c r="L275" s="679">
        <f t="shared" si="137"/>
        <v>2.2088714687452448E-2</v>
      </c>
      <c r="M275" s="678">
        <f t="shared" si="138"/>
        <v>1.0108549795895136</v>
      </c>
      <c r="N275" s="679">
        <f t="shared" si="139"/>
        <v>-0.14668120854752484</v>
      </c>
      <c r="O275" s="677">
        <f t="shared" si="140"/>
        <v>132553.84700375207</v>
      </c>
      <c r="P275" s="680">
        <f t="shared" si="141"/>
        <v>1.5707887826909523</v>
      </c>
      <c r="Q275" s="689">
        <f t="shared" si="131"/>
        <v>3.1247057612468638</v>
      </c>
      <c r="R275" s="690">
        <f t="shared" si="132"/>
        <v>1.2450350340438232</v>
      </c>
      <c r="S275" s="677">
        <f t="shared" si="142"/>
        <v>1.002734943197344</v>
      </c>
      <c r="T275" s="680">
        <f t="shared" si="143"/>
        <v>7.3874548366565596E-2</v>
      </c>
      <c r="U275" s="681">
        <f t="shared" si="155"/>
        <v>0.92966781949548472</v>
      </c>
      <c r="V275" s="682">
        <f t="shared" si="156"/>
        <v>-0.46781629064708985</v>
      </c>
      <c r="W275" s="683">
        <f t="shared" si="144"/>
        <v>-4.9580627752208617</v>
      </c>
      <c r="X275" s="684">
        <f t="shared" si="145"/>
        <v>-137.39580023476634</v>
      </c>
      <c r="Y275" s="687">
        <f t="shared" si="146"/>
        <v>42.604199765233659</v>
      </c>
      <c r="AA275" s="170">
        <f t="shared" si="147"/>
        <v>17580.5</v>
      </c>
      <c r="AB275" s="170">
        <f t="shared" si="148"/>
        <v>309073980.25</v>
      </c>
      <c r="AD275" s="686">
        <f t="shared" si="149"/>
        <v>12.530062947390547</v>
      </c>
      <c r="AE275" s="687">
        <f t="shared" si="150"/>
        <v>-22.897014819048874</v>
      </c>
      <c r="AG275" s="686">
        <f t="shared" si="151"/>
        <v>25.74009415791248</v>
      </c>
      <c r="AH275" s="687">
        <f t="shared" si="152"/>
        <v>-60.890987271374222</v>
      </c>
      <c r="AJ275" s="170">
        <f t="shared" si="153"/>
        <v>0</v>
      </c>
      <c r="AK275" s="170">
        <f t="shared" si="133"/>
        <v>0</v>
      </c>
      <c r="AM275" s="170" t="str">
        <f t="shared" si="157"/>
        <v>0.230447258322956+0.638583258297103i</v>
      </c>
      <c r="AN275" s="170" t="str">
        <f t="shared" si="158"/>
        <v>0.692655862569447i</v>
      </c>
      <c r="AO275" s="170" t="str">
        <f t="shared" si="159"/>
        <v>0.921934387342426-0.332700942525915i</v>
      </c>
      <c r="AP275" s="170" t="str">
        <f t="shared" si="160"/>
        <v>0.128258790279507-0.106430543049517i</v>
      </c>
      <c r="AQ275" s="170" t="str">
        <f t="shared" si="161"/>
        <v>0.871741209720493+0.106430543049517i</v>
      </c>
      <c r="AR275" s="170" t="str">
        <f t="shared" si="162"/>
        <v>0.941524572791093-0.114950366529936i</v>
      </c>
    </row>
    <row r="276" spans="7:44">
      <c r="G276" s="688">
        <v>17681.75</v>
      </c>
      <c r="H276" s="676">
        <f t="shared" si="154"/>
        <v>17.681750000000001</v>
      </c>
      <c r="I276" s="677">
        <f t="shared" si="134"/>
        <v>6.128781879509309</v>
      </c>
      <c r="J276" s="678">
        <f t="shared" si="135"/>
        <v>1.4068989737016684</v>
      </c>
      <c r="K276" s="678">
        <f t="shared" si="136"/>
        <v>1.0002468235698656</v>
      </c>
      <c r="L276" s="679">
        <f t="shared" si="137"/>
        <v>2.2215886762739969E-2</v>
      </c>
      <c r="M276" s="678">
        <f t="shared" si="138"/>
        <v>1.0109796911546034</v>
      </c>
      <c r="N276" s="679">
        <f t="shared" si="139"/>
        <v>-0.1475138105563025</v>
      </c>
      <c r="O276" s="677">
        <f t="shared" si="140"/>
        <v>133317.25401768051</v>
      </c>
      <c r="P276" s="680">
        <f t="shared" si="141"/>
        <v>1.570788825890326</v>
      </c>
      <c r="Q276" s="689">
        <f t="shared" si="131"/>
        <v>3.1408632498401943</v>
      </c>
      <c r="R276" s="690">
        <f t="shared" si="132"/>
        <v>1.2467722417852714</v>
      </c>
      <c r="S276" s="677">
        <f t="shared" si="142"/>
        <v>1.0027664926199784</v>
      </c>
      <c r="T276" s="680">
        <f t="shared" si="143"/>
        <v>7.4298448694358463E-2</v>
      </c>
      <c r="U276" s="681">
        <f t="shared" si="155"/>
        <v>0.9289389619534093</v>
      </c>
      <c r="V276" s="682">
        <f t="shared" si="156"/>
        <v>-0.47032919874910589</v>
      </c>
      <c r="W276" s="683">
        <f t="shared" si="144"/>
        <v>-5.0176799755259873</v>
      </c>
      <c r="X276" s="684">
        <f t="shared" si="145"/>
        <v>-137.55806413281331</v>
      </c>
      <c r="Y276" s="687">
        <f t="shared" si="146"/>
        <v>42.441935867186686</v>
      </c>
      <c r="AA276" s="170">
        <f t="shared" si="147"/>
        <v>17681.75</v>
      </c>
      <c r="AB276" s="170">
        <f t="shared" si="148"/>
        <v>312644283.0625</v>
      </c>
      <c r="AD276" s="686">
        <f t="shared" si="149"/>
        <v>12.524707195600246</v>
      </c>
      <c r="AE276" s="687">
        <f t="shared" si="150"/>
        <v>-22.821770322099002</v>
      </c>
      <c r="AG276" s="686">
        <f t="shared" si="151"/>
        <v>25.699457488043787</v>
      </c>
      <c r="AH276" s="687">
        <f t="shared" si="152"/>
        <v>-60.840537608942547</v>
      </c>
      <c r="AJ276" s="170">
        <f t="shared" si="153"/>
        <v>0</v>
      </c>
      <c r="AK276" s="170">
        <f t="shared" si="133"/>
        <v>0</v>
      </c>
      <c r="AM276" s="170" t="str">
        <f t="shared" si="157"/>
        <v>0.23300078467131+0.641648037233165i</v>
      </c>
      <c r="AN276" s="170" t="str">
        <f t="shared" si="158"/>
        <v>0.69664502135817i</v>
      </c>
      <c r="AO276" s="170" t="str">
        <f t="shared" si="159"/>
        <v>0.92105450776382-0.334461278740003i</v>
      </c>
      <c r="AP276" s="170" t="str">
        <f t="shared" si="160"/>
        <v>0.127833202554782-0.106941339538861i</v>
      </c>
      <c r="AQ276" s="170" t="str">
        <f t="shared" si="161"/>
        <v>0.872166797445218+0.106941339538861i</v>
      </c>
      <c r="AR276" s="170" t="str">
        <f t="shared" si="162"/>
        <v>0.940945785788936-0.115374723115432i</v>
      </c>
    </row>
    <row r="277" spans="7:44">
      <c r="G277" s="688">
        <v>17783</v>
      </c>
      <c r="H277" s="676">
        <f t="shared" si="154"/>
        <v>17.783000000000001</v>
      </c>
      <c r="I277" s="677">
        <f t="shared" si="134"/>
        <v>6.1629450443016269</v>
      </c>
      <c r="J277" s="678">
        <f t="shared" si="135"/>
        <v>1.407815663006919</v>
      </c>
      <c r="K277" s="678">
        <f t="shared" si="136"/>
        <v>1.0002496580529514</v>
      </c>
      <c r="L277" s="679">
        <f t="shared" si="137"/>
        <v>2.2343058119329937E-2</v>
      </c>
      <c r="M277" s="678">
        <f t="shared" si="138"/>
        <v>1.0111051033840381</v>
      </c>
      <c r="N277" s="679">
        <f t="shared" si="139"/>
        <v>-0.14834620659873579</v>
      </c>
      <c r="O277" s="677">
        <f t="shared" si="140"/>
        <v>134080.66103160914</v>
      </c>
      <c r="P277" s="680">
        <f t="shared" si="141"/>
        <v>1.5707888685977762</v>
      </c>
      <c r="Q277" s="689">
        <f t="shared" si="131"/>
        <v>3.1570301201753819</v>
      </c>
      <c r="R277" s="690">
        <f t="shared" si="132"/>
        <v>1.248491662499021</v>
      </c>
      <c r="S277" s="677">
        <f t="shared" si="142"/>
        <v>1.0027982222198586</v>
      </c>
      <c r="T277" s="680">
        <f t="shared" si="143"/>
        <v>7.4722322273001421E-2</v>
      </c>
      <c r="U277" s="681">
        <f t="shared" si="155"/>
        <v>0.92820753566410774</v>
      </c>
      <c r="V277" s="682">
        <f t="shared" si="156"/>
        <v>-0.47283933153500601</v>
      </c>
      <c r="W277" s="683">
        <f t="shared" si="144"/>
        <v>-5.0769788537770797</v>
      </c>
      <c r="X277" s="684">
        <f t="shared" si="145"/>
        <v>-137.7205860380262</v>
      </c>
      <c r="Y277" s="687">
        <f t="shared" si="146"/>
        <v>42.279413961973802</v>
      </c>
      <c r="AA277" s="170">
        <f t="shared" si="147"/>
        <v>17783</v>
      </c>
      <c r="AB277" s="170">
        <f t="shared" si="148"/>
        <v>316235089</v>
      </c>
      <c r="AD277" s="686">
        <f t="shared" si="149"/>
        <v>12.519430654099944</v>
      </c>
      <c r="AE277" s="687">
        <f t="shared" si="150"/>
        <v>-22.747543385968953</v>
      </c>
      <c r="AG277" s="686">
        <f t="shared" si="151"/>
        <v>25.659118699389794</v>
      </c>
      <c r="AH277" s="687">
        <f t="shared" si="152"/>
        <v>-60.789646420657803</v>
      </c>
      <c r="AJ277" s="170">
        <f t="shared" si="153"/>
        <v>0</v>
      </c>
      <c r="AK277" s="170">
        <f t="shared" si="133"/>
        <v>0</v>
      </c>
      <c r="AM277" s="170" t="str">
        <f t="shared" si="157"/>
        <v>0.235566516559466+0.644702605388694i</v>
      </c>
      <c r="AN277" s="170" t="str">
        <f t="shared" si="158"/>
        <v>0.700634180146894i</v>
      </c>
      <c r="AO277" s="170" t="str">
        <f t="shared" si="159"/>
        <v>0.920170073994287-0.336218990215518i</v>
      </c>
      <c r="AP277" s="170" t="str">
        <f t="shared" si="160"/>
        <v>0.127405580573422-0.107450434231449i</v>
      </c>
      <c r="AQ277" s="170" t="str">
        <f t="shared" si="161"/>
        <v>0.872594419426578+0.107450434231449i</v>
      </c>
      <c r="AR277" s="170" t="str">
        <f t="shared" si="162"/>
        <v>0.940365516107918-0.115795701637052i</v>
      </c>
    </row>
    <row r="278" spans="7:44">
      <c r="G278" s="688">
        <v>17886.5</v>
      </c>
      <c r="H278" s="676">
        <f t="shared" si="154"/>
        <v>17.886500000000002</v>
      </c>
      <c r="I278" s="677">
        <f t="shared" si="134"/>
        <v>6.1978726836142215</v>
      </c>
      <c r="J278" s="678">
        <f t="shared" si="135"/>
        <v>1.4087422773073262</v>
      </c>
      <c r="K278" s="678">
        <f t="shared" si="136"/>
        <v>1.0002525722442599</v>
      </c>
      <c r="L278" s="679">
        <f t="shared" si="137"/>
        <v>2.2473054758958146E-2</v>
      </c>
      <c r="M278" s="678">
        <f t="shared" si="138"/>
        <v>1.0112340264732862</v>
      </c>
      <c r="N278" s="679">
        <f t="shared" si="139"/>
        <v>-0.14919688632720865</v>
      </c>
      <c r="O278" s="677">
        <f t="shared" si="140"/>
        <v>134861.03264584753</v>
      </c>
      <c r="P278" s="680">
        <f t="shared" si="141"/>
        <v>1.5707889117545371</v>
      </c>
      <c r="Q278" s="689">
        <f t="shared" si="131"/>
        <v>3.1735658017877628</v>
      </c>
      <c r="R278" s="690">
        <f t="shared" si="132"/>
        <v>1.2502311807823241</v>
      </c>
      <c r="S278" s="677">
        <f t="shared" si="142"/>
        <v>1.0028308431317932</v>
      </c>
      <c r="T278" s="680">
        <f t="shared" si="143"/>
        <v>7.5155587461167142E-2</v>
      </c>
      <c r="U278" s="681">
        <f t="shared" si="155"/>
        <v>0.92745722296419919</v>
      </c>
      <c r="V278" s="682">
        <f t="shared" si="156"/>
        <v>-0.47540236920305212</v>
      </c>
      <c r="W278" s="683">
        <f t="shared" si="144"/>
        <v>-5.1372709311999998</v>
      </c>
      <c r="X278" s="684">
        <f t="shared" si="145"/>
        <v>-137.88698015070844</v>
      </c>
      <c r="Y278" s="687">
        <f t="shared" si="146"/>
        <v>42.113019849291561</v>
      </c>
      <c r="AA278" s="170">
        <f t="shared" si="147"/>
        <v>17886.5</v>
      </c>
      <c r="AB278" s="170">
        <f t="shared" si="148"/>
        <v>319926882.25</v>
      </c>
      <c r="AD278" s="686">
        <f t="shared" si="149"/>
        <v>12.514116983595683</v>
      </c>
      <c r="AE278" s="687">
        <f t="shared" si="150"/>
        <v>-22.672703069256418</v>
      </c>
      <c r="AG278" s="686">
        <f t="shared" si="151"/>
        <v>25.618188376599043</v>
      </c>
      <c r="AH278" s="687">
        <f t="shared" si="152"/>
        <v>-60.737178367492803</v>
      </c>
      <c r="AJ278" s="170">
        <f t="shared" si="153"/>
        <v>0</v>
      </c>
      <c r="AK278" s="170">
        <f t="shared" si="133"/>
        <v>0</v>
      </c>
      <c r="AM278" s="170" t="str">
        <f t="shared" si="157"/>
        <v>0.238201837602433+0.647814448563545i</v>
      </c>
      <c r="AN278" s="170" t="str">
        <f t="shared" si="158"/>
        <v>0.7047119869087i</v>
      </c>
      <c r="AO278" s="170" t="str">
        <f t="shared" si="159"/>
        <v>0.919261287728704-0.338013035151187i</v>
      </c>
      <c r="AP278" s="170" t="str">
        <f t="shared" si="160"/>
        <v>0.126966360399594-0.107969074760591i</v>
      </c>
      <c r="AQ278" s="170" t="str">
        <f t="shared" si="161"/>
        <v>0.873033639600406+0.107969074760591i</v>
      </c>
      <c r="AR278" s="170" t="str">
        <f t="shared" si="162"/>
        <v>0.939770843308829-0.116222541533997i</v>
      </c>
    </row>
    <row r="279" spans="7:44">
      <c r="G279" s="688">
        <v>17990</v>
      </c>
      <c r="H279" s="676">
        <f t="shared" si="154"/>
        <v>17.989999999999998</v>
      </c>
      <c r="I279" s="677">
        <f t="shared" si="134"/>
        <v>6.2328055848622448</v>
      </c>
      <c r="J279" s="678">
        <f t="shared" si="135"/>
        <v>1.4096585056277358</v>
      </c>
      <c r="K279" s="678">
        <f t="shared" si="136"/>
        <v>1.0002555033388643</v>
      </c>
      <c r="L279" s="679">
        <f t="shared" si="137"/>
        <v>2.2603050638912919E-2</v>
      </c>
      <c r="M279" s="678">
        <f t="shared" si="138"/>
        <v>1.0113636811612288</v>
      </c>
      <c r="N279" s="679">
        <f t="shared" si="139"/>
        <v>-0.15004734856030327</v>
      </c>
      <c r="O279" s="677">
        <f t="shared" si="140"/>
        <v>135641.40426008622</v>
      </c>
      <c r="P279" s="680">
        <f t="shared" si="141"/>
        <v>1.5707889544147191</v>
      </c>
      <c r="Q279" s="689">
        <f t="shared" ref="Q279:Q342" si="163">SQRT(1+(G279/Zero2)^2)</f>
        <v>3.1901109867993527</v>
      </c>
      <c r="R279" s="690">
        <f t="shared" ref="R279:R342" si="164">ATAN(G279/Zero2)</f>
        <v>1.2519526605617319</v>
      </c>
      <c r="S279" s="677">
        <f t="shared" si="142"/>
        <v>1.0028636522815857</v>
      </c>
      <c r="T279" s="680">
        <f t="shared" si="143"/>
        <v>7.5588824381711731E-2</v>
      </c>
      <c r="U279" s="681">
        <f t="shared" si="155"/>
        <v>0.9267042717501327</v>
      </c>
      <c r="V279" s="682">
        <f t="shared" si="156"/>
        <v>-0.4779624920716708</v>
      </c>
      <c r="W279" s="683">
        <f t="shared" si="144"/>
        <v>-5.1972393384561153</v>
      </c>
      <c r="X279" s="684">
        <f t="shared" si="145"/>
        <v>-138.0536316488992</v>
      </c>
      <c r="Y279" s="687">
        <f t="shared" si="146"/>
        <v>41.946368351100801</v>
      </c>
      <c r="AA279" s="170">
        <f t="shared" si="147"/>
        <v>17990</v>
      </c>
      <c r="AB279" s="170">
        <f t="shared" si="148"/>
        <v>323640100</v>
      </c>
      <c r="AD279" s="686">
        <f t="shared" si="149"/>
        <v>12.508882591770528</v>
      </c>
      <c r="AE279" s="687">
        <f t="shared" si="150"/>
        <v>-22.598894634619736</v>
      </c>
      <c r="AG279" s="686">
        <f t="shared" si="151"/>
        <v>25.577563275685776</v>
      </c>
      <c r="AH279" s="687">
        <f t="shared" si="152"/>
        <v>-60.684269829171498</v>
      </c>
      <c r="AJ279" s="170">
        <f t="shared" si="153"/>
        <v>0</v>
      </c>
      <c r="AK279" s="170">
        <f t="shared" ref="AK279:AK342" si="165">IF(AJ279&gt;0,Y279,0)</f>
        <v>0</v>
      </c>
      <c r="AM279" s="170" t="str">
        <f t="shared" si="157"/>
        <v>0.240849826194675+0.650915519565592i</v>
      </c>
      <c r="AN279" s="170" t="str">
        <f t="shared" si="158"/>
        <v>0.708789793670507i</v>
      </c>
      <c r="AO279" s="170" t="str">
        <f t="shared" si="159"/>
        <v>0.918347760334965-0.339804309183716i</v>
      </c>
      <c r="AP279" s="170" t="str">
        <f t="shared" si="160"/>
        <v>0.126525028967554-0.108485919927599i</v>
      </c>
      <c r="AQ279" s="170" t="str">
        <f t="shared" si="161"/>
        <v>0.873474971032446+0.108485919927599i</v>
      </c>
      <c r="AR279" s="170" t="str">
        <f t="shared" si="162"/>
        <v>0.939174670318739-0.116645847289473i</v>
      </c>
    </row>
    <row r="280" spans="7:44">
      <c r="G280" s="688">
        <v>18093.5</v>
      </c>
      <c r="H280" s="676">
        <f t="shared" si="154"/>
        <v>18.093499999999999</v>
      </c>
      <c r="I280" s="677">
        <f t="shared" si="134"/>
        <v>6.2677436600644327</v>
      </c>
      <c r="J280" s="678">
        <f t="shared" si="135"/>
        <v>1.4105645200995123</v>
      </c>
      <c r="K280" s="678">
        <f t="shared" si="136"/>
        <v>1.000258451336616</v>
      </c>
      <c r="L280" s="679">
        <f t="shared" si="137"/>
        <v>2.2733045754807377E-2</v>
      </c>
      <c r="M280" s="678">
        <f t="shared" si="138"/>
        <v>1.0114940671665331</v>
      </c>
      <c r="N280" s="679">
        <f t="shared" si="139"/>
        <v>-0.150897592151639</v>
      </c>
      <c r="O280" s="677">
        <f t="shared" si="140"/>
        <v>136421.77587432513</v>
      </c>
      <c r="P280" s="680">
        <f t="shared" si="141"/>
        <v>1.5707889965868445</v>
      </c>
      <c r="Q280" s="689">
        <f t="shared" si="163"/>
        <v>3.2066655281082856</v>
      </c>
      <c r="R280" s="690">
        <f t="shared" si="164"/>
        <v>1.2536563709278712</v>
      </c>
      <c r="S280" s="677">
        <f t="shared" si="142"/>
        <v>1.0028966496507623</v>
      </c>
      <c r="T280" s="680">
        <f t="shared" si="143"/>
        <v>7.6022032874785331E-2</v>
      </c>
      <c r="U280" s="681">
        <f t="shared" si="155"/>
        <v>0.92594870507409721</v>
      </c>
      <c r="V280" s="682">
        <f t="shared" si="156"/>
        <v>-0.48051969285751267</v>
      </c>
      <c r="W280" s="683">
        <f t="shared" si="144"/>
        <v>-5.2568884693825648</v>
      </c>
      <c r="X280" s="684">
        <f t="shared" si="145"/>
        <v>-138.22053448583495</v>
      </c>
      <c r="Y280" s="687">
        <f t="shared" si="146"/>
        <v>41.779465514165054</v>
      </c>
      <c r="AA280" s="170">
        <f t="shared" si="147"/>
        <v>18093.5</v>
      </c>
      <c r="AB280" s="170">
        <f t="shared" si="148"/>
        <v>327374742.25</v>
      </c>
      <c r="AD280" s="686">
        <f t="shared" si="149"/>
        <v>12.503725781385347</v>
      </c>
      <c r="AE280" s="687">
        <f t="shared" si="150"/>
        <v>-22.526102655631227</v>
      </c>
      <c r="AG280" s="686">
        <f t="shared" si="151"/>
        <v>25.537240406646092</v>
      </c>
      <c r="AH280" s="687">
        <f t="shared" si="152"/>
        <v>-60.630931019968358</v>
      </c>
      <c r="AJ280" s="170">
        <f t="shared" si="153"/>
        <v>0</v>
      </c>
      <c r="AK280" s="170">
        <f t="shared" si="165"/>
        <v>0</v>
      </c>
      <c r="AM280" s="170" t="str">
        <f t="shared" si="157"/>
        <v>0.243510438304151+0.654005766828721i</v>
      </c>
      <c r="AN280" s="170" t="str">
        <f t="shared" si="158"/>
        <v>0.712867600432313i</v>
      </c>
      <c r="AO280" s="170" t="str">
        <f t="shared" si="159"/>
        <v>0.917429500838731-0.341592798096696i</v>
      </c>
      <c r="AP280" s="170" t="str">
        <f t="shared" si="160"/>
        <v>0.126081593615975-0.10900096113812i</v>
      </c>
      <c r="AQ280" s="170" t="str">
        <f t="shared" si="161"/>
        <v>0.873918406384025+0.10900096113812i</v>
      </c>
      <c r="AR280" s="170" t="str">
        <f t="shared" si="162"/>
        <v>0.938577021875764-0.117065617040747i</v>
      </c>
    </row>
    <row r="281" spans="7:44">
      <c r="G281" s="688">
        <v>18197</v>
      </c>
      <c r="H281" s="676">
        <f t="shared" si="154"/>
        <v>18.196999999999999</v>
      </c>
      <c r="I281" s="677">
        <f t="shared" si="134"/>
        <v>6.3026868231774804</v>
      </c>
      <c r="J281" s="678">
        <f t="shared" si="135"/>
        <v>1.4114604891046441</v>
      </c>
      <c r="K281" s="678">
        <f t="shared" si="136"/>
        <v>1.0002614162373653</v>
      </c>
      <c r="L281" s="679">
        <f t="shared" si="137"/>
        <v>2.2863040102254793E-2</v>
      </c>
      <c r="M281" s="678">
        <f t="shared" si="138"/>
        <v>1.0116251842064268</v>
      </c>
      <c r="N281" s="679">
        <f t="shared" si="139"/>
        <v>-0.15174761595668895</v>
      </c>
      <c r="O281" s="677">
        <f t="shared" si="140"/>
        <v>137202.14748856428</v>
      </c>
      <c r="P281" s="680">
        <f t="shared" si="141"/>
        <v>1.5707890382792407</v>
      </c>
      <c r="Q281" s="689">
        <f t="shared" si="163"/>
        <v>3.2232292815524248</v>
      </c>
      <c r="R281" s="690">
        <f t="shared" si="164"/>
        <v>1.2553425758574108</v>
      </c>
      <c r="S281" s="677">
        <f t="shared" si="142"/>
        <v>1.002929835220745</v>
      </c>
      <c r="T281" s="680">
        <f t="shared" si="143"/>
        <v>7.6455212780601758E-2</v>
      </c>
      <c r="U281" s="681">
        <f t="shared" si="155"/>
        <v>0.92519054596424133</v>
      </c>
      <c r="V281" s="682">
        <f t="shared" si="156"/>
        <v>-0.48307396439817946</v>
      </c>
      <c r="W281" s="683">
        <f t="shared" si="144"/>
        <v>-5.3162226308747664</v>
      </c>
      <c r="X281" s="684">
        <f t="shared" si="145"/>
        <v>-138.38768269996558</v>
      </c>
      <c r="Y281" s="687">
        <f t="shared" si="146"/>
        <v>41.61231730003442</v>
      </c>
      <c r="AA281" s="170">
        <f t="shared" si="147"/>
        <v>18197</v>
      </c>
      <c r="AB281" s="170">
        <f t="shared" si="148"/>
        <v>331130809</v>
      </c>
      <c r="AD281" s="686">
        <f t="shared" si="149"/>
        <v>12.498644898789541</v>
      </c>
      <c r="AE281" s="687">
        <f t="shared" si="150"/>
        <v>-22.454311998863911</v>
      </c>
      <c r="AG281" s="686">
        <f t="shared" si="151"/>
        <v>25.49721682272444</v>
      </c>
      <c r="AH281" s="687">
        <f t="shared" si="152"/>
        <v>-60.577171932510652</v>
      </c>
      <c r="AJ281" s="170">
        <f t="shared" si="153"/>
        <v>0</v>
      </c>
      <c r="AK281" s="170">
        <f t="shared" si="165"/>
        <v>0</v>
      </c>
      <c r="AM281" s="170" t="str">
        <f t="shared" si="157"/>
        <v>0.246183629688916+0.657085138966803i</v>
      </c>
      <c r="AN281" s="170" t="str">
        <f t="shared" si="158"/>
        <v>0.71694540719412i</v>
      </c>
      <c r="AO281" s="170" t="str">
        <f t="shared" si="159"/>
        <v>0.91650651831136-0.343378487704377i</v>
      </c>
      <c r="AP281" s="170" t="str">
        <f t="shared" si="160"/>
        <v>0.125636061718514-0.1095141898278i</v>
      </c>
      <c r="AQ281" s="170" t="str">
        <f t="shared" si="161"/>
        <v>0.874363938281486+0.1095141898278i</v>
      </c>
      <c r="AR281" s="170" t="str">
        <f t="shared" si="162"/>
        <v>0.937977922655103-0.117481849123182i</v>
      </c>
    </row>
    <row r="282" spans="7:44">
      <c r="G282" s="688">
        <v>18303</v>
      </c>
      <c r="H282" s="676">
        <f t="shared" si="154"/>
        <v>18.303000000000001</v>
      </c>
      <c r="I282" s="677">
        <f t="shared" si="134"/>
        <v>6.3384792098640608</v>
      </c>
      <c r="J282" s="678">
        <f t="shared" si="135"/>
        <v>1.4123678596120184</v>
      </c>
      <c r="K282" s="678">
        <f t="shared" si="136"/>
        <v>1.0002644702742742</v>
      </c>
      <c r="L282" s="679">
        <f t="shared" si="137"/>
        <v>2.2996173608688577E-2</v>
      </c>
      <c r="M282" s="678">
        <f t="shared" si="138"/>
        <v>1.0117602257622136</v>
      </c>
      <c r="N282" s="679">
        <f t="shared" si="139"/>
        <v>-0.15261794273010926</v>
      </c>
      <c r="O282" s="677">
        <f t="shared" si="140"/>
        <v>138001.36865870317</v>
      </c>
      <c r="P282" s="680">
        <f t="shared" si="141"/>
        <v>1.5707890804899525</v>
      </c>
      <c r="Q282" s="689">
        <f t="shared" si="163"/>
        <v>3.2402025266397136</v>
      </c>
      <c r="R282" s="690">
        <f t="shared" si="164"/>
        <v>1.2570516361435282</v>
      </c>
      <c r="S282" s="677">
        <f t="shared" si="142"/>
        <v>1.0029640174296017</v>
      </c>
      <c r="T282" s="680">
        <f t="shared" si="143"/>
        <v>7.6898826170912066E-2</v>
      </c>
      <c r="U282" s="681">
        <f t="shared" si="155"/>
        <v>0.92441141074813837</v>
      </c>
      <c r="V282" s="682">
        <f t="shared" si="156"/>
        <v>-0.48568688973032004</v>
      </c>
      <c r="W282" s="683">
        <f t="shared" si="144"/>
        <v>-5.3766679224582914</v>
      </c>
      <c r="X282" s="684">
        <f t="shared" si="145"/>
        <v>-138.5591165094549</v>
      </c>
      <c r="Y282" s="687">
        <f t="shared" si="146"/>
        <v>41.440883490545104</v>
      </c>
      <c r="AA282" s="170">
        <f t="shared" si="147"/>
        <v>18303</v>
      </c>
      <c r="AB282" s="170">
        <f t="shared" si="148"/>
        <v>334999809</v>
      </c>
      <c r="AD282" s="686">
        <f t="shared" si="149"/>
        <v>12.49351830708925</v>
      </c>
      <c r="AE282" s="687">
        <f t="shared" si="150"/>
        <v>-22.381809650949027</v>
      </c>
      <c r="AG282" s="686">
        <f t="shared" si="151"/>
        <v>25.456533667264001</v>
      </c>
      <c r="AH282" s="687">
        <f t="shared" si="152"/>
        <v>-60.521688902143758</v>
      </c>
      <c r="AJ282" s="170">
        <f t="shared" si="153"/>
        <v>0</v>
      </c>
      <c r="AK282" s="170">
        <f t="shared" si="165"/>
        <v>0</v>
      </c>
      <c r="AM282" s="170" t="str">
        <f t="shared" si="157"/>
        <v>0.24893438318275+0.660227566248884i</v>
      </c>
      <c r="AN282" s="170" t="str">
        <f t="shared" si="158"/>
        <v>0.721121711703796i</v>
      </c>
      <c r="AO282" s="170" t="str">
        <f t="shared" si="159"/>
        <v>0.915556355513084-0.345204393575382i</v>
      </c>
      <c r="AP282" s="170" t="str">
        <f t="shared" si="160"/>
        <v>0.125177602802875-0.110037927708147i</v>
      </c>
      <c r="AQ282" s="170" t="str">
        <f t="shared" si="161"/>
        <v>0.874822397197125+0.110037927708147i</v>
      </c>
      <c r="AR282" s="170" t="str">
        <f t="shared" si="162"/>
        <v>0.937362874387898-0.117904466710807i</v>
      </c>
    </row>
    <row r="283" spans="7:44">
      <c r="G283" s="688">
        <v>18409</v>
      </c>
      <c r="H283" s="676">
        <f t="shared" si="154"/>
        <v>18.408999999999999</v>
      </c>
      <c r="I283" s="677">
        <f t="shared" si="134"/>
        <v>6.374276756546422</v>
      </c>
      <c r="J283" s="678">
        <f t="shared" si="135"/>
        <v>1.4132650393771056</v>
      </c>
      <c r="K283" s="678">
        <f t="shared" si="136"/>
        <v>1.0002675420402927</v>
      </c>
      <c r="L283" s="679">
        <f t="shared" si="137"/>
        <v>2.3129306299790871E-2</v>
      </c>
      <c r="M283" s="678">
        <f t="shared" si="138"/>
        <v>1.0118960334898053</v>
      </c>
      <c r="N283" s="679">
        <f t="shared" si="139"/>
        <v>-0.15348803654734181</v>
      </c>
      <c r="O283" s="677">
        <f t="shared" si="140"/>
        <v>138800.58982884232</v>
      </c>
      <c r="P283" s="680">
        <f t="shared" si="141"/>
        <v>1.5707891222145614</v>
      </c>
      <c r="Q283" s="689">
        <f t="shared" si="163"/>
        <v>3.2571851373397243</v>
      </c>
      <c r="R283" s="690">
        <f t="shared" si="164"/>
        <v>1.2587428796161144</v>
      </c>
      <c r="S283" s="677">
        <f t="shared" si="142"/>
        <v>1.0029983970011203</v>
      </c>
      <c r="T283" s="680">
        <f t="shared" si="143"/>
        <v>7.7342409237219939E-2</v>
      </c>
      <c r="U283" s="681">
        <f t="shared" si="155"/>
        <v>0.92362960515523895</v>
      </c>
      <c r="V283" s="682">
        <f t="shared" si="156"/>
        <v>-0.48829672777960315</v>
      </c>
      <c r="W283" s="683">
        <f t="shared" si="144"/>
        <v>-5.4367917187855017</v>
      </c>
      <c r="X283" s="684">
        <f t="shared" si="145"/>
        <v>-138.73079530638279</v>
      </c>
      <c r="Y283" s="687">
        <f t="shared" si="146"/>
        <v>41.269204693617212</v>
      </c>
      <c r="AA283" s="170">
        <f t="shared" si="147"/>
        <v>18409</v>
      </c>
      <c r="AB283" s="170">
        <f t="shared" si="148"/>
        <v>338891281</v>
      </c>
      <c r="AD283" s="686">
        <f t="shared" si="149"/>
        <v>12.488467979078424</v>
      </c>
      <c r="AE283" s="687">
        <f t="shared" si="150"/>
        <v>-22.310326365966009</v>
      </c>
      <c r="AG283" s="686">
        <f t="shared" si="151"/>
        <v>25.416158308881354</v>
      </c>
      <c r="AH283" s="687">
        <f t="shared" si="152"/>
        <v>-60.465785572839806</v>
      </c>
      <c r="AJ283" s="170">
        <f t="shared" si="153"/>
        <v>0</v>
      </c>
      <c r="AK283" s="170">
        <f t="shared" si="165"/>
        <v>0</v>
      </c>
      <c r="AM283" s="170" t="str">
        <f t="shared" si="157"/>
        <v>0.251698236383039+0.663358478175824i</v>
      </c>
      <c r="AN283" s="170" t="str">
        <f t="shared" si="158"/>
        <v>0.725298016213472i</v>
      </c>
      <c r="AO283" s="170" t="str">
        <f t="shared" si="159"/>
        <v>0.914601258168315-0.347027333256842i</v>
      </c>
      <c r="AP283" s="170" t="str">
        <f t="shared" si="160"/>
        <v>0.124716960602827-0.110559746362637i</v>
      </c>
      <c r="AQ283" s="170" t="str">
        <f t="shared" si="161"/>
        <v>0.875283039397173+0.110559746362637i</v>
      </c>
      <c r="AR283" s="170" t="str">
        <f t="shared" si="162"/>
        <v>0.936746356589613-0.118323370760161i</v>
      </c>
    </row>
    <row r="284" spans="7:44">
      <c r="G284" s="688">
        <v>18515</v>
      </c>
      <c r="H284" s="676">
        <f t="shared" si="154"/>
        <v>18.515000000000001</v>
      </c>
      <c r="I284" s="677">
        <f t="shared" si="134"/>
        <v>6.41007937677547</v>
      </c>
      <c r="J284" s="678">
        <f t="shared" si="135"/>
        <v>1.4141521977003197</v>
      </c>
      <c r="K284" s="678">
        <f t="shared" si="136"/>
        <v>1.0002706315352576</v>
      </c>
      <c r="L284" s="679">
        <f t="shared" si="137"/>
        <v>2.3262438170849834E-2</v>
      </c>
      <c r="M284" s="678">
        <f t="shared" si="138"/>
        <v>1.0120326070807568</v>
      </c>
      <c r="N284" s="679">
        <f t="shared" si="139"/>
        <v>-0.15435789618500415</v>
      </c>
      <c r="O284" s="677">
        <f t="shared" si="140"/>
        <v>139599.8109989817</v>
      </c>
      <c r="P284" s="680">
        <f t="shared" si="141"/>
        <v>1.5707891634614162</v>
      </c>
      <c r="Q284" s="689">
        <f t="shared" si="163"/>
        <v>3.2741769679188399</v>
      </c>
      <c r="R284" s="690">
        <f t="shared" si="164"/>
        <v>1.2604165739132758</v>
      </c>
      <c r="S284" s="677">
        <f t="shared" si="142"/>
        <v>1.0030329739150061</v>
      </c>
      <c r="T284" s="680">
        <f t="shared" si="143"/>
        <v>7.7785961808088444E-2</v>
      </c>
      <c r="U284" s="681">
        <f t="shared" si="155"/>
        <v>0.92284515383496057</v>
      </c>
      <c r="V284" s="682">
        <f t="shared" si="156"/>
        <v>-0.49090347124436845</v>
      </c>
      <c r="W284" s="683">
        <f t="shared" si="144"/>
        <v>-5.4965983768586106</v>
      </c>
      <c r="X284" s="684">
        <f t="shared" si="145"/>
        <v>-138.90271295889133</v>
      </c>
      <c r="Y284" s="687">
        <f t="shared" si="146"/>
        <v>41.097287041108672</v>
      </c>
      <c r="AA284" s="170">
        <f t="shared" si="147"/>
        <v>18515</v>
      </c>
      <c r="AB284" s="170">
        <f t="shared" si="148"/>
        <v>342805225</v>
      </c>
      <c r="AD284" s="686">
        <f t="shared" si="149"/>
        <v>12.483492272066041</v>
      </c>
      <c r="AE284" s="687">
        <f t="shared" si="150"/>
        <v>-22.239846800036659</v>
      </c>
      <c r="AG284" s="686">
        <f t="shared" si="151"/>
        <v>25.37608771773591</v>
      </c>
      <c r="AH284" s="687">
        <f t="shared" si="152"/>
        <v>-60.409471993327649</v>
      </c>
      <c r="AJ284" s="170">
        <f t="shared" si="153"/>
        <v>0</v>
      </c>
      <c r="AK284" s="170">
        <f t="shared" si="165"/>
        <v>0</v>
      </c>
      <c r="AM284" s="170" t="str">
        <f t="shared" si="157"/>
        <v>0.254475141084053+0.666477820139843i</v>
      </c>
      <c r="AN284" s="170" t="str">
        <f t="shared" si="158"/>
        <v>0.729474320723148i</v>
      </c>
      <c r="AO284" s="170" t="str">
        <f t="shared" si="159"/>
        <v>0.913641236170103-0.348847291611012i</v>
      </c>
      <c r="AP284" s="170" t="str">
        <f t="shared" si="160"/>
        <v>0.124254143152658-0.111079636689974i</v>
      </c>
      <c r="AQ284" s="170" t="str">
        <f t="shared" si="161"/>
        <v>0.875745856847342+0.111079636689974i</v>
      </c>
      <c r="AR284" s="170" t="str">
        <f t="shared" si="162"/>
        <v>0.936128395550841-0.118738560119825i</v>
      </c>
    </row>
    <row r="285" spans="7:44">
      <c r="G285" s="688">
        <v>18621</v>
      </c>
      <c r="H285" s="676">
        <f t="shared" si="154"/>
        <v>18.620999999999999</v>
      </c>
      <c r="I285" s="677">
        <f t="shared" si="134"/>
        <v>6.4458869860106596</v>
      </c>
      <c r="J285" s="678">
        <f t="shared" si="135"/>
        <v>1.4150295001840465</v>
      </c>
      <c r="K285" s="678">
        <f t="shared" si="136"/>
        <v>1.0002737387590046</v>
      </c>
      <c r="L285" s="679">
        <f t="shared" si="137"/>
        <v>2.3395569217153803E-2</v>
      </c>
      <c r="M285" s="678">
        <f t="shared" si="138"/>
        <v>1.0121699462250513</v>
      </c>
      <c r="N285" s="679">
        <f t="shared" si="139"/>
        <v>-0.15522752042178975</v>
      </c>
      <c r="O285" s="677">
        <f t="shared" si="140"/>
        <v>140399.03216912132</v>
      </c>
      <c r="P285" s="680">
        <f t="shared" si="141"/>
        <v>1.5707892042386755</v>
      </c>
      <c r="Q285" s="689">
        <f t="shared" si="163"/>
        <v>3.291177875574733</v>
      </c>
      <c r="R285" s="690">
        <f t="shared" si="164"/>
        <v>1.2620729815408664</v>
      </c>
      <c r="S285" s="677">
        <f t="shared" si="142"/>
        <v>1.0030677481508516</v>
      </c>
      <c r="T285" s="680">
        <f t="shared" si="143"/>
        <v>7.8229483712152201E-2</v>
      </c>
      <c r="U285" s="681">
        <f t="shared" si="155"/>
        <v>0.92205808140379952</v>
      </c>
      <c r="V285" s="682">
        <f t="shared" si="156"/>
        <v>-0.49350711295457217</v>
      </c>
      <c r="W285" s="683">
        <f t="shared" si="144"/>
        <v>-5.5560921672459518</v>
      </c>
      <c r="X285" s="684">
        <f t="shared" si="145"/>
        <v>-139.07486342495062</v>
      </c>
      <c r="Y285" s="687">
        <f t="shared" si="146"/>
        <v>40.925136575049379</v>
      </c>
      <c r="AA285" s="170">
        <f t="shared" si="147"/>
        <v>18621</v>
      </c>
      <c r="AB285" s="170">
        <f t="shared" si="148"/>
        <v>346741641</v>
      </c>
      <c r="AD285" s="686">
        <f t="shared" si="149"/>
        <v>12.478589585760258</v>
      </c>
      <c r="AE285" s="687">
        <f t="shared" si="150"/>
        <v>-22.17035590333235</v>
      </c>
      <c r="AG285" s="686">
        <f t="shared" si="151"/>
        <v>25.336318907980484</v>
      </c>
      <c r="AH285" s="687">
        <f t="shared" si="152"/>
        <v>-60.352757993032547</v>
      </c>
      <c r="AJ285" s="170">
        <f t="shared" si="153"/>
        <v>0</v>
      </c>
      <c r="AK285" s="170">
        <f t="shared" si="165"/>
        <v>0</v>
      </c>
      <c r="AM285" s="170" t="str">
        <f t="shared" si="157"/>
        <v>0.257265048852426+0.669585537734957i</v>
      </c>
      <c r="AN285" s="170" t="str">
        <f t="shared" si="158"/>
        <v>0.733650625232824i</v>
      </c>
      <c r="AO285" s="170" t="str">
        <f t="shared" si="159"/>
        <v>0.912676299461292-0.350664253534553i</v>
      </c>
      <c r="AP285" s="170" t="str">
        <f t="shared" si="160"/>
        <v>0.123789158524596-0.111597589622493i</v>
      </c>
      <c r="AQ285" s="170" t="str">
        <f t="shared" si="161"/>
        <v>0.876210841475404+0.111597589622493i</v>
      </c>
      <c r="AR285" s="170" t="str">
        <f t="shared" si="162"/>
        <v>0.935509017485622-0.119150033849967i</v>
      </c>
    </row>
    <row r="286" spans="7:44">
      <c r="G286" s="688">
        <v>18729.5</v>
      </c>
      <c r="H286" s="676">
        <f t="shared" si="154"/>
        <v>18.729500000000002</v>
      </c>
      <c r="I286" s="677">
        <f t="shared" si="134"/>
        <v>6.4825441949289271</v>
      </c>
      <c r="J286" s="678">
        <f t="shared" si="135"/>
        <v>1.4159174555874885</v>
      </c>
      <c r="K286" s="678">
        <f t="shared" si="136"/>
        <v>1.0002769376270684</v>
      </c>
      <c r="L286" s="679">
        <f t="shared" si="137"/>
        <v>2.3531839287545452E-2</v>
      </c>
      <c r="M286" s="678">
        <f t="shared" si="138"/>
        <v>1.0123113170243812</v>
      </c>
      <c r="N286" s="679">
        <f t="shared" si="139"/>
        <v>-0.15611740959734421</v>
      </c>
      <c r="O286" s="677">
        <f t="shared" si="140"/>
        <v>141217.10289516067</v>
      </c>
      <c r="P286" s="680">
        <f t="shared" si="141"/>
        <v>1.5707892454996462</v>
      </c>
      <c r="Q286" s="689">
        <f t="shared" si="163"/>
        <v>3.3085890027039335</v>
      </c>
      <c r="R286" s="690">
        <f t="shared" si="164"/>
        <v>1.2637508210897845</v>
      </c>
      <c r="S286" s="677">
        <f t="shared" si="142"/>
        <v>1.0031035468699172</v>
      </c>
      <c r="T286" s="680">
        <f t="shared" si="143"/>
        <v>7.8683434099441993E-2</v>
      </c>
      <c r="U286" s="681">
        <f t="shared" si="155"/>
        <v>0.92124975703411827</v>
      </c>
      <c r="V286" s="682">
        <f t="shared" si="156"/>
        <v>-0.49616894161347919</v>
      </c>
      <c r="W286" s="683">
        <f t="shared" si="144"/>
        <v>-5.6166694590679231</v>
      </c>
      <c r="X286" s="684">
        <f t="shared" si="145"/>
        <v>-139.25130894472031</v>
      </c>
      <c r="Y286" s="687">
        <f t="shared" si="146"/>
        <v>40.748691055279693</v>
      </c>
      <c r="AA286" s="170">
        <f t="shared" si="147"/>
        <v>18729.5</v>
      </c>
      <c r="AB286" s="170">
        <f t="shared" si="148"/>
        <v>350794170.25</v>
      </c>
      <c r="AD286" s="686">
        <f t="shared" si="149"/>
        <v>12.473645267135664</v>
      </c>
      <c r="AE286" s="687">
        <f t="shared" si="150"/>
        <v>-22.100234583778594</v>
      </c>
      <c r="AG286" s="686">
        <f t="shared" si="151"/>
        <v>25.295921624819123</v>
      </c>
      <c r="AH286" s="687">
        <f t="shared" si="152"/>
        <v>-60.294301736122733</v>
      </c>
      <c r="AJ286" s="170">
        <f t="shared" si="153"/>
        <v>0</v>
      </c>
      <c r="AK286" s="170">
        <f t="shared" si="165"/>
        <v>0</v>
      </c>
      <c r="AM286" s="170" t="str">
        <f t="shared" si="157"/>
        <v>0.260134172237575+0.672754455139036i</v>
      </c>
      <c r="AN286" s="170" t="str">
        <f t="shared" si="158"/>
        <v>0.73792542749037i</v>
      </c>
      <c r="AO286" s="170" t="str">
        <f t="shared" si="159"/>
        <v>0.911683525294723-0.352520949335317i</v>
      </c>
      <c r="AP286" s="170" t="str">
        <f t="shared" si="160"/>
        <v>0.123310971293738-0.112125742523173i</v>
      </c>
      <c r="AQ286" s="170" t="str">
        <f t="shared" si="161"/>
        <v>0.876689028706262+0.112125742523173i</v>
      </c>
      <c r="AR286" s="170" t="str">
        <f t="shared" si="162"/>
        <v>0.934873591175835-0.11956736327656i</v>
      </c>
    </row>
    <row r="287" spans="7:44">
      <c r="G287" s="688">
        <v>18838</v>
      </c>
      <c r="H287" s="676">
        <f t="shared" si="154"/>
        <v>18.838000000000001</v>
      </c>
      <c r="I287" s="677">
        <f t="shared" si="134"/>
        <v>6.5192064576220083</v>
      </c>
      <c r="J287" s="678">
        <f t="shared" si="135"/>
        <v>1.4167954244322534</v>
      </c>
      <c r="K287" s="678">
        <f t="shared" si="136"/>
        <v>1.000280155069688</v>
      </c>
      <c r="L287" s="679">
        <f t="shared" si="137"/>
        <v>2.3668108483830868E-2</v>
      </c>
      <c r="M287" s="678">
        <f t="shared" si="138"/>
        <v>1.0124534892515791</v>
      </c>
      <c r="N287" s="679">
        <f t="shared" si="139"/>
        <v>-0.15700704955459935</v>
      </c>
      <c r="O287" s="677">
        <f t="shared" si="140"/>
        <v>142035.17362120029</v>
      </c>
      <c r="P287" s="680">
        <f t="shared" si="141"/>
        <v>1.5707892862853206</v>
      </c>
      <c r="Q287" s="689">
        <f t="shared" si="163"/>
        <v>3.3260093464612717</v>
      </c>
      <c r="R287" s="690">
        <f t="shared" si="164"/>
        <v>1.2654110895295159</v>
      </c>
      <c r="S287" s="677">
        <f t="shared" si="142"/>
        <v>1.0031395522847095</v>
      </c>
      <c r="T287" s="680">
        <f t="shared" si="143"/>
        <v>7.9137351993230215E-2</v>
      </c>
      <c r="U287" s="681">
        <f t="shared" si="155"/>
        <v>0.92043873853669145</v>
      </c>
      <c r="V287" s="682">
        <f t="shared" si="156"/>
        <v>-0.49882750570238021</v>
      </c>
      <c r="W287" s="683">
        <f t="shared" si="144"/>
        <v>-5.6769277373997138</v>
      </c>
      <c r="X287" s="684">
        <f t="shared" si="145"/>
        <v>-139.42798586309354</v>
      </c>
      <c r="Y287" s="687">
        <f t="shared" si="146"/>
        <v>40.572014136906461</v>
      </c>
      <c r="AA287" s="170">
        <f t="shared" si="147"/>
        <v>18838</v>
      </c>
      <c r="AB287" s="170">
        <f t="shared" si="148"/>
        <v>354870244</v>
      </c>
      <c r="AD287" s="686">
        <f t="shared" si="149"/>
        <v>12.468774191910443</v>
      </c>
      <c r="AE287" s="687">
        <f t="shared" si="150"/>
        <v>-22.031118125650778</v>
      </c>
      <c r="AG287" s="686">
        <f t="shared" si="151"/>
        <v>25.255834332930718</v>
      </c>
      <c r="AH287" s="687">
        <f t="shared" si="152"/>
        <v>-60.235446108557539</v>
      </c>
      <c r="AJ287" s="170">
        <f t="shared" si="153"/>
        <v>0</v>
      </c>
      <c r="AK287" s="170">
        <f t="shared" si="165"/>
        <v>0</v>
      </c>
      <c r="AM287" s="170" t="str">
        <f t="shared" si="157"/>
        <v>0.263016815861692+0.675911078691095i</v>
      </c>
      <c r="AN287" s="170" t="str">
        <f t="shared" si="158"/>
        <v>0.742200229747916i</v>
      </c>
      <c r="AO287" s="170" t="str">
        <f t="shared" si="159"/>
        <v>0.910685623097509-0.354374473787248i</v>
      </c>
      <c r="AP287" s="170" t="str">
        <f t="shared" si="160"/>
        <v>0.122830530689718-0.112651846448516i</v>
      </c>
      <c r="AQ287" s="170" t="str">
        <f t="shared" si="161"/>
        <v>0.877169469310282+0.112651846448516i</v>
      </c>
      <c r="AR287" s="170" t="str">
        <f t="shared" si="162"/>
        <v>0.934236735535159-0.119980798420655i</v>
      </c>
    </row>
    <row r="288" spans="7:44">
      <c r="G288" s="688">
        <v>18946.5</v>
      </c>
      <c r="H288" s="676">
        <f t="shared" si="154"/>
        <v>18.9465</v>
      </c>
      <c r="I288" s="677">
        <f t="shared" si="134"/>
        <v>6.5558736893035752</v>
      </c>
      <c r="J288" s="678">
        <f t="shared" si="135"/>
        <v>1.4176635729188509</v>
      </c>
      <c r="K288" s="678">
        <f t="shared" si="136"/>
        <v>1.000283391086684</v>
      </c>
      <c r="L288" s="679">
        <f t="shared" si="137"/>
        <v>2.380437680095767E-2</v>
      </c>
      <c r="M288" s="678">
        <f t="shared" si="138"/>
        <v>1.0125964625690744</v>
      </c>
      <c r="N288" s="679">
        <f t="shared" si="139"/>
        <v>-0.15789643899059905</v>
      </c>
      <c r="O288" s="677">
        <f t="shared" si="140"/>
        <v>142853.24434724011</v>
      </c>
      <c r="P288" s="680">
        <f t="shared" si="141"/>
        <v>1.5707893266038644</v>
      </c>
      <c r="Q288" s="689">
        <f t="shared" si="163"/>
        <v>3.343438762782355</v>
      </c>
      <c r="R288" s="690">
        <f t="shared" si="164"/>
        <v>1.2670540524304799</v>
      </c>
      <c r="S288" s="677">
        <f t="shared" si="142"/>
        <v>1.0031757643729724</v>
      </c>
      <c r="T288" s="680">
        <f t="shared" si="143"/>
        <v>7.9591237209973895E-2</v>
      </c>
      <c r="U288" s="681">
        <f t="shared" si="155"/>
        <v>0.91962505219355939</v>
      </c>
      <c r="V288" s="682">
        <f t="shared" si="156"/>
        <v>-0.50148279795771511</v>
      </c>
      <c r="W288" s="683">
        <f t="shared" si="144"/>
        <v>-5.7368713147031691</v>
      </c>
      <c r="X288" s="684">
        <f t="shared" si="145"/>
        <v>-139.60488798600986</v>
      </c>
      <c r="Y288" s="687">
        <f t="shared" si="146"/>
        <v>40.395112013990143</v>
      </c>
      <c r="AA288" s="170">
        <f t="shared" si="147"/>
        <v>18946.5</v>
      </c>
      <c r="AB288" s="170">
        <f t="shared" si="148"/>
        <v>358969862.25</v>
      </c>
      <c r="AD288" s="686">
        <f t="shared" si="149"/>
        <v>12.463974773635304</v>
      </c>
      <c r="AE288" s="687">
        <f t="shared" si="150"/>
        <v>-21.962991302836318</v>
      </c>
      <c r="AG288" s="686">
        <f t="shared" si="151"/>
        <v>25.216053967859398</v>
      </c>
      <c r="AH288" s="687">
        <f t="shared" si="152"/>
        <v>-60.176200974731678</v>
      </c>
      <c r="AJ288" s="170">
        <f t="shared" si="153"/>
        <v>0</v>
      </c>
      <c r="AK288" s="170">
        <f t="shared" si="165"/>
        <v>0</v>
      </c>
      <c r="AM288" s="170" t="str">
        <f t="shared" si="157"/>
        <v>0.265912927047617+0.679055350707292i</v>
      </c>
      <c r="AN288" s="170" t="str">
        <f t="shared" si="158"/>
        <v>0.746475032005462i</v>
      </c>
      <c r="AO288" s="170" t="str">
        <f t="shared" si="159"/>
        <v>0.909682603694002-0.356224810806092i</v>
      </c>
      <c r="AP288" s="170" t="str">
        <f t="shared" si="160"/>
        <v>0.122347845492064-0.113175891784549i</v>
      </c>
      <c r="AQ288" s="170" t="str">
        <f t="shared" si="161"/>
        <v>0.877652154507936+0.113175891784549i</v>
      </c>
      <c r="AR288" s="170" t="str">
        <f t="shared" si="162"/>
        <v>0.933598478415659-0.120390338952258i</v>
      </c>
    </row>
    <row r="289" spans="7:44">
      <c r="G289" s="688">
        <v>19055</v>
      </c>
      <c r="H289" s="676">
        <f t="shared" si="154"/>
        <v>19.055</v>
      </c>
      <c r="I289" s="677">
        <f t="shared" si="134"/>
        <v>6.5925458070622369</v>
      </c>
      <c r="J289" s="678">
        <f t="shared" si="135"/>
        <v>1.4185220636096867</v>
      </c>
      <c r="K289" s="678">
        <f t="shared" si="136"/>
        <v>1.0002866456778761</v>
      </c>
      <c r="L289" s="679">
        <f t="shared" si="137"/>
        <v>2.3940644233873667E-2</v>
      </c>
      <c r="M289" s="678">
        <f t="shared" si="138"/>
        <v>1.0127402366375864</v>
      </c>
      <c r="N289" s="679">
        <f t="shared" si="139"/>
        <v>-0.1587855766047061</v>
      </c>
      <c r="O289" s="677">
        <f t="shared" si="140"/>
        <v>143671.31507328022</v>
      </c>
      <c r="P289" s="680">
        <f t="shared" si="141"/>
        <v>1.5707893664632571</v>
      </c>
      <c r="Q289" s="689">
        <f t="shared" si="163"/>
        <v>3.360877110516987</v>
      </c>
      <c r="R289" s="690">
        <f t="shared" si="164"/>
        <v>1.2686799702293337</v>
      </c>
      <c r="S289" s="677">
        <f t="shared" si="142"/>
        <v>1.0032121831123255</v>
      </c>
      <c r="T289" s="680">
        <f t="shared" si="143"/>
        <v>8.0045089566210342E-2</v>
      </c>
      <c r="U289" s="681">
        <f t="shared" si="155"/>
        <v>0.91880872424364535</v>
      </c>
      <c r="V289" s="682">
        <f t="shared" si="156"/>
        <v>-0.50413481125862936</v>
      </c>
      <c r="W289" s="683">
        <f t="shared" si="144"/>
        <v>-5.796504417725636</v>
      </c>
      <c r="X289" s="684">
        <f t="shared" si="145"/>
        <v>-139.78200921340667</v>
      </c>
      <c r="Y289" s="687">
        <f t="shared" si="146"/>
        <v>40.217990786593333</v>
      </c>
      <c r="AA289" s="170">
        <f t="shared" si="147"/>
        <v>19055</v>
      </c>
      <c r="AB289" s="170">
        <f t="shared" si="148"/>
        <v>363093025</v>
      </c>
      <c r="AD289" s="686">
        <f t="shared" si="149"/>
        <v>12.459245466984425</v>
      </c>
      <c r="AE289" s="687">
        <f t="shared" si="150"/>
        <v>-21.895839183359456</v>
      </c>
      <c r="AG289" s="686">
        <f t="shared" si="151"/>
        <v>25.176577509776092</v>
      </c>
      <c r="AH289" s="687">
        <f t="shared" si="152"/>
        <v>-60.116575982548255</v>
      </c>
      <c r="AJ289" s="170">
        <f t="shared" si="153"/>
        <v>0</v>
      </c>
      <c r="AK289" s="170">
        <f t="shared" si="165"/>
        <v>0</v>
      </c>
      <c r="AM289" s="170" t="str">
        <f t="shared" si="157"/>
        <v>0.268822452872087+0.682187213729493i</v>
      </c>
      <c r="AN289" s="170" t="str">
        <f t="shared" si="158"/>
        <v>0.750749834263008i</v>
      </c>
      <c r="AO289" s="170" t="str">
        <f t="shared" si="159"/>
        <v>0.908674477962661-0.358071944346126i</v>
      </c>
      <c r="AP289" s="170" t="str">
        <f t="shared" si="160"/>
        <v>0.121862924521319-0.113697868954916i</v>
      </c>
      <c r="AQ289" s="170" t="str">
        <f t="shared" si="161"/>
        <v>0.878137075478681+0.113697868954916i</v>
      </c>
      <c r="AR289" s="170" t="str">
        <f t="shared" si="162"/>
        <v>0.932958847577613-0.120795984766258i</v>
      </c>
    </row>
    <row r="290" spans="7:44">
      <c r="G290" s="688">
        <v>19165.75</v>
      </c>
      <c r="H290" s="676">
        <f t="shared" si="154"/>
        <v>19.165749999999999</v>
      </c>
      <c r="I290" s="677">
        <f t="shared" si="134"/>
        <v>6.6299833614436201</v>
      </c>
      <c r="J290" s="678">
        <f t="shared" si="135"/>
        <v>1.4193885619334508</v>
      </c>
      <c r="K290" s="678">
        <f t="shared" si="136"/>
        <v>1.0002899869163611</v>
      </c>
      <c r="L290" s="679">
        <f t="shared" si="137"/>
        <v>2.4079736571979819E-2</v>
      </c>
      <c r="M290" s="678">
        <f t="shared" si="138"/>
        <v>1.0128878176732368</v>
      </c>
      <c r="N290" s="679">
        <f t="shared" si="139"/>
        <v>-0.15969289149900909</v>
      </c>
      <c r="O290" s="677">
        <f t="shared" si="140"/>
        <v>144506.35039963009</v>
      </c>
      <c r="P290" s="680">
        <f t="shared" si="141"/>
        <v>1.5707894066837926</v>
      </c>
      <c r="Q290" s="689">
        <f t="shared" si="163"/>
        <v>3.3786861505183405</v>
      </c>
      <c r="R290" s="690">
        <f t="shared" si="164"/>
        <v>1.2703222914613457</v>
      </c>
      <c r="S290" s="677">
        <f t="shared" si="142"/>
        <v>1.0032495701792328</v>
      </c>
      <c r="T290" s="680">
        <f t="shared" si="143"/>
        <v>8.0508319527089492E-2</v>
      </c>
      <c r="U290" s="681">
        <f t="shared" si="155"/>
        <v>0.91797277069039307</v>
      </c>
      <c r="V290" s="682">
        <f t="shared" si="156"/>
        <v>-0.5068384313262807</v>
      </c>
      <c r="W290" s="683">
        <f t="shared" si="144"/>
        <v>-5.8570582553115695</v>
      </c>
      <c r="X290" s="684">
        <f t="shared" si="145"/>
        <v>-139.96302319097083</v>
      </c>
      <c r="Y290" s="687">
        <f t="shared" si="146"/>
        <v>40.03697680902917</v>
      </c>
      <c r="AA290" s="170">
        <f t="shared" si="147"/>
        <v>19165.75</v>
      </c>
      <c r="AB290" s="170">
        <f t="shared" si="148"/>
        <v>367325973.0625</v>
      </c>
      <c r="AD290" s="686">
        <f t="shared" si="149"/>
        <v>12.454488831614141</v>
      </c>
      <c r="AE290" s="687">
        <f t="shared" si="150"/>
        <v>-21.828284534252571</v>
      </c>
      <c r="AG290" s="686">
        <f t="shared" si="151"/>
        <v>25.136592750853136</v>
      </c>
      <c r="AH290" s="687">
        <f t="shared" si="152"/>
        <v>-60.055332570298653</v>
      </c>
      <c r="AJ290" s="170">
        <f t="shared" si="153"/>
        <v>0</v>
      </c>
      <c r="AK290" s="170">
        <f t="shared" si="165"/>
        <v>0</v>
      </c>
      <c r="AM290" s="170" t="str">
        <f t="shared" si="157"/>
        <v>0.271806094070061+0.685371166132994i</v>
      </c>
      <c r="AN290" s="170" t="str">
        <f t="shared" si="158"/>
        <v>0.755113284493636i</v>
      </c>
      <c r="AO290" s="170" t="str">
        <f t="shared" si="159"/>
        <v>0.907640191488076-0.359954062061468i</v>
      </c>
      <c r="AP290" s="170" t="str">
        <f t="shared" si="160"/>
        <v>0.121365650988323-0.114228527688832i</v>
      </c>
      <c r="AQ290" s="170" t="str">
        <f t="shared" si="161"/>
        <v>0.878634349011677+0.114228527688832i</v>
      </c>
      <c r="AR290" s="170" t="str">
        <f t="shared" si="162"/>
        <v>0.932304564490692-0.121206026009728i</v>
      </c>
    </row>
    <row r="291" spans="7:44">
      <c r="G291" s="688">
        <v>19276.5</v>
      </c>
      <c r="H291" s="676">
        <f t="shared" si="154"/>
        <v>19.276499999999999</v>
      </c>
      <c r="I291" s="677">
        <f t="shared" si="134"/>
        <v>6.6674258378406259</v>
      </c>
      <c r="J291" s="678">
        <f t="shared" si="135"/>
        <v>1.4202453288498176</v>
      </c>
      <c r="K291" s="678">
        <f t="shared" si="136"/>
        <v>1.0002933475070055</v>
      </c>
      <c r="L291" s="679">
        <f t="shared" si="137"/>
        <v>2.4218827978186253E-2</v>
      </c>
      <c r="M291" s="678">
        <f t="shared" si="138"/>
        <v>1.0130362322953697</v>
      </c>
      <c r="N291" s="679">
        <f t="shared" si="139"/>
        <v>-0.16059994128794458</v>
      </c>
      <c r="O291" s="677">
        <f t="shared" si="140"/>
        <v>145341.38572598019</v>
      </c>
      <c r="P291" s="680">
        <f t="shared" si="141"/>
        <v>1.570789446442167</v>
      </c>
      <c r="Q291" s="689">
        <f t="shared" si="163"/>
        <v>3.39650420799624</v>
      </c>
      <c r="R291" s="690">
        <f t="shared" si="164"/>
        <v>1.2719473858074704</v>
      </c>
      <c r="S291" s="677">
        <f t="shared" si="142"/>
        <v>1.0032871725093644</v>
      </c>
      <c r="T291" s="680">
        <f t="shared" si="143"/>
        <v>8.0971514864444177E-2</v>
      </c>
      <c r="U291" s="681">
        <f t="shared" si="155"/>
        <v>0.9171341199339732</v>
      </c>
      <c r="V291" s="682">
        <f t="shared" si="156"/>
        <v>-0.50953862049580922</v>
      </c>
      <c r="W291" s="683">
        <f t="shared" si="144"/>
        <v>-5.917297243569049</v>
      </c>
      <c r="X291" s="684">
        <f t="shared" si="145"/>
        <v>-140.14425290554922</v>
      </c>
      <c r="Y291" s="687">
        <f t="shared" si="146"/>
        <v>39.855747094450777</v>
      </c>
      <c r="AA291" s="170">
        <f t="shared" si="147"/>
        <v>19276.5</v>
      </c>
      <c r="AB291" s="170">
        <f t="shared" si="148"/>
        <v>371583452.25</v>
      </c>
      <c r="AD291" s="686">
        <f t="shared" si="149"/>
        <v>12.44980211793338</v>
      </c>
      <c r="AE291" s="687">
        <f t="shared" si="150"/>
        <v>-21.761714902740597</v>
      </c>
      <c r="AG291" s="686">
        <f t="shared" si="151"/>
        <v>25.096918414416116</v>
      </c>
      <c r="AH291" s="687">
        <f t="shared" si="152"/>
        <v>-59.99371302943365</v>
      </c>
      <c r="AJ291" s="170">
        <f t="shared" si="153"/>
        <v>0</v>
      </c>
      <c r="AK291" s="170">
        <f t="shared" si="165"/>
        <v>0</v>
      </c>
      <c r="AM291" s="170" t="str">
        <f t="shared" si="157"/>
        <v>0.274803599838031+0.688542069297237i</v>
      </c>
      <c r="AN291" s="170" t="str">
        <f t="shared" si="158"/>
        <v>0.759476734724265i</v>
      </c>
      <c r="AO291" s="170" t="str">
        <f t="shared" si="159"/>
        <v>0.906600607781907-0.361832808397746i</v>
      </c>
      <c r="AP291" s="170" t="str">
        <f t="shared" si="160"/>
        <v>0.120866066693661-0.11475701154954i</v>
      </c>
      <c r="AQ291" s="170" t="str">
        <f t="shared" si="161"/>
        <v>0.879133933306339+0.11475701154954i</v>
      </c>
      <c r="AR291" s="170" t="str">
        <f t="shared" si="162"/>
        <v>0.931648908266722-0.121612009815148i</v>
      </c>
    </row>
    <row r="292" spans="7:44">
      <c r="G292" s="688">
        <v>19387.25</v>
      </c>
      <c r="H292" s="676">
        <f t="shared" si="154"/>
        <v>19.387250000000002</v>
      </c>
      <c r="I292" s="677">
        <f t="shared" si="134"/>
        <v>6.704873153794221</v>
      </c>
      <c r="J292" s="678">
        <f t="shared" si="135"/>
        <v>1.4210925261426544</v>
      </c>
      <c r="K292" s="678">
        <f t="shared" si="136"/>
        <v>1.000296727449614</v>
      </c>
      <c r="L292" s="679">
        <f t="shared" si="137"/>
        <v>2.4357918447120548E-2</v>
      </c>
      <c r="M292" s="678">
        <f t="shared" si="138"/>
        <v>1.0131854801376659</v>
      </c>
      <c r="N292" s="679">
        <f t="shared" si="139"/>
        <v>-0.16150672459581136</v>
      </c>
      <c r="O292" s="677">
        <f t="shared" si="140"/>
        <v>146176.42105233055</v>
      </c>
      <c r="P292" s="680">
        <f t="shared" si="141"/>
        <v>1.5707894857463007</v>
      </c>
      <c r="Q292" s="689">
        <f t="shared" si="163"/>
        <v>3.41433114177465</v>
      </c>
      <c r="R292" s="690">
        <f t="shared" si="164"/>
        <v>1.2735555144518074</v>
      </c>
      <c r="S292" s="677">
        <f t="shared" si="142"/>
        <v>1.0033249900785177</v>
      </c>
      <c r="T292" s="680">
        <f t="shared" si="143"/>
        <v>8.1434675383421459E-2</v>
      </c>
      <c r="U292" s="681">
        <f t="shared" si="155"/>
        <v>0.91629279972979016</v>
      </c>
      <c r="V292" s="682">
        <f t="shared" si="156"/>
        <v>-0.51223537165096511</v>
      </c>
      <c r="W292" s="683">
        <f t="shared" si="144"/>
        <v>-5.9772256150565406</v>
      </c>
      <c r="X292" s="684">
        <f t="shared" si="145"/>
        <v>-140.32569216497257</v>
      </c>
      <c r="Y292" s="687">
        <f t="shared" si="146"/>
        <v>39.674307835027435</v>
      </c>
      <c r="AA292" s="170">
        <f t="shared" si="147"/>
        <v>19387.25</v>
      </c>
      <c r="AB292" s="170">
        <f t="shared" si="148"/>
        <v>375865462.5625</v>
      </c>
      <c r="AD292" s="686">
        <f t="shared" si="149"/>
        <v>12.445183807077298</v>
      </c>
      <c r="AE292" s="687">
        <f t="shared" si="150"/>
        <v>-21.696115313366501</v>
      </c>
      <c r="AG292" s="686">
        <f t="shared" si="151"/>
        <v>25.057551427115531</v>
      </c>
      <c r="AH292" s="687">
        <f t="shared" si="152"/>
        <v>-59.931726958703052</v>
      </c>
      <c r="AJ292" s="170">
        <f t="shared" si="153"/>
        <v>0</v>
      </c>
      <c r="AK292" s="170">
        <f t="shared" si="165"/>
        <v>0</v>
      </c>
      <c r="AM292" s="170" t="str">
        <f t="shared" si="157"/>
        <v>0.277814913104481+0.691699862849279i</v>
      </c>
      <c r="AN292" s="170" t="str">
        <f t="shared" si="158"/>
        <v>0.763840184954893i</v>
      </c>
      <c r="AO292" s="170" t="str">
        <f t="shared" si="159"/>
        <v>0.905555738587026-0.363708166415579i</v>
      </c>
      <c r="AP292" s="170" t="str">
        <f t="shared" si="160"/>
        <v>0.120364181149253-0.11528331047488i</v>
      </c>
      <c r="AQ292" s="170" t="str">
        <f t="shared" si="161"/>
        <v>0.879635818850747+0.11528331047488i</v>
      </c>
      <c r="AR292" s="170" t="str">
        <f t="shared" si="162"/>
        <v>0.930991908121136-0.122013936783241i</v>
      </c>
    </row>
    <row r="293" spans="7:44">
      <c r="G293" s="688">
        <v>19498</v>
      </c>
      <c r="H293" s="676">
        <f t="shared" si="154"/>
        <v>19.498000000000001</v>
      </c>
      <c r="I293" s="677">
        <f t="shared" si="134"/>
        <v>6.7423252286667621</v>
      </c>
      <c r="J293" s="678">
        <f t="shared" si="135"/>
        <v>1.4219303120567874</v>
      </c>
      <c r="K293" s="678">
        <f t="shared" si="136"/>
        <v>1.0003001267439906</v>
      </c>
      <c r="L293" s="679">
        <f t="shared" si="137"/>
        <v>2.4497007973410492E-2</v>
      </c>
      <c r="M293" s="678">
        <f t="shared" si="138"/>
        <v>1.0133355608319663</v>
      </c>
      <c r="N293" s="679">
        <f t="shared" si="139"/>
        <v>-0.16241324004946933</v>
      </c>
      <c r="O293" s="677">
        <f t="shared" si="140"/>
        <v>147011.45637868112</v>
      </c>
      <c r="P293" s="680">
        <f t="shared" si="141"/>
        <v>1.5707895246039338</v>
      </c>
      <c r="Q293" s="689">
        <f t="shared" si="163"/>
        <v>3.4321668135410461</v>
      </c>
      <c r="R293" s="690">
        <f t="shared" si="164"/>
        <v>1.2751469335044221</v>
      </c>
      <c r="S293" s="677">
        <f t="shared" si="142"/>
        <v>1.0033630228623551</v>
      </c>
      <c r="T293" s="680">
        <f t="shared" si="143"/>
        <v>8.1897800889257355E-2</v>
      </c>
      <c r="U293" s="681">
        <f t="shared" si="155"/>
        <v>0.91544883777908626</v>
      </c>
      <c r="V293" s="682">
        <f t="shared" si="156"/>
        <v>-0.51492867782825413</v>
      </c>
      <c r="W293" s="683">
        <f t="shared" si="144"/>
        <v>-6.0368475182806236</v>
      </c>
      <c r="X293" s="684">
        <f t="shared" si="145"/>
        <v>-140.50733487391383</v>
      </c>
      <c r="Y293" s="687">
        <f t="shared" si="146"/>
        <v>39.492665126086166</v>
      </c>
      <c r="AA293" s="170">
        <f t="shared" si="147"/>
        <v>19498</v>
      </c>
      <c r="AB293" s="170">
        <f t="shared" si="148"/>
        <v>380172004</v>
      </c>
      <c r="AD293" s="686">
        <f t="shared" si="149"/>
        <v>12.440632419608237</v>
      </c>
      <c r="AE293" s="687">
        <f t="shared" si="150"/>
        <v>-21.631471081388749</v>
      </c>
      <c r="AG293" s="686">
        <f t="shared" si="151"/>
        <v>25.018488760352206</v>
      </c>
      <c r="AH293" s="687">
        <f t="shared" si="152"/>
        <v>-59.869383745479084</v>
      </c>
      <c r="AJ293" s="170">
        <f t="shared" si="153"/>
        <v>0</v>
      </c>
      <c r="AK293" s="170">
        <f t="shared" si="165"/>
        <v>0</v>
      </c>
      <c r="AM293" s="170" t="str">
        <f t="shared" si="157"/>
        <v>0.280839976535008+0.69484448666578i</v>
      </c>
      <c r="AN293" s="170" t="str">
        <f t="shared" si="158"/>
        <v>0.768203635185522i</v>
      </c>
      <c r="AO293" s="170" t="str">
        <f t="shared" si="159"/>
        <v>0.904505595704418-0.365580119218239i</v>
      </c>
      <c r="AP293" s="170" t="str">
        <f t="shared" si="160"/>
        <v>0.119860003910832-0.115807414444297i</v>
      </c>
      <c r="AQ293" s="170" t="str">
        <f t="shared" si="161"/>
        <v>0.880139996089168+0.115807414444297i</v>
      </c>
      <c r="AR293" s="170" t="str">
        <f t="shared" si="162"/>
        <v>0.930333593161711-0.122411807750429i</v>
      </c>
    </row>
    <row r="294" spans="7:44">
      <c r="G294" s="688">
        <v>19611.75</v>
      </c>
      <c r="H294" s="676">
        <f t="shared" si="154"/>
        <v>19.611750000000001</v>
      </c>
      <c r="I294" s="677">
        <f t="shared" si="134"/>
        <v>6.7807966778972979</v>
      </c>
      <c r="J294" s="678">
        <f t="shared" si="135"/>
        <v>1.4227811572898725</v>
      </c>
      <c r="K294" s="678">
        <f t="shared" si="136"/>
        <v>1.0003036382635391</v>
      </c>
      <c r="L294" s="679">
        <f t="shared" si="137"/>
        <v>2.4639864174877655E-2</v>
      </c>
      <c r="M294" s="678">
        <f t="shared" si="138"/>
        <v>1.0134905735269286</v>
      </c>
      <c r="N294" s="679">
        <f t="shared" si="139"/>
        <v>-0.16334403095090655</v>
      </c>
      <c r="O294" s="677">
        <f t="shared" si="140"/>
        <v>147869.11117211138</v>
      </c>
      <c r="P294" s="680">
        <f t="shared" si="141"/>
        <v>1.5707895640572831</v>
      </c>
      <c r="Q294" s="689">
        <f t="shared" si="163"/>
        <v>3.4504945725346539</v>
      </c>
      <c r="R294" s="690">
        <f t="shared" si="164"/>
        <v>1.2767643300836773</v>
      </c>
      <c r="S294" s="677">
        <f t="shared" si="142"/>
        <v>1.0034023098921647</v>
      </c>
      <c r="T294" s="680">
        <f t="shared" si="143"/>
        <v>8.2373434902394266E-2</v>
      </c>
      <c r="U294" s="681">
        <f t="shared" si="155"/>
        <v>0.91457929353943435</v>
      </c>
      <c r="V294" s="682">
        <f t="shared" si="156"/>
        <v>-0.51769134700874908</v>
      </c>
      <c r="W294" s="683">
        <f t="shared" si="144"/>
        <v>-6.0977696995723605</v>
      </c>
      <c r="X294" s="684">
        <f t="shared" si="145"/>
        <v>-140.69410341634105</v>
      </c>
      <c r="Y294" s="687">
        <f t="shared" si="146"/>
        <v>39.305896583658949</v>
      </c>
      <c r="AA294" s="170">
        <f t="shared" si="147"/>
        <v>19611.75</v>
      </c>
      <c r="AB294" s="170">
        <f t="shared" si="148"/>
        <v>384620738.0625</v>
      </c>
      <c r="AD294" s="686">
        <f t="shared" si="149"/>
        <v>12.436025897581205</v>
      </c>
      <c r="AE294" s="687">
        <f t="shared" si="150"/>
        <v>-21.566055165579797</v>
      </c>
      <c r="AG294" s="686">
        <f t="shared" si="151"/>
        <v>24.978681625170111</v>
      </c>
      <c r="AH294" s="687">
        <f t="shared" si="152"/>
        <v>-59.804989634887065</v>
      </c>
      <c r="AJ294" s="170">
        <f t="shared" si="153"/>
        <v>0</v>
      </c>
      <c r="AK294" s="170">
        <f t="shared" si="165"/>
        <v>0</v>
      </c>
      <c r="AM294" s="170" t="str">
        <f t="shared" si="157"/>
        <v>0.283961236398339+0.698060519596836i</v>
      </c>
      <c r="AN294" s="170" t="str">
        <f t="shared" si="158"/>
        <v>0.772685282713594i</v>
      </c>
      <c r="AO294" s="170" t="str">
        <f t="shared" si="159"/>
        <v>0.903421529067199-0.367499217017691i</v>
      </c>
      <c r="AP294" s="170" t="str">
        <f t="shared" si="160"/>
        <v>0.11933979393361-0.116343419932806i</v>
      </c>
      <c r="AQ294" s="170" t="str">
        <f t="shared" si="161"/>
        <v>0.88066020606639+0.116343419932806i</v>
      </c>
      <c r="AR294" s="170" t="str">
        <f t="shared" si="162"/>
        <v>0.929656107481952-0.122816235093648i</v>
      </c>
    </row>
    <row r="295" spans="7:44">
      <c r="G295" s="688">
        <v>19725.5</v>
      </c>
      <c r="H295" s="676">
        <f t="shared" si="154"/>
        <v>19.7255</v>
      </c>
      <c r="I295" s="677">
        <f t="shared" si="134"/>
        <v>6.8192729806119461</v>
      </c>
      <c r="J295" s="678">
        <f t="shared" si="135"/>
        <v>1.4236224016984036</v>
      </c>
      <c r="K295" s="678">
        <f t="shared" si="136"/>
        <v>1.0003071701970345</v>
      </c>
      <c r="L295" s="679">
        <f t="shared" si="137"/>
        <v>2.4782719370452837E-2</v>
      </c>
      <c r="M295" s="678">
        <f t="shared" si="138"/>
        <v>1.0136464640124445</v>
      </c>
      <c r="N295" s="679">
        <f t="shared" si="139"/>
        <v>-0.16427453636233771</v>
      </c>
      <c r="O295" s="677">
        <f t="shared" si="140"/>
        <v>148726.76596554191</v>
      </c>
      <c r="P295" s="680">
        <f t="shared" si="141"/>
        <v>1.5707896030556052</v>
      </c>
      <c r="Q295" s="689">
        <f t="shared" si="163"/>
        <v>3.4688312625277948</v>
      </c>
      <c r="R295" s="690">
        <f t="shared" si="164"/>
        <v>1.2783646312781254</v>
      </c>
      <c r="S295" s="677">
        <f t="shared" si="142"/>
        <v>1.003441823901581</v>
      </c>
      <c r="T295" s="680">
        <f t="shared" si="143"/>
        <v>8.2849031563632478E-2</v>
      </c>
      <c r="U295" s="681">
        <f t="shared" si="155"/>
        <v>0.91370702154825922</v>
      </c>
      <c r="V295" s="682">
        <f t="shared" si="156"/>
        <v>-0.52045036765016384</v>
      </c>
      <c r="W295" s="683">
        <f t="shared" si="144"/>
        <v>-6.1583771922804402</v>
      </c>
      <c r="X295" s="684">
        <f t="shared" si="145"/>
        <v>-140.8810738536333</v>
      </c>
      <c r="Y295" s="687">
        <f t="shared" si="146"/>
        <v>39.118926146366704</v>
      </c>
      <c r="AA295" s="170">
        <f t="shared" si="147"/>
        <v>19725.5</v>
      </c>
      <c r="AB295" s="170">
        <f t="shared" si="148"/>
        <v>389095350.25</v>
      </c>
      <c r="AD295" s="686">
        <f t="shared" si="149"/>
        <v>12.43148693266803</v>
      </c>
      <c r="AE295" s="687">
        <f t="shared" si="150"/>
        <v>-21.501616576993271</v>
      </c>
      <c r="AG295" s="686">
        <f t="shared" si="151"/>
        <v>24.939189185621462</v>
      </c>
      <c r="AH295" s="687">
        <f t="shared" si="152"/>
        <v>-59.74023818371947</v>
      </c>
      <c r="AJ295" s="170">
        <f t="shared" si="153"/>
        <v>0</v>
      </c>
      <c r="AK295" s="170">
        <f t="shared" si="165"/>
        <v>0</v>
      </c>
      <c r="AM295" s="170" t="str">
        <f t="shared" si="157"/>
        <v>0.287096877994002+0.701262531890947i</v>
      </c>
      <c r="AN295" s="170" t="str">
        <f t="shared" si="158"/>
        <v>0.777166930241667i</v>
      </c>
      <c r="AO295" s="170" t="str">
        <f t="shared" si="159"/>
        <v>0.902331924587789-0.369414686629456i</v>
      </c>
      <c r="AP295" s="170" t="str">
        <f t="shared" si="160"/>
        <v>0.118817187001-0.116877088648491i</v>
      </c>
      <c r="AQ295" s="170" t="str">
        <f t="shared" si="161"/>
        <v>0.881182812999+0.116877088648491i</v>
      </c>
      <c r="AR295" s="170" t="str">
        <f t="shared" si="162"/>
        <v>0.928977296678749-0.123216386264766i</v>
      </c>
    </row>
    <row r="296" spans="7:44">
      <c r="G296" s="688">
        <v>19839.25</v>
      </c>
      <c r="H296" s="676">
        <f t="shared" si="154"/>
        <v>19.83925</v>
      </c>
      <c r="I296" s="677">
        <f t="shared" si="134"/>
        <v>6.8577540551174359</v>
      </c>
      <c r="J296" s="678">
        <f t="shared" si="135"/>
        <v>1.4244542057015517</v>
      </c>
      <c r="K296" s="678">
        <f t="shared" si="136"/>
        <v>1.0003107225442613</v>
      </c>
      <c r="L296" s="679">
        <f t="shared" si="137"/>
        <v>2.4925573554316065E-2</v>
      </c>
      <c r="M296" s="678">
        <f t="shared" si="138"/>
        <v>1.0138032318835859</v>
      </c>
      <c r="N296" s="679">
        <f t="shared" si="139"/>
        <v>-0.16520475480449559</v>
      </c>
      <c r="O296" s="677">
        <f t="shared" si="140"/>
        <v>149584.42075897264</v>
      </c>
      <c r="P296" s="680">
        <f t="shared" si="141"/>
        <v>1.5707896416067271</v>
      </c>
      <c r="Q296" s="689">
        <f t="shared" si="163"/>
        <v>3.4871767426343196</v>
      </c>
      <c r="R296" s="690">
        <f t="shared" si="164"/>
        <v>1.2799480986341187</v>
      </c>
      <c r="S296" s="677">
        <f t="shared" si="142"/>
        <v>1.0034815648637903</v>
      </c>
      <c r="T296" s="680">
        <f t="shared" si="143"/>
        <v>8.332459066224468E-2</v>
      </c>
      <c r="U296" s="681">
        <f t="shared" si="155"/>
        <v>0.91283205162916681</v>
      </c>
      <c r="V296" s="682">
        <f t="shared" si="156"/>
        <v>-0.52320573270707016</v>
      </c>
      <c r="W296" s="683">
        <f t="shared" si="144"/>
        <v>-6.2186742280762841</v>
      </c>
      <c r="X296" s="684">
        <f t="shared" si="145"/>
        <v>-141.06823989190886</v>
      </c>
      <c r="Y296" s="687">
        <f t="shared" si="146"/>
        <v>38.93176010809114</v>
      </c>
      <c r="AA296" s="170">
        <f t="shared" si="147"/>
        <v>19839.25</v>
      </c>
      <c r="AB296" s="170">
        <f t="shared" si="148"/>
        <v>393595840.5625</v>
      </c>
      <c r="AD296" s="686">
        <f t="shared" si="149"/>
        <v>12.427014043977936</v>
      </c>
      <c r="AE296" s="687">
        <f t="shared" si="150"/>
        <v>-21.438140318501677</v>
      </c>
      <c r="AG296" s="686">
        <f t="shared" si="151"/>
        <v>24.900008301935124</v>
      </c>
      <c r="AH296" s="687">
        <f t="shared" si="152"/>
        <v>-59.675138902568719</v>
      </c>
      <c r="AJ296" s="170">
        <f t="shared" si="153"/>
        <v>0</v>
      </c>
      <c r="AK296" s="170">
        <f t="shared" si="165"/>
        <v>0</v>
      </c>
      <c r="AM296" s="170" t="str">
        <f t="shared" si="157"/>
        <v>0.290246838342223+0.704450459235274i</v>
      </c>
      <c r="AN296" s="170" t="str">
        <f t="shared" si="158"/>
        <v>0.781648577769739i</v>
      </c>
      <c r="AO296" s="170" t="str">
        <f t="shared" si="159"/>
        <v>0.901236795242777-0.371326509888086i</v>
      </c>
      <c r="AP296" s="170" t="str">
        <f t="shared" si="160"/>
        <v>0.11829219360963-0.117408409872546i</v>
      </c>
      <c r="AQ296" s="170" t="str">
        <f t="shared" si="161"/>
        <v>0.88170780639037+0.117408409872546i</v>
      </c>
      <c r="AR296" s="170" t="str">
        <f t="shared" si="162"/>
        <v>0.928297191922581-0.123612262932064i</v>
      </c>
    </row>
    <row r="297" spans="7:44">
      <c r="G297" s="688">
        <v>19953</v>
      </c>
      <c r="H297" s="676">
        <f t="shared" si="154"/>
        <v>19.952999999999999</v>
      </c>
      <c r="I297" s="677">
        <f t="shared" si="134"/>
        <v>6.8962398215338716</v>
      </c>
      <c r="J297" s="678">
        <f t="shared" si="135"/>
        <v>1.4252767261904131</v>
      </c>
      <c r="K297" s="678">
        <f t="shared" si="136"/>
        <v>1.0003142953050017</v>
      </c>
      <c r="L297" s="679">
        <f t="shared" si="137"/>
        <v>2.5068426720647612E-2</v>
      </c>
      <c r="M297" s="678">
        <f t="shared" si="138"/>
        <v>1.0139608767333965</v>
      </c>
      <c r="N297" s="679">
        <f t="shared" si="139"/>
        <v>-0.16613468480101168</v>
      </c>
      <c r="O297" s="677">
        <f t="shared" si="140"/>
        <v>150442.07555240358</v>
      </c>
      <c r="P297" s="680">
        <f t="shared" si="141"/>
        <v>1.570789679718297</v>
      </c>
      <c r="Q297" s="689">
        <f t="shared" si="163"/>
        <v>3.5055308748504412</v>
      </c>
      <c r="R297" s="690">
        <f t="shared" si="164"/>
        <v>1.2815149885620489</v>
      </c>
      <c r="S297" s="677">
        <f t="shared" si="142"/>
        <v>1.0035215327518294</v>
      </c>
      <c r="T297" s="680">
        <f t="shared" si="143"/>
        <v>8.3800111987604772E-2</v>
      </c>
      <c r="U297" s="681">
        <f t="shared" si="155"/>
        <v>0.91195441353755258</v>
      </c>
      <c r="V297" s="682">
        <f t="shared" si="156"/>
        <v>-0.52595743530139305</v>
      </c>
      <c r="W297" s="683">
        <f t="shared" si="144"/>
        <v>-6.2786649541607975</v>
      </c>
      <c r="X297" s="684">
        <f t="shared" si="145"/>
        <v>-141.25559533916152</v>
      </c>
      <c r="Y297" s="687">
        <f t="shared" si="146"/>
        <v>38.744404660838484</v>
      </c>
      <c r="AA297" s="170">
        <f t="shared" si="147"/>
        <v>19953</v>
      </c>
      <c r="AB297" s="170">
        <f t="shared" si="148"/>
        <v>398122209</v>
      </c>
      <c r="AD297" s="686">
        <f t="shared" si="149"/>
        <v>12.422605789346193</v>
      </c>
      <c r="AE297" s="687">
        <f t="shared" si="150"/>
        <v>-21.375611687241982</v>
      </c>
      <c r="AG297" s="686">
        <f t="shared" si="151"/>
        <v>24.861135880319342</v>
      </c>
      <c r="AH297" s="687">
        <f t="shared" si="152"/>
        <v>-59.609701090460952</v>
      </c>
      <c r="AJ297" s="170">
        <f t="shared" si="153"/>
        <v>0</v>
      </c>
      <c r="AK297" s="170">
        <f t="shared" si="165"/>
        <v>0</v>
      </c>
      <c r="AM297" s="170" t="str">
        <f t="shared" si="157"/>
        <v>0.293411054175636+0.707624237599882i</v>
      </c>
      <c r="AN297" s="170" t="str">
        <f t="shared" si="158"/>
        <v>0.786130225297811i</v>
      </c>
      <c r="AO297" s="170" t="str">
        <f t="shared" si="159"/>
        <v>0.900136154072707-0.373234668676532i</v>
      </c>
      <c r="AP297" s="170" t="str">
        <f t="shared" si="160"/>
        <v>0.117764824304061-0.117937372933314i</v>
      </c>
      <c r="AQ297" s="170" t="str">
        <f t="shared" si="161"/>
        <v>0.882235175695939+0.117937372933314i</v>
      </c>
      <c r="AR297" s="170" t="str">
        <f t="shared" si="162"/>
        <v>0.927615824255663-0.12400386701628i</v>
      </c>
    </row>
    <row r="298" spans="7:44">
      <c r="G298" s="688">
        <v>20069</v>
      </c>
      <c r="H298" s="676">
        <f t="shared" si="154"/>
        <v>20.068999999999999</v>
      </c>
      <c r="I298" s="677">
        <f t="shared" si="134"/>
        <v>6.9354915959369023</v>
      </c>
      <c r="J298" s="678">
        <f t="shared" si="135"/>
        <v>1.4261061146067591</v>
      </c>
      <c r="K298" s="678">
        <f t="shared" si="136"/>
        <v>1.0003179597586906</v>
      </c>
      <c r="L298" s="679">
        <f t="shared" si="137"/>
        <v>2.5214104500051449E-2</v>
      </c>
      <c r="M298" s="678">
        <f t="shared" si="138"/>
        <v>1.0141225425794804</v>
      </c>
      <c r="N298" s="679">
        <f t="shared" si="139"/>
        <v>-0.1670827104294379</v>
      </c>
      <c r="O298" s="677">
        <f t="shared" si="140"/>
        <v>151316.69494614436</v>
      </c>
      <c r="P298" s="680">
        <f t="shared" si="141"/>
        <v>1.5707897181387906</v>
      </c>
      <c r="Q298" s="689">
        <f t="shared" si="163"/>
        <v>3.5242568262142182</v>
      </c>
      <c r="R298" s="690">
        <f t="shared" si="164"/>
        <v>1.2830960599735521</v>
      </c>
      <c r="S298" s="677">
        <f t="shared" si="142"/>
        <v>1.0035625248885585</v>
      </c>
      <c r="T298" s="680">
        <f t="shared" si="143"/>
        <v>8.4285000109663444E-2</v>
      </c>
      <c r="U298" s="681">
        <f t="shared" si="155"/>
        <v>0.91105669848456383</v>
      </c>
      <c r="V298" s="682">
        <f t="shared" si="156"/>
        <v>-0.52875978837569793</v>
      </c>
      <c r="W298" s="683">
        <f t="shared" si="144"/>
        <v>-6.3395310654928592</v>
      </c>
      <c r="X298" s="684">
        <f t="shared" si="145"/>
        <v>-141.44684546980147</v>
      </c>
      <c r="Y298" s="687">
        <f t="shared" si="146"/>
        <v>38.553154530198526</v>
      </c>
      <c r="AA298" s="170">
        <f t="shared" si="147"/>
        <v>20069</v>
      </c>
      <c r="AB298" s="170">
        <f t="shared" si="148"/>
        <v>402764761</v>
      </c>
      <c r="AD298" s="686">
        <f t="shared" si="149"/>
        <v>12.418175446953811</v>
      </c>
      <c r="AE298" s="687">
        <f t="shared" si="150"/>
        <v>-21.312807212444401</v>
      </c>
      <c r="AG298" s="686">
        <f t="shared" si="151"/>
        <v>24.821809067996654</v>
      </c>
      <c r="AH298" s="687">
        <f t="shared" si="152"/>
        <v>-59.542629687805174</v>
      </c>
      <c r="AJ298" s="170">
        <f t="shared" si="153"/>
        <v>0</v>
      </c>
      <c r="AK298" s="170">
        <f t="shared" si="165"/>
        <v>0</v>
      </c>
      <c r="AM298" s="170" t="str">
        <f t="shared" si="157"/>
        <v>0.296652474247791+0.710846156364544i</v>
      </c>
      <c r="AN298" s="170" t="str">
        <f t="shared" si="158"/>
        <v>0.790700520798966i</v>
      </c>
      <c r="AO298" s="170" t="str">
        <f t="shared" si="159"/>
        <v>0.89900807912238-0.375176778621617i</v>
      </c>
      <c r="AP298" s="170" t="str">
        <f t="shared" si="160"/>
        <v>0.117224587625368-0.118474359394091i</v>
      </c>
      <c r="AQ298" s="170" t="str">
        <f t="shared" si="161"/>
        <v>0.882775412374632+0.118474359394091i</v>
      </c>
      <c r="AR298" s="170" t="str">
        <f t="shared" si="162"/>
        <v>0.9269197104021-0.124398819178984i</v>
      </c>
    </row>
    <row r="299" spans="7:44">
      <c r="G299" s="688">
        <v>20185</v>
      </c>
      <c r="H299" s="676">
        <f t="shared" si="154"/>
        <v>20.184999999999999</v>
      </c>
      <c r="I299" s="677">
        <f t="shared" si="134"/>
        <v>6.9747480874621886</v>
      </c>
      <c r="J299" s="678">
        <f t="shared" si="135"/>
        <v>1.4269261673653564</v>
      </c>
      <c r="K299" s="678">
        <f t="shared" si="136"/>
        <v>1.0003216454409871</v>
      </c>
      <c r="L299" s="679">
        <f t="shared" si="137"/>
        <v>2.5359781209048082E-2</v>
      </c>
      <c r="M299" s="678">
        <f t="shared" si="138"/>
        <v>1.0142851195798019</v>
      </c>
      <c r="N299" s="679">
        <f t="shared" si="139"/>
        <v>-0.16803043299651146</v>
      </c>
      <c r="O299" s="677">
        <f t="shared" si="140"/>
        <v>152191.31433988534</v>
      </c>
      <c r="P299" s="680">
        <f t="shared" si="141"/>
        <v>1.5707897561176911</v>
      </c>
      <c r="Q299" s="689">
        <f t="shared" si="163"/>
        <v>3.542991494329232</v>
      </c>
      <c r="R299" s="690">
        <f t="shared" si="164"/>
        <v>1.2846604144487652</v>
      </c>
      <c r="S299" s="677">
        <f t="shared" si="142"/>
        <v>1.0036037529600792</v>
      </c>
      <c r="T299" s="680">
        <f t="shared" si="143"/>
        <v>8.4769848507273704E-2</v>
      </c>
      <c r="U299" s="681">
        <f t="shared" si="155"/>
        <v>0.91015627093664075</v>
      </c>
      <c r="V299" s="682">
        <f t="shared" si="156"/>
        <v>-0.53155831874699422</v>
      </c>
      <c r="W299" s="683">
        <f t="shared" si="144"/>
        <v>-6.4000870814043083</v>
      </c>
      <c r="X299" s="684">
        <f t="shared" si="145"/>
        <v>-141.63827988764947</v>
      </c>
      <c r="Y299" s="687">
        <f t="shared" si="146"/>
        <v>38.361720112350525</v>
      </c>
      <c r="AA299" s="170">
        <f t="shared" si="147"/>
        <v>20185</v>
      </c>
      <c r="AB299" s="170">
        <f t="shared" si="148"/>
        <v>407434225</v>
      </c>
      <c r="AD299" s="686">
        <f t="shared" si="149"/>
        <v>12.413809409551696</v>
      </c>
      <c r="AE299" s="687">
        <f t="shared" si="150"/>
        <v>-21.250958246199076</v>
      </c>
      <c r="AG299" s="686">
        <f t="shared" si="151"/>
        <v>24.78279668502811</v>
      </c>
      <c r="AH299" s="687">
        <f t="shared" si="152"/>
        <v>-59.475225113303139</v>
      </c>
      <c r="AJ299" s="170">
        <f t="shared" si="153"/>
        <v>0</v>
      </c>
      <c r="AK299" s="170">
        <f t="shared" si="165"/>
        <v>0</v>
      </c>
      <c r="AM299" s="170" t="str">
        <f t="shared" si="157"/>
        <v>0.299908585536833+0.714053227284187i</v>
      </c>
      <c r="AN299" s="170" t="str">
        <f t="shared" si="158"/>
        <v>0.795270816300121i</v>
      </c>
      <c r="AO299" s="170" t="str">
        <f t="shared" si="159"/>
        <v>0.897874299733785-0.377115039795013i</v>
      </c>
      <c r="AP299" s="170" t="str">
        <f t="shared" si="160"/>
        <v>0.116681902410528-0.119008871214031i</v>
      </c>
      <c r="AQ299" s="170" t="str">
        <f t="shared" si="161"/>
        <v>0.883318097589472+0.119008871214031i</v>
      </c>
      <c r="AR299" s="170" t="str">
        <f t="shared" si="162"/>
        <v>0.926222347969848-0.124789332886883i</v>
      </c>
    </row>
    <row r="300" spans="7:44">
      <c r="G300" s="688">
        <v>20301</v>
      </c>
      <c r="H300" s="676">
        <f t="shared" si="154"/>
        <v>20.300999999999998</v>
      </c>
      <c r="I300" s="677">
        <f t="shared" si="134"/>
        <v>7.014009216906385</v>
      </c>
      <c r="J300" s="678">
        <f t="shared" si="135"/>
        <v>1.4277370401237748</v>
      </c>
      <c r="K300" s="678">
        <f t="shared" si="136"/>
        <v>1.0003253523516562</v>
      </c>
      <c r="L300" s="679">
        <f t="shared" si="137"/>
        <v>2.5505456841466361E-2</v>
      </c>
      <c r="M300" s="678">
        <f t="shared" si="138"/>
        <v>1.0144486072962922</v>
      </c>
      <c r="N300" s="679">
        <f t="shared" si="139"/>
        <v>-0.1689778509459034</v>
      </c>
      <c r="O300" s="677">
        <f t="shared" si="140"/>
        <v>153065.93373362662</v>
      </c>
      <c r="P300" s="680">
        <f t="shared" si="141"/>
        <v>1.5707897936625685</v>
      </c>
      <c r="Q300" s="689">
        <f t="shared" si="163"/>
        <v>3.5617347416455671</v>
      </c>
      <c r="R300" s="690">
        <f t="shared" si="164"/>
        <v>1.2862083081833413</v>
      </c>
      <c r="S300" s="677">
        <f t="shared" si="142"/>
        <v>1.0036452169373165</v>
      </c>
      <c r="T300" s="680">
        <f t="shared" si="143"/>
        <v>8.5254656957390748E-2</v>
      </c>
      <c r="U300" s="681">
        <f t="shared" si="155"/>
        <v>0.90925316221839991</v>
      </c>
      <c r="V300" s="682">
        <f t="shared" si="156"/>
        <v>-0.53435301965411031</v>
      </c>
      <c r="W300" s="683">
        <f t="shared" si="144"/>
        <v>-6.46033714218024</v>
      </c>
      <c r="X300" s="684">
        <f t="shared" si="145"/>
        <v>-141.82989234374773</v>
      </c>
      <c r="Y300" s="687">
        <f t="shared" si="146"/>
        <v>38.17010765625227</v>
      </c>
      <c r="AA300" s="170">
        <f t="shared" si="147"/>
        <v>20301</v>
      </c>
      <c r="AB300" s="170">
        <f t="shared" si="148"/>
        <v>412130601</v>
      </c>
      <c r="AD300" s="686">
        <f t="shared" si="149"/>
        <v>12.409506264579731</v>
      </c>
      <c r="AE300" s="687">
        <f t="shared" si="150"/>
        <v>-21.190050097230529</v>
      </c>
      <c r="AG300" s="686">
        <f t="shared" si="151"/>
        <v>24.74409559231183</v>
      </c>
      <c r="AH300" s="687">
        <f t="shared" si="152"/>
        <v>-59.407496584045752</v>
      </c>
      <c r="AJ300" s="170">
        <f t="shared" si="153"/>
        <v>0</v>
      </c>
      <c r="AK300" s="170">
        <f t="shared" si="165"/>
        <v>0</v>
      </c>
      <c r="AM300" s="170" t="str">
        <f t="shared" si="157"/>
        <v>0.303179320030528+0.717245383370909i</v>
      </c>
      <c r="AN300" s="170" t="str">
        <f t="shared" si="158"/>
        <v>0.799841111801276i</v>
      </c>
      <c r="AO300" s="170" t="str">
        <f t="shared" si="159"/>
        <v>0.896734829940964-0.379049433140234i</v>
      </c>
      <c r="AP300" s="170" t="str">
        <f t="shared" si="160"/>
        <v>0.116136779994912-0.119540897228485i</v>
      </c>
      <c r="AQ300" s="170" t="str">
        <f t="shared" si="161"/>
        <v>0.883863220005088+0.119540897228485i</v>
      </c>
      <c r="AR300" s="170" t="str">
        <f t="shared" si="162"/>
        <v>0.925523769454723-0.1251754109717i</v>
      </c>
    </row>
    <row r="301" spans="7:44">
      <c r="G301" s="688">
        <v>20417</v>
      </c>
      <c r="H301" s="676">
        <f t="shared" si="154"/>
        <v>20.417000000000002</v>
      </c>
      <c r="I301" s="677">
        <f t="shared" si="134"/>
        <v>7.0532749068203895</v>
      </c>
      <c r="J301" s="678">
        <f t="shared" si="135"/>
        <v>1.4285388851222962</v>
      </c>
      <c r="K301" s="678">
        <f t="shared" si="136"/>
        <v>1.0003290804904621</v>
      </c>
      <c r="L301" s="679">
        <f t="shared" si="137"/>
        <v>2.5651131391135409E-2</v>
      </c>
      <c r="M301" s="678">
        <f t="shared" si="138"/>
        <v>1.0146130052887117</v>
      </c>
      <c r="N301" s="679">
        <f t="shared" si="139"/>
        <v>-0.16992496272447227</v>
      </c>
      <c r="O301" s="677">
        <f t="shared" si="140"/>
        <v>153940.55312736804</v>
      </c>
      <c r="P301" s="680">
        <f t="shared" si="141"/>
        <v>1.5707898307808204</v>
      </c>
      <c r="Q301" s="689">
        <f t="shared" si="163"/>
        <v>3.5804864334311759</v>
      </c>
      <c r="R301" s="690">
        <f t="shared" si="164"/>
        <v>1.2877399923251651</v>
      </c>
      <c r="S301" s="677">
        <f t="shared" si="142"/>
        <v>1.0036869167910332</v>
      </c>
      <c r="T301" s="680">
        <f t="shared" si="143"/>
        <v>8.5739425237081682E-2</v>
      </c>
      <c r="U301" s="681">
        <f t="shared" si="155"/>
        <v>0.90834740357239385</v>
      </c>
      <c r="V301" s="682">
        <f t="shared" si="156"/>
        <v>-0.53714388451375139</v>
      </c>
      <c r="W301" s="683">
        <f t="shared" si="144"/>
        <v>-6.5202853056207024</v>
      </c>
      <c r="X301" s="684">
        <f t="shared" si="145"/>
        <v>-142.02167669292891</v>
      </c>
      <c r="Y301" s="687">
        <f t="shared" si="146"/>
        <v>37.978323307071093</v>
      </c>
      <c r="AA301" s="170">
        <f t="shared" si="147"/>
        <v>20417</v>
      </c>
      <c r="AB301" s="170">
        <f t="shared" si="148"/>
        <v>416853889</v>
      </c>
      <c r="AD301" s="686">
        <f t="shared" si="149"/>
        <v>12.405264636423981</v>
      </c>
      <c r="AE301" s="687">
        <f t="shared" si="150"/>
        <v>-21.130068363475658</v>
      </c>
      <c r="AG301" s="686">
        <f t="shared" si="151"/>
        <v>24.705702696640202</v>
      </c>
      <c r="AH301" s="687">
        <f t="shared" si="152"/>
        <v>-59.339453111318768</v>
      </c>
      <c r="AJ301" s="170">
        <f t="shared" si="153"/>
        <v>0</v>
      </c>
      <c r="AK301" s="170">
        <f t="shared" si="165"/>
        <v>0</v>
      </c>
      <c r="AM301" s="170" t="str">
        <f t="shared" si="157"/>
        <v>0.306464609411198+0.720422557948346i</v>
      </c>
      <c r="AN301" s="170" t="str">
        <f t="shared" si="158"/>
        <v>0.804411407302431i</v>
      </c>
      <c r="AO301" s="170" t="str">
        <f t="shared" si="159"/>
        <v>0.895589683846306-0.38097993965416i</v>
      </c>
      <c r="AP301" s="170" t="str">
        <f t="shared" si="160"/>
        <v>0.1155892317648-0.120070426324724i</v>
      </c>
      <c r="AQ301" s="170" t="str">
        <f t="shared" si="161"/>
        <v>0.8844107682352+0.120070426324724i</v>
      </c>
      <c r="AR301" s="170" t="str">
        <f t="shared" si="162"/>
        <v>0.92482400720521-0.125557056527084i</v>
      </c>
    </row>
    <row r="302" spans="7:44">
      <c r="G302" s="688">
        <v>20536</v>
      </c>
      <c r="H302" s="676">
        <f t="shared" si="154"/>
        <v>20.536000000000001</v>
      </c>
      <c r="I302" s="677">
        <f t="shared" si="134"/>
        <v>7.0935607482509049</v>
      </c>
      <c r="J302" s="678">
        <f t="shared" si="135"/>
        <v>1.4293522425518983</v>
      </c>
      <c r="K302" s="678">
        <f t="shared" si="136"/>
        <v>1.0003329271051433</v>
      </c>
      <c r="L302" s="679">
        <f t="shared" si="137"/>
        <v>2.5800572254472676E-2</v>
      </c>
      <c r="M302" s="678">
        <f t="shared" si="138"/>
        <v>1.0147826003824316</v>
      </c>
      <c r="N302" s="679">
        <f t="shared" si="139"/>
        <v>-0.17089624899819802</v>
      </c>
      <c r="O302" s="677">
        <f t="shared" si="140"/>
        <v>154837.79198818922</v>
      </c>
      <c r="P302" s="680">
        <f t="shared" si="141"/>
        <v>1.5707898684232862</v>
      </c>
      <c r="Q302" s="689">
        <f t="shared" si="163"/>
        <v>3.5997317193307818</v>
      </c>
      <c r="R302" s="690">
        <f t="shared" si="164"/>
        <v>1.2892947031802335</v>
      </c>
      <c r="S302" s="677">
        <f t="shared" si="142"/>
        <v>1.0037299401641722</v>
      </c>
      <c r="T302" s="680">
        <f t="shared" si="143"/>
        <v>8.6236688651724583E-2</v>
      </c>
      <c r="U302" s="681">
        <f t="shared" si="155"/>
        <v>0.90741549917707953</v>
      </c>
      <c r="V302" s="682">
        <f t="shared" si="156"/>
        <v>-0.54000293405727617</v>
      </c>
      <c r="W302" s="683">
        <f t="shared" si="144"/>
        <v>-6.5814743108753424</v>
      </c>
      <c r="X302" s="684">
        <f t="shared" si="145"/>
        <v>-142.21859326815709</v>
      </c>
      <c r="Y302" s="687">
        <f t="shared" si="146"/>
        <v>37.781406731842907</v>
      </c>
      <c r="AA302" s="170">
        <f t="shared" si="147"/>
        <v>20536</v>
      </c>
      <c r="AB302" s="170">
        <f t="shared" si="148"/>
        <v>421727296</v>
      </c>
      <c r="AD302" s="686">
        <f t="shared" si="149"/>
        <v>12.400975830811017</v>
      </c>
      <c r="AE302" s="687">
        <f t="shared" si="150"/>
        <v>-21.069483244767547</v>
      </c>
      <c r="AG302" s="686">
        <f t="shared" si="151"/>
        <v>24.666633942787787</v>
      </c>
      <c r="AH302" s="687">
        <f t="shared" si="152"/>
        <v>-59.269331860355138</v>
      </c>
      <c r="AJ302" s="170">
        <f t="shared" si="153"/>
        <v>0</v>
      </c>
      <c r="AK302" s="170">
        <f t="shared" si="165"/>
        <v>0</v>
      </c>
      <c r="AM302" s="170" t="str">
        <f t="shared" si="157"/>
        <v>0.309849915632649+0.723666263582695i</v>
      </c>
      <c r="AN302" s="170" t="str">
        <f t="shared" si="158"/>
        <v>0.80909990010103i</v>
      </c>
      <c r="AO302" s="170" t="str">
        <f t="shared" si="159"/>
        <v>0.894409038355255-0.382956314286974i</v>
      </c>
      <c r="AP302" s="170" t="str">
        <f t="shared" si="160"/>
        <v>0.115025014061225-0.120611043930449i</v>
      </c>
      <c r="AQ302" s="170" t="str">
        <f t="shared" si="161"/>
        <v>0.884974985938775+0.120611043930449i</v>
      </c>
      <c r="AR302" s="170" t="str">
        <f t="shared" si="162"/>
        <v>0.924104951351527-0.125943969778503i</v>
      </c>
    </row>
    <row r="303" spans="7:44">
      <c r="G303" s="688">
        <v>20655</v>
      </c>
      <c r="H303" s="676">
        <f t="shared" si="154"/>
        <v>20.655000000000001</v>
      </c>
      <c r="I303" s="677">
        <f t="shared" si="134"/>
        <v>7.1338512294257397</v>
      </c>
      <c r="J303" s="678">
        <f t="shared" si="135"/>
        <v>1.43015641316743</v>
      </c>
      <c r="K303" s="678">
        <f t="shared" si="136"/>
        <v>1.000336796059659</v>
      </c>
      <c r="L303" s="679">
        <f t="shared" si="137"/>
        <v>2.5950011965176809E-2</v>
      </c>
      <c r="M303" s="678">
        <f t="shared" si="138"/>
        <v>1.0149531524985744</v>
      </c>
      <c r="N303" s="679">
        <f t="shared" si="139"/>
        <v>-0.17186720975894909</v>
      </c>
      <c r="O303" s="677">
        <f t="shared" si="140"/>
        <v>155735.03084901063</v>
      </c>
      <c r="P303" s="680">
        <f t="shared" si="141"/>
        <v>1.5707899056320114</v>
      </c>
      <c r="Q303" s="689">
        <f t="shared" si="163"/>
        <v>3.6189856136811831</v>
      </c>
      <c r="R303" s="690">
        <f t="shared" si="164"/>
        <v>1.2908328748314217</v>
      </c>
      <c r="S303" s="677">
        <f t="shared" si="142"/>
        <v>1.0037732117092086</v>
      </c>
      <c r="T303" s="680">
        <f t="shared" si="143"/>
        <v>8.6733909316363086E-2</v>
      </c>
      <c r="U303" s="681">
        <f t="shared" si="155"/>
        <v>0.90648087235176189</v>
      </c>
      <c r="V303" s="682">
        <f t="shared" si="156"/>
        <v>-0.54285793310681663</v>
      </c>
      <c r="W303" s="683">
        <f t="shared" si="144"/>
        <v>-6.6423539952228072</v>
      </c>
      <c r="X303" s="684">
        <f t="shared" si="145"/>
        <v>-142.41567796935573</v>
      </c>
      <c r="Y303" s="687">
        <f t="shared" si="146"/>
        <v>37.584322030644273</v>
      </c>
      <c r="AA303" s="170">
        <f t="shared" si="147"/>
        <v>20655</v>
      </c>
      <c r="AB303" s="170">
        <f t="shared" si="148"/>
        <v>426629025</v>
      </c>
      <c r="AD303" s="686">
        <f t="shared" si="149"/>
        <v>12.396748946696412</v>
      </c>
      <c r="AE303" s="687">
        <f t="shared" si="150"/>
        <v>-21.009843278393038</v>
      </c>
      <c r="AG303" s="686">
        <f t="shared" si="151"/>
        <v>24.627883082937704</v>
      </c>
      <c r="AH303" s="687">
        <f t="shared" si="152"/>
        <v>-59.198897735449378</v>
      </c>
      <c r="AJ303" s="170">
        <f t="shared" si="153"/>
        <v>0</v>
      </c>
      <c r="AK303" s="170">
        <f t="shared" si="165"/>
        <v>0</v>
      </c>
      <c r="AM303" s="170" t="str">
        <f t="shared" si="157"/>
        <v>0.313250392681119+0.726894061639908i</v>
      </c>
      <c r="AN303" s="170" t="str">
        <f t="shared" si="158"/>
        <v>0.813788392899629i</v>
      </c>
      <c r="AO303" s="170" t="str">
        <f t="shared" si="159"/>
        <v>0.89322244945015-0.384928558104606i</v>
      </c>
      <c r="AP303" s="170" t="str">
        <f t="shared" si="160"/>
        <v>0.11445826788648-0.121149010273318i</v>
      </c>
      <c r="AQ303" s="170" t="str">
        <f t="shared" si="161"/>
        <v>0.88554173211352+0.121149010273318i</v>
      </c>
      <c r="AR303" s="170" t="str">
        <f t="shared" si="162"/>
        <v>0.923384718226339-0.126326225696484i</v>
      </c>
    </row>
    <row r="304" spans="7:44">
      <c r="G304" s="688">
        <v>20774</v>
      </c>
      <c r="H304" s="676">
        <f t="shared" si="154"/>
        <v>20.774000000000001</v>
      </c>
      <c r="I304" s="677">
        <f t="shared" si="134"/>
        <v>7.1741462721735578</v>
      </c>
      <c r="J304" s="678">
        <f t="shared" si="135"/>
        <v>1.4309515507187265</v>
      </c>
      <c r="K304" s="678">
        <f t="shared" si="136"/>
        <v>1.0003406873537504</v>
      </c>
      <c r="L304" s="679">
        <f t="shared" si="137"/>
        <v>2.6099450516586589E-2</v>
      </c>
      <c r="M304" s="678">
        <f t="shared" si="138"/>
        <v>1.0151246611547691</v>
      </c>
      <c r="N304" s="679">
        <f t="shared" si="139"/>
        <v>-0.17283784334048291</v>
      </c>
      <c r="O304" s="677">
        <f t="shared" si="140"/>
        <v>156632.26970983224</v>
      </c>
      <c r="P304" s="680">
        <f t="shared" si="141"/>
        <v>1.5707899424144502</v>
      </c>
      <c r="Q304" s="689">
        <f t="shared" si="163"/>
        <v>3.6382479798125864</v>
      </c>
      <c r="R304" s="690">
        <f t="shared" si="164"/>
        <v>1.292354762637667</v>
      </c>
      <c r="S304" s="677">
        <f t="shared" si="142"/>
        <v>1.0038167313940487</v>
      </c>
      <c r="T304" s="680">
        <f t="shared" si="143"/>
        <v>8.7231086990687504E-2</v>
      </c>
      <c r="U304" s="681">
        <f t="shared" si="155"/>
        <v>0.90554355654373353</v>
      </c>
      <c r="V304" s="682">
        <f t="shared" si="156"/>
        <v>-0.5457088751331276</v>
      </c>
      <c r="W304" s="683">
        <f t="shared" si="144"/>
        <v>-6.7029284823591251</v>
      </c>
      <c r="X304" s="684">
        <f t="shared" si="145"/>
        <v>-142.61292449222523</v>
      </c>
      <c r="Y304" s="687">
        <f t="shared" si="146"/>
        <v>37.387075507774767</v>
      </c>
      <c r="AA304" s="170">
        <f t="shared" si="147"/>
        <v>20774</v>
      </c>
      <c r="AB304" s="170">
        <f t="shared" si="148"/>
        <v>431559076</v>
      </c>
      <c r="AD304" s="686">
        <f t="shared" si="149"/>
        <v>12.392582612795461</v>
      </c>
      <c r="AE304" s="687">
        <f t="shared" si="150"/>
        <v>-20.951133820021109</v>
      </c>
      <c r="AG304" s="686">
        <f t="shared" si="151"/>
        <v>24.58944692226682</v>
      </c>
      <c r="AH304" s="687">
        <f t="shared" si="152"/>
        <v>-59.128159824829332</v>
      </c>
      <c r="AJ304" s="170">
        <f t="shared" si="153"/>
        <v>0</v>
      </c>
      <c r="AK304" s="170">
        <f t="shared" si="165"/>
        <v>0</v>
      </c>
      <c r="AM304" s="170" t="str">
        <f t="shared" si="157"/>
        <v>0.316665965807575+0.73010588116677i</v>
      </c>
      <c r="AN304" s="170" t="str">
        <f t="shared" si="158"/>
        <v>0.818476885698227i</v>
      </c>
      <c r="AO304" s="170" t="str">
        <f t="shared" si="159"/>
        <v>0.892029932578891-0.386896650767887i</v>
      </c>
      <c r="AP304" s="170" t="str">
        <f t="shared" si="160"/>
        <v>0.113889005698737-0.121684313527795i</v>
      </c>
      <c r="AQ304" s="170" t="str">
        <f t="shared" si="161"/>
        <v>0.886110994301263+0.121684313527795i</v>
      </c>
      <c r="AR304" s="170" t="str">
        <f t="shared" si="162"/>
        <v>0.922663342256602-0.126703828461454i</v>
      </c>
    </row>
    <row r="305" spans="7:44">
      <c r="G305" s="688">
        <v>20893</v>
      </c>
      <c r="H305" s="676">
        <f t="shared" si="154"/>
        <v>20.893000000000001</v>
      </c>
      <c r="I305" s="677">
        <f t="shared" si="134"/>
        <v>7.214445800060723</v>
      </c>
      <c r="J305" s="678">
        <f t="shared" si="135"/>
        <v>1.4317378055665417</v>
      </c>
      <c r="K305" s="678">
        <f t="shared" si="136"/>
        <v>1.0003446009871564</v>
      </c>
      <c r="L305" s="679">
        <f t="shared" si="137"/>
        <v>2.624888790204109E-2</v>
      </c>
      <c r="M305" s="678">
        <f t="shared" si="138"/>
        <v>1.015297125866266</v>
      </c>
      <c r="N305" s="679">
        <f t="shared" si="139"/>
        <v>-0.17380814808014555</v>
      </c>
      <c r="O305" s="677">
        <f t="shared" si="140"/>
        <v>157529.50857065403</v>
      </c>
      <c r="P305" s="680">
        <f t="shared" si="141"/>
        <v>1.5707899787778865</v>
      </c>
      <c r="Q305" s="689">
        <f t="shared" si="163"/>
        <v>3.6575186838747857</v>
      </c>
      <c r="R305" s="690">
        <f t="shared" si="164"/>
        <v>1.293860616881463</v>
      </c>
      <c r="S305" s="677">
        <f t="shared" si="142"/>
        <v>1.00386049918642</v>
      </c>
      <c r="T305" s="680">
        <f t="shared" si="143"/>
        <v>8.7728221434514725E-2</v>
      </c>
      <c r="U305" s="681">
        <f t="shared" si="155"/>
        <v>0.90460358510057481</v>
      </c>
      <c r="V305" s="682">
        <f t="shared" si="156"/>
        <v>-0.54855575380026178</v>
      </c>
      <c r="W305" s="683">
        <f t="shared" si="144"/>
        <v>-6.7632018135061607</v>
      </c>
      <c r="X305" s="684">
        <f t="shared" si="145"/>
        <v>-142.81032664042303</v>
      </c>
      <c r="Y305" s="687">
        <f t="shared" si="146"/>
        <v>37.189673359576972</v>
      </c>
      <c r="AA305" s="170">
        <f t="shared" si="147"/>
        <v>20893</v>
      </c>
      <c r="AB305" s="170">
        <f t="shared" si="148"/>
        <v>436517449</v>
      </c>
      <c r="AD305" s="686">
        <f t="shared" si="149"/>
        <v>12.388475493903567</v>
      </c>
      <c r="AE305" s="687">
        <f t="shared" si="150"/>
        <v>-20.893340516177002</v>
      </c>
      <c r="AG305" s="686">
        <f t="shared" si="151"/>
        <v>24.55132231284988</v>
      </c>
      <c r="AH305" s="687">
        <f t="shared" si="152"/>
        <v>-59.057127011673259</v>
      </c>
      <c r="AJ305" s="170">
        <f t="shared" si="153"/>
        <v>0</v>
      </c>
      <c r="AK305" s="170">
        <f t="shared" si="165"/>
        <v>0</v>
      </c>
      <c r="AM305" s="170" t="str">
        <f t="shared" si="157"/>
        <v>0.32009655993115+0.733301651561309i</v>
      </c>
      <c r="AN305" s="170" t="str">
        <f t="shared" si="158"/>
        <v>0.823165378496826i</v>
      </c>
      <c r="AO305" s="170" t="str">
        <f t="shared" si="159"/>
        <v>0.890831503264124-0.388860571997908i</v>
      </c>
      <c r="AP305" s="170" t="str">
        <f t="shared" si="160"/>
        <v>0.113317240011475-0.122216941926885i</v>
      </c>
      <c r="AQ305" s="170" t="str">
        <f t="shared" si="161"/>
        <v>0.886682759988525+0.122216941926885i</v>
      </c>
      <c r="AR305" s="170" t="str">
        <f t="shared" si="162"/>
        <v>0.92194085769719-0.127076782531171i</v>
      </c>
    </row>
    <row r="306" spans="7:44">
      <c r="G306" s="688">
        <v>21014.75</v>
      </c>
      <c r="H306" s="676">
        <f t="shared" si="154"/>
        <v>21.014749999999999</v>
      </c>
      <c r="I306" s="677">
        <f t="shared" si="134"/>
        <v>7.2556811834274582</v>
      </c>
      <c r="J306" s="678">
        <f t="shared" si="135"/>
        <v>1.4325331905390499</v>
      </c>
      <c r="K306" s="678">
        <f t="shared" si="136"/>
        <v>1.0003486281810439</v>
      </c>
      <c r="L306" s="679">
        <f t="shared" si="137"/>
        <v>2.6401777458824077E-2</v>
      </c>
      <c r="M306" s="678">
        <f t="shared" si="138"/>
        <v>1.0154745650499351</v>
      </c>
      <c r="N306" s="679">
        <f t="shared" si="139"/>
        <v>-0.17480053376968224</v>
      </c>
      <c r="O306" s="677">
        <f t="shared" si="140"/>
        <v>158447.48194296565</v>
      </c>
      <c r="P306" s="680">
        <f t="shared" si="141"/>
        <v>1.5707900155554388</v>
      </c>
      <c r="Q306" s="689">
        <f t="shared" si="163"/>
        <v>3.6772432118056289</v>
      </c>
      <c r="R306" s="690">
        <f t="shared" si="164"/>
        <v>1.2953849324724556</v>
      </c>
      <c r="S306" s="677">
        <f t="shared" si="142"/>
        <v>1.003905535159674</v>
      </c>
      <c r="T306" s="680">
        <f t="shared" si="143"/>
        <v>8.8236799288423859E-2</v>
      </c>
      <c r="U306" s="681">
        <f t="shared" si="155"/>
        <v>0.90363917790088122</v>
      </c>
      <c r="V306" s="682">
        <f t="shared" si="156"/>
        <v>-0.55146420997831369</v>
      </c>
      <c r="W306" s="683">
        <f t="shared" si="144"/>
        <v>-6.8245604704024547</v>
      </c>
      <c r="X306" s="684">
        <f t="shared" si="145"/>
        <v>-143.01244531366379</v>
      </c>
      <c r="Y306" s="687">
        <f t="shared" si="146"/>
        <v>36.98755468633621</v>
      </c>
      <c r="AA306" s="170">
        <f t="shared" si="147"/>
        <v>21014.75</v>
      </c>
      <c r="AB306" s="170">
        <f t="shared" si="148"/>
        <v>441619717.5625</v>
      </c>
      <c r="AD306" s="686">
        <f t="shared" si="149"/>
        <v>12.384333390220018</v>
      </c>
      <c r="AE306" s="687">
        <f t="shared" si="150"/>
        <v>-20.835145137881984</v>
      </c>
      <c r="AG306" s="686">
        <f t="shared" si="151"/>
        <v>24.512635871784347</v>
      </c>
      <c r="AH306" s="687">
        <f t="shared" si="152"/>
        <v>-58.984156535025939</v>
      </c>
      <c r="AJ306" s="170">
        <f t="shared" si="153"/>
        <v>0</v>
      </c>
      <c r="AK306" s="170">
        <f t="shared" si="165"/>
        <v>0</v>
      </c>
      <c r="AM306" s="170" t="str">
        <f t="shared" si="157"/>
        <v>0.323621899535773+0.736554590789036i</v>
      </c>
      <c r="AN306" s="170" t="str">
        <f t="shared" si="158"/>
        <v>0.827962218818081i</v>
      </c>
      <c r="AO306" s="170" t="str">
        <f t="shared" si="159"/>
        <v>0.889599276450646-0.390865539731685i</v>
      </c>
      <c r="AP306" s="170" t="str">
        <f t="shared" si="160"/>
        <v>0.112729683410704-0.122759098464839i</v>
      </c>
      <c r="AQ306" s="170" t="str">
        <f t="shared" si="161"/>
        <v>0.887270316589296+0.122759098464839i</v>
      </c>
      <c r="AR306" s="170" t="str">
        <f t="shared" si="162"/>
        <v>0.921200565294115-0.127453549145555i</v>
      </c>
    </row>
    <row r="307" spans="7:44">
      <c r="G307" s="688">
        <v>21136.5</v>
      </c>
      <c r="H307" s="676">
        <f t="shared" si="154"/>
        <v>21.136500000000002</v>
      </c>
      <c r="I307" s="677">
        <f t="shared" si="134"/>
        <v>7.2969211051275265</v>
      </c>
      <c r="J307" s="678">
        <f t="shared" si="135"/>
        <v>1.4333195854689209</v>
      </c>
      <c r="K307" s="678">
        <f t="shared" si="136"/>
        <v>1.0003526787581085</v>
      </c>
      <c r="L307" s="679">
        <f t="shared" si="137"/>
        <v>2.6554665781035641E-2</v>
      </c>
      <c r="M307" s="678">
        <f t="shared" si="138"/>
        <v>1.0156530039527591</v>
      </c>
      <c r="N307" s="679">
        <f t="shared" si="139"/>
        <v>-0.17579257173373122</v>
      </c>
      <c r="O307" s="677">
        <f t="shared" si="140"/>
        <v>159365.45531527748</v>
      </c>
      <c r="P307" s="680">
        <f t="shared" si="141"/>
        <v>1.570790051909301</v>
      </c>
      <c r="Q307" s="689">
        <f t="shared" si="163"/>
        <v>3.6969761927672482</v>
      </c>
      <c r="R307" s="690">
        <f t="shared" si="164"/>
        <v>1.2968929791618675</v>
      </c>
      <c r="S307" s="677">
        <f t="shared" si="142"/>
        <v>1.0039508307711986</v>
      </c>
      <c r="T307" s="680">
        <f t="shared" si="143"/>
        <v>8.8745331382474951E-2</v>
      </c>
      <c r="U307" s="681">
        <f t="shared" si="155"/>
        <v>0.90267206119960242</v>
      </c>
      <c r="V307" s="682">
        <f t="shared" si="156"/>
        <v>-0.55436840002256838</v>
      </c>
      <c r="W307" s="683">
        <f t="shared" si="144"/>
        <v>-6.8856121941313759</v>
      </c>
      <c r="X307" s="684">
        <f t="shared" si="145"/>
        <v>-143.2147141047509</v>
      </c>
      <c r="Y307" s="687">
        <f t="shared" si="146"/>
        <v>36.785285895249103</v>
      </c>
      <c r="AA307" s="170">
        <f t="shared" si="147"/>
        <v>21136.5</v>
      </c>
      <c r="AB307" s="170">
        <f t="shared" si="148"/>
        <v>446751632.25</v>
      </c>
      <c r="AD307" s="686">
        <f t="shared" si="149"/>
        <v>12.380250553309946</v>
      </c>
      <c r="AE307" s="687">
        <f t="shared" si="150"/>
        <v>-20.77787925286351</v>
      </c>
      <c r="AG307" s="686">
        <f t="shared" si="151"/>
        <v>24.474269027748122</v>
      </c>
      <c r="AH307" s="687">
        <f t="shared" si="152"/>
        <v>-58.910895545871817</v>
      </c>
      <c r="AJ307" s="170">
        <f t="shared" si="153"/>
        <v>0</v>
      </c>
      <c r="AK307" s="170">
        <f t="shared" si="165"/>
        <v>0</v>
      </c>
      <c r="AM307" s="170" t="str">
        <f t="shared" si="157"/>
        <v>0.327162802352223+0.739790582165984i</v>
      </c>
      <c r="AN307" s="170" t="str">
        <f t="shared" si="158"/>
        <v>0.832759059139337i</v>
      </c>
      <c r="AO307" s="170" t="str">
        <f t="shared" si="159"/>
        <v>0.888360893882756-0.392866098256978i</v>
      </c>
      <c r="AP307" s="170" t="str">
        <f t="shared" si="160"/>
        <v>0.112139532941296-0.123298430360997i</v>
      </c>
      <c r="AQ307" s="170" t="str">
        <f t="shared" si="161"/>
        <v>0.887860467058704+0.123298430360997i</v>
      </c>
      <c r="AR307" s="170" t="str">
        <f t="shared" si="162"/>
        <v>0.920459184452778-0.127825460041445i</v>
      </c>
    </row>
    <row r="308" spans="7:44">
      <c r="G308" s="688">
        <v>21258.25</v>
      </c>
      <c r="H308" s="676">
        <f t="shared" si="154"/>
        <v>21.25825</v>
      </c>
      <c r="I308" s="677">
        <f t="shared" si="134"/>
        <v>7.3381654886456822</v>
      </c>
      <c r="J308" s="678">
        <f t="shared" si="135"/>
        <v>1.4340971409616516</v>
      </c>
      <c r="K308" s="678">
        <f t="shared" si="136"/>
        <v>1.0003567527180666</v>
      </c>
      <c r="L308" s="679">
        <f t="shared" si="137"/>
        <v>2.6707552861543343E-2</v>
      </c>
      <c r="M308" s="678">
        <f t="shared" si="138"/>
        <v>1.015832442047913</v>
      </c>
      <c r="N308" s="679">
        <f t="shared" si="139"/>
        <v>-0.17678426020344418</v>
      </c>
      <c r="O308" s="677">
        <f t="shared" si="140"/>
        <v>160283.4286875895</v>
      </c>
      <c r="P308" s="680">
        <f t="shared" si="141"/>
        <v>1.570790087846752</v>
      </c>
      <c r="Q308" s="689">
        <f t="shared" si="163"/>
        <v>3.7167174921218944</v>
      </c>
      <c r="R308" s="690">
        <f t="shared" si="164"/>
        <v>1.298385009271519</v>
      </c>
      <c r="S308" s="677">
        <f t="shared" si="142"/>
        <v>1.0039963859858525</v>
      </c>
      <c r="T308" s="680">
        <f t="shared" si="143"/>
        <v>8.9253817459861523E-2</v>
      </c>
      <c r="U308" s="681">
        <f t="shared" si="155"/>
        <v>0.90170227037209227</v>
      </c>
      <c r="V308" s="682">
        <f t="shared" si="156"/>
        <v>-0.55726831776930752</v>
      </c>
      <c r="W308" s="683">
        <f t="shared" si="144"/>
        <v>-6.946361057946417</v>
      </c>
      <c r="X308" s="684">
        <f t="shared" si="145"/>
        <v>-143.41712671737747</v>
      </c>
      <c r="Y308" s="687">
        <f t="shared" si="146"/>
        <v>36.582873282622529</v>
      </c>
      <c r="AA308" s="170">
        <f t="shared" si="147"/>
        <v>21258.25</v>
      </c>
      <c r="AB308" s="170">
        <f t="shared" si="148"/>
        <v>451913193.0625</v>
      </c>
      <c r="AD308" s="686">
        <f t="shared" si="149"/>
        <v>12.376225663340506</v>
      </c>
      <c r="AE308" s="687">
        <f t="shared" si="150"/>
        <v>-20.72152838984934</v>
      </c>
      <c r="AG308" s="686">
        <f t="shared" si="151"/>
        <v>24.436218555877076</v>
      </c>
      <c r="AH308" s="687">
        <f t="shared" si="152"/>
        <v>-58.8373529254864</v>
      </c>
      <c r="AJ308" s="170">
        <f t="shared" si="153"/>
        <v>0</v>
      </c>
      <c r="AK308" s="170">
        <f t="shared" si="165"/>
        <v>0</v>
      </c>
      <c r="AM308" s="170" t="str">
        <f t="shared" si="157"/>
        <v>0.330719186905623+0.743009551233178i</v>
      </c>
      <c r="AN308" s="170" t="str">
        <f t="shared" si="158"/>
        <v>0.837555899460592i</v>
      </c>
      <c r="AO308" s="170" t="str">
        <f t="shared" si="159"/>
        <v>0.887116372425644-0.394862226053944i</v>
      </c>
      <c r="AP308" s="170" t="str">
        <f t="shared" si="160"/>
        <v>0.111546802182396-0.12383492520553i</v>
      </c>
      <c r="AQ308" s="170" t="str">
        <f t="shared" si="161"/>
        <v>0.888453197817604+0.12383492520553i</v>
      </c>
      <c r="AR308" s="170" t="str">
        <f t="shared" si="162"/>
        <v>0.91971675128527-0.128192520872738i</v>
      </c>
    </row>
    <row r="309" spans="7:44">
      <c r="G309" s="688">
        <v>21380</v>
      </c>
      <c r="H309" s="676">
        <f t="shared" si="154"/>
        <v>21.38</v>
      </c>
      <c r="I309" s="677">
        <f t="shared" si="134"/>
        <v>7.3794142591691037</v>
      </c>
      <c r="J309" s="678">
        <f t="shared" si="135"/>
        <v>1.4348660042986776</v>
      </c>
      <c r="K309" s="678">
        <f t="shared" si="136"/>
        <v>1.0003608500606318</v>
      </c>
      <c r="L309" s="679">
        <f t="shared" si="137"/>
        <v>2.6860438693215097E-2</v>
      </c>
      <c r="M309" s="678">
        <f t="shared" si="138"/>
        <v>1.0160128788059943</v>
      </c>
      <c r="N309" s="679">
        <f t="shared" si="139"/>
        <v>-0.17777559741396856</v>
      </c>
      <c r="O309" s="677">
        <f t="shared" si="140"/>
        <v>161201.40205990174</v>
      </c>
      <c r="P309" s="680">
        <f t="shared" si="141"/>
        <v>1.5707901233749062</v>
      </c>
      <c r="Q309" s="689">
        <f t="shared" si="163"/>
        <v>3.7364669780210455</v>
      </c>
      <c r="R309" s="690">
        <f t="shared" si="164"/>
        <v>1.2998612700771648</v>
      </c>
      <c r="S309" s="677">
        <f t="shared" si="142"/>
        <v>1.0040422007682999</v>
      </c>
      <c r="T309" s="680">
        <f t="shared" si="143"/>
        <v>8.9762257263918774E-2</v>
      </c>
      <c r="U309" s="681">
        <f t="shared" si="155"/>
        <v>0.90072984067520323</v>
      </c>
      <c r="V309" s="682">
        <f t="shared" si="156"/>
        <v>-0.56016395726220158</v>
      </c>
      <c r="W309" s="683">
        <f t="shared" si="144"/>
        <v>-7.0068110535429318</v>
      </c>
      <c r="X309" s="684">
        <f t="shared" si="145"/>
        <v>-143.61967696601042</v>
      </c>
      <c r="Y309" s="687">
        <f t="shared" si="146"/>
        <v>36.380323033989583</v>
      </c>
      <c r="AA309" s="170">
        <f t="shared" si="147"/>
        <v>21380</v>
      </c>
      <c r="AB309" s="170">
        <f t="shared" si="148"/>
        <v>457104400</v>
      </c>
      <c r="AD309" s="686">
        <f t="shared" si="149"/>
        <v>12.372257435314202</v>
      </c>
      <c r="AE309" s="687">
        <f t="shared" si="150"/>
        <v>-20.666078366684115</v>
      </c>
      <c r="AG309" s="686">
        <f t="shared" si="151"/>
        <v>24.398481278700018</v>
      </c>
      <c r="AH309" s="687">
        <f t="shared" si="152"/>
        <v>-58.763537353036931</v>
      </c>
      <c r="AJ309" s="170">
        <f t="shared" si="153"/>
        <v>0</v>
      </c>
      <c r="AK309" s="170">
        <f t="shared" si="165"/>
        <v>0</v>
      </c>
      <c r="AM309" s="170" t="str">
        <f t="shared" si="157"/>
        <v>0.334290971364871+0.746211423923323i</v>
      </c>
      <c r="AN309" s="170" t="str">
        <f t="shared" si="158"/>
        <v>0.842352739781848i</v>
      </c>
      <c r="AO309" s="170" t="str">
        <f t="shared" si="159"/>
        <v>0.885865729025321-0.396853901670036i</v>
      </c>
      <c r="AP309" s="170" t="str">
        <f t="shared" si="160"/>
        <v>0.110951504772522-0.124368570653887i</v>
      </c>
      <c r="AQ309" s="170" t="str">
        <f t="shared" si="161"/>
        <v>0.889048495227478+0.124368570653887i</v>
      </c>
      <c r="AR309" s="170" t="str">
        <f t="shared" si="162"/>
        <v>0.918973301706119-0.128554737582712i</v>
      </c>
    </row>
    <row r="310" spans="7:44">
      <c r="G310" s="688">
        <v>21504.5</v>
      </c>
      <c r="H310" s="676">
        <f t="shared" si="154"/>
        <v>21.5045</v>
      </c>
      <c r="I310" s="677">
        <f t="shared" si="134"/>
        <v>7.4215991873134159</v>
      </c>
      <c r="J310" s="678">
        <f t="shared" si="135"/>
        <v>1.4356433953557994</v>
      </c>
      <c r="K310" s="678">
        <f t="shared" si="136"/>
        <v>1.0003650641314727</v>
      </c>
      <c r="L310" s="679">
        <f t="shared" si="137"/>
        <v>2.7016776499395229E-2</v>
      </c>
      <c r="M310" s="678">
        <f t="shared" si="138"/>
        <v>1.0161984233366597</v>
      </c>
      <c r="N310" s="679">
        <f t="shared" si="139"/>
        <v>-0.17878896114032436</v>
      </c>
      <c r="O310" s="677">
        <f t="shared" si="140"/>
        <v>162140.10994370378</v>
      </c>
      <c r="P310" s="680">
        <f t="shared" si="141"/>
        <v>1.570790159289519</v>
      </c>
      <c r="Q310" s="689">
        <f t="shared" si="163"/>
        <v>3.7566708823436334</v>
      </c>
      <c r="R310" s="690">
        <f t="shared" si="164"/>
        <v>1.3013548204605998</v>
      </c>
      <c r="S310" s="677">
        <f t="shared" si="142"/>
        <v>1.0040893187729394</v>
      </c>
      <c r="T310" s="680">
        <f t="shared" si="143"/>
        <v>9.028213321440641E-2</v>
      </c>
      <c r="U310" s="681">
        <f t="shared" si="155"/>
        <v>0.89973275410572917</v>
      </c>
      <c r="V310" s="682">
        <f t="shared" si="156"/>
        <v>-0.56312057105699509</v>
      </c>
      <c r="W310" s="683">
        <f t="shared" si="144"/>
        <v>-7.0683214548149786</v>
      </c>
      <c r="X310" s="684">
        <f t="shared" si="145"/>
        <v>-143.82693827523082</v>
      </c>
      <c r="Y310" s="687">
        <f t="shared" si="146"/>
        <v>36.173061724769184</v>
      </c>
      <c r="AA310" s="170">
        <f t="shared" si="147"/>
        <v>21504.5</v>
      </c>
      <c r="AB310" s="170">
        <f t="shared" si="148"/>
        <v>462443520.25</v>
      </c>
      <c r="AD310" s="686">
        <f t="shared" si="149"/>
        <v>12.368256868501884</v>
      </c>
      <c r="AE310" s="687">
        <f t="shared" si="150"/>
        <v>-20.61029298874843</v>
      </c>
      <c r="AG310" s="686">
        <f t="shared" si="151"/>
        <v>24.36021224338273</v>
      </c>
      <c r="AH310" s="687">
        <f t="shared" si="152"/>
        <v>-58.68778105562221</v>
      </c>
      <c r="AJ310" s="170">
        <f t="shared" si="153"/>
        <v>0</v>
      </c>
      <c r="AK310" s="170">
        <f t="shared" si="165"/>
        <v>0</v>
      </c>
      <c r="AM310" s="170" t="str">
        <f t="shared" si="157"/>
        <v>0.337959272644547+0.74946786143414i</v>
      </c>
      <c r="AN310" s="170" t="str">
        <f t="shared" si="158"/>
        <v>0.84725792762576i</v>
      </c>
      <c r="AO310" s="170" t="str">
        <f t="shared" si="159"/>
        <v>0.884580523825072-0.398885937357468i</v>
      </c>
      <c r="AP310" s="170" t="str">
        <f t="shared" si="160"/>
        <v>0.110340121225909-0.124911310239023i</v>
      </c>
      <c r="AQ310" s="170" t="str">
        <f t="shared" si="161"/>
        <v>0.889659878774091+0.124911310239023i</v>
      </c>
      <c r="AR310" s="170" t="str">
        <f t="shared" si="162"/>
        <v>0.91821204573437-0.128920132790498i</v>
      </c>
    </row>
    <row r="311" spans="7:44">
      <c r="G311" s="688">
        <v>21629</v>
      </c>
      <c r="H311" s="676">
        <f t="shared" si="154"/>
        <v>21.629000000000001</v>
      </c>
      <c r="I311" s="677">
        <f t="shared" si="134"/>
        <v>7.463788549902473</v>
      </c>
      <c r="J311" s="678">
        <f t="shared" si="135"/>
        <v>1.4364119984051129</v>
      </c>
      <c r="K311" s="678">
        <f t="shared" si="136"/>
        <v>1.0003693026525395</v>
      </c>
      <c r="L311" s="679">
        <f t="shared" si="137"/>
        <v>2.717311298460352E-2</v>
      </c>
      <c r="M311" s="678">
        <f t="shared" si="138"/>
        <v>1.0163850110259971</v>
      </c>
      <c r="N311" s="679">
        <f t="shared" si="139"/>
        <v>-0.17980195384052564</v>
      </c>
      <c r="O311" s="677">
        <f t="shared" si="140"/>
        <v>163078.81782750602</v>
      </c>
      <c r="P311" s="680">
        <f t="shared" si="141"/>
        <v>1.5707901947906711</v>
      </c>
      <c r="Q311" s="689">
        <f t="shared" si="163"/>
        <v>3.7768830769788471</v>
      </c>
      <c r="R311" s="690">
        <f t="shared" si="164"/>
        <v>1.3028323884789388</v>
      </c>
      <c r="S311" s="677">
        <f t="shared" si="142"/>
        <v>1.0041367081282959</v>
      </c>
      <c r="T311" s="680">
        <f t="shared" si="143"/>
        <v>9.0801960235193893E-2</v>
      </c>
      <c r="U311" s="681">
        <f t="shared" si="155"/>
        <v>0.89873298228989673</v>
      </c>
      <c r="V311" s="682">
        <f t="shared" si="156"/>
        <v>-0.56607269920830394</v>
      </c>
      <c r="W311" s="683">
        <f t="shared" si="144"/>
        <v>-7.1295275243192027</v>
      </c>
      <c r="X311" s="684">
        <f t="shared" si="145"/>
        <v>-144.03433077261869</v>
      </c>
      <c r="Y311" s="687">
        <f t="shared" si="146"/>
        <v>35.965669227381312</v>
      </c>
      <c r="AA311" s="170">
        <f t="shared" si="147"/>
        <v>21629</v>
      </c>
      <c r="AB311" s="170">
        <f t="shared" si="148"/>
        <v>467813641</v>
      </c>
      <c r="AD311" s="686">
        <f t="shared" si="149"/>
        <v>12.36431294133302</v>
      </c>
      <c r="AE311" s="687">
        <f t="shared" si="150"/>
        <v>-20.555420505725561</v>
      </c>
      <c r="AG311" s="686">
        <f t="shared" si="151"/>
        <v>24.322264138283344</v>
      </c>
      <c r="AH311" s="687">
        <f t="shared" si="152"/>
        <v>-58.611757068342889</v>
      </c>
      <c r="AJ311" s="170">
        <f t="shared" si="153"/>
        <v>0</v>
      </c>
      <c r="AK311" s="170">
        <f t="shared" si="165"/>
        <v>0</v>
      </c>
      <c r="AM311" s="170" t="str">
        <f t="shared" si="157"/>
        <v>0.341643503166692+0.752706266133991i</v>
      </c>
      <c r="AN311" s="170" t="str">
        <f t="shared" si="158"/>
        <v>0.852163115469672i</v>
      </c>
      <c r="AO311" s="170" t="str">
        <f t="shared" si="159"/>
        <v>0.883288953100411-0.400913272312184i</v>
      </c>
      <c r="AP311" s="170" t="str">
        <f t="shared" si="160"/>
        <v>0.109726082805551-0.125451044355665i</v>
      </c>
      <c r="AQ311" s="170" t="str">
        <f t="shared" si="161"/>
        <v>0.890273917194449+0.125451044355665i</v>
      </c>
      <c r="AR311" s="170" t="str">
        <f t="shared" si="162"/>
        <v>0.917449802233978-0.129280476054891i</v>
      </c>
    </row>
    <row r="312" spans="7:44">
      <c r="G312" s="688">
        <v>21753.5</v>
      </c>
      <c r="H312" s="676">
        <f t="shared" si="154"/>
        <v>21.753499999999999</v>
      </c>
      <c r="I312" s="677">
        <f t="shared" si="134"/>
        <v>7.5059822721613561</v>
      </c>
      <c r="J312" s="678">
        <f t="shared" si="135"/>
        <v>1.4371719607320623</v>
      </c>
      <c r="K312" s="678">
        <f t="shared" si="136"/>
        <v>1.0003735656235215</v>
      </c>
      <c r="L312" s="679">
        <f t="shared" si="137"/>
        <v>2.732944814121473E-2</v>
      </c>
      <c r="M312" s="678">
        <f t="shared" si="138"/>
        <v>1.0165726412996041</v>
      </c>
      <c r="N312" s="679">
        <f t="shared" si="139"/>
        <v>-0.18081457364047468</v>
      </c>
      <c r="O312" s="677">
        <f t="shared" si="140"/>
        <v>164017.5257113085</v>
      </c>
      <c r="P312" s="680">
        <f t="shared" si="141"/>
        <v>1.5707902298854617</v>
      </c>
      <c r="Q312" s="689">
        <f t="shared" si="163"/>
        <v>3.7971034295372919</v>
      </c>
      <c r="R312" s="690">
        <f t="shared" si="164"/>
        <v>1.3042942229565602</v>
      </c>
      <c r="S312" s="677">
        <f t="shared" si="142"/>
        <v>1.0041843687959533</v>
      </c>
      <c r="T312" s="680">
        <f t="shared" si="143"/>
        <v>9.1321738052293003E-2</v>
      </c>
      <c r="U312" s="681">
        <f t="shared" si="155"/>
        <v>0.89773056252912653</v>
      </c>
      <c r="V312" s="682">
        <f t="shared" si="156"/>
        <v>-0.56902033601224122</v>
      </c>
      <c r="W312" s="683">
        <f t="shared" si="144"/>
        <v>-7.1904332790238072</v>
      </c>
      <c r="X312" s="684">
        <f t="shared" si="145"/>
        <v>-144.24184819138037</v>
      </c>
      <c r="Y312" s="687">
        <f t="shared" si="146"/>
        <v>35.75815180861963</v>
      </c>
      <c r="AA312" s="170">
        <f t="shared" si="147"/>
        <v>21753.5</v>
      </c>
      <c r="AB312" s="170">
        <f t="shared" si="148"/>
        <v>473214762.25</v>
      </c>
      <c r="AD312" s="686">
        <f t="shared" si="149"/>
        <v>12.360424385838094</v>
      </c>
      <c r="AE312" s="687">
        <f t="shared" si="150"/>
        <v>-20.501446645737158</v>
      </c>
      <c r="AG312" s="686">
        <f t="shared" si="151"/>
        <v>24.284633713365494</v>
      </c>
      <c r="AH312" s="687">
        <f t="shared" si="152"/>
        <v>-58.535474049900955</v>
      </c>
      <c r="AJ312" s="170">
        <f t="shared" si="153"/>
        <v>0</v>
      </c>
      <c r="AK312" s="170">
        <f t="shared" si="165"/>
        <v>0</v>
      </c>
      <c r="AM312" s="170" t="str">
        <f t="shared" si="157"/>
        <v>0.3453435742857+0.755926560104206i</v>
      </c>
      <c r="AN312" s="170" t="str">
        <f t="shared" si="158"/>
        <v>0.857068303313584i</v>
      </c>
      <c r="AO312" s="170" t="str">
        <f t="shared" si="159"/>
        <v>0.881991035232145-0.402935883815255i</v>
      </c>
      <c r="AP312" s="170" t="str">
        <f t="shared" si="160"/>
        <v>0.109109404285717-0.125987760017368i</v>
      </c>
      <c r="AQ312" s="170" t="str">
        <f t="shared" si="161"/>
        <v>0.890890595714283+0.125987760017368i</v>
      </c>
      <c r="AR312" s="170" t="str">
        <f t="shared" si="162"/>
        <v>0.916686608953924-0.129635774645736i</v>
      </c>
    </row>
    <row r="313" spans="7:44">
      <c r="G313" s="688">
        <v>21878</v>
      </c>
      <c r="H313" s="676">
        <f t="shared" si="154"/>
        <v>21.878</v>
      </c>
      <c r="I313" s="677">
        <f t="shared" si="134"/>
        <v>7.548180280979456</v>
      </c>
      <c r="J313" s="678">
        <f t="shared" si="135"/>
        <v>1.4379234263689387</v>
      </c>
      <c r="K313" s="678">
        <f t="shared" si="136"/>
        <v>1.0003778530441063</v>
      </c>
      <c r="L313" s="679">
        <f t="shared" si="137"/>
        <v>2.7485781961604019E-2</v>
      </c>
      <c r="M313" s="678">
        <f t="shared" si="138"/>
        <v>1.0167613135802942</v>
      </c>
      <c r="N313" s="679">
        <f t="shared" si="139"/>
        <v>-0.18182681867051231</v>
      </c>
      <c r="O313" s="677">
        <f t="shared" si="140"/>
        <v>164956.23359511115</v>
      </c>
      <c r="P313" s="680">
        <f t="shared" si="141"/>
        <v>1.570790264580828</v>
      </c>
      <c r="Q313" s="689">
        <f t="shared" si="163"/>
        <v>3.8173318103817575</v>
      </c>
      <c r="R313" s="690">
        <f t="shared" si="164"/>
        <v>1.3057405677158509</v>
      </c>
      <c r="S313" s="677">
        <f t="shared" si="142"/>
        <v>1.0042323007372822</v>
      </c>
      <c r="T313" s="680">
        <f t="shared" si="143"/>
        <v>9.1841466391873766E-2</v>
      </c>
      <c r="U313" s="681">
        <f t="shared" si="155"/>
        <v>0.89672553198567384</v>
      </c>
      <c r="V313" s="682">
        <f t="shared" si="156"/>
        <v>-0.57196347598654218</v>
      </c>
      <c r="W313" s="683">
        <f t="shared" si="144"/>
        <v>-7.2510426554190897</v>
      </c>
      <c r="X313" s="684">
        <f t="shared" si="145"/>
        <v>-144.44948437787539</v>
      </c>
      <c r="Y313" s="687">
        <f t="shared" si="146"/>
        <v>35.550515622124607</v>
      </c>
      <c r="AA313" s="170">
        <f t="shared" si="147"/>
        <v>21878</v>
      </c>
      <c r="AB313" s="170">
        <f t="shared" si="148"/>
        <v>478646884</v>
      </c>
      <c r="AD313" s="686">
        <f t="shared" si="149"/>
        <v>12.356589967598484</v>
      </c>
      <c r="AE313" s="687">
        <f t="shared" si="150"/>
        <v>-20.448357423497654</v>
      </c>
      <c r="AG313" s="686">
        <f t="shared" si="151"/>
        <v>24.24731776637822</v>
      </c>
      <c r="AH313" s="687">
        <f t="shared" si="152"/>
        <v>-58.458940460162729</v>
      </c>
      <c r="AJ313" s="170">
        <f t="shared" si="153"/>
        <v>0</v>
      </c>
      <c r="AK313" s="170">
        <f t="shared" si="165"/>
        <v>0</v>
      </c>
      <c r="AM313" s="170" t="str">
        <f t="shared" si="157"/>
        <v>0.349059396974828+0.759128665861872i</v>
      </c>
      <c r="AN313" s="170" t="str">
        <f t="shared" si="158"/>
        <v>0.861973491157496i</v>
      </c>
      <c r="AO313" s="170" t="str">
        <f t="shared" si="159"/>
        <v>0.880686788688224-0.404953749222723i</v>
      </c>
      <c r="AP313" s="170" t="str">
        <f t="shared" si="160"/>
        <v>0.108490100504195-0.126521444310312i</v>
      </c>
      <c r="AQ313" s="170" t="str">
        <f t="shared" si="161"/>
        <v>0.891509899495805+0.126521444310312i</v>
      </c>
      <c r="AR313" s="170" t="str">
        <f t="shared" si="162"/>
        <v>0.915922503418173-0.129986036132994i</v>
      </c>
    </row>
    <row r="314" spans="7:44">
      <c r="G314" s="688">
        <v>22005.25</v>
      </c>
      <c r="H314" s="676">
        <f t="shared" si="154"/>
        <v>22.00525</v>
      </c>
      <c r="I314" s="677">
        <f t="shared" si="134"/>
        <v>7.5913147295459824</v>
      </c>
      <c r="J314" s="678">
        <f t="shared" si="135"/>
        <v>1.438682856988311</v>
      </c>
      <c r="K314" s="678">
        <f t="shared" si="136"/>
        <v>1.0003822604320691</v>
      </c>
      <c r="L314" s="679">
        <f t="shared" si="137"/>
        <v>2.7645567549911335E-2</v>
      </c>
      <c r="M314" s="678">
        <f t="shared" si="138"/>
        <v>1.0169552295028608</v>
      </c>
      <c r="N314" s="679">
        <f t="shared" si="139"/>
        <v>-0.1828610333064804</v>
      </c>
      <c r="O314" s="677">
        <f t="shared" si="140"/>
        <v>165915.67599040363</v>
      </c>
      <c r="P314" s="680">
        <f t="shared" si="141"/>
        <v>1.5707902996368597</v>
      </c>
      <c r="Q314" s="689">
        <f t="shared" si="163"/>
        <v>3.8380151669502989</v>
      </c>
      <c r="R314" s="690">
        <f t="shared" si="164"/>
        <v>1.3072031018460792</v>
      </c>
      <c r="S314" s="677">
        <f t="shared" si="142"/>
        <v>1.0042815717036671</v>
      </c>
      <c r="T314" s="680">
        <f t="shared" si="143"/>
        <v>9.2372623260908171E-2</v>
      </c>
      <c r="U314" s="681">
        <f t="shared" si="155"/>
        <v>0.89569564258824397</v>
      </c>
      <c r="V314" s="682">
        <f t="shared" si="156"/>
        <v>-0.57496697268240848</v>
      </c>
      <c r="W314" s="683">
        <f t="shared" si="144"/>
        <v>-7.3126885384947817</v>
      </c>
      <c r="X314" s="684">
        <f t="shared" si="145"/>
        <v>-144.66182334817208</v>
      </c>
      <c r="Y314" s="687">
        <f t="shared" si="146"/>
        <v>35.338176651827922</v>
      </c>
      <c r="AA314" s="170">
        <f t="shared" si="147"/>
        <v>22005.25</v>
      </c>
      <c r="AB314" s="170">
        <f t="shared" si="148"/>
        <v>484231027.5625</v>
      </c>
      <c r="AD314" s="686">
        <f t="shared" si="149"/>
        <v>12.352725546546939</v>
      </c>
      <c r="AE314" s="687">
        <f t="shared" si="150"/>
        <v>-20.394995445798465</v>
      </c>
      <c r="AG314" s="686">
        <f t="shared" si="151"/>
        <v>24.209499261178763</v>
      </c>
      <c r="AH314" s="687">
        <f t="shared" si="152"/>
        <v>-58.380466038856085</v>
      </c>
      <c r="AJ314" s="170">
        <f t="shared" si="153"/>
        <v>0</v>
      </c>
      <c r="AK314" s="170">
        <f t="shared" si="165"/>
        <v>0</v>
      </c>
      <c r="AM314" s="170" t="str">
        <f t="shared" si="157"/>
        <v>0.352873480298584+0.762382625391695i</v>
      </c>
      <c r="AN314" s="170" t="str">
        <f t="shared" si="158"/>
        <v>0.866987026524065i</v>
      </c>
      <c r="AO314" s="170" t="str">
        <f t="shared" si="159"/>
        <v>0.879347212896886-0.407011257957721i</v>
      </c>
      <c r="AP314" s="170" t="str">
        <f t="shared" si="160"/>
        <v>0.107854419950236-0.127063770898616i</v>
      </c>
      <c r="AQ314" s="170" t="str">
        <f t="shared" si="161"/>
        <v>0.892145580049764+0.127063770898616i</v>
      </c>
      <c r="AR314" s="170" t="str">
        <f t="shared" si="162"/>
        <v>0.915140616169875-0.130338837285436i</v>
      </c>
    </row>
    <row r="315" spans="7:44">
      <c r="G315" s="688">
        <v>22132.5</v>
      </c>
      <c r="H315" s="676">
        <f t="shared" si="154"/>
        <v>22.1325</v>
      </c>
      <c r="I315" s="677">
        <f t="shared" si="134"/>
        <v>7.6344535068137835</v>
      </c>
      <c r="J315" s="678">
        <f t="shared" si="135"/>
        <v>1.4394337056519932</v>
      </c>
      <c r="K315" s="678">
        <f t="shared" si="136"/>
        <v>1.0003866933610006</v>
      </c>
      <c r="L315" s="679">
        <f t="shared" si="137"/>
        <v>2.7805351726209421E-2</v>
      </c>
      <c r="M315" s="678">
        <f t="shared" si="138"/>
        <v>1.0171502327452284</v>
      </c>
      <c r="N315" s="679">
        <f t="shared" si="139"/>
        <v>-0.18389485249837056</v>
      </c>
      <c r="O315" s="677">
        <f t="shared" si="140"/>
        <v>166875.11838569626</v>
      </c>
      <c r="P315" s="680">
        <f t="shared" si="141"/>
        <v>1.5707903342897844</v>
      </c>
      <c r="Q315" s="689">
        <f t="shared" si="163"/>
        <v>3.8587066450372696</v>
      </c>
      <c r="R315" s="690">
        <f t="shared" si="164"/>
        <v>1.3086499539989411</v>
      </c>
      <c r="S315" s="677">
        <f t="shared" si="142"/>
        <v>1.0043311259777743</v>
      </c>
      <c r="T315" s="680">
        <f t="shared" si="143"/>
        <v>9.2903727864600091E-2</v>
      </c>
      <c r="U315" s="681">
        <f t="shared" si="155"/>
        <v>0.89466310384570724</v>
      </c>
      <c r="V315" s="682">
        <f t="shared" si="156"/>
        <v>-0.57796576082133477</v>
      </c>
      <c r="W315" s="683">
        <f t="shared" si="144"/>
        <v>-7.3740328725716155</v>
      </c>
      <c r="X315" s="684">
        <f t="shared" si="145"/>
        <v>-144.87427374525078</v>
      </c>
      <c r="Y315" s="687">
        <f t="shared" si="146"/>
        <v>35.125726254749225</v>
      </c>
      <c r="AA315" s="170">
        <f t="shared" si="147"/>
        <v>22132.5</v>
      </c>
      <c r="AB315" s="170">
        <f t="shared" si="148"/>
        <v>489847556.25</v>
      </c>
      <c r="AD315" s="686">
        <f t="shared" si="149"/>
        <v>12.348915175950548</v>
      </c>
      <c r="AE315" s="687">
        <f t="shared" si="150"/>
        <v>-20.342528961537965</v>
      </c>
      <c r="AG315" s="686">
        <f t="shared" si="151"/>
        <v>24.172002664124236</v>
      </c>
      <c r="AH315" s="687">
        <f t="shared" si="152"/>
        <v>-58.301747111773864</v>
      </c>
      <c r="AJ315" s="170">
        <f t="shared" si="153"/>
        <v>0</v>
      </c>
      <c r="AK315" s="170">
        <f t="shared" si="165"/>
        <v>0</v>
      </c>
      <c r="AM315" s="170" t="str">
        <f t="shared" si="157"/>
        <v>0.356703829460766+0.765617422065065i</v>
      </c>
      <c r="AN315" s="170" t="str">
        <f t="shared" si="158"/>
        <v>0.872000561890633i</v>
      </c>
      <c r="AO315" s="170" t="str">
        <f t="shared" si="159"/>
        <v>0.878001065051021-0.409063761022558i</v>
      </c>
      <c r="AP315" s="170" t="str">
        <f t="shared" si="160"/>
        <v>0.107216028423206-0.127602903677511i</v>
      </c>
      <c r="AQ315" s="170" t="str">
        <f t="shared" si="161"/>
        <v>0.892783971576794+0.127602903677511i</v>
      </c>
      <c r="AR315" s="170" t="str">
        <f t="shared" si="162"/>
        <v>0.914357854458087-0.130686393286301i</v>
      </c>
    </row>
    <row r="316" spans="7:44">
      <c r="G316" s="688">
        <v>22259.75</v>
      </c>
      <c r="H316" s="676">
        <f t="shared" si="154"/>
        <v>22.25975</v>
      </c>
      <c r="I316" s="677">
        <f t="shared" si="134"/>
        <v>7.6775965398167134</v>
      </c>
      <c r="J316" s="678">
        <f t="shared" si="135"/>
        <v>1.4401761161809576</v>
      </c>
      <c r="K316" s="678">
        <f t="shared" si="136"/>
        <v>1.0003911518305608</v>
      </c>
      <c r="L316" s="679">
        <f t="shared" si="137"/>
        <v>2.7965134482358205E-2</v>
      </c>
      <c r="M316" s="678">
        <f t="shared" si="138"/>
        <v>1.0173463226821506</v>
      </c>
      <c r="N316" s="679">
        <f t="shared" si="139"/>
        <v>-0.18492827426436007</v>
      </c>
      <c r="O316" s="677">
        <f t="shared" si="140"/>
        <v>167834.56078098915</v>
      </c>
      <c r="P316" s="680">
        <f t="shared" si="141"/>
        <v>1.5707903685465159</v>
      </c>
      <c r="Q316" s="689">
        <f t="shared" si="163"/>
        <v>3.8794061146901355</v>
      </c>
      <c r="R316" s="690">
        <f t="shared" si="164"/>
        <v>1.3100813690923157</v>
      </c>
      <c r="S316" s="677">
        <f t="shared" si="142"/>
        <v>1.0043809635176706</v>
      </c>
      <c r="T316" s="680">
        <f t="shared" si="143"/>
        <v>9.3434779911088256E-2</v>
      </c>
      <c r="U316" s="681">
        <f t="shared" si="155"/>
        <v>0.89362795497214931</v>
      </c>
      <c r="V316" s="682">
        <f t="shared" si="156"/>
        <v>-0.5809598352586941</v>
      </c>
      <c r="W316" s="683">
        <f t="shared" si="144"/>
        <v>-7.4350796131914354</v>
      </c>
      <c r="X316" s="684">
        <f t="shared" si="145"/>
        <v>-145.08682935250997</v>
      </c>
      <c r="Y316" s="687">
        <f t="shared" si="146"/>
        <v>34.913170647490034</v>
      </c>
      <c r="AA316" s="170">
        <f t="shared" si="147"/>
        <v>22259.75</v>
      </c>
      <c r="AB316" s="170">
        <f t="shared" si="148"/>
        <v>495496470.0625</v>
      </c>
      <c r="AD316" s="686">
        <f t="shared" si="149"/>
        <v>12.345157639751164</v>
      </c>
      <c r="AE316" s="687">
        <f t="shared" si="150"/>
        <v>-20.290943921629019</v>
      </c>
      <c r="AG316" s="686">
        <f t="shared" si="151"/>
        <v>24.134824704648111</v>
      </c>
      <c r="AH316" s="687">
        <f t="shared" si="152"/>
        <v>-58.222792100932544</v>
      </c>
      <c r="AJ316" s="170">
        <f t="shared" si="153"/>
        <v>0</v>
      </c>
      <c r="AK316" s="170">
        <f t="shared" si="165"/>
        <v>0</v>
      </c>
      <c r="AM316" s="170" t="str">
        <f t="shared" si="157"/>
        <v>0.360550348183693+0.768832974573804i</v>
      </c>
      <c r="AN316" s="170" t="str">
        <f t="shared" si="158"/>
        <v>0.877014097257202i</v>
      </c>
      <c r="AO316" s="170" t="str">
        <f t="shared" si="159"/>
        <v>0.876648365149743-0.411111234484472i</v>
      </c>
      <c r="AP316" s="170" t="str">
        <f t="shared" si="160"/>
        <v>0.106574941969384-0.128138829095634i</v>
      </c>
      <c r="AQ316" s="170" t="str">
        <f t="shared" si="161"/>
        <v>0.893425058030616+0.128138829095634i</v>
      </c>
      <c r="AR316" s="170" t="str">
        <f t="shared" si="162"/>
        <v>0.913574257606479-0.13102871316331i</v>
      </c>
    </row>
    <row r="317" spans="7:44">
      <c r="G317" s="688">
        <v>22387</v>
      </c>
      <c r="H317" s="676">
        <f t="shared" si="154"/>
        <v>22.387</v>
      </c>
      <c r="I317" s="677">
        <f t="shared" si="134"/>
        <v>7.7207437572124258</v>
      </c>
      <c r="J317" s="678">
        <f t="shared" si="135"/>
        <v>1.4409102292188991</v>
      </c>
      <c r="K317" s="678">
        <f t="shared" si="136"/>
        <v>1.0003956358404087</v>
      </c>
      <c r="L317" s="679">
        <f t="shared" si="137"/>
        <v>2.8124915810218053E-2</v>
      </c>
      <c r="M317" s="678">
        <f t="shared" si="138"/>
        <v>1.0175434986853793</v>
      </c>
      <c r="N317" s="679">
        <f t="shared" si="139"/>
        <v>-0.18596129662754521</v>
      </c>
      <c r="O317" s="677">
        <f t="shared" si="140"/>
        <v>168794.00317628222</v>
      </c>
      <c r="P317" s="680">
        <f t="shared" si="141"/>
        <v>1.5707904024138097</v>
      </c>
      <c r="Q317" s="689">
        <f t="shared" si="163"/>
        <v>3.9001134486655422</v>
      </c>
      <c r="R317" s="690">
        <f t="shared" si="164"/>
        <v>1.3114975870986567</v>
      </c>
      <c r="S317" s="677">
        <f t="shared" si="142"/>
        <v>1.0044310842811908</v>
      </c>
      <c r="T317" s="680">
        <f t="shared" si="143"/>
        <v>9.3965779108687739E-2</v>
      </c>
      <c r="U317" s="681">
        <f t="shared" si="155"/>
        <v>0.89259023501994561</v>
      </c>
      <c r="V317" s="682">
        <f t="shared" si="156"/>
        <v>-0.58394919108577681</v>
      </c>
      <c r="W317" s="683">
        <f t="shared" si="144"/>
        <v>-7.4958326366447645</v>
      </c>
      <c r="X317" s="684">
        <f t="shared" si="145"/>
        <v>-145.29948406845548</v>
      </c>
      <c r="Y317" s="687">
        <f t="shared" si="146"/>
        <v>34.700515931544516</v>
      </c>
      <c r="AA317" s="170">
        <f t="shared" si="147"/>
        <v>22387</v>
      </c>
      <c r="AB317" s="170">
        <f t="shared" si="148"/>
        <v>501177769</v>
      </c>
      <c r="AD317" s="686">
        <f t="shared" si="149"/>
        <v>12.34145175413043</v>
      </c>
      <c r="AE317" s="687">
        <f t="shared" si="150"/>
        <v>-20.240226560337575</v>
      </c>
      <c r="AG317" s="686">
        <f t="shared" si="151"/>
        <v>24.097962160264675</v>
      </c>
      <c r="AH317" s="687">
        <f t="shared" si="152"/>
        <v>-58.14360923306873</v>
      </c>
      <c r="AJ317" s="170">
        <f t="shared" si="153"/>
        <v>0</v>
      </c>
      <c r="AK317" s="170">
        <f t="shared" si="165"/>
        <v>0</v>
      </c>
      <c r="AM317" s="170" t="str">
        <f t="shared" si="157"/>
        <v>0.364412939783254+0.77202920209344i</v>
      </c>
      <c r="AN317" s="170" t="str">
        <f t="shared" si="158"/>
        <v>0.882027632623771i</v>
      </c>
      <c r="AO317" s="170" t="str">
        <f t="shared" si="159"/>
        <v>0.875289133285861-0.413153654494059i</v>
      </c>
      <c r="AP317" s="170" t="str">
        <f t="shared" si="160"/>
        <v>0.105931176702791-0.12867153368224i</v>
      </c>
      <c r="AQ317" s="170" t="str">
        <f t="shared" si="161"/>
        <v>0.894068823297209+0.12867153368224i</v>
      </c>
      <c r="AR317" s="170" t="str">
        <f t="shared" si="162"/>
        <v>0.912789864684355-0.131365806253483i</v>
      </c>
    </row>
    <row r="318" spans="7:44">
      <c r="G318" s="688">
        <v>22517.5</v>
      </c>
      <c r="H318" s="676">
        <f t="shared" si="154"/>
        <v>22.517499999999998</v>
      </c>
      <c r="I318" s="677">
        <f t="shared" si="134"/>
        <v>7.7649972394061502</v>
      </c>
      <c r="J318" s="678">
        <f t="shared" si="135"/>
        <v>1.4416546176919924</v>
      </c>
      <c r="K318" s="678">
        <f t="shared" si="136"/>
        <v>1.0004002608998179</v>
      </c>
      <c r="L318" s="679">
        <f t="shared" si="137"/>
        <v>2.82887765051404E-2</v>
      </c>
      <c r="M318" s="678">
        <f t="shared" si="138"/>
        <v>1.0177468379849119</v>
      </c>
      <c r="N318" s="679">
        <f t="shared" si="139"/>
        <v>-0.18702028576610105</v>
      </c>
      <c r="O318" s="677">
        <f t="shared" si="140"/>
        <v>169777.94999424505</v>
      </c>
      <c r="P318" s="680">
        <f t="shared" si="141"/>
        <v>1.5707904367485153</v>
      </c>
      <c r="Q318" s="689">
        <f t="shared" si="163"/>
        <v>3.921357691317326</v>
      </c>
      <c r="R318" s="690">
        <f t="shared" si="164"/>
        <v>1.3129344377328283</v>
      </c>
      <c r="S318" s="677">
        <f t="shared" si="142"/>
        <v>1.0044827792647983</v>
      </c>
      <c r="T318" s="680">
        <f t="shared" si="143"/>
        <v>9.4510284975709541E-2</v>
      </c>
      <c r="U318" s="681">
        <f t="shared" si="155"/>
        <v>0.89152338173202361</v>
      </c>
      <c r="V318" s="682">
        <f t="shared" si="156"/>
        <v>-0.58700999006701404</v>
      </c>
      <c r="W318" s="683">
        <f t="shared" si="144"/>
        <v>-7.5578362225509359</v>
      </c>
      <c r="X318" s="684">
        <f t="shared" si="145"/>
        <v>-145.5176667102418</v>
      </c>
      <c r="Y318" s="687">
        <f t="shared" si="146"/>
        <v>34.482333289758202</v>
      </c>
      <c r="AA318" s="170">
        <f t="shared" si="147"/>
        <v>22517.5</v>
      </c>
      <c r="AB318" s="170">
        <f t="shared" si="148"/>
        <v>507037806.25</v>
      </c>
      <c r="AD318" s="686">
        <f t="shared" si="149"/>
        <v>12.337703658244424</v>
      </c>
      <c r="AE318" s="687">
        <f t="shared" si="150"/>
        <v>-20.189100938484618</v>
      </c>
      <c r="AG318" s="686">
        <f t="shared" si="151"/>
        <v>24.060482412184669</v>
      </c>
      <c r="AH318" s="687">
        <f t="shared" si="152"/>
        <v>-58.0621757691816</v>
      </c>
      <c r="AJ318" s="170">
        <f t="shared" si="153"/>
        <v>0</v>
      </c>
      <c r="AK318" s="170">
        <f t="shared" si="165"/>
        <v>0</v>
      </c>
      <c r="AM318" s="170" t="str">
        <f t="shared" si="157"/>
        <v>0.368390775211615+0.775286906352877i</v>
      </c>
      <c r="AN318" s="170" t="str">
        <f t="shared" si="158"/>
        <v>0.88716921506257i</v>
      </c>
      <c r="AO318" s="170" t="str">
        <f t="shared" si="159"/>
        <v>0.87388842307631-0.415242964878615i</v>
      </c>
      <c r="AP318" s="170" t="str">
        <f t="shared" si="160"/>
        <v>0.105268204131397-0.129214484392146i</v>
      </c>
      <c r="AQ318" s="170" t="str">
        <f t="shared" si="161"/>
        <v>0.894731795868603+0.129214484392146i</v>
      </c>
      <c r="AR318" s="170" t="str">
        <f t="shared" si="162"/>
        <v>0.911984651977266-0.131706090163469i</v>
      </c>
    </row>
    <row r="319" spans="7:44">
      <c r="G319" s="688">
        <v>22648</v>
      </c>
      <c r="H319" s="676">
        <f t="shared" si="154"/>
        <v>22.648</v>
      </c>
      <c r="I319" s="677">
        <f t="shared" si="134"/>
        <v>7.8092549755286953</v>
      </c>
      <c r="J319" s="678">
        <f t="shared" si="135"/>
        <v>1.4423905691576087</v>
      </c>
      <c r="K319" s="678">
        <f t="shared" si="136"/>
        <v>1.0004049128200527</v>
      </c>
      <c r="L319" s="679">
        <f t="shared" si="137"/>
        <v>2.8452635680545679E-2</v>
      </c>
      <c r="M319" s="678">
        <f t="shared" si="138"/>
        <v>1.0179513181880457</v>
      </c>
      <c r="N319" s="679">
        <f t="shared" si="139"/>
        <v>-0.18807885064410787</v>
      </c>
      <c r="O319" s="677">
        <f t="shared" si="140"/>
        <v>170761.89681220808</v>
      </c>
      <c r="P319" s="680">
        <f t="shared" si="141"/>
        <v>1.5707904706875409</v>
      </c>
      <c r="Q319" s="689">
        <f t="shared" si="163"/>
        <v>3.9426099425119041</v>
      </c>
      <c r="R319" s="690">
        <f t="shared" si="164"/>
        <v>1.3143558008710599</v>
      </c>
      <c r="S319" s="677">
        <f t="shared" si="142"/>
        <v>1.0045347720334254</v>
      </c>
      <c r="T319" s="680">
        <f t="shared" si="143"/>
        <v>9.5054734639007418E-2</v>
      </c>
      <c r="U319" s="681">
        <f t="shared" si="155"/>
        <v>0.89045390701853588</v>
      </c>
      <c r="V319" s="682">
        <f t="shared" si="156"/>
        <v>-0.59006581662828073</v>
      </c>
      <c r="W319" s="683">
        <f t="shared" si="144"/>
        <v>-7.6195389070981809</v>
      </c>
      <c r="X319" s="684">
        <f t="shared" si="145"/>
        <v>-145.73594095239852</v>
      </c>
      <c r="Y319" s="687">
        <f t="shared" si="146"/>
        <v>34.264059047601478</v>
      </c>
      <c r="AA319" s="170">
        <f t="shared" si="147"/>
        <v>22648</v>
      </c>
      <c r="AB319" s="170">
        <f t="shared" si="148"/>
        <v>512931904</v>
      </c>
      <c r="AD319" s="686">
        <f t="shared" si="149"/>
        <v>12.334007462760223</v>
      </c>
      <c r="AE319" s="687">
        <f t="shared" si="150"/>
        <v>-20.138859441878278</v>
      </c>
      <c r="AG319" s="686">
        <f t="shared" si="151"/>
        <v>24.023327682582352</v>
      </c>
      <c r="AH319" s="687">
        <f t="shared" si="152"/>
        <v>-57.980519577775368</v>
      </c>
      <c r="AJ319" s="170">
        <f t="shared" si="153"/>
        <v>0</v>
      </c>
      <c r="AK319" s="170">
        <f t="shared" si="165"/>
        <v>0</v>
      </c>
      <c r="AM319" s="170" t="str">
        <f t="shared" si="157"/>
        <v>0.372385307742535+0.778524115273617i</v>
      </c>
      <c r="AN319" s="170" t="str">
        <f t="shared" si="158"/>
        <v>0.89231079750137i</v>
      </c>
      <c r="AO319" s="170" t="str">
        <f t="shared" si="159"/>
        <v>0.872480886092182-0.417326909844956i</v>
      </c>
      <c r="AP319" s="170" t="str">
        <f t="shared" si="160"/>
        <v>0.104602448709578-0.12975401921227i</v>
      </c>
      <c r="AQ319" s="170" t="str">
        <f t="shared" si="161"/>
        <v>0.895397551290422+0.12975401921227i</v>
      </c>
      <c r="AR319" s="170" t="str">
        <f t="shared" si="162"/>
        <v>0.911178684417388-0.13204089775912i</v>
      </c>
    </row>
    <row r="320" spans="7:44">
      <c r="G320" s="688">
        <v>22778.5</v>
      </c>
      <c r="H320" s="676">
        <f t="shared" si="154"/>
        <v>22.778500000000001</v>
      </c>
      <c r="I320" s="677">
        <f t="shared" si="134"/>
        <v>7.8535168936622455</v>
      </c>
      <c r="J320" s="678">
        <f t="shared" si="135"/>
        <v>1.4431182254630146</v>
      </c>
      <c r="K320" s="678">
        <f t="shared" si="136"/>
        <v>1.0004095916007387</v>
      </c>
      <c r="L320" s="679">
        <f t="shared" si="137"/>
        <v>2.8616493327655958E-2</v>
      </c>
      <c r="M320" s="678">
        <f t="shared" si="138"/>
        <v>1.0181569386073852</v>
      </c>
      <c r="N320" s="679">
        <f t="shared" si="139"/>
        <v>-0.18913698914553065</v>
      </c>
      <c r="O320" s="677">
        <f t="shared" si="140"/>
        <v>171745.84363017132</v>
      </c>
      <c r="P320" s="680">
        <f t="shared" si="141"/>
        <v>1.5707905042376873</v>
      </c>
      <c r="Q320" s="689">
        <f t="shared" si="163"/>
        <v>3.9638700734361025</v>
      </c>
      <c r="R320" s="690">
        <f t="shared" si="164"/>
        <v>1.3157619199241468</v>
      </c>
      <c r="S320" s="677">
        <f t="shared" si="142"/>
        <v>1.0045870625408364</v>
      </c>
      <c r="T320" s="680">
        <f t="shared" si="143"/>
        <v>9.5599127784555621E-2</v>
      </c>
      <c r="U320" s="681">
        <f t="shared" si="155"/>
        <v>0.88938185245587353</v>
      </c>
      <c r="V320" s="682">
        <f t="shared" si="156"/>
        <v>-0.59311666623792902</v>
      </c>
      <c r="W320" s="683">
        <f t="shared" si="144"/>
        <v>-7.6809446245263544</v>
      </c>
      <c r="X320" s="684">
        <f t="shared" si="145"/>
        <v>-145.95430057778006</v>
      </c>
      <c r="Y320" s="687">
        <f t="shared" si="146"/>
        <v>34.04569942221994</v>
      </c>
      <c r="AA320" s="170">
        <f t="shared" si="147"/>
        <v>22778.5</v>
      </c>
      <c r="AB320" s="170">
        <f t="shared" si="148"/>
        <v>518860062.25</v>
      </c>
      <c r="AD320" s="686">
        <f t="shared" si="149"/>
        <v>12.330361989954037</v>
      </c>
      <c r="AE320" s="687">
        <f t="shared" si="150"/>
        <v>-20.089488106504604</v>
      </c>
      <c r="AG320" s="686">
        <f t="shared" si="151"/>
        <v>23.986494646988096</v>
      </c>
      <c r="AH320" s="687">
        <f t="shared" si="152"/>
        <v>-57.898648925007144</v>
      </c>
      <c r="AJ320" s="170">
        <f t="shared" si="153"/>
        <v>0</v>
      </c>
      <c r="AK320" s="170">
        <f t="shared" si="165"/>
        <v>0</v>
      </c>
      <c r="AM320" s="170" t="str">
        <f t="shared" si="157"/>
        <v>0.376396431777302+0.781740743277411i</v>
      </c>
      <c r="AN320" s="170" t="str">
        <f t="shared" si="158"/>
        <v>0.897452379940169i</v>
      </c>
      <c r="AO320" s="170" t="str">
        <f t="shared" si="159"/>
        <v>0.871066544310159-0.419405463944945i</v>
      </c>
      <c r="AP320" s="170" t="str">
        <f t="shared" si="160"/>
        <v>0.103933928037116-0.130290123879569i</v>
      </c>
      <c r="AQ320" s="170" t="str">
        <f t="shared" si="161"/>
        <v>0.896066071962884+0.130290123879569i</v>
      </c>
      <c r="AR320" s="170" t="str">
        <f t="shared" si="162"/>
        <v>0.910372003297901-0.132370240094402i</v>
      </c>
    </row>
    <row r="321" spans="7:44">
      <c r="G321" s="688">
        <v>22909</v>
      </c>
      <c r="H321" s="676">
        <f t="shared" si="154"/>
        <v>22.908999999999999</v>
      </c>
      <c r="I321" s="677">
        <f t="shared" si="134"/>
        <v>7.8977829234944759</v>
      </c>
      <c r="J321" s="678">
        <f t="shared" si="135"/>
        <v>1.4438377253109254</v>
      </c>
      <c r="K321" s="678">
        <f t="shared" si="136"/>
        <v>1.0004142972414987</v>
      </c>
      <c r="L321" s="679">
        <f t="shared" si="137"/>
        <v>2.8780349437693815E-2</v>
      </c>
      <c r="M321" s="678">
        <f t="shared" si="138"/>
        <v>1.0183636985522579</v>
      </c>
      <c r="N321" s="679">
        <f t="shared" si="139"/>
        <v>-0.19019469915985793</v>
      </c>
      <c r="O321" s="677">
        <f t="shared" si="140"/>
        <v>172729.79044813474</v>
      </c>
      <c r="P321" s="680">
        <f t="shared" si="141"/>
        <v>1.5707905374056002</v>
      </c>
      <c r="Q321" s="689">
        <f t="shared" si="163"/>
        <v>3.9851379579782931</v>
      </c>
      <c r="R321" s="690">
        <f t="shared" si="164"/>
        <v>1.3171530333507662</v>
      </c>
      <c r="S321" s="677">
        <f t="shared" si="142"/>
        <v>1.0046396507405402</v>
      </c>
      <c r="T321" s="680">
        <f t="shared" si="143"/>
        <v>9.6143464098527559E-2</v>
      </c>
      <c r="U321" s="681">
        <f t="shared" si="155"/>
        <v>0.88830725943138711</v>
      </c>
      <c r="V321" s="682">
        <f t="shared" si="156"/>
        <v>-0.59616253461830637</v>
      </c>
      <c r="W321" s="683">
        <f t="shared" si="144"/>
        <v>-7.7420572299902668</v>
      </c>
      <c r="X321" s="684">
        <f t="shared" si="145"/>
        <v>-146.17273948767874</v>
      </c>
      <c r="Y321" s="687">
        <f t="shared" si="146"/>
        <v>33.82726051232126</v>
      </c>
      <c r="AA321" s="170">
        <f t="shared" si="147"/>
        <v>22909</v>
      </c>
      <c r="AB321" s="170">
        <f t="shared" si="148"/>
        <v>524822281</v>
      </c>
      <c r="AD321" s="686">
        <f t="shared" si="149"/>
        <v>12.326766093486661</v>
      </c>
      <c r="AE321" s="687">
        <f t="shared" si="150"/>
        <v>-20.040973252087618</v>
      </c>
      <c r="AG321" s="686">
        <f t="shared" si="151"/>
        <v>23.94998002995688</v>
      </c>
      <c r="AH321" s="687">
        <f t="shared" si="152"/>
        <v>-57.816571882628047</v>
      </c>
      <c r="AJ321" s="170">
        <f t="shared" si="153"/>
        <v>0</v>
      </c>
      <c r="AK321" s="170">
        <f t="shared" si="165"/>
        <v>0</v>
      </c>
      <c r="AM321" s="170" t="str">
        <f t="shared" si="157"/>
        <v>0.380424041278598+0.784936705330089i</v>
      </c>
      <c r="AN321" s="170" t="str">
        <f t="shared" si="158"/>
        <v>0.902593962378968i</v>
      </c>
      <c r="AO321" s="170" t="str">
        <f t="shared" si="159"/>
        <v>0.869645419808958-0.421478601824362i</v>
      </c>
      <c r="AP321" s="170" t="str">
        <f t="shared" si="160"/>
        <v>0.1032626597869-0.130822784221682i</v>
      </c>
      <c r="AQ321" s="170" t="str">
        <f t="shared" si="161"/>
        <v>0.8967373402131+0.130822784221682i</v>
      </c>
      <c r="AR321" s="170" t="str">
        <f t="shared" si="162"/>
        <v>0.909564649622006-0.132694128544812i</v>
      </c>
    </row>
    <row r="322" spans="7:44">
      <c r="G322" s="688">
        <v>23042.25</v>
      </c>
      <c r="H322" s="676">
        <f t="shared" si="154"/>
        <v>23.042249999999999</v>
      </c>
      <c r="I322" s="677">
        <f t="shared" si="134"/>
        <v>7.9429859335339836</v>
      </c>
      <c r="J322" s="678">
        <f t="shared" si="135"/>
        <v>1.4445641118743031</v>
      </c>
      <c r="K322" s="678">
        <f t="shared" si="136"/>
        <v>1.0004191297579401</v>
      </c>
      <c r="L322" s="679">
        <f t="shared" si="137"/>
        <v>2.8947656859145778E-2</v>
      </c>
      <c r="M322" s="678">
        <f t="shared" si="138"/>
        <v>1.0185759905844194</v>
      </c>
      <c r="N322" s="679">
        <f t="shared" si="139"/>
        <v>-0.19127425376897028</v>
      </c>
      <c r="O322" s="677">
        <f t="shared" si="140"/>
        <v>173734.47177758798</v>
      </c>
      <c r="P322" s="680">
        <f t="shared" si="141"/>
        <v>1.5707905708848013</v>
      </c>
      <c r="Q322" s="689">
        <f t="shared" si="163"/>
        <v>4.0068618884671885</v>
      </c>
      <c r="R322" s="690">
        <f t="shared" si="164"/>
        <v>1.3185582208868025</v>
      </c>
      <c r="S322" s="677">
        <f t="shared" si="142"/>
        <v>1.0046936542403271</v>
      </c>
      <c r="T322" s="680">
        <f t="shared" si="143"/>
        <v>9.6699212134631618E-2</v>
      </c>
      <c r="U322" s="681">
        <f t="shared" si="155"/>
        <v>0.88720744526684381</v>
      </c>
      <c r="V322" s="682">
        <f t="shared" si="156"/>
        <v>-0.59926744399522636</v>
      </c>
      <c r="W322" s="683">
        <f t="shared" si="144"/>
        <v>-7.8041591322106996</v>
      </c>
      <c r="X322" s="684">
        <f t="shared" si="145"/>
        <v>-146.39585710902307</v>
      </c>
      <c r="Y322" s="687">
        <f t="shared" si="146"/>
        <v>33.604142890976931</v>
      </c>
      <c r="AA322" s="170">
        <f t="shared" si="147"/>
        <v>23042.25</v>
      </c>
      <c r="AB322" s="170">
        <f t="shared" si="148"/>
        <v>530945285.0625</v>
      </c>
      <c r="AD322" s="686">
        <f t="shared" si="149"/>
        <v>12.323144416448402</v>
      </c>
      <c r="AE322" s="687">
        <f t="shared" si="150"/>
        <v>-19.992305871951125</v>
      </c>
      <c r="AG322" s="686">
        <f t="shared" si="151"/>
        <v>23.913021148759373</v>
      </c>
      <c r="AH322" s="687">
        <f t="shared" si="152"/>
        <v>-57.732560477566111</v>
      </c>
      <c r="AJ322" s="170">
        <f t="shared" si="153"/>
        <v>0</v>
      </c>
      <c r="AK322" s="170">
        <f t="shared" si="165"/>
        <v>0</v>
      </c>
      <c r="AM322" s="170" t="str">
        <f t="shared" si="157"/>
        <v>0.384553423359828+0.788178603681864i</v>
      </c>
      <c r="AN322" s="170" t="str">
        <f t="shared" si="158"/>
        <v>0.907843892340425i</v>
      </c>
      <c r="AO322" s="170" t="str">
        <f t="shared" si="159"/>
        <v>0.868187372665951-0.423589811645313i</v>
      </c>
      <c r="AP322" s="170" t="str">
        <f t="shared" si="160"/>
        <v>0.102574429440029-0.131363100613644i</v>
      </c>
      <c r="AQ322" s="170" t="str">
        <f t="shared" si="161"/>
        <v>0.897425570559971+0.131363100613644i</v>
      </c>
      <c r="AR322" s="170" t="str">
        <f t="shared" si="162"/>
        <v>0.908739631081948-0.133019226892473i</v>
      </c>
    </row>
    <row r="323" spans="7:44">
      <c r="G323" s="688">
        <v>23175.5</v>
      </c>
      <c r="H323" s="676">
        <f t="shared" si="154"/>
        <v>23.1755</v>
      </c>
      <c r="I323" s="677">
        <f t="shared" si="134"/>
        <v>7.9881930871573221</v>
      </c>
      <c r="J323" s="678">
        <f t="shared" si="135"/>
        <v>1.4452822772118397</v>
      </c>
      <c r="K323" s="678">
        <f t="shared" si="136"/>
        <v>1.0004239902776162</v>
      </c>
      <c r="L323" s="679">
        <f t="shared" si="137"/>
        <v>2.9114962659568151E-2</v>
      </c>
      <c r="M323" s="678">
        <f t="shared" si="138"/>
        <v>1.0187894692083732</v>
      </c>
      <c r="N323" s="679">
        <f t="shared" si="139"/>
        <v>-0.1923533572123938</v>
      </c>
      <c r="O323" s="677">
        <f t="shared" si="140"/>
        <v>174739.15310704143</v>
      </c>
      <c r="P323" s="680">
        <f t="shared" si="141"/>
        <v>1.570790603979018</v>
      </c>
      <c r="Q323" s="689">
        <f t="shared" si="163"/>
        <v>4.0285936453769526</v>
      </c>
      <c r="R323" s="690">
        <f t="shared" si="164"/>
        <v>1.3199482509174609</v>
      </c>
      <c r="S323" s="677">
        <f t="shared" si="142"/>
        <v>1.0047479680122435</v>
      </c>
      <c r="T323" s="680">
        <f t="shared" si="143"/>
        <v>9.7254900258081839E-2</v>
      </c>
      <c r="U323" s="681">
        <f t="shared" si="155"/>
        <v>0.88610507112487136</v>
      </c>
      <c r="V323" s="682">
        <f t="shared" si="156"/>
        <v>-0.6023671517820105</v>
      </c>
      <c r="W323" s="683">
        <f t="shared" si="144"/>
        <v>-7.8659633188272764</v>
      </c>
      <c r="X323" s="684">
        <f t="shared" si="145"/>
        <v>-146.61904490893704</v>
      </c>
      <c r="Y323" s="687">
        <f t="shared" si="146"/>
        <v>33.380955091062958</v>
      </c>
      <c r="AA323" s="170">
        <f t="shared" si="147"/>
        <v>23175.5</v>
      </c>
      <c r="AB323" s="170">
        <f t="shared" si="148"/>
        <v>537103800.25</v>
      </c>
      <c r="AD323" s="686">
        <f t="shared" si="149"/>
        <v>12.319572107508655</v>
      </c>
      <c r="AE323" s="687">
        <f t="shared" si="150"/>
        <v>-19.944503498101511</v>
      </c>
      <c r="AG323" s="686">
        <f t="shared" si="151"/>
        <v>23.876387497637502</v>
      </c>
      <c r="AH323" s="687">
        <f t="shared" si="152"/>
        <v>-57.648350303110696</v>
      </c>
      <c r="AJ323" s="170">
        <f t="shared" si="153"/>
        <v>0</v>
      </c>
      <c r="AK323" s="170">
        <f t="shared" si="165"/>
        <v>0</v>
      </c>
      <c r="AM323" s="170" t="str">
        <f t="shared" si="157"/>
        <v>0.388699768195766+0.791398778490395i</v>
      </c>
      <c r="AN323" s="170" t="str">
        <f t="shared" si="158"/>
        <v>0.913093822301881i</v>
      </c>
      <c r="AO323" s="170" t="str">
        <f t="shared" si="159"/>
        <v>0.86672230077661-0.425695321446668i</v>
      </c>
      <c r="AP323" s="170" t="str">
        <f t="shared" si="160"/>
        <v>0.101883371967372-0.131899796415066i</v>
      </c>
      <c r="AQ323" s="170" t="str">
        <f t="shared" si="161"/>
        <v>0.898116628032628+0.131899796415066i</v>
      </c>
      <c r="AR323" s="170" t="str">
        <f t="shared" si="162"/>
        <v>0.907913996809041-0.133338664048374i</v>
      </c>
    </row>
    <row r="324" spans="7:44">
      <c r="G324" s="688">
        <v>23308.75</v>
      </c>
      <c r="H324" s="676">
        <f t="shared" si="154"/>
        <v>23.30875</v>
      </c>
      <c r="I324" s="677">
        <f t="shared" si="134"/>
        <v>8.0334043144117224</v>
      </c>
      <c r="J324" s="678">
        <f t="shared" si="135"/>
        <v>1.4459923593812127</v>
      </c>
      <c r="K324" s="678">
        <f t="shared" si="136"/>
        <v>1.0004288788001185</v>
      </c>
      <c r="L324" s="679">
        <f t="shared" si="137"/>
        <v>2.9282266829618434E-2</v>
      </c>
      <c r="M324" s="678">
        <f t="shared" si="138"/>
        <v>1.0190041336783564</v>
      </c>
      <c r="N324" s="679">
        <f t="shared" si="139"/>
        <v>-0.19343200726132076</v>
      </c>
      <c r="O324" s="677">
        <f t="shared" si="140"/>
        <v>175743.83443649509</v>
      </c>
      <c r="P324" s="680">
        <f t="shared" si="141"/>
        <v>1.570790636694853</v>
      </c>
      <c r="Q324" s="689">
        <f t="shared" si="163"/>
        <v>4.0503331027313738</v>
      </c>
      <c r="R324" s="690">
        <f t="shared" si="164"/>
        <v>1.3213233620932852</v>
      </c>
      <c r="S324" s="677">
        <f t="shared" si="142"/>
        <v>1.0048025920059751</v>
      </c>
      <c r="T324" s="680">
        <f t="shared" si="143"/>
        <v>9.7810528135440652E-2</v>
      </c>
      <c r="U324" s="681">
        <f t="shared" si="155"/>
        <v>0.8850001804391695</v>
      </c>
      <c r="V324" s="682">
        <f t="shared" si="156"/>
        <v>-0.60546165423277742</v>
      </c>
      <c r="W324" s="683">
        <f t="shared" si="144"/>
        <v>-7.927473651460919</v>
      </c>
      <c r="X324" s="684">
        <f t="shared" si="145"/>
        <v>-146.84229676335858</v>
      </c>
      <c r="Y324" s="687">
        <f t="shared" si="146"/>
        <v>33.157703236641424</v>
      </c>
      <c r="AA324" s="170">
        <f t="shared" si="147"/>
        <v>23308.75</v>
      </c>
      <c r="AB324" s="170">
        <f t="shared" si="148"/>
        <v>543297826.5625</v>
      </c>
      <c r="AD324" s="686">
        <f t="shared" si="149"/>
        <v>12.316048041338824</v>
      </c>
      <c r="AE324" s="687">
        <f t="shared" si="150"/>
        <v>-19.897552438143602</v>
      </c>
      <c r="AG324" s="686">
        <f t="shared" si="151"/>
        <v>23.840075741583814</v>
      </c>
      <c r="AH324" s="687">
        <f t="shared" si="152"/>
        <v>-57.56394935684127</v>
      </c>
      <c r="AJ324" s="170">
        <f t="shared" si="153"/>
        <v>0</v>
      </c>
      <c r="AK324" s="170">
        <f t="shared" si="165"/>
        <v>0</v>
      </c>
      <c r="AM324" s="170" t="str">
        <f t="shared" si="157"/>
        <v>0.392862961506095+0.794597141002188i</v>
      </c>
      <c r="AN324" s="170" t="str">
        <f t="shared" si="158"/>
        <v>0.918343752263337i</v>
      </c>
      <c r="AO324" s="170" t="str">
        <f t="shared" si="159"/>
        <v>0.865250227971645-0.427795104543207i</v>
      </c>
      <c r="AP324" s="170" t="str">
        <f t="shared" si="160"/>
        <v>0.101189506415651-0.132432856833698i</v>
      </c>
      <c r="AQ324" s="170" t="str">
        <f t="shared" si="161"/>
        <v>0.898810493584349+0.132432856833698i</v>
      </c>
      <c r="AR324" s="170" t="str">
        <f t="shared" si="162"/>
        <v>0.907087789505372-0.133652453126246i</v>
      </c>
    </row>
    <row r="325" spans="7:44">
      <c r="G325" s="688">
        <v>23442</v>
      </c>
      <c r="H325" s="676">
        <f t="shared" si="154"/>
        <v>23.442</v>
      </c>
      <c r="I325" s="677">
        <f t="shared" si="134"/>
        <v>8.0786195469041147</v>
      </c>
      <c r="J325" s="678">
        <f t="shared" si="135"/>
        <v>1.4466944933823445</v>
      </c>
      <c r="K325" s="678">
        <f t="shared" si="136"/>
        <v>1.0004337953250366</v>
      </c>
      <c r="L325" s="679">
        <f t="shared" si="137"/>
        <v>2.9449569359954679E-2</v>
      </c>
      <c r="M325" s="678">
        <f t="shared" si="138"/>
        <v>1.0192199832450928</v>
      </c>
      <c r="N325" s="679">
        <f t="shared" si="139"/>
        <v>-0.19451020169303612</v>
      </c>
      <c r="O325" s="677">
        <f t="shared" si="140"/>
        <v>176748.51576594892</v>
      </c>
      <c r="P325" s="680">
        <f t="shared" si="141"/>
        <v>1.5707906690387583</v>
      </c>
      <c r="Q325" s="689">
        <f t="shared" si="163"/>
        <v>4.0720801372002517</v>
      </c>
      <c r="R325" s="690">
        <f t="shared" si="164"/>
        <v>1.3226837881951472</v>
      </c>
      <c r="S325" s="677">
        <f t="shared" si="142"/>
        <v>1.0048575261709309</v>
      </c>
      <c r="T325" s="680">
        <f t="shared" si="143"/>
        <v>9.8366095433491618E-2</v>
      </c>
      <c r="U325" s="681">
        <f t="shared" si="155"/>
        <v>0.88389281642770789</v>
      </c>
      <c r="V325" s="682">
        <f t="shared" si="156"/>
        <v>-0.60855094786975072</v>
      </c>
      <c r="W325" s="683">
        <f t="shared" si="144"/>
        <v>-7.9886939141936999</v>
      </c>
      <c r="X325" s="684">
        <f t="shared" si="145"/>
        <v>-147.06560666775508</v>
      </c>
      <c r="Y325" s="687">
        <f t="shared" si="146"/>
        <v>32.934393332244923</v>
      </c>
      <c r="AA325" s="170">
        <f t="shared" si="147"/>
        <v>23442</v>
      </c>
      <c r="AB325" s="170">
        <f t="shared" si="148"/>
        <v>549527364</v>
      </c>
      <c r="AD325" s="686">
        <f t="shared" si="149"/>
        <v>12.312571122620735</v>
      </c>
      <c r="AE325" s="687">
        <f t="shared" si="150"/>
        <v>-19.85143927869786</v>
      </c>
      <c r="AG325" s="686">
        <f t="shared" si="151"/>
        <v>23.80408259470655</v>
      </c>
      <c r="AH325" s="687">
        <f t="shared" si="152"/>
        <v>-57.479365446128583</v>
      </c>
      <c r="AJ325" s="170">
        <f t="shared" si="153"/>
        <v>0</v>
      </c>
      <c r="AK325" s="170">
        <f t="shared" si="165"/>
        <v>0</v>
      </c>
      <c r="AM325" s="170" t="str">
        <f t="shared" si="157"/>
        <v>0.397042888546126+0.79777360306493i</v>
      </c>
      <c r="AN325" s="170" t="str">
        <f t="shared" si="158"/>
        <v>0.923593682224793i</v>
      </c>
      <c r="AO325" s="170" t="str">
        <f t="shared" si="159"/>
        <v>0.863771178190845-0.42988913435366i</v>
      </c>
      <c r="AP325" s="170" t="str">
        <f t="shared" si="160"/>
        <v>0.100492851908979-0.132962267177488i</v>
      </c>
      <c r="AQ325" s="170" t="str">
        <f t="shared" si="161"/>
        <v>0.899507148091021+0.132962267177488i</v>
      </c>
      <c r="AR325" s="170" t="str">
        <f t="shared" si="162"/>
        <v>0.906261051549745-0.133960607566528i</v>
      </c>
    </row>
    <row r="326" spans="7:44">
      <c r="G326" s="688">
        <v>23578.5</v>
      </c>
      <c r="H326" s="676">
        <f t="shared" si="154"/>
        <v>23.578499999999998</v>
      </c>
      <c r="I326" s="677">
        <f t="shared" si="134"/>
        <v>8.1249416730101913</v>
      </c>
      <c r="J326" s="678">
        <f t="shared" si="135"/>
        <v>1.4474056492738379</v>
      </c>
      <c r="K326" s="678">
        <f t="shared" si="136"/>
        <v>1.0004388607999888</v>
      </c>
      <c r="L326" s="679">
        <f t="shared" si="137"/>
        <v>2.962095072985535E-2</v>
      </c>
      <c r="M326" s="678">
        <f t="shared" si="138"/>
        <v>1.0194423254549487</v>
      </c>
      <c r="N326" s="679">
        <f t="shared" si="139"/>
        <v>-0.19561421881125998</v>
      </c>
      <c r="O326" s="677">
        <f t="shared" si="140"/>
        <v>177777.70151807254</v>
      </c>
      <c r="P326" s="680">
        <f t="shared" si="141"/>
        <v>1.5707907017924836</v>
      </c>
      <c r="Q326" s="689">
        <f t="shared" si="163"/>
        <v>4.0943653175160319</v>
      </c>
      <c r="R326" s="690">
        <f t="shared" si="164"/>
        <v>1.3240624081008048</v>
      </c>
      <c r="S326" s="677">
        <f t="shared" si="142"/>
        <v>1.0049141217516047</v>
      </c>
      <c r="T326" s="680">
        <f t="shared" si="143"/>
        <v>9.8935149991721774E-2</v>
      </c>
      <c r="U326" s="681">
        <f t="shared" si="155"/>
        <v>0.88275592393583147</v>
      </c>
      <c r="V326" s="682">
        <f t="shared" si="156"/>
        <v>-0.61171018584698889</v>
      </c>
      <c r="W326" s="683">
        <f t="shared" si="144"/>
        <v>-8.0511104616558775</v>
      </c>
      <c r="X326" s="684">
        <f t="shared" si="145"/>
        <v>-147.29441719295264</v>
      </c>
      <c r="Y326" s="687">
        <f t="shared" si="146"/>
        <v>32.705582807047364</v>
      </c>
      <c r="AA326" s="170">
        <f t="shared" si="147"/>
        <v>23578.5</v>
      </c>
      <c r="AB326" s="170">
        <f t="shared" si="148"/>
        <v>555945662.25</v>
      </c>
      <c r="AD326" s="686">
        <f t="shared" si="149"/>
        <v>12.309057173002509</v>
      </c>
      <c r="AE326" s="687">
        <f t="shared" si="150"/>
        <v>-19.80505647764744</v>
      </c>
      <c r="AG326" s="686">
        <f t="shared" si="151"/>
        <v>23.767538542401027</v>
      </c>
      <c r="AH326" s="687">
        <f t="shared" si="152"/>
        <v>-57.392536766816548</v>
      </c>
      <c r="AJ326" s="170">
        <f t="shared" si="153"/>
        <v>0</v>
      </c>
      <c r="AK326" s="170">
        <f t="shared" si="165"/>
        <v>0</v>
      </c>
      <c r="AM326" s="170" t="str">
        <f t="shared" si="157"/>
        <v>0.401341995513674+0.801004740101112i</v>
      </c>
      <c r="AN326" s="170" t="str">
        <f t="shared" si="158"/>
        <v>0.928971659258479i</v>
      </c>
      <c r="AO326" s="170" t="str">
        <f t="shared" si="159"/>
        <v>0.862248844857644-0.432028244902575i</v>
      </c>
      <c r="AP326" s="170" t="str">
        <f t="shared" si="160"/>
        <v>0.0997763340810543-0.133500790016852i</v>
      </c>
      <c r="AQ326" s="170" t="str">
        <f t="shared" si="161"/>
        <v>0.900223665918946+0.133500790016852i</v>
      </c>
      <c r="AR326" s="170" t="str">
        <f t="shared" si="162"/>
        <v>0.905413642987062-0.134270449896939i</v>
      </c>
    </row>
    <row r="327" spans="7:44">
      <c r="G327" s="688">
        <v>23715</v>
      </c>
      <c r="H327" s="676">
        <f t="shared" si="154"/>
        <v>23.715</v>
      </c>
      <c r="I327" s="677">
        <f t="shared" si="134"/>
        <v>8.1712678616564993</v>
      </c>
      <c r="J327" s="678">
        <f t="shared" si="135"/>
        <v>1.4481087418626826</v>
      </c>
      <c r="K327" s="678">
        <f t="shared" si="136"/>
        <v>1.0004439556591065</v>
      </c>
      <c r="L327" s="679">
        <f t="shared" si="137"/>
        <v>2.9792330359236747E-2</v>
      </c>
      <c r="M327" s="678">
        <f t="shared" si="138"/>
        <v>1.0196659096731844</v>
      </c>
      <c r="N327" s="679">
        <f t="shared" si="139"/>
        <v>-0.1967177531138819</v>
      </c>
      <c r="O327" s="677">
        <f t="shared" si="140"/>
        <v>178806.88727019637</v>
      </c>
      <c r="P327" s="680">
        <f t="shared" si="141"/>
        <v>1.5707907341691578</v>
      </c>
      <c r="Q327" s="689">
        <f t="shared" si="163"/>
        <v>4.1166581952932857</v>
      </c>
      <c r="R327" s="690">
        <f t="shared" si="164"/>
        <v>1.3254260993352849</v>
      </c>
      <c r="S327" s="677">
        <f t="shared" si="142"/>
        <v>1.0049710427099614</v>
      </c>
      <c r="T327" s="680">
        <f t="shared" si="143"/>
        <v>9.9504140272367592E-2</v>
      </c>
      <c r="U327" s="681">
        <f t="shared" si="155"/>
        <v>0.88161652710242422</v>
      </c>
      <c r="V327" s="682">
        <f t="shared" si="156"/>
        <v>-0.61486395128891758</v>
      </c>
      <c r="W327" s="683">
        <f t="shared" si="144"/>
        <v>-8.1132304146246188</v>
      </c>
      <c r="X327" s="684">
        <f t="shared" si="145"/>
        <v>-147.52327625360576</v>
      </c>
      <c r="Y327" s="687">
        <f t="shared" si="146"/>
        <v>32.476723746394242</v>
      </c>
      <c r="AA327" s="170">
        <f t="shared" si="147"/>
        <v>23715</v>
      </c>
      <c r="AB327" s="170">
        <f t="shared" si="148"/>
        <v>562401225</v>
      </c>
      <c r="AD327" s="686">
        <f t="shared" si="149"/>
        <v>12.305590464415561</v>
      </c>
      <c r="AE327" s="687">
        <f t="shared" si="150"/>
        <v>-19.759525322012475</v>
      </c>
      <c r="AG327" s="686">
        <f t="shared" si="151"/>
        <v>23.731322004098736</v>
      </c>
      <c r="AH327" s="687">
        <f t="shared" si="152"/>
        <v>-57.305532083898207</v>
      </c>
      <c r="AJ327" s="170">
        <f t="shared" si="153"/>
        <v>0</v>
      </c>
      <c r="AK327" s="170">
        <f t="shared" si="165"/>
        <v>0</v>
      </c>
      <c r="AM327" s="170" t="str">
        <f t="shared" si="157"/>
        <v>0.405658417207627+0.80421271002382i</v>
      </c>
      <c r="AN327" s="170" t="str">
        <f t="shared" si="158"/>
        <v>0.934349636292166i</v>
      </c>
      <c r="AO327" s="170" t="str">
        <f t="shared" si="159"/>
        <v>0.860719241263072-0.434161261963375i</v>
      </c>
      <c r="AP327" s="170" t="str">
        <f t="shared" si="160"/>
        <v>0.0990569304653955-0.134035451670637i</v>
      </c>
      <c r="AQ327" s="170" t="str">
        <f t="shared" si="161"/>
        <v>0.900943069534604+0.134035451670637i</v>
      </c>
      <c r="AR327" s="170" t="str">
        <f t="shared" si="162"/>
        <v>0.904565766550911-0.134574408955804i</v>
      </c>
    </row>
    <row r="328" spans="7:44">
      <c r="G328" s="688">
        <v>23851.5</v>
      </c>
      <c r="H328" s="676">
        <f t="shared" si="154"/>
        <v>23.851500000000001</v>
      </c>
      <c r="I328" s="677">
        <f t="shared" si="134"/>
        <v>8.2175980441360998</v>
      </c>
      <c r="J328" s="678">
        <f t="shared" si="135"/>
        <v>1.4488039068286316</v>
      </c>
      <c r="K328" s="678">
        <f t="shared" si="136"/>
        <v>1.0004490799019414</v>
      </c>
      <c r="L328" s="679">
        <f t="shared" si="137"/>
        <v>2.996370823805836E-2</v>
      </c>
      <c r="M328" s="678">
        <f t="shared" si="138"/>
        <v>1.0198907350829669</v>
      </c>
      <c r="N328" s="679">
        <f t="shared" si="139"/>
        <v>-0.19782080223158169</v>
      </c>
      <c r="O328" s="677">
        <f t="shared" si="140"/>
        <v>179836.07302232034</v>
      </c>
      <c r="P328" s="680">
        <f t="shared" si="141"/>
        <v>1.5707907661752545</v>
      </c>
      <c r="Q328" s="689">
        <f t="shared" si="163"/>
        <v>4.1389586461539389</v>
      </c>
      <c r="R328" s="690">
        <f t="shared" si="164"/>
        <v>1.3267750980894415</v>
      </c>
      <c r="S328" s="677">
        <f t="shared" si="142"/>
        <v>1.0050282889907169</v>
      </c>
      <c r="T328" s="680">
        <f t="shared" si="143"/>
        <v>0.10007306591796072</v>
      </c>
      <c r="U328" s="681">
        <f t="shared" si="155"/>
        <v>0.88047467166571147</v>
      </c>
      <c r="V328" s="682">
        <f t="shared" si="156"/>
        <v>-0.61801224131867805</v>
      </c>
      <c r="W328" s="683">
        <f t="shared" si="144"/>
        <v>-8.1750576004851645</v>
      </c>
      <c r="X328" s="684">
        <f t="shared" si="145"/>
        <v>-147.75217777073334</v>
      </c>
      <c r="Y328" s="687">
        <f t="shared" si="146"/>
        <v>32.24782222926666</v>
      </c>
      <c r="AA328" s="170">
        <f t="shared" si="147"/>
        <v>23851.5</v>
      </c>
      <c r="AB328" s="170">
        <f t="shared" si="148"/>
        <v>568894052.25</v>
      </c>
      <c r="AD328" s="686">
        <f t="shared" si="149"/>
        <v>12.30216991130871</v>
      </c>
      <c r="AE328" s="687">
        <f t="shared" si="150"/>
        <v>-19.714832258943328</v>
      </c>
      <c r="AG328" s="686">
        <f t="shared" si="151"/>
        <v>23.695429601485007</v>
      </c>
      <c r="AH328" s="687">
        <f t="shared" si="152"/>
        <v>-57.218359200905887</v>
      </c>
      <c r="AJ328" s="170">
        <f t="shared" si="153"/>
        <v>0</v>
      </c>
      <c r="AK328" s="170">
        <f t="shared" si="165"/>
        <v>0</v>
      </c>
      <c r="AM328" s="170" t="str">
        <f t="shared" si="157"/>
        <v>0.409992028785986+0.807397420050326i</v>
      </c>
      <c r="AN328" s="170" t="str">
        <f t="shared" si="158"/>
        <v>0.939727613325853i</v>
      </c>
      <c r="AO328" s="170" t="str">
        <f t="shared" si="159"/>
        <v>0.859182393494655-0.436288157304387i</v>
      </c>
      <c r="AP328" s="170" t="str">
        <f t="shared" si="160"/>
        <v>0.0983346618690023-0.134566236675054i</v>
      </c>
      <c r="AQ328" s="170" t="str">
        <f t="shared" si="161"/>
        <v>0.901665338130998+0.134566236675054i</v>
      </c>
      <c r="AR328" s="170" t="str">
        <f t="shared" si="162"/>
        <v>0.903717466730494-0.134872500219996i</v>
      </c>
    </row>
    <row r="329" spans="7:44">
      <c r="G329" s="688">
        <v>23988</v>
      </c>
      <c r="H329" s="676">
        <f t="shared" si="154"/>
        <v>23.988</v>
      </c>
      <c r="I329" s="677">
        <f t="shared" si="134"/>
        <v>8.263932153276965</v>
      </c>
      <c r="J329" s="678">
        <f t="shared" si="135"/>
        <v>1.4494912768395718</v>
      </c>
      <c r="K329" s="678">
        <f t="shared" si="136"/>
        <v>1.000454233528042</v>
      </c>
      <c r="L329" s="679">
        <f t="shared" si="137"/>
        <v>3.01350843562803E-2</v>
      </c>
      <c r="M329" s="678">
        <f t="shared" si="138"/>
        <v>1.0201168008636508</v>
      </c>
      <c r="N329" s="679">
        <f t="shared" si="139"/>
        <v>-0.19892336380184475</v>
      </c>
      <c r="O329" s="677">
        <f t="shared" si="140"/>
        <v>180865.25877444452</v>
      </c>
      <c r="P329" s="680">
        <f t="shared" si="141"/>
        <v>1.5707907978170996</v>
      </c>
      <c r="Q329" s="689">
        <f t="shared" si="163"/>
        <v>4.1612665483443116</v>
      </c>
      <c r="R329" s="690">
        <f t="shared" si="164"/>
        <v>1.3281096357058868</v>
      </c>
      <c r="S329" s="677">
        <f t="shared" si="142"/>
        <v>1.0050858605382829</v>
      </c>
      <c r="T329" s="680">
        <f t="shared" si="143"/>
        <v>0.10064192657128132</v>
      </c>
      <c r="U329" s="681">
        <f t="shared" si="155"/>
        <v>0.87933040311606891</v>
      </c>
      <c r="V329" s="682">
        <f t="shared" si="156"/>
        <v>-0.62115505334547749</v>
      </c>
      <c r="W329" s="683">
        <f t="shared" si="144"/>
        <v>-8.2365957696170824</v>
      </c>
      <c r="X329" s="684">
        <f t="shared" si="145"/>
        <v>-147.98111578735691</v>
      </c>
      <c r="Y329" s="687">
        <f t="shared" si="146"/>
        <v>32.018884212643087</v>
      </c>
      <c r="AA329" s="170">
        <f t="shared" si="147"/>
        <v>23988</v>
      </c>
      <c r="AB329" s="170">
        <f t="shared" si="148"/>
        <v>575424144</v>
      </c>
      <c r="AD329" s="686">
        <f t="shared" si="149"/>
        <v>12.298794457192095</v>
      </c>
      <c r="AE329" s="687">
        <f t="shared" si="150"/>
        <v>-19.67096401337994</v>
      </c>
      <c r="AG329" s="686">
        <f t="shared" si="151"/>
        <v>23.659858006092303</v>
      </c>
      <c r="AH329" s="687">
        <f t="shared" si="152"/>
        <v>-57.131025732804204</v>
      </c>
      <c r="AJ329" s="170">
        <f t="shared" si="153"/>
        <v>0</v>
      </c>
      <c r="AK329" s="170">
        <f t="shared" si="165"/>
        <v>0</v>
      </c>
      <c r="AM329" s="170" t="str">
        <f t="shared" si="157"/>
        <v>0.414342704909579+0.810558778070642i</v>
      </c>
      <c r="AN329" s="170" t="str">
        <f t="shared" si="158"/>
        <v>0.94510559035954i</v>
      </c>
      <c r="AO329" s="170" t="str">
        <f t="shared" si="159"/>
        <v>0.857638327757946-0.438408902810482i</v>
      </c>
      <c r="AP329" s="170" t="str">
        <f t="shared" si="160"/>
        <v>0.0976095491817368-0.13509312967844i</v>
      </c>
      <c r="AQ329" s="170" t="str">
        <f t="shared" si="161"/>
        <v>0.902390450818263+0.13509312967844i</v>
      </c>
      <c r="AR329" s="170" t="str">
        <f t="shared" si="162"/>
        <v>0.902868787651604-0.135164739500771i</v>
      </c>
    </row>
    <row r="330" spans="7:44">
      <c r="G330" s="688">
        <v>24127.75</v>
      </c>
      <c r="H330" s="676">
        <f t="shared" si="154"/>
        <v>24.127749999999999</v>
      </c>
      <c r="I330" s="677">
        <f t="shared" si="134"/>
        <v>8.3113734549299227</v>
      </c>
      <c r="J330" s="678">
        <f t="shared" si="135"/>
        <v>1.4501870727053825</v>
      </c>
      <c r="K330" s="678">
        <f t="shared" si="136"/>
        <v>1.000459540300048</v>
      </c>
      <c r="L330" s="679">
        <f t="shared" si="137"/>
        <v>3.0310539023808966E-2</v>
      </c>
      <c r="M330" s="678">
        <f t="shared" si="138"/>
        <v>1.0203495333234396</v>
      </c>
      <c r="N330" s="679">
        <f t="shared" si="139"/>
        <v>-0.20005166928021678</v>
      </c>
      <c r="O330" s="677">
        <f t="shared" si="140"/>
        <v>181918.94894923852</v>
      </c>
      <c r="P330" s="680">
        <f t="shared" si="141"/>
        <v>1.5707908298414139</v>
      </c>
      <c r="Q330" s="689">
        <f t="shared" si="163"/>
        <v>4.1841131861713494</v>
      </c>
      <c r="R330" s="690">
        <f t="shared" si="164"/>
        <v>1.3294612029289321</v>
      </c>
      <c r="S330" s="677">
        <f t="shared" si="142"/>
        <v>1.0051451397542959</v>
      </c>
      <c r="T330" s="680">
        <f t="shared" si="143"/>
        <v>0.10122426382127095</v>
      </c>
      <c r="U330" s="681">
        <f t="shared" si="155"/>
        <v>0.8781564373366727</v>
      </c>
      <c r="V330" s="682">
        <f t="shared" si="156"/>
        <v>-0.62436701662405181</v>
      </c>
      <c r="W330" s="683">
        <f t="shared" si="144"/>
        <v>-8.2993035499776848</v>
      </c>
      <c r="X330" s="684">
        <f t="shared" si="145"/>
        <v>-148.21553642784562</v>
      </c>
      <c r="Y330" s="687">
        <f t="shared" si="146"/>
        <v>31.78446357215438</v>
      </c>
      <c r="AA330" s="170">
        <f t="shared" si="147"/>
        <v>24127.75</v>
      </c>
      <c r="AB330" s="170">
        <f t="shared" si="148"/>
        <v>582148320.0625</v>
      </c>
      <c r="AD330" s="686">
        <f t="shared" si="149"/>
        <v>12.295384283921827</v>
      </c>
      <c r="AE330" s="687">
        <f t="shared" si="150"/>
        <v>-19.626892217256589</v>
      </c>
      <c r="AG330" s="686">
        <f t="shared" si="151"/>
        <v>23.623768399154482</v>
      </c>
      <c r="AH330" s="687">
        <f t="shared" si="152"/>
        <v>-57.041454289369092</v>
      </c>
      <c r="AJ330" s="170">
        <f t="shared" si="153"/>
        <v>0</v>
      </c>
      <c r="AK330" s="170">
        <f t="shared" si="165"/>
        <v>0</v>
      </c>
      <c r="AM330" s="170" t="str">
        <f t="shared" si="157"/>
        <v>0.418814515990005+0.81377111842094i</v>
      </c>
      <c r="AN330" s="170" t="str">
        <f t="shared" si="158"/>
        <v>0.950611614465457i</v>
      </c>
      <c r="AO330" s="170" t="str">
        <f t="shared" si="159"/>
        <v>0.856050048240296-0.440573741806753i</v>
      </c>
      <c r="AP330" s="170" t="str">
        <f t="shared" si="160"/>
        <v>0.0968642473349992-0.135628519736823i</v>
      </c>
      <c r="AQ330" s="170" t="str">
        <f t="shared" si="161"/>
        <v>0.903135752665001+0.135628519736823i</v>
      </c>
      <c r="AR330" s="170" t="str">
        <f t="shared" si="162"/>
        <v>0.90199955471064-0.135457891073055i</v>
      </c>
    </row>
    <row r="331" spans="7:44">
      <c r="G331" s="688">
        <v>24267.5</v>
      </c>
      <c r="H331" s="676">
        <f t="shared" si="154"/>
        <v>24.267499999999998</v>
      </c>
      <c r="I331" s="677">
        <f t="shared" si="134"/>
        <v>8.3588187347077056</v>
      </c>
      <c r="J331" s="678">
        <f t="shared" si="135"/>
        <v>1.4508749701224233</v>
      </c>
      <c r="K331" s="678">
        <f t="shared" si="136"/>
        <v>1.0004648778702137</v>
      </c>
      <c r="L331" s="679">
        <f t="shared" si="137"/>
        <v>3.0485991824605898E-2</v>
      </c>
      <c r="M331" s="678">
        <f t="shared" si="138"/>
        <v>1.020583564169528</v>
      </c>
      <c r="N331" s="679">
        <f t="shared" si="139"/>
        <v>-0.20117945872850862</v>
      </c>
      <c r="O331" s="677">
        <f t="shared" si="140"/>
        <v>182972.63912403269</v>
      </c>
      <c r="P331" s="680">
        <f t="shared" si="141"/>
        <v>1.5707908614968893</v>
      </c>
      <c r="Q331" s="689">
        <f t="shared" si="163"/>
        <v>4.2069673842359228</v>
      </c>
      <c r="R331" s="690">
        <f t="shared" si="164"/>
        <v>1.3307980878919989</v>
      </c>
      <c r="S331" s="677">
        <f t="shared" si="142"/>
        <v>1.0052047597915141</v>
      </c>
      <c r="T331" s="680">
        <f t="shared" si="143"/>
        <v>0.10180653219029746</v>
      </c>
      <c r="U331" s="681">
        <f t="shared" si="155"/>
        <v>0.87698003785994216</v>
      </c>
      <c r="V331" s="682">
        <f t="shared" si="156"/>
        <v>-0.62757323334950821</v>
      </c>
      <c r="W331" s="683">
        <f t="shared" si="144"/>
        <v>-8.3617161039479413</v>
      </c>
      <c r="X331" s="684">
        <f t="shared" si="145"/>
        <v>-148.44998307173398</v>
      </c>
      <c r="Y331" s="687">
        <f t="shared" si="146"/>
        <v>31.550016928266018</v>
      </c>
      <c r="AA331" s="170">
        <f t="shared" si="147"/>
        <v>24267.5</v>
      </c>
      <c r="AB331" s="170">
        <f t="shared" si="148"/>
        <v>588911556.25</v>
      </c>
      <c r="AD331" s="686">
        <f t="shared" si="149"/>
        <v>12.292019231019806</v>
      </c>
      <c r="AE331" s="687">
        <f t="shared" si="150"/>
        <v>-19.583657684943272</v>
      </c>
      <c r="AG331" s="686">
        <f t="shared" si="151"/>
        <v>23.588008152837578</v>
      </c>
      <c r="AH331" s="687">
        <f t="shared" si="152"/>
        <v>-56.951730092005143</v>
      </c>
      <c r="AJ331" s="170">
        <f t="shared" si="153"/>
        <v>0</v>
      </c>
      <c r="AK331" s="170">
        <f t="shared" si="165"/>
        <v>0</v>
      </c>
      <c r="AM331" s="170" t="str">
        <f t="shared" si="157"/>
        <v>0.423303946420253+0.816958788303024i</v>
      </c>
      <c r="AN331" s="170" t="str">
        <f t="shared" si="158"/>
        <v>0.956117638571375i</v>
      </c>
      <c r="AO331" s="170" t="str">
        <f t="shared" si="159"/>
        <v>0.85445425891705-0.442732075367578i</v>
      </c>
      <c r="AP331" s="170" t="str">
        <f t="shared" si="160"/>
        <v>0.0961160089299578-0.136159798050504i</v>
      </c>
      <c r="AQ331" s="170" t="str">
        <f t="shared" si="161"/>
        <v>0.903883991070042+0.136159798050504i</v>
      </c>
      <c r="AR331" s="170" t="str">
        <f t="shared" si="162"/>
        <v>0.901130016667623-0.135744943265848i</v>
      </c>
    </row>
    <row r="332" spans="7:44">
      <c r="G332" s="688">
        <v>24407.25</v>
      </c>
      <c r="H332" s="676">
        <f t="shared" si="154"/>
        <v>24.407250000000001</v>
      </c>
      <c r="I332" s="677">
        <f t="shared" si="134"/>
        <v>8.4062679252522727</v>
      </c>
      <c r="J332" s="678">
        <f t="shared" si="135"/>
        <v>1.4515551021825028</v>
      </c>
      <c r="K332" s="678">
        <f t="shared" si="136"/>
        <v>1.0004702462380461</v>
      </c>
      <c r="L332" s="679">
        <f t="shared" si="137"/>
        <v>3.0661442747898893E-2</v>
      </c>
      <c r="M332" s="678">
        <f t="shared" si="138"/>
        <v>1.0208188925089201</v>
      </c>
      <c r="N332" s="679">
        <f t="shared" si="139"/>
        <v>-0.20230672963373175</v>
      </c>
      <c r="O332" s="677">
        <f t="shared" si="140"/>
        <v>184026.32929882701</v>
      </c>
      <c r="P332" s="680">
        <f t="shared" si="141"/>
        <v>1.5707908927898615</v>
      </c>
      <c r="Q332" s="689">
        <f t="shared" si="163"/>
        <v>4.2298290199918283</v>
      </c>
      <c r="R332" s="690">
        <f t="shared" si="164"/>
        <v>1.3321205238439255</v>
      </c>
      <c r="S332" s="677">
        <f t="shared" si="142"/>
        <v>1.0052647205892973</v>
      </c>
      <c r="T332" s="680">
        <f t="shared" si="143"/>
        <v>0.10238873129583127</v>
      </c>
      <c r="U332" s="681">
        <f t="shared" si="155"/>
        <v>0.87580125268053233</v>
      </c>
      <c r="V332" s="682">
        <f t="shared" si="156"/>
        <v>-0.63077370165793267</v>
      </c>
      <c r="W332" s="683">
        <f t="shared" si="144"/>
        <v>-8.4238372179924692</v>
      </c>
      <c r="X332" s="684">
        <f t="shared" si="145"/>
        <v>-148.68444970873179</v>
      </c>
      <c r="Y332" s="687">
        <f t="shared" si="146"/>
        <v>31.31555029126821</v>
      </c>
      <c r="AA332" s="170">
        <f t="shared" si="147"/>
        <v>24407.25</v>
      </c>
      <c r="AB332" s="170">
        <f t="shared" si="148"/>
        <v>595713852.5625</v>
      </c>
      <c r="AD332" s="686">
        <f t="shared" si="149"/>
        <v>12.28869825349965</v>
      </c>
      <c r="AE332" s="687">
        <f t="shared" si="150"/>
        <v>-19.541247030711673</v>
      </c>
      <c r="AG332" s="686">
        <f t="shared" si="151"/>
        <v>23.552573851113529</v>
      </c>
      <c r="AH332" s="687">
        <f t="shared" si="152"/>
        <v>-56.86186072973927</v>
      </c>
      <c r="AJ332" s="170">
        <f t="shared" si="153"/>
        <v>0</v>
      </c>
      <c r="AK332" s="170">
        <f t="shared" si="165"/>
        <v>0</v>
      </c>
      <c r="AM332" s="170" t="str">
        <f t="shared" si="157"/>
        <v>0.427810860097739+0.820121691078776i</v>
      </c>
      <c r="AN332" s="170" t="str">
        <f t="shared" si="158"/>
        <v>0.961623662677292i</v>
      </c>
      <c r="AO332" s="170" t="str">
        <f t="shared" si="159"/>
        <v>0.852850988291454-0.444883873704454i</v>
      </c>
      <c r="AP332" s="170" t="str">
        <f t="shared" si="160"/>
        <v>0.0953648566503768-0.136686948513129i</v>
      </c>
      <c r="AQ332" s="170" t="str">
        <f t="shared" si="161"/>
        <v>0.904635143349623+0.136686948513129i</v>
      </c>
      <c r="AR332" s="170" t="str">
        <f t="shared" si="162"/>
        <v>0.90026021968171-0.136025914094401i</v>
      </c>
    </row>
    <row r="333" spans="7:44">
      <c r="G333" s="688">
        <v>24547</v>
      </c>
      <c r="H333" s="676">
        <f t="shared" si="154"/>
        <v>24.547000000000001</v>
      </c>
      <c r="I333" s="677">
        <f t="shared" ref="I333:I396" si="166">SQRT(1+(G333/pole1)^2)</f>
        <v>8.4537209607123671</v>
      </c>
      <c r="J333" s="678">
        <f t="shared" ref="J333:J396" si="167">ATAN(G333/pole1)</f>
        <v>1.4522275990182165</v>
      </c>
      <c r="K333" s="678">
        <f t="shared" ref="K333:K396" si="168">SQRT(1+(G333/Zero1)^2)</f>
        <v>1.0004756454030497</v>
      </c>
      <c r="L333" s="679">
        <f t="shared" ref="L333:L396" si="169">ATAN(G333/Zero1)</f>
        <v>3.0836891782916438E-2</v>
      </c>
      <c r="M333" s="678">
        <f t="shared" ref="M333:M396" si="170">SQRT(1+(G333/z_RHP)^2)</f>
        <v>1.021055517444494</v>
      </c>
      <c r="N333" s="679">
        <f t="shared" ref="N333:N396" si="171">-ATAN(G333/z_RHP)</f>
        <v>-0.20343347949047946</v>
      </c>
      <c r="O333" s="677">
        <f t="shared" ref="O333:O396" si="172">SQRT(1+(G333/Pole2)^2)</f>
        <v>185080.01947362156</v>
      </c>
      <c r="P333" s="680">
        <f t="shared" ref="P333:P396" si="173">ATAN(G333/Pole2)</f>
        <v>1.5707909237265218</v>
      </c>
      <c r="Q333" s="689">
        <f t="shared" si="163"/>
        <v>4.2526979734885382</v>
      </c>
      <c r="R333" s="690">
        <f t="shared" si="164"/>
        <v>1.3334287392209616</v>
      </c>
      <c r="S333" s="677">
        <f t="shared" ref="S333:S396" si="174">SQRT(1+(G333/pole4)^2)</f>
        <v>1.0053250220866736</v>
      </c>
      <c r="T333" s="680">
        <f t="shared" ref="T333:T396" si="175">ATAN(G333/pole4)</f>
        <v>0.10297086075562163</v>
      </c>
      <c r="U333" s="681">
        <f t="shared" si="155"/>
        <v>0.87462012951054924</v>
      </c>
      <c r="V333" s="682">
        <f t="shared" si="156"/>
        <v>-0.63396841998918541</v>
      </c>
      <c r="W333" s="683">
        <f t="shared" ref="W333:W396" si="176">20*LOG10(((K333*Q333*M333*U333)/(I333*O333*S333))*Adc)</f>
        <v>-8.4856706022946149</v>
      </c>
      <c r="X333" s="684">
        <f t="shared" ref="X333:X396" si="177">((L333+R333+N333+V333)-(J333+P333+T333))*radconv</f>
        <v>-148.91893045258632</v>
      </c>
      <c r="Y333" s="687">
        <f t="shared" ref="Y333:Y396" si="178">IF(X333&gt;0,X333,X333+180)</f>
        <v>31.081069547413676</v>
      </c>
      <c r="AA333" s="170">
        <f t="shared" ref="AA333:AA396" si="179">IF(W333&lt;0,G333,1000000000)</f>
        <v>24547</v>
      </c>
      <c r="AB333" s="170">
        <f t="shared" ref="AB333:AB396" si="180">G333^2</f>
        <v>602555209</v>
      </c>
      <c r="AD333" s="686">
        <f t="shared" ref="AD333:AD396" si="181">20*LOG10((Q333/(O333*S333))*Aea)</f>
        <v>12.285420334439539</v>
      </c>
      <c r="AE333" s="687">
        <f t="shared" ref="AE333:AE396" si="182">(R333-(P333+T333))*radconv</f>
        <v>-19.499647144582138</v>
      </c>
      <c r="AG333" s="686">
        <f t="shared" ref="AG333:AG396" si="183">20*LOG10((K333*M333/(I333*U333))*Acs*Am)</f>
        <v>23.51746212842361</v>
      </c>
      <c r="AH333" s="687">
        <f t="shared" ref="AH333:AH396" si="184">(L333+N333-(J333+V333))*radconv</f>
        <v>-56.771853605077325</v>
      </c>
      <c r="AJ333" s="170">
        <f t="shared" ref="AJ333:AJ396" si="185">SUM((W334&lt;0)*(W333&gt;0))*G333</f>
        <v>0</v>
      </c>
      <c r="AK333" s="170">
        <f t="shared" si="165"/>
        <v>0</v>
      </c>
      <c r="AM333" s="170" t="str">
        <f t="shared" si="157"/>
        <v>0.432335120389856+0.823259730860924i</v>
      </c>
      <c r="AN333" s="170" t="str">
        <f t="shared" si="158"/>
        <v>0.967129686783209i</v>
      </c>
      <c r="AO333" s="170" t="str">
        <f t="shared" si="159"/>
        <v>0.851240264994022-0.447029107159201i</v>
      </c>
      <c r="AP333" s="170" t="str">
        <f t="shared" si="160"/>
        <v>0.0946108132683573-0.137209955143487i</v>
      </c>
      <c r="AQ333" s="170" t="str">
        <f t="shared" si="161"/>
        <v>0.905389186731643+0.137209955143487i</v>
      </c>
      <c r="AR333" s="170" t="str">
        <f t="shared" si="162"/>
        <v>0.899390209506254-0.136300821913198i</v>
      </c>
    </row>
    <row r="334" spans="7:44">
      <c r="G334" s="688">
        <v>24690</v>
      </c>
      <c r="H334" s="676">
        <f t="shared" ref="H334:H397" si="186">G334/1000</f>
        <v>24.69</v>
      </c>
      <c r="I334" s="677">
        <f t="shared" si="166"/>
        <v>8.5022814680592234</v>
      </c>
      <c r="J334" s="678">
        <f t="shared" si="167"/>
        <v>1.4529079644135217</v>
      </c>
      <c r="K334" s="678">
        <f t="shared" si="168"/>
        <v>1.0004812020093288</v>
      </c>
      <c r="L334" s="679">
        <f t="shared" si="169"/>
        <v>3.101641906215865E-2</v>
      </c>
      <c r="M334" s="678">
        <f t="shared" si="170"/>
        <v>1.0212989865222795</v>
      </c>
      <c r="N334" s="679">
        <f t="shared" si="171"/>
        <v>-0.2045858908611784</v>
      </c>
      <c r="O334" s="677">
        <f t="shared" si="172"/>
        <v>186158.21407108594</v>
      </c>
      <c r="P334" s="680">
        <f t="shared" si="173"/>
        <v>1.5707909550201136</v>
      </c>
      <c r="Q334" s="689">
        <f t="shared" si="163"/>
        <v>4.2761062156254654</v>
      </c>
      <c r="R334" s="690">
        <f t="shared" si="164"/>
        <v>1.3347528911019464</v>
      </c>
      <c r="S334" s="677">
        <f t="shared" si="174"/>
        <v>1.0053870785570944</v>
      </c>
      <c r="T334" s="680">
        <f t="shared" si="175"/>
        <v>0.10356645561728448</v>
      </c>
      <c r="U334" s="681">
        <f t="shared" ref="U334:U397" si="187">IMABS(IMPRODUCT(AO334, AR334))</f>
        <v>0.87340916765254084</v>
      </c>
      <c r="V334" s="682">
        <f t="shared" ref="V334:V397" si="188">IMARGUMENT(IMPRODUCT(AO334, AR334))</f>
        <v>-0.63723148067130753</v>
      </c>
      <c r="W334" s="683">
        <f t="shared" si="176"/>
        <v>-8.5486479200433667</v>
      </c>
      <c r="X334" s="684">
        <f t="shared" si="177"/>
        <v>-149.15887282696377</v>
      </c>
      <c r="Y334" s="687">
        <f t="shared" si="178"/>
        <v>30.841127173036227</v>
      </c>
      <c r="AA334" s="170">
        <f t="shared" si="179"/>
        <v>24690</v>
      </c>
      <c r="AB334" s="170">
        <f t="shared" si="180"/>
        <v>609596100</v>
      </c>
      <c r="AD334" s="686">
        <f t="shared" si="181"/>
        <v>12.28210972452402</v>
      </c>
      <c r="AE334" s="687">
        <f t="shared" si="182"/>
        <v>-19.457905695183388</v>
      </c>
      <c r="AG334" s="686">
        <f t="shared" si="183"/>
        <v>23.481864314067757</v>
      </c>
      <c r="AH334" s="687">
        <f t="shared" si="184"/>
        <v>-56.679618217664874</v>
      </c>
      <c r="AJ334" s="170">
        <f t="shared" si="185"/>
        <v>0</v>
      </c>
      <c r="AK334" s="170">
        <f t="shared" si="165"/>
        <v>0</v>
      </c>
      <c r="AM334" s="170" t="str">
        <f t="shared" ref="AM334:AM397" si="189">IMSUB(1,IMEXP(COMPLEX(0,-2*Pi*G334*Tsw)))</f>
        <v>0.436982409373537+0.826444912045064i</v>
      </c>
      <c r="AN334" s="170" t="str">
        <f t="shared" ref="AN334:AN397" si="190">COMPLEX(0, 2*Pi*G334*Tsw)</f>
        <v>0.972763757961357i</v>
      </c>
      <c r="AO334" s="170" t="str">
        <f t="shared" ref="AO334:AO397" si="191">IMDIV(AM334, AN334)</f>
        <v>0.849584398350801-0.449217403297725i</v>
      </c>
      <c r="AP334" s="170" t="str">
        <f t="shared" ref="AP334:AP397" si="192">IMDIV(IMEXP(COMPLEX(0,-2*Pi*G334*Tsw)),6)</f>
        <v>0.0938362651044105-0.137740818674177i</v>
      </c>
      <c r="AQ334" s="170" t="str">
        <f t="shared" ref="AQ334:AQ397" si="193">IMSUB(1, AP334)</f>
        <v>0.90616373489559+0.137740818674177i</v>
      </c>
      <c r="AR334" s="170" t="str">
        <f t="shared" ref="AR334:AR397" si="194">IMDIV(0.833, AQ334)</f>
        <v>0.898499793153676-0.136575866282958i</v>
      </c>
    </row>
    <row r="335" spans="7:44">
      <c r="G335" s="688">
        <v>24833</v>
      </c>
      <c r="H335" s="676">
        <f t="shared" si="186"/>
        <v>24.832999999999998</v>
      </c>
      <c r="I335" s="677">
        <f t="shared" si="166"/>
        <v>8.5508458663845133</v>
      </c>
      <c r="J335" s="678">
        <f t="shared" si="167"/>
        <v>1.4535806018675337</v>
      </c>
      <c r="K335" s="678">
        <f t="shared" si="168"/>
        <v>1.0004867908608024</v>
      </c>
      <c r="L335" s="679">
        <f t="shared" si="169"/>
        <v>3.1195944341460693E-2</v>
      </c>
      <c r="M335" s="678">
        <f t="shared" si="170"/>
        <v>1.0215438112906183</v>
      </c>
      <c r="N335" s="679">
        <f t="shared" si="171"/>
        <v>-0.20573775138361883</v>
      </c>
      <c r="O335" s="677">
        <f t="shared" si="172"/>
        <v>187236.40866855046</v>
      </c>
      <c r="P335" s="680">
        <f t="shared" si="173"/>
        <v>1.5707909859532989</v>
      </c>
      <c r="Q335" s="689">
        <f t="shared" si="163"/>
        <v>4.2995218737462597</v>
      </c>
      <c r="R335" s="690">
        <f t="shared" si="164"/>
        <v>1.3360626223117333</v>
      </c>
      <c r="S335" s="677">
        <f t="shared" si="174"/>
        <v>1.0054494916276322</v>
      </c>
      <c r="T335" s="680">
        <f t="shared" si="175"/>
        <v>0.10416197674731942</v>
      </c>
      <c r="U335" s="681">
        <f t="shared" si="187"/>
        <v>0.87219585795560306</v>
      </c>
      <c r="V335" s="682">
        <f t="shared" si="188"/>
        <v>-0.64048851848300559</v>
      </c>
      <c r="W335" s="683">
        <f t="shared" si="176"/>
        <v>-8.6113315932441807</v>
      </c>
      <c r="X335" s="684">
        <f t="shared" si="177"/>
        <v>-149.39881788960918</v>
      </c>
      <c r="Y335" s="687">
        <f t="shared" si="178"/>
        <v>30.601182110390823</v>
      </c>
      <c r="AA335" s="170">
        <f t="shared" si="179"/>
        <v>24833</v>
      </c>
      <c r="AB335" s="170">
        <f t="shared" si="180"/>
        <v>616677889</v>
      </c>
      <c r="AD335" s="686">
        <f t="shared" si="181"/>
        <v>12.27884213096109</v>
      </c>
      <c r="AE335" s="687">
        <f t="shared" si="182"/>
        <v>-19.416986244222112</v>
      </c>
      <c r="AG335" s="686">
        <f t="shared" si="183"/>
        <v>23.446597284568771</v>
      </c>
      <c r="AH335" s="687">
        <f t="shared" si="184"/>
        <v>-56.587253690195482</v>
      </c>
      <c r="AJ335" s="170">
        <f t="shared" si="185"/>
        <v>0</v>
      </c>
      <c r="AK335" s="170">
        <f t="shared" si="165"/>
        <v>0</v>
      </c>
      <c r="AM335" s="170" t="str">
        <f t="shared" si="189"/>
        <v>0.441647570041095+0.82960385965772i</v>
      </c>
      <c r="AN335" s="170" t="str">
        <f t="shared" si="190"/>
        <v>0.978397829139505i</v>
      </c>
      <c r="AO335" s="170" t="str">
        <f t="shared" si="191"/>
        <v>0.84792078942709-0.451398763251061i</v>
      </c>
      <c r="AP335" s="170" t="str">
        <f t="shared" si="192"/>
        <v>0.0930587383264842-0.138267309942953i</v>
      </c>
      <c r="AQ335" s="170" t="str">
        <f t="shared" si="193"/>
        <v>0.906941261673516+0.138267309942953i</v>
      </c>
      <c r="AR335" s="170" t="str">
        <f t="shared" si="194"/>
        <v>0.897609249199944-0.136844602303989i</v>
      </c>
    </row>
    <row r="336" spans="7:44">
      <c r="G336" s="688">
        <v>24976</v>
      </c>
      <c r="H336" s="676">
        <f t="shared" si="186"/>
        <v>24.975999999999999</v>
      </c>
      <c r="I336" s="677">
        <f t="shared" si="166"/>
        <v>8.5994140897664106</v>
      </c>
      <c r="J336" s="678">
        <f t="shared" si="167"/>
        <v>1.4542456417051997</v>
      </c>
      <c r="K336" s="678">
        <f t="shared" si="168"/>
        <v>1.0004924119569301</v>
      </c>
      <c r="L336" s="679">
        <f t="shared" si="169"/>
        <v>3.1375467609284204E-2</v>
      </c>
      <c r="M336" s="678">
        <f t="shared" si="170"/>
        <v>1.0217899907750252</v>
      </c>
      <c r="N336" s="679">
        <f t="shared" si="171"/>
        <v>-0.20688905839832264</v>
      </c>
      <c r="O336" s="677">
        <f t="shared" si="172"/>
        <v>188314.60326601518</v>
      </c>
      <c r="P336" s="680">
        <f t="shared" si="173"/>
        <v>1.5707910165322687</v>
      </c>
      <c r="Q336" s="689">
        <f t="shared" si="163"/>
        <v>4.3229448273426927</v>
      </c>
      <c r="R336" s="690">
        <f t="shared" si="164"/>
        <v>1.3373581627259978</v>
      </c>
      <c r="S336" s="677">
        <f t="shared" si="174"/>
        <v>1.0055122612318834</v>
      </c>
      <c r="T336" s="680">
        <f t="shared" si="175"/>
        <v>0.10475742373709807</v>
      </c>
      <c r="U336" s="681">
        <f t="shared" si="187"/>
        <v>0.87098025060466688</v>
      </c>
      <c r="V336" s="682">
        <f t="shared" si="188"/>
        <v>-0.64373953272277584</v>
      </c>
      <c r="W336" s="683">
        <f t="shared" si="176"/>
        <v>-8.6737253614844168</v>
      </c>
      <c r="X336" s="684">
        <f t="shared" si="177"/>
        <v>-149.63875972171914</v>
      </c>
      <c r="Y336" s="687">
        <f t="shared" si="178"/>
        <v>30.36124027828086</v>
      </c>
      <c r="AA336" s="170">
        <f t="shared" si="179"/>
        <v>24976</v>
      </c>
      <c r="AB336" s="170">
        <f t="shared" si="180"/>
        <v>623800576</v>
      </c>
      <c r="AD336" s="686">
        <f t="shared" si="181"/>
        <v>12.275616549771179</v>
      </c>
      <c r="AE336" s="687">
        <f t="shared" si="182"/>
        <v>-19.376875597734291</v>
      </c>
      <c r="AG336" s="686">
        <f t="shared" si="183"/>
        <v>23.411657591594647</v>
      </c>
      <c r="AH336" s="687">
        <f t="shared" si="184"/>
        <v>-56.494767378216011</v>
      </c>
      <c r="AJ336" s="170">
        <f t="shared" si="185"/>
        <v>0</v>
      </c>
      <c r="AK336" s="170">
        <f t="shared" si="165"/>
        <v>0</v>
      </c>
      <c r="AM336" s="170" t="str">
        <f t="shared" si="189"/>
        <v>0.446330454307855+0.832736473425449i</v>
      </c>
      <c r="AN336" s="170" t="str">
        <f t="shared" si="190"/>
        <v>0.984031900317653i</v>
      </c>
      <c r="AO336" s="170" t="str">
        <f t="shared" si="191"/>
        <v>0.846249469307484-0.453573155670844i</v>
      </c>
      <c r="AP336" s="170" t="str">
        <f t="shared" si="192"/>
        <v>0.0922782576153575-0.138789412237575i</v>
      </c>
      <c r="AQ336" s="170" t="str">
        <f t="shared" si="193"/>
        <v>0.907721742384643+0.138789412237575i</v>
      </c>
      <c r="AR336" s="170" t="str">
        <f t="shared" si="194"/>
        <v>0.896718625337326-0.137107050698271i</v>
      </c>
    </row>
    <row r="337" spans="7:44">
      <c r="G337" s="688">
        <v>25119</v>
      </c>
      <c r="H337" s="676">
        <f t="shared" si="186"/>
        <v>25.119</v>
      </c>
      <c r="I337" s="677">
        <f t="shared" si="166"/>
        <v>8.6479860737588581</v>
      </c>
      <c r="J337" s="678">
        <f t="shared" si="167"/>
        <v>1.454903211350782</v>
      </c>
      <c r="K337" s="678">
        <f t="shared" si="168"/>
        <v>1.0004980652971682</v>
      </c>
      <c r="L337" s="679">
        <f t="shared" si="169"/>
        <v>3.1554988854091637E-2</v>
      </c>
      <c r="M337" s="678">
        <f t="shared" si="170"/>
        <v>1.0220375239965631</v>
      </c>
      <c r="N337" s="679">
        <f t="shared" si="171"/>
        <v>-0.20803980925423662</v>
      </c>
      <c r="O337" s="677">
        <f t="shared" si="172"/>
        <v>189392.79786348005</v>
      </c>
      <c r="P337" s="680">
        <f t="shared" si="173"/>
        <v>1.5707910467630724</v>
      </c>
      <c r="Q337" s="689">
        <f t="shared" si="163"/>
        <v>4.3463749584671056</v>
      </c>
      <c r="R337" s="690">
        <f t="shared" si="164"/>
        <v>1.3386397374564958</v>
      </c>
      <c r="S337" s="677">
        <f t="shared" si="174"/>
        <v>1.0055753873030822</v>
      </c>
      <c r="T337" s="680">
        <f t="shared" si="175"/>
        <v>0.10535279617830402</v>
      </c>
      <c r="U337" s="681">
        <f t="shared" si="187"/>
        <v>0.86976239546494594</v>
      </c>
      <c r="V337" s="682">
        <f t="shared" si="188"/>
        <v>-0.64698452301016562</v>
      </c>
      <c r="W337" s="683">
        <f t="shared" si="176"/>
        <v>-8.7358328889685986</v>
      </c>
      <c r="X337" s="684">
        <f t="shared" si="177"/>
        <v>-149.87869253013281</v>
      </c>
      <c r="Y337" s="687">
        <f t="shared" si="178"/>
        <v>30.12130746986719</v>
      </c>
      <c r="AA337" s="170">
        <f t="shared" si="179"/>
        <v>25119</v>
      </c>
      <c r="AB337" s="170">
        <f t="shared" si="180"/>
        <v>630964161</v>
      </c>
      <c r="AD337" s="686">
        <f t="shared" si="181"/>
        <v>12.272432004007161</v>
      </c>
      <c r="AE337" s="687">
        <f t="shared" si="182"/>
        <v>-19.337560834718182</v>
      </c>
      <c r="AG337" s="686">
        <f t="shared" si="183"/>
        <v>23.377041837800526</v>
      </c>
      <c r="AH337" s="687">
        <f t="shared" si="184"/>
        <v>-56.402166453164142</v>
      </c>
      <c r="AJ337" s="170">
        <f t="shared" si="185"/>
        <v>0</v>
      </c>
      <c r="AK337" s="170">
        <f t="shared" si="165"/>
        <v>0</v>
      </c>
      <c r="AM337" s="170" t="str">
        <f t="shared" si="189"/>
        <v>0.451030913526549+0.835842653910713i</v>
      </c>
      <c r="AN337" s="170" t="str">
        <f t="shared" si="190"/>
        <v>0.989665971495801i</v>
      </c>
      <c r="AO337" s="170" t="str">
        <f t="shared" si="191"/>
        <v>0.844570469213369-0.455740549354093i</v>
      </c>
      <c r="AP337" s="170" t="str">
        <f t="shared" si="192"/>
        <v>0.0914948477455752-0.139307108985119i</v>
      </c>
      <c r="AQ337" s="170" t="str">
        <f t="shared" si="193"/>
        <v>0.908505152254425+0.139307108985119i</v>
      </c>
      <c r="AR337" s="170" t="str">
        <f t="shared" si="194"/>
        <v>0.895827968807883-0.13736323252869i</v>
      </c>
    </row>
    <row r="338" spans="7:44">
      <c r="G338" s="688">
        <v>25265.25</v>
      </c>
      <c r="H338" s="676">
        <f t="shared" si="186"/>
        <v>25.265250000000002</v>
      </c>
      <c r="I338" s="677">
        <f t="shared" si="166"/>
        <v>8.6976657906017714</v>
      </c>
      <c r="J338" s="678">
        <f t="shared" si="167"/>
        <v>1.455568128817573</v>
      </c>
      <c r="K338" s="678">
        <f t="shared" si="168"/>
        <v>1.0005038804735111</v>
      </c>
      <c r="L338" s="679">
        <f t="shared" si="169"/>
        <v>3.1738588022661669E-2</v>
      </c>
      <c r="M338" s="678">
        <f t="shared" si="170"/>
        <v>1.0222920821851402</v>
      </c>
      <c r="N338" s="679">
        <f t="shared" si="171"/>
        <v>-0.20921613552228024</v>
      </c>
      <c r="O338" s="677">
        <f t="shared" si="172"/>
        <v>190495.49688361477</v>
      </c>
      <c r="P338" s="680">
        <f t="shared" si="173"/>
        <v>1.5707910773269755</v>
      </c>
      <c r="Q338" s="689">
        <f t="shared" si="163"/>
        <v>4.3703448963320133</v>
      </c>
      <c r="R338" s="690">
        <f t="shared" si="164"/>
        <v>1.3399362232334857</v>
      </c>
      <c r="S338" s="677">
        <f t="shared" si="174"/>
        <v>1.0056403166990471</v>
      </c>
      <c r="T338" s="680">
        <f t="shared" si="175"/>
        <v>0.10596162227688856</v>
      </c>
      <c r="U338" s="681">
        <f t="shared" si="187"/>
        <v>0.86851458843211293</v>
      </c>
      <c r="V338" s="682">
        <f t="shared" si="188"/>
        <v>-0.65029703214342871</v>
      </c>
      <c r="W338" s="683">
        <f t="shared" si="176"/>
        <v>-8.7990596200792819</v>
      </c>
      <c r="X338" s="684">
        <f t="shared" si="177"/>
        <v>-150.12406311479614</v>
      </c>
      <c r="Y338" s="687">
        <f t="shared" si="178"/>
        <v>29.875936885203856</v>
      </c>
      <c r="AA338" s="170">
        <f t="shared" si="179"/>
        <v>25265.25</v>
      </c>
      <c r="AB338" s="170">
        <f t="shared" si="180"/>
        <v>638332857.5625</v>
      </c>
      <c r="AD338" s="686">
        <f t="shared" si="181"/>
        <v>12.269216536429893</v>
      </c>
      <c r="AE338" s="687">
        <f t="shared" si="182"/>
        <v>-19.298162588541871</v>
      </c>
      <c r="AG338" s="686">
        <f t="shared" si="183"/>
        <v>23.341970940247538</v>
      </c>
      <c r="AH338" s="687">
        <f t="shared" si="184"/>
        <v>-56.307349697701042</v>
      </c>
      <c r="AJ338" s="170">
        <f t="shared" si="185"/>
        <v>0</v>
      </c>
      <c r="AK338" s="170">
        <f t="shared" si="165"/>
        <v>0</v>
      </c>
      <c r="AM338" s="170" t="str">
        <f t="shared" si="189"/>
        <v>0.455856224498189+0.838991985410251i</v>
      </c>
      <c r="AN338" s="170" t="str">
        <f t="shared" si="190"/>
        <v>0.99542808974618i</v>
      </c>
      <c r="AO338" s="170" t="str">
        <f t="shared" si="191"/>
        <v>0.842845398932013-0.457949930481092i</v>
      </c>
      <c r="AP338" s="170" t="str">
        <f t="shared" si="192"/>
        <v>0.0906906292503018-0.139831997568375i</v>
      </c>
      <c r="AQ338" s="170" t="str">
        <f t="shared" si="193"/>
        <v>0.909309370749698+0.139831997568375i</v>
      </c>
      <c r="AR338" s="170" t="str">
        <f t="shared" si="194"/>
        <v>0.894917085057684-0.137618777158879i</v>
      </c>
    </row>
    <row r="339" spans="7:44">
      <c r="G339" s="688">
        <v>25411.5</v>
      </c>
      <c r="H339" s="676">
        <f t="shared" si="186"/>
        <v>25.4115</v>
      </c>
      <c r="I339" s="677">
        <f t="shared" si="166"/>
        <v>8.7473493091354637</v>
      </c>
      <c r="J339" s="678">
        <f t="shared" si="167"/>
        <v>1.4562254933265484</v>
      </c>
      <c r="K339" s="678">
        <f t="shared" si="168"/>
        <v>1.0005097293751011</v>
      </c>
      <c r="L339" s="679">
        <f t="shared" si="169"/>
        <v>3.1922185050807704E-2</v>
      </c>
      <c r="M339" s="678">
        <f t="shared" si="170"/>
        <v>1.0225480542582783</v>
      </c>
      <c r="N339" s="679">
        <f t="shared" si="171"/>
        <v>-0.21039187448253738</v>
      </c>
      <c r="O339" s="677">
        <f t="shared" si="172"/>
        <v>191598.19590374967</v>
      </c>
      <c r="P339" s="680">
        <f t="shared" si="173"/>
        <v>1.5707911075390717</v>
      </c>
      <c r="Q339" s="689">
        <f t="shared" si="163"/>
        <v>4.3943221000535839</v>
      </c>
      <c r="R339" s="690">
        <f t="shared" si="164"/>
        <v>1.3412185628418609</v>
      </c>
      <c r="S339" s="677">
        <f t="shared" si="174"/>
        <v>1.0057056188067097</v>
      </c>
      <c r="T339" s="680">
        <f t="shared" si="175"/>
        <v>0.1065703695369476</v>
      </c>
      <c r="U339" s="681">
        <f t="shared" si="187"/>
        <v>0.86726453474440068</v>
      </c>
      <c r="V339" s="682">
        <f t="shared" si="188"/>
        <v>-0.65360324060657915</v>
      </c>
      <c r="W339" s="683">
        <f t="shared" si="176"/>
        <v>-8.8619944709273195</v>
      </c>
      <c r="X339" s="684">
        <f t="shared" si="177"/>
        <v>-150.36941239591414</v>
      </c>
      <c r="Y339" s="687">
        <f t="shared" si="178"/>
        <v>29.630587604085861</v>
      </c>
      <c r="AA339" s="170">
        <f t="shared" si="179"/>
        <v>25411.5</v>
      </c>
      <c r="AB339" s="170">
        <f t="shared" si="180"/>
        <v>645744332.25</v>
      </c>
      <c r="AD339" s="686">
        <f t="shared" si="181"/>
        <v>12.266042006665806</v>
      </c>
      <c r="AE339" s="687">
        <f t="shared" si="182"/>
        <v>-19.259570320852543</v>
      </c>
      <c r="AG339" s="686">
        <f t="shared" si="183"/>
        <v>23.30723184474525</v>
      </c>
      <c r="AH339" s="687">
        <f t="shared" si="184"/>
        <v>-56.212427663817515</v>
      </c>
      <c r="AJ339" s="170">
        <f t="shared" si="185"/>
        <v>0</v>
      </c>
      <c r="AK339" s="170">
        <f t="shared" si="165"/>
        <v>0</v>
      </c>
      <c r="AM339" s="170" t="str">
        <f t="shared" si="189"/>
        <v>0.46069960208514+0.842113460769316i</v>
      </c>
      <c r="AN339" s="170" t="str">
        <f t="shared" si="190"/>
        <v>1.00119020799656i</v>
      </c>
      <c r="AO339" s="170" t="str">
        <f t="shared" si="191"/>
        <v>0.841112362109927-0.460151925583678i</v>
      </c>
      <c r="AP339" s="170" t="str">
        <f t="shared" si="192"/>
        <v>0.0898833996524767-0.140352243461553i</v>
      </c>
      <c r="AQ339" s="170" t="str">
        <f t="shared" si="193"/>
        <v>0.910116600347523+0.140352243461553i</v>
      </c>
      <c r="AR339" s="170" t="str">
        <f t="shared" si="194"/>
        <v>0.894006265643862-0.137867812765847i</v>
      </c>
    </row>
    <row r="340" spans="7:44">
      <c r="G340" s="688">
        <v>25557.75</v>
      </c>
      <c r="H340" s="676">
        <f t="shared" si="186"/>
        <v>25.557749999999999</v>
      </c>
      <c r="I340" s="677">
        <f t="shared" si="166"/>
        <v>8.7970365649468665</v>
      </c>
      <c r="J340" s="678">
        <f t="shared" si="167"/>
        <v>1.4568754322861297</v>
      </c>
      <c r="K340" s="678">
        <f t="shared" si="168"/>
        <v>1.0005156120013468</v>
      </c>
      <c r="L340" s="679">
        <f t="shared" si="169"/>
        <v>3.2105779926190056E-2</v>
      </c>
      <c r="M340" s="678">
        <f t="shared" si="170"/>
        <v>1.0228054391544408</v>
      </c>
      <c r="N340" s="679">
        <f t="shared" si="171"/>
        <v>-0.21156702332658653</v>
      </c>
      <c r="O340" s="677">
        <f t="shared" si="172"/>
        <v>192700.89492388474</v>
      </c>
      <c r="P340" s="680">
        <f t="shared" si="173"/>
        <v>1.5707911374054004</v>
      </c>
      <c r="Q340" s="689">
        <f t="shared" si="163"/>
        <v>4.4183064513410706</v>
      </c>
      <c r="R340" s="690">
        <f t="shared" si="164"/>
        <v>1.342486982402926</v>
      </c>
      <c r="S340" s="677">
        <f t="shared" si="174"/>
        <v>1.0057712935534731</v>
      </c>
      <c r="T340" s="680">
        <f t="shared" si="175"/>
        <v>0.10717903752271074</v>
      </c>
      <c r="U340" s="681">
        <f t="shared" si="187"/>
        <v>0.86601228669248453</v>
      </c>
      <c r="V340" s="682">
        <f t="shared" si="188"/>
        <v>-0.65690314901464775</v>
      </c>
      <c r="W340" s="683">
        <f t="shared" si="176"/>
        <v>-8.9246411289761305</v>
      </c>
      <c r="X340" s="684">
        <f t="shared" si="177"/>
        <v>-150.61473456806837</v>
      </c>
      <c r="Y340" s="687">
        <f t="shared" si="178"/>
        <v>29.385265431931629</v>
      </c>
      <c r="AA340" s="170">
        <f t="shared" si="179"/>
        <v>25557.75</v>
      </c>
      <c r="AB340" s="170">
        <f t="shared" si="180"/>
        <v>653198585.0625</v>
      </c>
      <c r="AD340" s="686">
        <f t="shared" si="181"/>
        <v>12.26290745187633</v>
      </c>
      <c r="AE340" s="687">
        <f t="shared" si="182"/>
        <v>-19.221771051232039</v>
      </c>
      <c r="AG340" s="686">
        <f t="shared" si="183"/>
        <v>23.272821075874901</v>
      </c>
      <c r="AH340" s="687">
        <f t="shared" si="184"/>
        <v>-56.117407456036062</v>
      </c>
      <c r="AJ340" s="170">
        <f t="shared" si="185"/>
        <v>0</v>
      </c>
      <c r="AK340" s="170">
        <f t="shared" si="165"/>
        <v>0</v>
      </c>
      <c r="AM340" s="170" t="str">
        <f t="shared" si="189"/>
        <v>0.46556088547799+0.845206976348947i</v>
      </c>
      <c r="AN340" s="170" t="str">
        <f t="shared" si="190"/>
        <v>1.00695232624694i</v>
      </c>
      <c r="AO340" s="170" t="str">
        <f t="shared" si="191"/>
        <v>0.839371392585345-0.462346501758633i</v>
      </c>
      <c r="AP340" s="170" t="str">
        <f t="shared" si="192"/>
        <v>0.0890731857536683-0.140867829391491i</v>
      </c>
      <c r="AQ340" s="170" t="str">
        <f t="shared" si="193"/>
        <v>0.910926814246332+0.140867829391491i</v>
      </c>
      <c r="AR340" s="170" t="str">
        <f t="shared" si="194"/>
        <v>0.893095559635733-0.138110362937503i</v>
      </c>
    </row>
    <row r="341" spans="7:44">
      <c r="G341" s="688">
        <v>25704</v>
      </c>
      <c r="H341" s="676">
        <f t="shared" si="186"/>
        <v>25.704000000000001</v>
      </c>
      <c r="I341" s="677">
        <f t="shared" si="166"/>
        <v>8.8467274950652115</v>
      </c>
      <c r="J341" s="678">
        <f t="shared" si="167"/>
        <v>1.4575180702676096</v>
      </c>
      <c r="K341" s="678">
        <f t="shared" si="168"/>
        <v>1.0005215283516533</v>
      </c>
      <c r="L341" s="679">
        <f t="shared" si="169"/>
        <v>3.2289372636469922E-2</v>
      </c>
      <c r="M341" s="678">
        <f t="shared" si="170"/>
        <v>1.0230642358073043</v>
      </c>
      <c r="N341" s="679">
        <f t="shared" si="171"/>
        <v>-0.21274157925534418</v>
      </c>
      <c r="O341" s="677">
        <f t="shared" si="172"/>
        <v>193803.59394401999</v>
      </c>
      <c r="P341" s="680">
        <f t="shared" si="173"/>
        <v>1.5707911669318639</v>
      </c>
      <c r="Q341" s="689">
        <f t="shared" si="163"/>
        <v>4.442297834423492</v>
      </c>
      <c r="R341" s="690">
        <f t="shared" si="164"/>
        <v>1.3437417033345189</v>
      </c>
      <c r="S341" s="677">
        <f t="shared" si="174"/>
        <v>1.0058373408663437</v>
      </c>
      <c r="T341" s="680">
        <f t="shared" si="175"/>
        <v>0.10778762579875607</v>
      </c>
      <c r="U341" s="681">
        <f t="shared" si="187"/>
        <v>0.86475789620776566</v>
      </c>
      <c r="V341" s="682">
        <f t="shared" si="188"/>
        <v>-0.66019675832038294</v>
      </c>
      <c r="W341" s="683">
        <f t="shared" si="176"/>
        <v>-8.9870032073625765</v>
      </c>
      <c r="X341" s="684">
        <f t="shared" si="177"/>
        <v>-150.86002395267067</v>
      </c>
      <c r="Y341" s="687">
        <f t="shared" si="178"/>
        <v>29.139976047329327</v>
      </c>
      <c r="AA341" s="170">
        <f t="shared" si="179"/>
        <v>25704</v>
      </c>
      <c r="AB341" s="170">
        <f t="shared" si="180"/>
        <v>660695616</v>
      </c>
      <c r="AD341" s="686">
        <f t="shared" si="181"/>
        <v>12.259811935198972</v>
      </c>
      <c r="AE341" s="687">
        <f t="shared" si="182"/>
        <v>-19.184752068763014</v>
      </c>
      <c r="AG341" s="686">
        <f t="shared" si="183"/>
        <v>23.23873520962421</v>
      </c>
      <c r="AH341" s="687">
        <f t="shared" si="184"/>
        <v>-56.022295997508827</v>
      </c>
      <c r="AJ341" s="170">
        <f t="shared" si="185"/>
        <v>0</v>
      </c>
      <c r="AK341" s="170">
        <f t="shared" si="165"/>
        <v>0</v>
      </c>
      <c r="AM341" s="170" t="str">
        <f t="shared" si="189"/>
        <v>0.470439913272823+0.848272429438506i</v>
      </c>
      <c r="AN341" s="170" t="str">
        <f t="shared" si="190"/>
        <v>1.01271444449732i</v>
      </c>
      <c r="AO341" s="170" t="str">
        <f t="shared" si="191"/>
        <v>0.837622524343041-0.464533626264544i</v>
      </c>
      <c r="AP341" s="170" t="str">
        <f t="shared" si="192"/>
        <v>0.0882600144545295-0.141378738239751i</v>
      </c>
      <c r="AQ341" s="170" t="str">
        <f t="shared" si="193"/>
        <v>0.911739985545471+0.141378738239751i</v>
      </c>
      <c r="AR341" s="170" t="str">
        <f t="shared" si="194"/>
        <v>0.892185015606247-0.138346451600847i</v>
      </c>
    </row>
    <row r="342" spans="7:44">
      <c r="G342" s="688">
        <v>25853.75</v>
      </c>
      <c r="H342" s="676">
        <f t="shared" si="186"/>
        <v>25.853750000000002</v>
      </c>
      <c r="I342" s="677">
        <f t="shared" si="166"/>
        <v>8.8976113527966714</v>
      </c>
      <c r="J342" s="678">
        <f t="shared" si="167"/>
        <v>1.4581686496743849</v>
      </c>
      <c r="K342" s="678">
        <f t="shared" si="168"/>
        <v>1.000527621233531</v>
      </c>
      <c r="L342" s="679">
        <f t="shared" si="169"/>
        <v>3.2477356762118312E-2</v>
      </c>
      <c r="M342" s="678">
        <f t="shared" si="170"/>
        <v>1.0233306876050274</v>
      </c>
      <c r="N342" s="679">
        <f t="shared" si="171"/>
        <v>-0.21394362693199795</v>
      </c>
      <c r="O342" s="677">
        <f t="shared" si="172"/>
        <v>194932.68234241501</v>
      </c>
      <c r="P342" s="680">
        <f t="shared" si="173"/>
        <v>1.5707911968188044</v>
      </c>
      <c r="Q342" s="689">
        <f t="shared" si="163"/>
        <v>4.4668705381564848</v>
      </c>
      <c r="R342" s="690">
        <f t="shared" si="164"/>
        <v>1.3450124839213746</v>
      </c>
      <c r="S342" s="677">
        <f t="shared" si="174"/>
        <v>1.0059053547689796</v>
      </c>
      <c r="T342" s="680">
        <f t="shared" si="175"/>
        <v>0.1084106955322265</v>
      </c>
      <c r="U342" s="681">
        <f t="shared" si="187"/>
        <v>0.8634713200275218</v>
      </c>
      <c r="V342" s="682">
        <f t="shared" si="188"/>
        <v>-0.66356266336392045</v>
      </c>
      <c r="W342" s="683">
        <f t="shared" si="176"/>
        <v>-9.0505665323766049</v>
      </c>
      <c r="X342" s="684">
        <f t="shared" si="177"/>
        <v>-151.11114373622289</v>
      </c>
      <c r="Y342" s="687">
        <f t="shared" si="178"/>
        <v>28.888856263777114</v>
      </c>
      <c r="AA342" s="170">
        <f t="shared" si="179"/>
        <v>25853.75</v>
      </c>
      <c r="AB342" s="170">
        <f t="shared" si="180"/>
        <v>668416389.0625</v>
      </c>
      <c r="AD342" s="686">
        <f t="shared" si="181"/>
        <v>12.256681836353247</v>
      </c>
      <c r="AE342" s="687">
        <f t="shared" si="182"/>
        <v>-19.147642682872377</v>
      </c>
      <c r="AG342" s="686">
        <f t="shared" si="183"/>
        <v>23.204166748782164</v>
      </c>
      <c r="AH342" s="687">
        <f t="shared" si="184"/>
        <v>-55.924820860037954</v>
      </c>
      <c r="AJ342" s="170">
        <f t="shared" si="185"/>
        <v>0</v>
      </c>
      <c r="AK342" s="170">
        <f t="shared" si="165"/>
        <v>0</v>
      </c>
      <c r="AM342" s="170" t="str">
        <f t="shared" si="189"/>
        <v>0.475453921390556+0.851382059603945i</v>
      </c>
      <c r="AN342" s="170" t="str">
        <f t="shared" si="190"/>
        <v>1.01861445959471i</v>
      </c>
      <c r="AO342" s="170" t="str">
        <f t="shared" si="191"/>
        <v>0.835823653968839-0.466765336886864i</v>
      </c>
      <c r="AP342" s="170" t="str">
        <f t="shared" si="192"/>
        <v>0.0874243464349073-0.141897009933991i</v>
      </c>
      <c r="AQ342" s="170" t="str">
        <f t="shared" si="193"/>
        <v>0.912575653565093+0.141897009933991i</v>
      </c>
      <c r="AR342" s="170" t="str">
        <f t="shared" si="194"/>
        <v>0.891252898828922-0.138581520276998i</v>
      </c>
    </row>
    <row r="343" spans="7:44">
      <c r="G343" s="688">
        <v>26003.5</v>
      </c>
      <c r="H343" s="676">
        <f t="shared" si="186"/>
        <v>26.003499999999999</v>
      </c>
      <c r="I343" s="677">
        <f t="shared" si="166"/>
        <v>8.948498933644327</v>
      </c>
      <c r="J343" s="678">
        <f t="shared" si="167"/>
        <v>1.4588118300288933</v>
      </c>
      <c r="K343" s="678">
        <f t="shared" si="168"/>
        <v>1.0005337494716537</v>
      </c>
      <c r="L343" s="679">
        <f t="shared" si="169"/>
        <v>3.2665338591615696E-2</v>
      </c>
      <c r="M343" s="678">
        <f t="shared" si="170"/>
        <v>1.0235986172612657</v>
      </c>
      <c r="N343" s="679">
        <f t="shared" si="171"/>
        <v>-0.21514504706550788</v>
      </c>
      <c r="O343" s="677">
        <f t="shared" si="172"/>
        <v>196061.77074081026</v>
      </c>
      <c r="P343" s="680">
        <f t="shared" si="173"/>
        <v>1.5707912263615167</v>
      </c>
      <c r="Q343" s="689">
        <f t="shared" ref="Q343:Q406" si="195">SQRT(1+(G343/Zero2)^2)</f>
        <v>4.4914503764275908</v>
      </c>
      <c r="R343" s="690">
        <f t="shared" ref="R343:R406" si="196">ATAN(G343/Zero2)</f>
        <v>1.346269357613127</v>
      </c>
      <c r="S343" s="677">
        <f t="shared" si="174"/>
        <v>1.0059737591271678</v>
      </c>
      <c r="T343" s="680">
        <f t="shared" si="175"/>
        <v>0.10903368077233951</v>
      </c>
      <c r="U343" s="681">
        <f t="shared" si="187"/>
        <v>0.86218260667681157</v>
      </c>
      <c r="V343" s="682">
        <f t="shared" si="188"/>
        <v>-0.6669219672937734</v>
      </c>
      <c r="W343" s="683">
        <f t="shared" si="176"/>
        <v>-9.1138389301543459</v>
      </c>
      <c r="X343" s="684">
        <f t="shared" si="177"/>
        <v>-151.36221749089964</v>
      </c>
      <c r="Y343" s="687">
        <f t="shared" si="178"/>
        <v>28.637782509100361</v>
      </c>
      <c r="AA343" s="170">
        <f t="shared" si="179"/>
        <v>26003.5</v>
      </c>
      <c r="AB343" s="170">
        <f t="shared" si="180"/>
        <v>676182012.25</v>
      </c>
      <c r="AD343" s="686">
        <f t="shared" si="181"/>
        <v>12.253590758391439</v>
      </c>
      <c r="AE343" s="687">
        <f t="shared" si="182"/>
        <v>-19.111325242542584</v>
      </c>
      <c r="AG343" s="686">
        <f t="shared" si="183"/>
        <v>23.169931822613457</v>
      </c>
      <c r="AH343" s="687">
        <f t="shared" si="184"/>
        <v>-55.827264180040061</v>
      </c>
      <c r="AJ343" s="170">
        <f t="shared" si="185"/>
        <v>0</v>
      </c>
      <c r="AK343" s="170">
        <f t="shared" ref="AK343:AK406" si="197">IF(AJ343&gt;0,Y343,0)</f>
        <v>0</v>
      </c>
      <c r="AM343" s="170" t="str">
        <f t="shared" si="189"/>
        <v>0.480486188997774+0.854462053094193i</v>
      </c>
      <c r="AN343" s="170" t="str">
        <f t="shared" si="190"/>
        <v>1.02451447469211i</v>
      </c>
      <c r="AO343" s="170" t="str">
        <f t="shared" si="191"/>
        <v>0.834016574876581-0.468989165958022i</v>
      </c>
      <c r="AP343" s="170" t="str">
        <f t="shared" si="192"/>
        <v>0.0865856351670377-0.142410342182366i</v>
      </c>
      <c r="AQ343" s="170" t="str">
        <f t="shared" si="193"/>
        <v>0.913414364832962+0.142410342182366i</v>
      </c>
      <c r="AR343" s="170" t="str">
        <f t="shared" si="194"/>
        <v>0.890321053348614-0.138809866300633i</v>
      </c>
    </row>
    <row r="344" spans="7:44">
      <c r="G344" s="688">
        <v>26153.25</v>
      </c>
      <c r="H344" s="676">
        <f t="shared" si="186"/>
        <v>26.15325</v>
      </c>
      <c r="I344" s="677">
        <f t="shared" si="166"/>
        <v>8.9993901744504416</v>
      </c>
      <c r="J344" s="678">
        <f t="shared" si="167"/>
        <v>1.4594477363185818</v>
      </c>
      <c r="K344" s="678">
        <f t="shared" si="168"/>
        <v>1.0005399130653723</v>
      </c>
      <c r="L344" s="679">
        <f t="shared" si="169"/>
        <v>3.2853318111718884E-2</v>
      </c>
      <c r="M344" s="678">
        <f t="shared" si="170"/>
        <v>1.0238680236158242</v>
      </c>
      <c r="N344" s="679">
        <f t="shared" si="171"/>
        <v>-0.21634583668161</v>
      </c>
      <c r="O344" s="677">
        <f t="shared" si="172"/>
        <v>197190.85913920566</v>
      </c>
      <c r="P344" s="680">
        <f t="shared" si="173"/>
        <v>1.5707912555659138</v>
      </c>
      <c r="Q344" s="689">
        <f t="shared" si="195"/>
        <v>4.5160372327414509</v>
      </c>
      <c r="R344" s="690">
        <f t="shared" si="196"/>
        <v>1.3475125475476912</v>
      </c>
      <c r="S344" s="677">
        <f t="shared" si="174"/>
        <v>1.0060425538612627</v>
      </c>
      <c r="T344" s="680">
        <f t="shared" si="175"/>
        <v>0.10965658105280524</v>
      </c>
      <c r="U344" s="681">
        <f t="shared" si="187"/>
        <v>0.86089181072081444</v>
      </c>
      <c r="V344" s="682">
        <f t="shared" si="188"/>
        <v>-0.67027467221072867</v>
      </c>
      <c r="W344" s="683">
        <f t="shared" si="176"/>
        <v>-9.1768240495352416</v>
      </c>
      <c r="X344" s="684">
        <f t="shared" si="177"/>
        <v>-151.61323951742796</v>
      </c>
      <c r="Y344" s="687">
        <f t="shared" si="178"/>
        <v>28.386760482572043</v>
      </c>
      <c r="AA344" s="170">
        <f t="shared" si="179"/>
        <v>26153.25</v>
      </c>
      <c r="AB344" s="170">
        <f t="shared" si="180"/>
        <v>683992485.5625</v>
      </c>
      <c r="AD344" s="686">
        <f t="shared" si="181"/>
        <v>12.250537774909922</v>
      </c>
      <c r="AE344" s="687">
        <f t="shared" si="182"/>
        <v>-19.075786936535195</v>
      </c>
      <c r="AG344" s="686">
        <f t="shared" si="183"/>
        <v>23.136026916189802</v>
      </c>
      <c r="AH344" s="687">
        <f t="shared" si="184"/>
        <v>-55.729632828748166</v>
      </c>
      <c r="AJ344" s="170">
        <f t="shared" si="185"/>
        <v>0</v>
      </c>
      <c r="AK344" s="170">
        <f t="shared" si="197"/>
        <v>0</v>
      </c>
      <c r="AM344" s="170" t="str">
        <f t="shared" si="189"/>
        <v>0.485536540920835+0.857512302694428i</v>
      </c>
      <c r="AN344" s="170" t="str">
        <f t="shared" si="190"/>
        <v>1.0304144897895i</v>
      </c>
      <c r="AO344" s="170" t="str">
        <f t="shared" si="191"/>
        <v>0.832201324022148-0.471205078861055i</v>
      </c>
      <c r="AP344" s="170" t="str">
        <f t="shared" si="192"/>
        <v>0.0857439098465275-0.142918717115738i</v>
      </c>
      <c r="AQ344" s="170" t="str">
        <f t="shared" si="193"/>
        <v>0.914256090153473+0.142918717115738i</v>
      </c>
      <c r="AR344" s="170" t="str">
        <f t="shared" si="194"/>
        <v>0.889389529688366-0.139031516407939i</v>
      </c>
    </row>
    <row r="345" spans="7:44">
      <c r="G345" s="688">
        <v>26303</v>
      </c>
      <c r="H345" s="676">
        <f t="shared" si="186"/>
        <v>26.303000000000001</v>
      </c>
      <c r="I345" s="677">
        <f t="shared" si="166"/>
        <v>9.050285013473367</v>
      </c>
      <c r="J345" s="678">
        <f t="shared" si="167"/>
        <v>1.4600764907432353</v>
      </c>
      <c r="K345" s="678">
        <f t="shared" si="168"/>
        <v>1.0005461120140329</v>
      </c>
      <c r="L345" s="679">
        <f t="shared" si="169"/>
        <v>3.3041295309185682E-2</v>
      </c>
      <c r="M345" s="678">
        <f t="shared" si="170"/>
        <v>1.0241389055033379</v>
      </c>
      <c r="N345" s="679">
        <f t="shared" si="171"/>
        <v>-0.21754599281643447</v>
      </c>
      <c r="O345" s="677">
        <f t="shared" si="172"/>
        <v>198319.94753760123</v>
      </c>
      <c r="P345" s="680">
        <f t="shared" si="173"/>
        <v>1.570791284437774</v>
      </c>
      <c r="Q345" s="689">
        <f t="shared" si="195"/>
        <v>4.5406309930930258</v>
      </c>
      <c r="R345" s="690">
        <f t="shared" si="196"/>
        <v>1.3487422721998543</v>
      </c>
      <c r="S345" s="677">
        <f t="shared" si="174"/>
        <v>1.0061117388911871</v>
      </c>
      <c r="T345" s="680">
        <f t="shared" si="175"/>
        <v>0.11027939590772479</v>
      </c>
      <c r="U345" s="681">
        <f t="shared" si="187"/>
        <v>0.85959898632093978</v>
      </c>
      <c r="V345" s="682">
        <f t="shared" si="188"/>
        <v>-0.67362078057151398</v>
      </c>
      <c r="W345" s="683">
        <f t="shared" si="176"/>
        <v>-9.2395254657462651</v>
      </c>
      <c r="X345" s="684">
        <f t="shared" si="177"/>
        <v>-151.86420424499516</v>
      </c>
      <c r="Y345" s="687">
        <f t="shared" si="178"/>
        <v>28.135795755004835</v>
      </c>
      <c r="AA345" s="170">
        <f t="shared" si="179"/>
        <v>26303</v>
      </c>
      <c r="AB345" s="170">
        <f t="shared" si="180"/>
        <v>691847809</v>
      </c>
      <c r="AD345" s="686">
        <f t="shared" si="181"/>
        <v>12.247521984575013</v>
      </c>
      <c r="AE345" s="687">
        <f t="shared" si="182"/>
        <v>-19.041015220804013</v>
      </c>
      <c r="AG345" s="686">
        <f t="shared" si="183"/>
        <v>23.102448566659572</v>
      </c>
      <c r="AH345" s="687">
        <f t="shared" si="184"/>
        <v>-55.631933497875551</v>
      </c>
      <c r="AJ345" s="170">
        <f t="shared" si="185"/>
        <v>0</v>
      </c>
      <c r="AK345" s="170">
        <f t="shared" si="197"/>
        <v>0</v>
      </c>
      <c r="AM345" s="170" t="str">
        <f t="shared" si="189"/>
        <v>0.490604801356617+0.860532702225237i</v>
      </c>
      <c r="AN345" s="170" t="str">
        <f t="shared" si="190"/>
        <v>1.0363145048869i</v>
      </c>
      <c r="AO345" s="170" t="str">
        <f t="shared" si="191"/>
        <v>0.830377938518918-0.473413041159894i</v>
      </c>
      <c r="AP345" s="170" t="str">
        <f t="shared" si="192"/>
        <v>0.0848991997738972-0.14342211703754i</v>
      </c>
      <c r="AQ345" s="170" t="str">
        <f t="shared" si="193"/>
        <v>0.915100800226103+0.14342211703754i</v>
      </c>
      <c r="AR345" s="170" t="str">
        <f t="shared" si="194"/>
        <v>0.888458377823637-0.139246497670771i</v>
      </c>
    </row>
    <row r="346" spans="7:44">
      <c r="G346" s="688">
        <v>26456</v>
      </c>
      <c r="H346" s="676">
        <f t="shared" si="186"/>
        <v>26.456</v>
      </c>
      <c r="I346" s="677">
        <f t="shared" si="166"/>
        <v>9.1022880683596998</v>
      </c>
      <c r="J346" s="678">
        <f t="shared" si="167"/>
        <v>1.4607116288352553</v>
      </c>
      <c r="K346" s="678">
        <f t="shared" si="168"/>
        <v>1.0005524820110112</v>
      </c>
      <c r="L346" s="679">
        <f t="shared" si="169"/>
        <v>3.3233349732759307E-2</v>
      </c>
      <c r="M346" s="678">
        <f t="shared" si="170"/>
        <v>1.0244171889942557</v>
      </c>
      <c r="N346" s="679">
        <f t="shared" si="171"/>
        <v>-0.21877153842023056</v>
      </c>
      <c r="O346" s="677">
        <f t="shared" si="172"/>
        <v>199473.54035866662</v>
      </c>
      <c r="P346" s="680">
        <f t="shared" si="173"/>
        <v>1.5707913135986691</v>
      </c>
      <c r="Q346" s="689">
        <f t="shared" si="195"/>
        <v>4.5657655222033595</v>
      </c>
      <c r="R346" s="690">
        <f t="shared" si="196"/>
        <v>1.349985001079683</v>
      </c>
      <c r="S346" s="677">
        <f t="shared" si="174"/>
        <v>1.006182828442395</v>
      </c>
      <c r="T346" s="680">
        <f t="shared" si="175"/>
        <v>0.1109156389017088</v>
      </c>
      <c r="U346" s="681">
        <f t="shared" si="187"/>
        <v>0.85827606492407016</v>
      </c>
      <c r="V346" s="682">
        <f t="shared" si="188"/>
        <v>-0.67703269904829233</v>
      </c>
      <c r="W346" s="683">
        <f t="shared" si="176"/>
        <v>-9.3032983190752514</v>
      </c>
      <c r="X346" s="684">
        <f t="shared" si="177"/>
        <v>-152.12055077812474</v>
      </c>
      <c r="Y346" s="687">
        <f t="shared" si="178"/>
        <v>27.879449221875262</v>
      </c>
      <c r="AA346" s="170">
        <f t="shared" si="179"/>
        <v>26456</v>
      </c>
      <c r="AB346" s="170">
        <f t="shared" si="180"/>
        <v>699919936</v>
      </c>
      <c r="AD346" s="686">
        <f t="shared" si="181"/>
        <v>12.244478243488317</v>
      </c>
      <c r="AE346" s="687">
        <f t="shared" si="182"/>
        <v>-19.006267809967362</v>
      </c>
      <c r="AG346" s="686">
        <f t="shared" si="183"/>
        <v>23.068475187358892</v>
      </c>
      <c r="AH346" s="687">
        <f t="shared" si="184"/>
        <v>-55.532050383870789</v>
      </c>
      <c r="AJ346" s="170">
        <f t="shared" si="185"/>
        <v>0</v>
      </c>
      <c r="AK346" s="170">
        <f t="shared" si="197"/>
        <v>0</v>
      </c>
      <c r="AM346" s="170" t="str">
        <f t="shared" si="189"/>
        <v>0.49580136962333+0.863587714784254i</v>
      </c>
      <c r="AN346" s="170" t="str">
        <f t="shared" si="190"/>
        <v>1.04234256705653i</v>
      </c>
      <c r="AO346" s="170" t="str">
        <f t="shared" si="191"/>
        <v>0.82850661776477-0.475660675571778i</v>
      </c>
      <c r="AP346" s="170" t="str">
        <f t="shared" si="192"/>
        <v>0.0840331050627783-0.143931285797376i</v>
      </c>
      <c r="AQ346" s="170" t="str">
        <f t="shared" si="193"/>
        <v>0.915966894937222+0.143931285797376i</v>
      </c>
      <c r="AR346" s="170" t="str">
        <f t="shared" si="194"/>
        <v>0.887507452722052-0.139459285626031i</v>
      </c>
    </row>
    <row r="347" spans="7:44">
      <c r="G347" s="688">
        <v>26609</v>
      </c>
      <c r="H347" s="676">
        <f t="shared" si="186"/>
        <v>26.609000000000002</v>
      </c>
      <c r="I347" s="677">
        <f t="shared" si="166"/>
        <v>9.1542947533940353</v>
      </c>
      <c r="J347" s="678">
        <f t="shared" si="167"/>
        <v>1.461339550581475</v>
      </c>
      <c r="K347" s="678">
        <f t="shared" si="168"/>
        <v>1.0005588889127988</v>
      </c>
      <c r="L347" s="679">
        <f t="shared" si="169"/>
        <v>3.342540170384365E-2</v>
      </c>
      <c r="M347" s="678">
        <f t="shared" si="170"/>
        <v>1.0246970102838295</v>
      </c>
      <c r="N347" s="679">
        <f t="shared" si="171"/>
        <v>-0.21999641652602922</v>
      </c>
      <c r="O347" s="677">
        <f t="shared" si="172"/>
        <v>200627.13317973222</v>
      </c>
      <c r="P347" s="680">
        <f t="shared" si="173"/>
        <v>1.5707913424242177</v>
      </c>
      <c r="Q347" s="689">
        <f t="shared" si="195"/>
        <v>4.5909070253526991</v>
      </c>
      <c r="R347" s="690">
        <f t="shared" si="196"/>
        <v>1.3512141205554125</v>
      </c>
      <c r="S347" s="677">
        <f t="shared" si="174"/>
        <v>1.0062543252439442</v>
      </c>
      <c r="T347" s="680">
        <f t="shared" si="175"/>
        <v>0.11155179173997579</v>
      </c>
      <c r="U347" s="681">
        <f t="shared" si="187"/>
        <v>0.85695113908745291</v>
      </c>
      <c r="V347" s="682">
        <f t="shared" si="188"/>
        <v>-0.68043773783805483</v>
      </c>
      <c r="W347" s="683">
        <f t="shared" si="176"/>
        <v>-9.3667823395166376</v>
      </c>
      <c r="X347" s="684">
        <f t="shared" si="177"/>
        <v>-152.37682614042575</v>
      </c>
      <c r="Y347" s="687">
        <f t="shared" si="178"/>
        <v>27.623173859574251</v>
      </c>
      <c r="AA347" s="170">
        <f t="shared" si="179"/>
        <v>26609</v>
      </c>
      <c r="AB347" s="170">
        <f t="shared" si="180"/>
        <v>708038881</v>
      </c>
      <c r="AD347" s="686">
        <f t="shared" si="181"/>
        <v>12.241471501906689</v>
      </c>
      <c r="AE347" s="687">
        <f t="shared" si="182"/>
        <v>-18.97229497579216</v>
      </c>
      <c r="AG347" s="686">
        <f t="shared" si="183"/>
        <v>23.034835546935494</v>
      </c>
      <c r="AH347" s="687">
        <f t="shared" si="184"/>
        <v>-55.432109876437671</v>
      </c>
      <c r="AJ347" s="170">
        <f t="shared" si="185"/>
        <v>0</v>
      </c>
      <c r="AK347" s="170">
        <f t="shared" si="197"/>
        <v>0</v>
      </c>
      <c r="AM347" s="170" t="str">
        <f t="shared" si="189"/>
        <v>0.501016259169188+0.866611346790757i</v>
      </c>
      <c r="AN347" s="170" t="str">
        <f t="shared" si="190"/>
        <v>1.04837062922615i</v>
      </c>
      <c r="AO347" s="170" t="str">
        <f t="shared" si="191"/>
        <v>0.826626884263671-0.47789993843972i</v>
      </c>
      <c r="AP347" s="170" t="str">
        <f t="shared" si="192"/>
        <v>0.0831639568051353-0.144435224465126i</v>
      </c>
      <c r="AQ347" s="170" t="str">
        <f t="shared" si="193"/>
        <v>0.916836043194865+0.144435224465126i</v>
      </c>
      <c r="AR347" s="170" t="str">
        <f t="shared" si="194"/>
        <v>0.886557019449268-0.139665170294873i</v>
      </c>
    </row>
    <row r="348" spans="7:44">
      <c r="G348" s="688">
        <v>26762</v>
      </c>
      <c r="H348" s="676">
        <f t="shared" si="186"/>
        <v>26.762</v>
      </c>
      <c r="I348" s="677">
        <f t="shared" si="166"/>
        <v>9.206305007055942</v>
      </c>
      <c r="J348" s="678">
        <f t="shared" si="167"/>
        <v>1.4619603777869239</v>
      </c>
      <c r="K348" s="678">
        <f t="shared" si="168"/>
        <v>1.0005653327186865</v>
      </c>
      <c r="L348" s="679">
        <f t="shared" si="169"/>
        <v>3.3617451208318681E-2</v>
      </c>
      <c r="M348" s="678">
        <f t="shared" si="170"/>
        <v>1.0249783681125921</v>
      </c>
      <c r="N348" s="679">
        <f t="shared" si="171"/>
        <v>-0.22122062400659287</v>
      </c>
      <c r="O348" s="677">
        <f t="shared" si="172"/>
        <v>201780.72600079796</v>
      </c>
      <c r="P348" s="680">
        <f t="shared" si="173"/>
        <v>1.5707913709201715</v>
      </c>
      <c r="Q348" s="689">
        <f t="shared" si="195"/>
        <v>4.6160553885880198</v>
      </c>
      <c r="R348" s="690">
        <f t="shared" si="196"/>
        <v>1.3524298493155587</v>
      </c>
      <c r="S348" s="677">
        <f t="shared" si="174"/>
        <v>1.0063262292090325</v>
      </c>
      <c r="T348" s="680">
        <f t="shared" si="175"/>
        <v>0.11218785392690689</v>
      </c>
      <c r="U348" s="681">
        <f t="shared" si="187"/>
        <v>0.85562426525781698</v>
      </c>
      <c r="V348" s="682">
        <f t="shared" si="188"/>
        <v>-0.68383590068677313</v>
      </c>
      <c r="W348" s="683">
        <f t="shared" si="176"/>
        <v>-9.4299811141715359</v>
      </c>
      <c r="X348" s="684">
        <f t="shared" si="177"/>
        <v>-152.63302478907579</v>
      </c>
      <c r="Y348" s="687">
        <f t="shared" si="178"/>
        <v>27.36697521092421</v>
      </c>
      <c r="AA348" s="170">
        <f t="shared" si="179"/>
        <v>26762</v>
      </c>
      <c r="AB348" s="170">
        <f t="shared" si="180"/>
        <v>716204644</v>
      </c>
      <c r="AD348" s="686">
        <f t="shared" si="181"/>
        <v>12.238500874510676</v>
      </c>
      <c r="AE348" s="687">
        <f t="shared" si="182"/>
        <v>-18.939084160282057</v>
      </c>
      <c r="AG348" s="686">
        <f t="shared" si="183"/>
        <v>23.001526113853483</v>
      </c>
      <c r="AH348" s="687">
        <f t="shared" si="184"/>
        <v>-55.332118561493473</v>
      </c>
      <c r="AJ348" s="170">
        <f t="shared" si="185"/>
        <v>0</v>
      </c>
      <c r="AK348" s="170">
        <f t="shared" si="197"/>
        <v>0</v>
      </c>
      <c r="AM348" s="170" t="str">
        <f t="shared" si="189"/>
        <v>0.506249280498557+0.869603488373758i</v>
      </c>
      <c r="AN348" s="170" t="str">
        <f t="shared" si="190"/>
        <v>1.05439869139578i</v>
      </c>
      <c r="AO348" s="170" t="str">
        <f t="shared" si="191"/>
        <v>0.824738778101673-0.48013079362646i</v>
      </c>
      <c r="AP348" s="170" t="str">
        <f t="shared" si="192"/>
        <v>0.0822917865835738-0.14493391472896i</v>
      </c>
      <c r="AQ348" s="170" t="str">
        <f t="shared" si="193"/>
        <v>0.917708213416426+0.14493391472896i</v>
      </c>
      <c r="AR348" s="170" t="str">
        <f t="shared" si="194"/>
        <v>0.885607129534323-0.139864181576245i</v>
      </c>
    </row>
    <row r="349" spans="7:44">
      <c r="G349" s="688">
        <v>26915</v>
      </c>
      <c r="H349" s="676">
        <f t="shared" si="186"/>
        <v>26.914999999999999</v>
      </c>
      <c r="I349" s="677">
        <f t="shared" si="166"/>
        <v>9.2583187692032158</v>
      </c>
      <c r="J349" s="678">
        <f t="shared" si="167"/>
        <v>1.4625742295415591</v>
      </c>
      <c r="K349" s="678">
        <f t="shared" si="168"/>
        <v>1.0005718134279613</v>
      </c>
      <c r="L349" s="679">
        <f t="shared" si="169"/>
        <v>3.3809498232065457E-2</v>
      </c>
      <c r="M349" s="678">
        <f t="shared" si="170"/>
        <v>1.0252612612155467</v>
      </c>
      <c r="N349" s="679">
        <f t="shared" si="171"/>
        <v>-0.22244415774614784</v>
      </c>
      <c r="O349" s="677">
        <f t="shared" si="172"/>
        <v>202934.31882186388</v>
      </c>
      <c r="P349" s="680">
        <f t="shared" si="173"/>
        <v>1.5707913990921512</v>
      </c>
      <c r="Q349" s="689">
        <f t="shared" si="195"/>
        <v>4.6412105003953545</v>
      </c>
      <c r="R349" s="690">
        <f t="shared" si="196"/>
        <v>1.3536324014677958</v>
      </c>
      <c r="S349" s="677">
        <f t="shared" si="174"/>
        <v>1.0063985402503883</v>
      </c>
      <c r="T349" s="680">
        <f t="shared" si="175"/>
        <v>0.11282382496731791</v>
      </c>
      <c r="U349" s="681">
        <f t="shared" si="187"/>
        <v>0.85429549943407224</v>
      </c>
      <c r="V349" s="682">
        <f t="shared" si="188"/>
        <v>-0.68722719171113866</v>
      </c>
      <c r="W349" s="683">
        <f t="shared" si="176"/>
        <v>-9.4928981578835927</v>
      </c>
      <c r="X349" s="684">
        <f t="shared" si="177"/>
        <v>-152.8891413100682</v>
      </c>
      <c r="Y349" s="687">
        <f t="shared" si="178"/>
        <v>27.110858689931803</v>
      </c>
      <c r="AA349" s="170">
        <f t="shared" si="179"/>
        <v>26915</v>
      </c>
      <c r="AB349" s="170">
        <f t="shared" si="180"/>
        <v>724417225</v>
      </c>
      <c r="AD349" s="686">
        <f t="shared" si="181"/>
        <v>12.23556549995973</v>
      </c>
      <c r="AE349" s="687">
        <f t="shared" si="182"/>
        <v>-18.906623067921036</v>
      </c>
      <c r="AG349" s="686">
        <f t="shared" si="183"/>
        <v>22.96854340888099</v>
      </c>
      <c r="AH349" s="687">
        <f t="shared" si="184"/>
        <v>-55.232082848809341</v>
      </c>
      <c r="AJ349" s="170">
        <f t="shared" si="185"/>
        <v>0</v>
      </c>
      <c r="AK349" s="170">
        <f t="shared" si="197"/>
        <v>0</v>
      </c>
      <c r="AM349" s="170" t="str">
        <f t="shared" si="189"/>
        <v>0.511500243456918+0.872564030806536i</v>
      </c>
      <c r="AN349" s="170" t="str">
        <f t="shared" si="190"/>
        <v>1.06042675356541i</v>
      </c>
      <c r="AO349" s="170" t="str">
        <f t="shared" si="191"/>
        <v>0.822842339532425-0.482353205195108i</v>
      </c>
      <c r="AP349" s="170" t="str">
        <f t="shared" si="192"/>
        <v>0.0814166260905137-0.145427338467756i</v>
      </c>
      <c r="AQ349" s="170" t="str">
        <f t="shared" si="193"/>
        <v>0.918583373909486+0.145427338467756i</v>
      </c>
      <c r="AR349" s="170" t="str">
        <f t="shared" si="194"/>
        <v>0.884657833909848-0.140056349694869i</v>
      </c>
    </row>
    <row r="350" spans="7:44">
      <c r="G350" s="688">
        <v>27071.75</v>
      </c>
      <c r="H350" s="676">
        <f t="shared" si="186"/>
        <v>27.071750000000002</v>
      </c>
      <c r="I350" s="677">
        <f t="shared" si="166"/>
        <v>9.3116109555179989</v>
      </c>
      <c r="J350" s="678">
        <f t="shared" si="167"/>
        <v>1.4631960144220901</v>
      </c>
      <c r="K350" s="678">
        <f t="shared" si="168"/>
        <v>1.0005784912486142</v>
      </c>
      <c r="L350" s="679">
        <f t="shared" si="169"/>
        <v>3.4006249703270645E-2</v>
      </c>
      <c r="M350" s="678">
        <f t="shared" si="170"/>
        <v>1.0255526788238347</v>
      </c>
      <c r="N350" s="679">
        <f t="shared" si="171"/>
        <v>-0.2236969780989192</v>
      </c>
      <c r="O350" s="677">
        <f t="shared" si="172"/>
        <v>204116.18597677961</v>
      </c>
      <c r="P350" s="680">
        <f t="shared" si="173"/>
        <v>1.5707914276243815</v>
      </c>
      <c r="Q350" s="689">
        <f t="shared" si="195"/>
        <v>4.6669890436749588</v>
      </c>
      <c r="R350" s="690">
        <f t="shared" si="196"/>
        <v>1.3548509821003787</v>
      </c>
      <c r="S350" s="677">
        <f t="shared" si="174"/>
        <v>1.0064730456940283</v>
      </c>
      <c r="T350" s="680">
        <f t="shared" si="175"/>
        <v>0.1134752884910826</v>
      </c>
      <c r="U350" s="681">
        <f t="shared" si="187"/>
        <v>0.85293226177564962</v>
      </c>
      <c r="V350" s="682">
        <f t="shared" si="188"/>
        <v>-0.69069448077412821</v>
      </c>
      <c r="W350" s="683">
        <f t="shared" si="176"/>
        <v>-9.5570687135361183</v>
      </c>
      <c r="X350" s="684">
        <f t="shared" si="177"/>
        <v>-153.15144449718883</v>
      </c>
      <c r="Y350" s="687">
        <f t="shared" si="178"/>
        <v>26.848555502811166</v>
      </c>
      <c r="AA350" s="170">
        <f t="shared" si="179"/>
        <v>27071.75</v>
      </c>
      <c r="AB350" s="170">
        <f t="shared" si="180"/>
        <v>732879648.0625</v>
      </c>
      <c r="AD350" s="686">
        <f t="shared" si="181"/>
        <v>12.232593863297648</v>
      </c>
      <c r="AE350" s="687">
        <f t="shared" si="182"/>
        <v>-18.874131285835343</v>
      </c>
      <c r="AG350" s="686">
        <f t="shared" si="183"/>
        <v>22.935087558828894</v>
      </c>
      <c r="AH350" s="687">
        <f t="shared" si="184"/>
        <v>-55.129555758239334</v>
      </c>
      <c r="AJ350" s="170">
        <f t="shared" si="185"/>
        <v>0</v>
      </c>
      <c r="AK350" s="170">
        <f t="shared" si="197"/>
        <v>0</v>
      </c>
      <c r="AM350" s="170" t="str">
        <f t="shared" si="189"/>
        <v>0.516898313625013+0.875564252708871i</v>
      </c>
      <c r="AN350" s="170" t="str">
        <f t="shared" si="190"/>
        <v>1.06660256235684i</v>
      </c>
      <c r="AO350" s="170" t="str">
        <f t="shared" si="191"/>
        <v>0.820890820639098-0.484621293692412i</v>
      </c>
      <c r="AP350" s="170" t="str">
        <f t="shared" si="192"/>
        <v>0.0805169477291645-0.145927375451478i</v>
      </c>
      <c r="AQ350" s="170" t="str">
        <f t="shared" si="193"/>
        <v>0.919483052270835+0.145927375451478i</v>
      </c>
      <c r="AR350" s="170" t="str">
        <f t="shared" si="194"/>
        <v>0.883685940178709-0.140246162944684i</v>
      </c>
    </row>
    <row r="351" spans="7:44">
      <c r="G351" s="688">
        <v>27228.5</v>
      </c>
      <c r="H351" s="676">
        <f t="shared" si="186"/>
        <v>27.2285</v>
      </c>
      <c r="I351" s="677">
        <f t="shared" si="166"/>
        <v>9.3649067008810771</v>
      </c>
      <c r="J351" s="678">
        <f t="shared" si="167"/>
        <v>1.4638107223743746</v>
      </c>
      <c r="K351" s="678">
        <f t="shared" si="168"/>
        <v>1.0005852078022843</v>
      </c>
      <c r="L351" s="679">
        <f t="shared" si="169"/>
        <v>3.4202998540654284E-2</v>
      </c>
      <c r="M351" s="678">
        <f t="shared" si="170"/>
        <v>1.0258457051813854</v>
      </c>
      <c r="N351" s="679">
        <f t="shared" si="171"/>
        <v>-0.22494908469554326</v>
      </c>
      <c r="O351" s="677">
        <f t="shared" si="172"/>
        <v>205298.05313169555</v>
      </c>
      <c r="P351" s="680">
        <f t="shared" si="173"/>
        <v>1.5707914558281011</v>
      </c>
      <c r="Q351" s="689">
        <f t="shared" si="195"/>
        <v>4.692774441003067</v>
      </c>
      <c r="R351" s="690">
        <f t="shared" si="196"/>
        <v>1.3560561730312517</v>
      </c>
      <c r="S351" s="677">
        <f t="shared" si="174"/>
        <v>1.0065479782262405</v>
      </c>
      <c r="T351" s="680">
        <f t="shared" si="175"/>
        <v>0.11412665529476418</v>
      </c>
      <c r="U351" s="681">
        <f t="shared" si="187"/>
        <v>0.85156715578940323</v>
      </c>
      <c r="V351" s="682">
        <f t="shared" si="188"/>
        <v>-0.6941545669526652</v>
      </c>
      <c r="W351" s="683">
        <f t="shared" si="176"/>
        <v>-9.6209508030494977</v>
      </c>
      <c r="X351" s="684">
        <f t="shared" si="177"/>
        <v>-153.41365037992355</v>
      </c>
      <c r="Y351" s="687">
        <f t="shared" si="178"/>
        <v>26.586349620076447</v>
      </c>
      <c r="AA351" s="170">
        <f t="shared" si="179"/>
        <v>27228.5</v>
      </c>
      <c r="AB351" s="170">
        <f t="shared" si="180"/>
        <v>741391212.25</v>
      </c>
      <c r="AD351" s="686">
        <f t="shared" si="181"/>
        <v>12.229657472292146</v>
      </c>
      <c r="AE351" s="687">
        <f t="shared" si="182"/>
        <v>-18.842401116672601</v>
      </c>
      <c r="AG351" s="686">
        <f t="shared" si="183"/>
        <v>22.901967419787287</v>
      </c>
      <c r="AH351" s="687">
        <f t="shared" si="184"/>
        <v>-55.026995140120313</v>
      </c>
      <c r="AJ351" s="170">
        <f t="shared" si="185"/>
        <v>0</v>
      </c>
      <c r="AK351" s="170">
        <f t="shared" si="197"/>
        <v>0</v>
      </c>
      <c r="AM351" s="170" t="str">
        <f t="shared" si="189"/>
        <v>0.522314809529596+0.878531080158952i</v>
      </c>
      <c r="AN351" s="170" t="str">
        <f t="shared" si="190"/>
        <v>1.07277837114827i</v>
      </c>
      <c r="AO351" s="170" t="str">
        <f t="shared" si="191"/>
        <v>0.818930641954124-0.486880443880059i</v>
      </c>
      <c r="AP351" s="170" t="str">
        <f t="shared" si="192"/>
        <v>0.079614198411734-0.146421846693159i</v>
      </c>
      <c r="AQ351" s="170" t="str">
        <f t="shared" si="193"/>
        <v>0.920385801588266+0.146421846693159i</v>
      </c>
      <c r="AR351" s="170" t="str">
        <f t="shared" si="194"/>
        <v>0.882714776539985-0.14042885870391i</v>
      </c>
    </row>
    <row r="352" spans="7:44">
      <c r="G352" s="688">
        <v>27385.25</v>
      </c>
      <c r="H352" s="676">
        <f t="shared" si="186"/>
        <v>27.385249999999999</v>
      </c>
      <c r="I352" s="677">
        <f t="shared" si="166"/>
        <v>9.4182059448726125</v>
      </c>
      <c r="J352" s="678">
        <f t="shared" si="167"/>
        <v>1.4644184730785239</v>
      </c>
      <c r="K352" s="678">
        <f t="shared" si="168"/>
        <v>1.0005919630881923</v>
      </c>
      <c r="L352" s="679">
        <f t="shared" si="169"/>
        <v>3.4399744729037215E-2</v>
      </c>
      <c r="M352" s="678">
        <f t="shared" si="170"/>
        <v>1.0261403389100077</v>
      </c>
      <c r="N352" s="679">
        <f t="shared" si="171"/>
        <v>-0.22620047422314007</v>
      </c>
      <c r="O352" s="677">
        <f t="shared" si="172"/>
        <v>206479.9202866116</v>
      </c>
      <c r="P352" s="680">
        <f t="shared" si="173"/>
        <v>1.5707914837089509</v>
      </c>
      <c r="Q352" s="689">
        <f t="shared" si="195"/>
        <v>4.7185665800143912</v>
      </c>
      <c r="R352" s="690">
        <f t="shared" si="196"/>
        <v>1.3572481902985591</v>
      </c>
      <c r="S352" s="677">
        <f t="shared" si="174"/>
        <v>1.0066233377516478</v>
      </c>
      <c r="T352" s="680">
        <f t="shared" si="175"/>
        <v>0.11477792484730191</v>
      </c>
      <c r="U352" s="681">
        <f t="shared" si="187"/>
        <v>0.85020024022061569</v>
      </c>
      <c r="V352" s="682">
        <f t="shared" si="188"/>
        <v>-0.69760745585583894</v>
      </c>
      <c r="W352" s="683">
        <f t="shared" si="176"/>
        <v>-9.6845479821485174</v>
      </c>
      <c r="X352" s="684">
        <f t="shared" si="177"/>
        <v>-153.67575353969227</v>
      </c>
      <c r="Y352" s="687">
        <f t="shared" si="178"/>
        <v>26.324246460307734</v>
      </c>
      <c r="AA352" s="170">
        <f t="shared" si="179"/>
        <v>27385.25</v>
      </c>
      <c r="AB352" s="170">
        <f t="shared" si="180"/>
        <v>749951917.5625</v>
      </c>
      <c r="AD352" s="686">
        <f t="shared" si="181"/>
        <v>12.22675547407124</v>
      </c>
      <c r="AE352" s="687">
        <f t="shared" si="182"/>
        <v>-18.811420152254581</v>
      </c>
      <c r="AG352" s="686">
        <f t="shared" si="183"/>
        <v>22.869179414369864</v>
      </c>
      <c r="AH352" s="687">
        <f t="shared" si="184"/>
        <v>-54.924407341296074</v>
      </c>
      <c r="AJ352" s="170">
        <f t="shared" si="185"/>
        <v>0</v>
      </c>
      <c r="AK352" s="170">
        <f t="shared" si="197"/>
        <v>0</v>
      </c>
      <c r="AM352" s="170" t="str">
        <f t="shared" si="189"/>
        <v>0.527749524582845+0.881464400000517i</v>
      </c>
      <c r="AN352" s="170" t="str">
        <f t="shared" si="190"/>
        <v>1.0789541799397i</v>
      </c>
      <c r="AO352" s="170" t="str">
        <f t="shared" si="191"/>
        <v>0.816961847304563-0.489130617773166i</v>
      </c>
      <c r="AP352" s="170" t="str">
        <f t="shared" si="192"/>
        <v>0.0787084125695258-0.14691073333342i</v>
      </c>
      <c r="AQ352" s="170" t="str">
        <f t="shared" si="193"/>
        <v>0.921291587430474+0.14691073333342i</v>
      </c>
      <c r="AR352" s="170" t="str">
        <f t="shared" si="194"/>
        <v>0.881744395819807-0.140604470473684i</v>
      </c>
    </row>
    <row r="353" spans="7:44">
      <c r="G353" s="688">
        <v>27542</v>
      </c>
      <c r="H353" s="676">
        <f t="shared" si="186"/>
        <v>27.542000000000002</v>
      </c>
      <c r="I353" s="677">
        <f t="shared" si="166"/>
        <v>9.4715086284288681</v>
      </c>
      <c r="J353" s="678">
        <f t="shared" si="167"/>
        <v>1.4650193835413861</v>
      </c>
      <c r="K353" s="678">
        <f t="shared" si="168"/>
        <v>1.0005987571055532</v>
      </c>
      <c r="L353" s="679">
        <f t="shared" si="169"/>
        <v>3.4596488253241534E-2</v>
      </c>
      <c r="M353" s="678">
        <f t="shared" si="170"/>
        <v>1.0264365786255372</v>
      </c>
      <c r="N353" s="679">
        <f t="shared" si="171"/>
        <v>-0.22745114338160624</v>
      </c>
      <c r="O353" s="677">
        <f t="shared" si="172"/>
        <v>207661.78744152779</v>
      </c>
      <c r="P353" s="680">
        <f t="shared" si="173"/>
        <v>1.5707915112724438</v>
      </c>
      <c r="Q353" s="689">
        <f t="shared" si="195"/>
        <v>4.7443653507580228</v>
      </c>
      <c r="R353" s="690">
        <f t="shared" si="196"/>
        <v>1.3584272453929791</v>
      </c>
      <c r="S353" s="677">
        <f t="shared" si="174"/>
        <v>1.0066991241743586</v>
      </c>
      <c r="T353" s="680">
        <f t="shared" si="175"/>
        <v>0.11542909661812358</v>
      </c>
      <c r="U353" s="681">
        <f t="shared" si="187"/>
        <v>0.84883157331451453</v>
      </c>
      <c r="V353" s="682">
        <f t="shared" si="188"/>
        <v>-0.70105315348195596</v>
      </c>
      <c r="W353" s="683">
        <f t="shared" si="176"/>
        <v>-9.7478637348671722</v>
      </c>
      <c r="X353" s="684">
        <f t="shared" si="177"/>
        <v>-153.93774868835175</v>
      </c>
      <c r="Y353" s="687">
        <f t="shared" si="178"/>
        <v>26.062251311648254</v>
      </c>
      <c r="AA353" s="170">
        <f t="shared" si="179"/>
        <v>27542</v>
      </c>
      <c r="AB353" s="170">
        <f t="shared" si="180"/>
        <v>758561764</v>
      </c>
      <c r="AD353" s="686">
        <f t="shared" si="181"/>
        <v>12.223887038944468</v>
      </c>
      <c r="AE353" s="687">
        <f t="shared" si="182"/>
        <v>-18.781176244974301</v>
      </c>
      <c r="AG353" s="686">
        <f t="shared" si="183"/>
        <v>22.836720018309396</v>
      </c>
      <c r="AH353" s="687">
        <f t="shared" si="184"/>
        <v>-54.821798533875182</v>
      </c>
      <c r="AJ353" s="170">
        <f t="shared" si="185"/>
        <v>0</v>
      </c>
      <c r="AK353" s="170">
        <f t="shared" si="197"/>
        <v>0</v>
      </c>
      <c r="AM353" s="170" t="str">
        <f t="shared" si="189"/>
        <v>0.533202251502046+0.884364100355301i</v>
      </c>
      <c r="AN353" s="170" t="str">
        <f t="shared" si="190"/>
        <v>1.08512998873113i</v>
      </c>
      <c r="AO353" s="170" t="str">
        <f t="shared" si="191"/>
        <v>0.814984480697479-0.491371777611208i</v>
      </c>
      <c r="AP353" s="170" t="str">
        <f t="shared" si="192"/>
        <v>0.077799624749659-0.147394016725884i</v>
      </c>
      <c r="AQ353" s="170" t="str">
        <f t="shared" si="193"/>
        <v>0.922200375250341+0.147394016725884i</v>
      </c>
      <c r="AR353" s="170" t="str">
        <f t="shared" si="194"/>
        <v>0.880774850190159-0.140773032070633i</v>
      </c>
    </row>
    <row r="354" spans="7:44">
      <c r="G354" s="688">
        <v>27702.5</v>
      </c>
      <c r="H354" s="676">
        <f t="shared" si="186"/>
        <v>27.702500000000001</v>
      </c>
      <c r="I354" s="677">
        <f t="shared" si="166"/>
        <v>9.5260899994774082</v>
      </c>
      <c r="J354" s="678">
        <f t="shared" si="167"/>
        <v>1.4656277016659722</v>
      </c>
      <c r="K354" s="678">
        <f t="shared" si="168"/>
        <v>1.0006057537908122</v>
      </c>
      <c r="L354" s="679">
        <f t="shared" si="169"/>
        <v>3.4797935783925024E-2</v>
      </c>
      <c r="M354" s="678">
        <f t="shared" si="170"/>
        <v>1.0267415680412821</v>
      </c>
      <c r="N354" s="679">
        <f t="shared" si="171"/>
        <v>-0.22873098299574698</v>
      </c>
      <c r="O354" s="677">
        <f t="shared" si="172"/>
        <v>208871.92893029386</v>
      </c>
      <c r="P354" s="680">
        <f t="shared" si="173"/>
        <v>1.5707915391721408</v>
      </c>
      <c r="Q354" s="689">
        <f t="shared" si="195"/>
        <v>4.7707880762178654</v>
      </c>
      <c r="R354" s="690">
        <f t="shared" si="196"/>
        <v>1.3596212927487621</v>
      </c>
      <c r="S354" s="677">
        <f t="shared" si="174"/>
        <v>1.0067771659074385</v>
      </c>
      <c r="T354" s="680">
        <f t="shared" si="175"/>
        <v>0.11609574478873153</v>
      </c>
      <c r="U354" s="681">
        <f t="shared" si="187"/>
        <v>0.84742840880196291</v>
      </c>
      <c r="V354" s="682">
        <f t="shared" si="188"/>
        <v>-0.70457383933918838</v>
      </c>
      <c r="W354" s="683">
        <f t="shared" si="176"/>
        <v>-9.8124061780392573</v>
      </c>
      <c r="X354" s="684">
        <f t="shared" si="177"/>
        <v>-154.20589435655722</v>
      </c>
      <c r="Y354" s="687">
        <f t="shared" si="178"/>
        <v>25.794105643442776</v>
      </c>
      <c r="AA354" s="170">
        <f t="shared" si="179"/>
        <v>27702.5</v>
      </c>
      <c r="AB354" s="170">
        <f t="shared" si="180"/>
        <v>767428506.25</v>
      </c>
      <c r="AD354" s="686">
        <f t="shared" si="181"/>
        <v>12.22098391509715</v>
      </c>
      <c r="AE354" s="687">
        <f t="shared" si="182"/>
        <v>-18.750960096045493</v>
      </c>
      <c r="AG354" s="686">
        <f t="shared" si="183"/>
        <v>22.803820951088664</v>
      </c>
      <c r="AH354" s="687">
        <f t="shared" si="184"/>
        <v>-54.716719469326819</v>
      </c>
      <c r="AJ354" s="170">
        <f t="shared" si="185"/>
        <v>0</v>
      </c>
      <c r="AK354" s="170">
        <f t="shared" si="197"/>
        <v>0</v>
      </c>
      <c r="AM354" s="170" t="str">
        <f t="shared" si="189"/>
        <v>0.538803872597905+0.887298220481316i</v>
      </c>
      <c r="AN354" s="170" t="str">
        <f t="shared" si="190"/>
        <v>1.09145354414437i</v>
      </c>
      <c r="AO354" s="170" t="str">
        <f t="shared" si="191"/>
        <v>0.812950972802879-0.493657174406166i</v>
      </c>
      <c r="AP354" s="170" t="str">
        <f t="shared" si="192"/>
        <v>0.0768660212336825-0.147883036746886i</v>
      </c>
      <c r="AQ354" s="170" t="str">
        <f t="shared" si="193"/>
        <v>0.923133978766318+0.147883036746886i</v>
      </c>
      <c r="AR354" s="170" t="str">
        <f t="shared" si="194"/>
        <v>0.879783028789959-0.140938356694123i</v>
      </c>
    </row>
    <row r="355" spans="7:44">
      <c r="G355" s="688">
        <v>27863</v>
      </c>
      <c r="H355" s="676">
        <f t="shared" si="186"/>
        <v>27.863</v>
      </c>
      <c r="I355" s="677">
        <f t="shared" si="166"/>
        <v>9.5806748554981365</v>
      </c>
      <c r="J355" s="678">
        <f t="shared" si="167"/>
        <v>1.4662290883579012</v>
      </c>
      <c r="K355" s="678">
        <f t="shared" si="168"/>
        <v>1.0006127910811922</v>
      </c>
      <c r="L355" s="679">
        <f t="shared" si="169"/>
        <v>3.4999380489230097E-2</v>
      </c>
      <c r="M355" s="678">
        <f t="shared" si="170"/>
        <v>1.0270482382484241</v>
      </c>
      <c r="N355" s="679">
        <f t="shared" si="171"/>
        <v>-0.23001006039968802</v>
      </c>
      <c r="O355" s="677">
        <f t="shared" si="172"/>
        <v>210082.07041906007</v>
      </c>
      <c r="P355" s="680">
        <f t="shared" si="173"/>
        <v>1.5707915667504149</v>
      </c>
      <c r="Q355" s="689">
        <f t="shared" si="195"/>
        <v>4.7972175286895791</v>
      </c>
      <c r="R355" s="690">
        <f t="shared" si="196"/>
        <v>1.3608021849719232</v>
      </c>
      <c r="S355" s="677">
        <f t="shared" si="174"/>
        <v>1.0068556550027312</v>
      </c>
      <c r="T355" s="680">
        <f t="shared" si="175"/>
        <v>0.11676228931885702</v>
      </c>
      <c r="U355" s="681">
        <f t="shared" si="187"/>
        <v>0.84602353013331733</v>
      </c>
      <c r="V355" s="682">
        <f t="shared" si="188"/>
        <v>-0.70808699968074595</v>
      </c>
      <c r="W355" s="683">
        <f t="shared" si="176"/>
        <v>-9.8766607388496936</v>
      </c>
      <c r="X355" s="684">
        <f t="shared" si="177"/>
        <v>-154.47391597009292</v>
      </c>
      <c r="Y355" s="687">
        <f t="shared" si="178"/>
        <v>25.526084029907082</v>
      </c>
      <c r="AA355" s="170">
        <f t="shared" si="179"/>
        <v>27863</v>
      </c>
      <c r="AB355" s="170">
        <f t="shared" si="180"/>
        <v>776346769</v>
      </c>
      <c r="AD355" s="686">
        <f t="shared" si="181"/>
        <v>12.218114290193714</v>
      </c>
      <c r="AE355" s="687">
        <f t="shared" si="182"/>
        <v>-18.7214917241173</v>
      </c>
      <c r="AG355" s="686">
        <f t="shared" si="183"/>
        <v>22.771259092092354</v>
      </c>
      <c r="AH355" s="687">
        <f t="shared" si="184"/>
        <v>-54.611630933682747</v>
      </c>
      <c r="AJ355" s="170">
        <f t="shared" si="185"/>
        <v>0</v>
      </c>
      <c r="AK355" s="170">
        <f t="shared" si="197"/>
        <v>0</v>
      </c>
      <c r="AM355" s="170" t="str">
        <f t="shared" si="189"/>
        <v>0.544423935644688+0.890196860018347i</v>
      </c>
      <c r="AN355" s="170" t="str">
        <f t="shared" si="190"/>
        <v>1.09777709955761i</v>
      </c>
      <c r="AO355" s="170" t="str">
        <f t="shared" si="191"/>
        <v>0.810908571855876-0.495933041292339i</v>
      </c>
      <c r="AP355" s="170" t="str">
        <f t="shared" si="192"/>
        <v>0.0759293440592187-0.148366143336391i</v>
      </c>
      <c r="AQ355" s="170" t="str">
        <f t="shared" si="193"/>
        <v>0.924070655940781+0.148366143336391i</v>
      </c>
      <c r="AR355" s="170" t="str">
        <f t="shared" si="194"/>
        <v>0.878792191523123-0.141096362504532i</v>
      </c>
    </row>
    <row r="356" spans="7:44">
      <c r="G356" s="688">
        <v>28023.5</v>
      </c>
      <c r="H356" s="676">
        <f t="shared" si="186"/>
        <v>28.023499999999999</v>
      </c>
      <c r="I356" s="677">
        <f t="shared" si="166"/>
        <v>9.6352631372627613</v>
      </c>
      <c r="J356" s="678">
        <f t="shared" si="167"/>
        <v>1.466823660987876</v>
      </c>
      <c r="K356" s="678">
        <f t="shared" si="168"/>
        <v>1.0006198689758361</v>
      </c>
      <c r="L356" s="679">
        <f t="shared" si="169"/>
        <v>3.5200822352867311E-2</v>
      </c>
      <c r="M356" s="678">
        <f t="shared" si="170"/>
        <v>1.0273565877417932</v>
      </c>
      <c r="N356" s="679">
        <f t="shared" si="171"/>
        <v>-0.23128837209263842</v>
      </c>
      <c r="O356" s="677">
        <f t="shared" si="172"/>
        <v>211292.21190782645</v>
      </c>
      <c r="P356" s="680">
        <f t="shared" si="173"/>
        <v>1.570791594012789</v>
      </c>
      <c r="Q356" s="689">
        <f t="shared" si="195"/>
        <v>4.8236535975985317</v>
      </c>
      <c r="R356" s="690">
        <f t="shared" si="196"/>
        <v>1.3619701350319806</v>
      </c>
      <c r="S356" s="677">
        <f t="shared" si="174"/>
        <v>1.0069345913556231</v>
      </c>
      <c r="T356" s="680">
        <f t="shared" si="175"/>
        <v>0.11742872964053856</v>
      </c>
      <c r="U356" s="681">
        <f t="shared" si="187"/>
        <v>0.84461699819684988</v>
      </c>
      <c r="V356" s="682">
        <f t="shared" si="188"/>
        <v>-0.71159264218245244</v>
      </c>
      <c r="W356" s="683">
        <f t="shared" si="176"/>
        <v>-9.9406309357084996</v>
      </c>
      <c r="X356" s="684">
        <f t="shared" si="177"/>
        <v>-154.74180825946999</v>
      </c>
      <c r="Y356" s="687">
        <f t="shared" si="178"/>
        <v>25.258191740530009</v>
      </c>
      <c r="AA356" s="170">
        <f t="shared" si="179"/>
        <v>28023.5</v>
      </c>
      <c r="AB356" s="170">
        <f t="shared" si="180"/>
        <v>785316552.25</v>
      </c>
      <c r="AD356" s="686">
        <f t="shared" si="181"/>
        <v>12.215277344330836</v>
      </c>
      <c r="AE356" s="687">
        <f t="shared" si="182"/>
        <v>-18.692758894709801</v>
      </c>
      <c r="AG356" s="686">
        <f t="shared" si="183"/>
        <v>22.739030824235037</v>
      </c>
      <c r="AH356" s="687">
        <f t="shared" si="184"/>
        <v>-54.506539012349357</v>
      </c>
      <c r="AJ356" s="170">
        <f t="shared" si="185"/>
        <v>0</v>
      </c>
      <c r="AK356" s="170">
        <f t="shared" si="197"/>
        <v>0</v>
      </c>
      <c r="AM356" s="170" t="str">
        <f t="shared" si="189"/>
        <v>0.550062215911691+0.893059903057853i</v>
      </c>
      <c r="AN356" s="170" t="str">
        <f t="shared" si="190"/>
        <v>1.10410065497084i</v>
      </c>
      <c r="AO356" s="170" t="str">
        <f t="shared" si="191"/>
        <v>0.808857325676923-0.498199338470838i</v>
      </c>
      <c r="AP356" s="170" t="str">
        <f t="shared" si="192"/>
        <v>0.0749896306813848-0.148843317176309i</v>
      </c>
      <c r="AQ356" s="170" t="str">
        <f t="shared" si="193"/>
        <v>0.925010369318615+0.148843317176309i</v>
      </c>
      <c r="AR356" s="170" t="str">
        <f t="shared" si="194"/>
        <v>0.87780239227257-0.141247086762273i</v>
      </c>
    </row>
    <row r="357" spans="7:44">
      <c r="G357" s="688">
        <v>28184</v>
      </c>
      <c r="H357" s="676">
        <f t="shared" si="186"/>
        <v>28.184000000000001</v>
      </c>
      <c r="I357" s="677">
        <f t="shared" si="166"/>
        <v>9.6898547868739886</v>
      </c>
      <c r="J357" s="678">
        <f t="shared" si="167"/>
        <v>1.4674115343011029</v>
      </c>
      <c r="K357" s="678">
        <f t="shared" si="168"/>
        <v>1.0006269874738829</v>
      </c>
      <c r="L357" s="679">
        <f t="shared" si="169"/>
        <v>3.5402261358548584E-2</v>
      </c>
      <c r="M357" s="678">
        <f t="shared" si="170"/>
        <v>1.0276666150097895</v>
      </c>
      <c r="N357" s="679">
        <f t="shared" si="171"/>
        <v>-0.23256591458800729</v>
      </c>
      <c r="O357" s="677">
        <f t="shared" si="172"/>
        <v>212502.35339659295</v>
      </c>
      <c r="P357" s="680">
        <f t="shared" si="173"/>
        <v>1.5707916209646597</v>
      </c>
      <c r="Q357" s="689">
        <f t="shared" si="195"/>
        <v>4.8500961747535154</v>
      </c>
      <c r="R357" s="690">
        <f t="shared" si="196"/>
        <v>1.3631253513970256</v>
      </c>
      <c r="S357" s="677">
        <f t="shared" si="174"/>
        <v>1.0070139748609372</v>
      </c>
      <c r="T357" s="680">
        <f t="shared" si="175"/>
        <v>0.11809506518636249</v>
      </c>
      <c r="U357" s="681">
        <f t="shared" si="187"/>
        <v>0.84320887332600891</v>
      </c>
      <c r="V357" s="682">
        <f t="shared" si="188"/>
        <v>-0.71509077492647832</v>
      </c>
      <c r="W357" s="683">
        <f t="shared" si="176"/>
        <v>-10.004320216087867</v>
      </c>
      <c r="X357" s="684">
        <f t="shared" si="177"/>
        <v>-155.00956608680204</v>
      </c>
      <c r="Y357" s="687">
        <f t="shared" si="178"/>
        <v>24.990433913197961</v>
      </c>
      <c r="AA357" s="170">
        <f t="shared" si="179"/>
        <v>28184</v>
      </c>
      <c r="AB357" s="170">
        <f t="shared" si="180"/>
        <v>794337856</v>
      </c>
      <c r="AD357" s="686">
        <f t="shared" si="181"/>
        <v>12.212472279955151</v>
      </c>
      <c r="AE357" s="687">
        <f t="shared" si="182"/>
        <v>-18.664749631279982</v>
      </c>
      <c r="AG357" s="686">
        <f t="shared" si="183"/>
        <v>22.707132584258304</v>
      </c>
      <c r="AH357" s="687">
        <f t="shared" si="184"/>
        <v>-54.401449617834757</v>
      </c>
      <c r="AJ357" s="170">
        <f t="shared" si="185"/>
        <v>0</v>
      </c>
      <c r="AK357" s="170">
        <f t="shared" si="197"/>
        <v>0</v>
      </c>
      <c r="AM357" s="170" t="str">
        <f t="shared" si="189"/>
        <v>0.555718487939778+0.895887235114712i</v>
      </c>
      <c r="AN357" s="170" t="str">
        <f t="shared" si="190"/>
        <v>1.11042421038408i</v>
      </c>
      <c r="AO357" s="170" t="str">
        <f t="shared" si="191"/>
        <v>0.806797282279029-0.500456026393339i</v>
      </c>
      <c r="AP357" s="170" t="str">
        <f t="shared" si="192"/>
        <v>0.0740469186767037-0.149314539185785i</v>
      </c>
      <c r="AQ357" s="170" t="str">
        <f t="shared" si="193"/>
        <v>0.925953081323296+0.149314539185785i</v>
      </c>
      <c r="AR357" s="170" t="str">
        <f t="shared" si="194"/>
        <v>0.876813684208231-0.141390567027695i</v>
      </c>
    </row>
    <row r="358" spans="7:44">
      <c r="G358" s="688">
        <v>28348</v>
      </c>
      <c r="H358" s="676">
        <f t="shared" si="186"/>
        <v>28.347999999999999</v>
      </c>
      <c r="I358" s="677">
        <f t="shared" si="166"/>
        <v>9.7456403285195048</v>
      </c>
      <c r="J358" s="678">
        <f t="shared" si="167"/>
        <v>1.4680054239526308</v>
      </c>
      <c r="K358" s="678">
        <f t="shared" si="168"/>
        <v>1.0006343031442781</v>
      </c>
      <c r="L358" s="679">
        <f t="shared" si="169"/>
        <v>3.560809014606698E-2</v>
      </c>
      <c r="M358" s="678">
        <f t="shared" si="170"/>
        <v>1.0279851344716091</v>
      </c>
      <c r="N358" s="679">
        <f t="shared" si="171"/>
        <v>-0.23387051811162521</v>
      </c>
      <c r="O358" s="677">
        <f t="shared" si="172"/>
        <v>213738.88426361934</v>
      </c>
      <c r="P358" s="680">
        <f t="shared" si="173"/>
        <v>1.5707916481890198</v>
      </c>
      <c r="Q358" s="689">
        <f t="shared" si="195"/>
        <v>4.8771219938556891</v>
      </c>
      <c r="R358" s="690">
        <f t="shared" si="196"/>
        <v>1.3642928184659291</v>
      </c>
      <c r="S358" s="677">
        <f t="shared" si="174"/>
        <v>1.0070955512459303</v>
      </c>
      <c r="T358" s="680">
        <f t="shared" si="175"/>
        <v>0.11877582259606001</v>
      </c>
      <c r="U358" s="681">
        <f t="shared" si="187"/>
        <v>0.84176845845675519</v>
      </c>
      <c r="V358" s="682">
        <f t="shared" si="188"/>
        <v>-0.7186574425780432</v>
      </c>
      <c r="W358" s="683">
        <f t="shared" si="176"/>
        <v>-10.069111701816183</v>
      </c>
      <c r="X358" s="684">
        <f t="shared" si="177"/>
        <v>-155.28301876653831</v>
      </c>
      <c r="Y358" s="687">
        <f t="shared" si="178"/>
        <v>24.716981233461695</v>
      </c>
      <c r="AA358" s="170">
        <f t="shared" si="179"/>
        <v>28348</v>
      </c>
      <c r="AB358" s="170">
        <f t="shared" si="180"/>
        <v>803609104</v>
      </c>
      <c r="AD358" s="686">
        <f t="shared" si="181"/>
        <v>12.20963817067644</v>
      </c>
      <c r="AE358" s="687">
        <f t="shared" si="182"/>
        <v>-18.636864781768296</v>
      </c>
      <c r="AG358" s="686">
        <f t="shared" si="183"/>
        <v>22.674875993449056</v>
      </c>
      <c r="AH358" s="687">
        <f t="shared" si="184"/>
        <v>-54.294077139894704</v>
      </c>
      <c r="AJ358" s="170">
        <f t="shared" si="185"/>
        <v>0</v>
      </c>
      <c r="AK358" s="170">
        <f t="shared" si="197"/>
        <v>0</v>
      </c>
      <c r="AM358" s="170" t="str">
        <f t="shared" si="189"/>
        <v>0.561516454685287+0.898739217174949i</v>
      </c>
      <c r="AN358" s="170" t="str">
        <f t="shared" si="190"/>
        <v>1.11688566264433i</v>
      </c>
      <c r="AO358" s="170" t="str">
        <f t="shared" si="191"/>
        <v>0.80468327890171-0.502751958831529i</v>
      </c>
      <c r="AP358" s="170" t="str">
        <f t="shared" si="192"/>
        <v>0.0730805908857855-0.149789869529158i</v>
      </c>
      <c r="AQ358" s="170" t="str">
        <f t="shared" si="193"/>
        <v>0.926919409114215+0.149789869529158i</v>
      </c>
      <c r="AR358" s="170" t="str">
        <f t="shared" si="194"/>
        <v>0.875804597247741-0.141529732860099i</v>
      </c>
    </row>
    <row r="359" spans="7:44">
      <c r="G359" s="688">
        <v>28512</v>
      </c>
      <c r="H359" s="676">
        <f t="shared" si="186"/>
        <v>28.512</v>
      </c>
      <c r="I359" s="677">
        <f t="shared" si="166"/>
        <v>9.8014292683719084</v>
      </c>
      <c r="J359" s="678">
        <f t="shared" si="167"/>
        <v>1.4685925530658963</v>
      </c>
      <c r="K359" s="678">
        <f t="shared" si="168"/>
        <v>1.0006416612064146</v>
      </c>
      <c r="L359" s="679">
        <f t="shared" si="169"/>
        <v>3.5813915915245506E-2</v>
      </c>
      <c r="M359" s="678">
        <f t="shared" si="170"/>
        <v>1.0283054024685785</v>
      </c>
      <c r="N359" s="679">
        <f t="shared" si="171"/>
        <v>-0.23517431120981899</v>
      </c>
      <c r="O359" s="677">
        <f t="shared" si="172"/>
        <v>214975.41513064591</v>
      </c>
      <c r="P359" s="680">
        <f t="shared" si="173"/>
        <v>1.5707916751001929</v>
      </c>
      <c r="Q359" s="689">
        <f t="shared" si="195"/>
        <v>4.9041543871040298</v>
      </c>
      <c r="R359" s="690">
        <f t="shared" si="196"/>
        <v>1.3654474166065849</v>
      </c>
      <c r="S359" s="677">
        <f t="shared" si="174"/>
        <v>1.0071775942741403</v>
      </c>
      <c r="T359" s="680">
        <f t="shared" si="175"/>
        <v>0.11945646941439235</v>
      </c>
      <c r="U359" s="681">
        <f t="shared" si="187"/>
        <v>0.84032650600695413</v>
      </c>
      <c r="V359" s="682">
        <f t="shared" si="188"/>
        <v>-0.72221628770776425</v>
      </c>
      <c r="W359" s="683">
        <f t="shared" si="176"/>
        <v>-10.133616944397396</v>
      </c>
      <c r="X359" s="684">
        <f t="shared" si="177"/>
        <v>-155.55632061837238</v>
      </c>
      <c r="Y359" s="687">
        <f t="shared" si="178"/>
        <v>24.443679381627618</v>
      </c>
      <c r="AA359" s="170">
        <f t="shared" si="179"/>
        <v>28512</v>
      </c>
      <c r="AB359" s="170">
        <f t="shared" si="180"/>
        <v>812934144</v>
      </c>
      <c r="AD359" s="686">
        <f t="shared" si="181"/>
        <v>12.206835733235604</v>
      </c>
      <c r="AE359" s="687">
        <f t="shared" si="182"/>
        <v>-18.609710913170122</v>
      </c>
      <c r="AG359" s="686">
        <f t="shared" si="183"/>
        <v>22.642956626639652</v>
      </c>
      <c r="AH359" s="687">
        <f t="shared" si="184"/>
        <v>-54.186719248113526</v>
      </c>
      <c r="AJ359" s="170">
        <f t="shared" si="185"/>
        <v>0</v>
      </c>
      <c r="AK359" s="170">
        <f t="shared" si="197"/>
        <v>0</v>
      </c>
      <c r="AM359" s="170" t="str">
        <f t="shared" si="189"/>
        <v>0.567332728215312+0.901553676675102i</v>
      </c>
      <c r="AN359" s="170" t="str">
        <f t="shared" si="190"/>
        <v>1.12334711490459i</v>
      </c>
      <c r="AO359" s="170" t="str">
        <f t="shared" si="191"/>
        <v>0.802560192404709-0.505037775668741i</v>
      </c>
      <c r="AP359" s="170" t="str">
        <f t="shared" si="192"/>
        <v>0.0721112119641147-0.150258946112517i</v>
      </c>
      <c r="AQ359" s="170" t="str">
        <f t="shared" si="193"/>
        <v>0.927888788035885+0.150258946112517i</v>
      </c>
      <c r="AR359" s="170" t="str">
        <f t="shared" si="194"/>
        <v>0.874796759553683-0.141661415514483i</v>
      </c>
    </row>
    <row r="360" spans="7:44">
      <c r="G360" s="688">
        <v>28676</v>
      </c>
      <c r="H360" s="676">
        <f t="shared" si="186"/>
        <v>28.675999999999998</v>
      </c>
      <c r="I360" s="677">
        <f t="shared" si="166"/>
        <v>9.8572215487326833</v>
      </c>
      <c r="J360" s="678">
        <f t="shared" si="167"/>
        <v>1.4691730360274085</v>
      </c>
      <c r="K360" s="678">
        <f t="shared" si="168"/>
        <v>1.0006490616593575</v>
      </c>
      <c r="L360" s="679">
        <f t="shared" si="169"/>
        <v>3.6019738648711642E-2</v>
      </c>
      <c r="M360" s="678">
        <f t="shared" si="170"/>
        <v>1.0286274173674537</v>
      </c>
      <c r="N360" s="679">
        <f t="shared" si="171"/>
        <v>-0.2364772902090819</v>
      </c>
      <c r="O360" s="677">
        <f t="shared" si="172"/>
        <v>216211.94599767256</v>
      </c>
      <c r="P360" s="680">
        <f t="shared" si="173"/>
        <v>1.5707917017035522</v>
      </c>
      <c r="Q360" s="689">
        <f t="shared" si="195"/>
        <v>4.9311932463817634</v>
      </c>
      <c r="R360" s="690">
        <f t="shared" si="196"/>
        <v>1.3665893544048451</v>
      </c>
      <c r="S360" s="677">
        <f t="shared" si="174"/>
        <v>1.0072601038315405</v>
      </c>
      <c r="T360" s="680">
        <f t="shared" si="175"/>
        <v>0.12013700503780027</v>
      </c>
      <c r="U360" s="681">
        <f t="shared" si="187"/>
        <v>0.83888307854311606</v>
      </c>
      <c r="V360" s="682">
        <f t="shared" si="188"/>
        <v>-0.72576732021760404</v>
      </c>
      <c r="W360" s="683">
        <f t="shared" si="176"/>
        <v>-10.19783940403542</v>
      </c>
      <c r="X360" s="684">
        <f t="shared" si="177"/>
        <v>-155.82946656866548</v>
      </c>
      <c r="Y360" s="687">
        <f t="shared" si="178"/>
        <v>24.170533431334519</v>
      </c>
      <c r="AA360" s="170">
        <f t="shared" si="179"/>
        <v>28676</v>
      </c>
      <c r="AB360" s="170">
        <f t="shared" si="180"/>
        <v>822312976</v>
      </c>
      <c r="AD360" s="686">
        <f t="shared" si="181"/>
        <v>12.204064184486271</v>
      </c>
      <c r="AE360" s="687">
        <f t="shared" si="182"/>
        <v>-18.583276040122939</v>
      </c>
      <c r="AG360" s="686">
        <f t="shared" si="183"/>
        <v>22.611370849572822</v>
      </c>
      <c r="AH360" s="687">
        <f t="shared" si="184"/>
        <v>-54.079381719533693</v>
      </c>
      <c r="AJ360" s="170">
        <f t="shared" si="185"/>
        <v>0</v>
      </c>
      <c r="AK360" s="170">
        <f t="shared" si="197"/>
        <v>0</v>
      </c>
      <c r="AM360" s="170" t="str">
        <f t="shared" si="189"/>
        <v>0.573167065699135+0.904330496110859i</v>
      </c>
      <c r="AN360" s="170" t="str">
        <f t="shared" si="190"/>
        <v>1.12980856716484i</v>
      </c>
      <c r="AO360" s="170" t="str">
        <f t="shared" si="191"/>
        <v>0.800428074625244-0.507313435529569i</v>
      </c>
      <c r="AP360" s="170" t="str">
        <f t="shared" si="192"/>
        <v>0.0711388223834775-0.15072174935181i</v>
      </c>
      <c r="AQ360" s="170" t="str">
        <f t="shared" si="193"/>
        <v>0.928861177616523+0.15072174935181i</v>
      </c>
      <c r="AR360" s="170" t="str">
        <f t="shared" si="194"/>
        <v>0.873790225557319-0.141785655958251i</v>
      </c>
    </row>
    <row r="361" spans="7:44">
      <c r="G361" s="688">
        <v>28840</v>
      </c>
      <c r="H361" s="676">
        <f t="shared" si="186"/>
        <v>28.84</v>
      </c>
      <c r="I361" s="677">
        <f t="shared" si="166"/>
        <v>9.9130171131988476</v>
      </c>
      <c r="J361" s="678">
        <f t="shared" si="167"/>
        <v>1.469746984666519</v>
      </c>
      <c r="K361" s="678">
        <f t="shared" si="168"/>
        <v>1.0006565045021663</v>
      </c>
      <c r="L361" s="679">
        <f t="shared" si="169"/>
        <v>3.6225558329094382E-2</v>
      </c>
      <c r="M361" s="678">
        <f t="shared" si="170"/>
        <v>1.0289511775281326</v>
      </c>
      <c r="N361" s="679">
        <f t="shared" si="171"/>
        <v>-0.23777945145155036</v>
      </c>
      <c r="O361" s="677">
        <f t="shared" si="172"/>
        <v>217448.47686469945</v>
      </c>
      <c r="P361" s="680">
        <f t="shared" si="173"/>
        <v>1.5707917280043491</v>
      </c>
      <c r="Q361" s="689">
        <f t="shared" si="195"/>
        <v>4.9582384659049161</v>
      </c>
      <c r="R361" s="690">
        <f t="shared" si="196"/>
        <v>1.3677188360292647</v>
      </c>
      <c r="S361" s="677">
        <f t="shared" si="174"/>
        <v>1.0073430798034932</v>
      </c>
      <c r="T361" s="680">
        <f t="shared" si="175"/>
        <v>0.12081742886333363</v>
      </c>
      <c r="U361" s="681">
        <f t="shared" si="187"/>
        <v>0.83743823802366546</v>
      </c>
      <c r="V361" s="682">
        <f t="shared" si="188"/>
        <v>-0.72931055042877069</v>
      </c>
      <c r="W361" s="683">
        <f t="shared" si="176"/>
        <v>-10.261782471339609</v>
      </c>
      <c r="X361" s="684">
        <f t="shared" si="177"/>
        <v>-156.10245167530209</v>
      </c>
      <c r="Y361" s="687">
        <f t="shared" si="178"/>
        <v>23.897548324697908</v>
      </c>
      <c r="AA361" s="170">
        <f t="shared" si="179"/>
        <v>28840</v>
      </c>
      <c r="AB361" s="170">
        <f t="shared" si="180"/>
        <v>831745600</v>
      </c>
      <c r="AD361" s="686">
        <f t="shared" si="181"/>
        <v>12.201322762647537</v>
      </c>
      <c r="AE361" s="687">
        <f t="shared" si="182"/>
        <v>-18.557548430384585</v>
      </c>
      <c r="AG361" s="686">
        <f t="shared" si="183"/>
        <v>22.5801150820968</v>
      </c>
      <c r="AH361" s="687">
        <f t="shared" si="184"/>
        <v>-53.972070161558577</v>
      </c>
      <c r="AJ361" s="170">
        <f t="shared" si="185"/>
        <v>0</v>
      </c>
      <c r="AK361" s="170">
        <f t="shared" si="197"/>
        <v>0</v>
      </c>
      <c r="AM361" s="170" t="str">
        <f t="shared" si="189"/>
        <v>0.579019223551891+0.907069559549403i</v>
      </c>
      <c r="AN361" s="170" t="str">
        <f t="shared" si="190"/>
        <v>1.13627001942509i</v>
      </c>
      <c r="AO361" s="170" t="str">
        <f t="shared" si="191"/>
        <v>0.798286977604448-0.509578897316021i</v>
      </c>
      <c r="AP361" s="170" t="str">
        <f t="shared" si="192"/>
        <v>0.0701634627413515-0.1511782599249i</v>
      </c>
      <c r="AQ361" s="170" t="str">
        <f t="shared" si="193"/>
        <v>0.929836537258648+0.1511782599249i</v>
      </c>
      <c r="AR361" s="170" t="str">
        <f t="shared" si="194"/>
        <v>0.872785048922256-0.141902495435961i</v>
      </c>
    </row>
    <row r="362" spans="7:44">
      <c r="G362" s="688">
        <v>29008</v>
      </c>
      <c r="H362" s="676">
        <f t="shared" si="186"/>
        <v>29.007999999999999</v>
      </c>
      <c r="I362" s="677">
        <f t="shared" si="166"/>
        <v>9.970176892689059</v>
      </c>
      <c r="J362" s="678">
        <f t="shared" si="167"/>
        <v>1.4703282710085137</v>
      </c>
      <c r="K362" s="678">
        <f t="shared" si="168"/>
        <v>1.0006641728300605</v>
      </c>
      <c r="L362" s="679">
        <f t="shared" si="169"/>
        <v>3.6436394817835421E-2</v>
      </c>
      <c r="M362" s="678">
        <f t="shared" si="170"/>
        <v>1.0292846421884632</v>
      </c>
      <c r="N362" s="679">
        <f t="shared" si="171"/>
        <v>-0.23911252099924385</v>
      </c>
      <c r="O362" s="677">
        <f t="shared" si="172"/>
        <v>218715.16702116613</v>
      </c>
      <c r="P362" s="680">
        <f t="shared" si="173"/>
        <v>1.570791754638271</v>
      </c>
      <c r="Q362" s="689">
        <f t="shared" si="195"/>
        <v>4.9859498115683882</v>
      </c>
      <c r="R362" s="690">
        <f t="shared" si="196"/>
        <v>1.3688631592888578</v>
      </c>
      <c r="S362" s="677">
        <f t="shared" si="174"/>
        <v>1.0074285630763973</v>
      </c>
      <c r="T362" s="680">
        <f t="shared" si="175"/>
        <v>0.1215143318410071</v>
      </c>
      <c r="U362" s="681">
        <f t="shared" si="187"/>
        <v>0.83595675644441414</v>
      </c>
      <c r="V362" s="682">
        <f t="shared" si="188"/>
        <v>-0.73293212204315694</v>
      </c>
      <c r="W362" s="683">
        <f t="shared" si="176"/>
        <v>-10.326998901508848</v>
      </c>
      <c r="X362" s="684">
        <f t="shared" si="177"/>
        <v>-156.38192314851187</v>
      </c>
      <c r="Y362" s="687">
        <f t="shared" si="178"/>
        <v>23.618076851488127</v>
      </c>
      <c r="AA362" s="170">
        <f t="shared" si="179"/>
        <v>29008</v>
      </c>
      <c r="AB362" s="170">
        <f t="shared" si="180"/>
        <v>841464064</v>
      </c>
      <c r="AD362" s="686">
        <f t="shared" si="181"/>
        <v>12.198544940380032</v>
      </c>
      <c r="AE362" s="687">
        <f t="shared" si="182"/>
        <v>-18.531914662544054</v>
      </c>
      <c r="AG362" s="686">
        <f t="shared" si="183"/>
        <v>22.548435473481298</v>
      </c>
      <c r="AH362" s="687">
        <f t="shared" si="184"/>
        <v>-53.862173864717221</v>
      </c>
      <c r="AJ362" s="170">
        <f t="shared" si="185"/>
        <v>0</v>
      </c>
      <c r="AK362" s="170">
        <f t="shared" si="197"/>
        <v>0</v>
      </c>
      <c r="AM362" s="170" t="str">
        <f t="shared" si="189"/>
        <v>0.585032339191435+0.909836161340638i</v>
      </c>
      <c r="AN362" s="170" t="str">
        <f t="shared" si="190"/>
        <v>1.14288906808194i</v>
      </c>
      <c r="AO362" s="170" t="str">
        <f t="shared" si="191"/>
        <v>0.796084402896228-0.511888997392607i</v>
      </c>
      <c r="AP362" s="170" t="str">
        <f t="shared" si="192"/>
        <v>0.0691612768014275-0.15163936022344i</v>
      </c>
      <c r="AQ362" s="170" t="str">
        <f t="shared" si="193"/>
        <v>0.930838723198573+0.15163936022344i</v>
      </c>
      <c r="AR362" s="170" t="str">
        <f t="shared" si="194"/>
        <v>0.87175681849941-0.142014554114625i</v>
      </c>
    </row>
    <row r="363" spans="7:44">
      <c r="G363" s="688">
        <v>29176</v>
      </c>
      <c r="H363" s="676">
        <f t="shared" si="186"/>
        <v>29.175999999999998</v>
      </c>
      <c r="I363" s="677">
        <f t="shared" si="166"/>
        <v>10.027340002632018</v>
      </c>
      <c r="J363" s="678">
        <f t="shared" si="167"/>
        <v>1.4709029300354335</v>
      </c>
      <c r="K363" s="678">
        <f t="shared" si="168"/>
        <v>1.0006718856388208</v>
      </c>
      <c r="L363" s="679">
        <f t="shared" si="169"/>
        <v>3.6647228065848976E-2</v>
      </c>
      <c r="M363" s="678">
        <f t="shared" si="170"/>
        <v>1.029619934777509</v>
      </c>
      <c r="N363" s="679">
        <f t="shared" si="171"/>
        <v>-0.24044472469302233</v>
      </c>
      <c r="O363" s="677">
        <f t="shared" si="172"/>
        <v>219981.85717763298</v>
      </c>
      <c r="P363" s="680">
        <f t="shared" si="173"/>
        <v>1.5707917809654686</v>
      </c>
      <c r="Q363" s="689">
        <f t="shared" si="195"/>
        <v>5.0136676140336922</v>
      </c>
      <c r="R363" s="690">
        <f t="shared" si="196"/>
        <v>1.3699948313526449</v>
      </c>
      <c r="S363" s="677">
        <f t="shared" si="174"/>
        <v>1.0075145355477539</v>
      </c>
      <c r="T363" s="680">
        <f t="shared" si="175"/>
        <v>0.12221111622184265</v>
      </c>
      <c r="U363" s="681">
        <f t="shared" si="187"/>
        <v>0.83447392170267365</v>
      </c>
      <c r="V363" s="682">
        <f t="shared" si="188"/>
        <v>-0.73654552936618334</v>
      </c>
      <c r="W363" s="683">
        <f t="shared" si="176"/>
        <v>-10.391929130950734</v>
      </c>
      <c r="X363" s="684">
        <f t="shared" si="177"/>
        <v>-156.66121574845872</v>
      </c>
      <c r="Y363" s="687">
        <f t="shared" si="178"/>
        <v>23.338784251541284</v>
      </c>
      <c r="AA363" s="170">
        <f t="shared" si="179"/>
        <v>29176</v>
      </c>
      <c r="AB363" s="170">
        <f t="shared" si="180"/>
        <v>851238976</v>
      </c>
      <c r="AD363" s="686">
        <f t="shared" si="181"/>
        <v>12.19579718004416</v>
      </c>
      <c r="AE363" s="687">
        <f t="shared" si="182"/>
        <v>-18.506998942157551</v>
      </c>
      <c r="AG363" s="686">
        <f t="shared" si="183"/>
        <v>22.517094732726758</v>
      </c>
      <c r="AH363" s="687">
        <f t="shared" si="184"/>
        <v>-53.752316206035246</v>
      </c>
      <c r="AJ363" s="170">
        <f t="shared" si="185"/>
        <v>0</v>
      </c>
      <c r="AK363" s="170">
        <f t="shared" si="197"/>
        <v>0</v>
      </c>
      <c r="AM363" s="170" t="str">
        <f t="shared" si="189"/>
        <v>0.59106363524688+0.91256290171281i</v>
      </c>
      <c r="AN363" s="170" t="str">
        <f t="shared" si="190"/>
        <v>1.14950811673878i</v>
      </c>
      <c r="AO363" s="170" t="str">
        <f t="shared" si="191"/>
        <v>0.793872516795969-0.514188309451665i</v>
      </c>
      <c r="AP363" s="170" t="str">
        <f t="shared" si="192"/>
        <v>0.0681560607921867-0.152093816952135i</v>
      </c>
      <c r="AQ363" s="170" t="str">
        <f t="shared" si="193"/>
        <v>0.931843939207813+0.152093816952135i</v>
      </c>
      <c r="AR363" s="170" t="str">
        <f t="shared" si="194"/>
        <v>0.870730124001216-0.142118934858487i</v>
      </c>
    </row>
    <row r="364" spans="7:44">
      <c r="G364" s="688">
        <v>29344</v>
      </c>
      <c r="H364" s="676">
        <f t="shared" si="186"/>
        <v>29.344000000000001</v>
      </c>
      <c r="I364" s="677">
        <f t="shared" si="166"/>
        <v>10.084506386392615</v>
      </c>
      <c r="J364" s="678">
        <f t="shared" si="167"/>
        <v>1.4714710740699288</v>
      </c>
      <c r="K364" s="678">
        <f t="shared" si="168"/>
        <v>1.0006796429274185</v>
      </c>
      <c r="L364" s="679">
        <f t="shared" si="169"/>
        <v>3.6858058054466826E-2</v>
      </c>
      <c r="M364" s="678">
        <f t="shared" si="170"/>
        <v>1.0299570535100759</v>
      </c>
      <c r="N364" s="679">
        <f t="shared" si="171"/>
        <v>-0.24177605865211355</v>
      </c>
      <c r="O364" s="677">
        <f t="shared" si="172"/>
        <v>221248.54733409995</v>
      </c>
      <c r="P364" s="680">
        <f t="shared" si="173"/>
        <v>1.5707918069912095</v>
      </c>
      <c r="Q364" s="689">
        <f t="shared" si="195"/>
        <v>5.041391766801457</v>
      </c>
      <c r="R364" s="690">
        <f t="shared" si="196"/>
        <v>1.3711140580162042</v>
      </c>
      <c r="S364" s="677">
        <f t="shared" si="174"/>
        <v>1.007600997092343</v>
      </c>
      <c r="T364" s="680">
        <f t="shared" si="175"/>
        <v>0.1229077813596953</v>
      </c>
      <c r="U364" s="681">
        <f t="shared" si="187"/>
        <v>0.8329897984146567</v>
      </c>
      <c r="V364" s="682">
        <f t="shared" si="188"/>
        <v>-0.74015078482223906</v>
      </c>
      <c r="W364" s="683">
        <f t="shared" si="176"/>
        <v>-10.456576588966906</v>
      </c>
      <c r="X364" s="684">
        <f t="shared" si="177"/>
        <v>-156.94032457340154</v>
      </c>
      <c r="Y364" s="687">
        <f t="shared" si="178"/>
        <v>23.05967542659846</v>
      </c>
      <c r="AA364" s="170">
        <f t="shared" si="179"/>
        <v>29344</v>
      </c>
      <c r="AB364" s="170">
        <f t="shared" si="180"/>
        <v>861070336</v>
      </c>
      <c r="AD364" s="686">
        <f t="shared" si="181"/>
        <v>12.193078728062734</v>
      </c>
      <c r="AE364" s="687">
        <f t="shared" si="182"/>
        <v>-18.482789441287395</v>
      </c>
      <c r="AG364" s="686">
        <f t="shared" si="183"/>
        <v>22.486089180887696</v>
      </c>
      <c r="AH364" s="687">
        <f t="shared" si="184"/>
        <v>-53.642502687979153</v>
      </c>
      <c r="AJ364" s="170">
        <f t="shared" si="185"/>
        <v>0</v>
      </c>
      <c r="AK364" s="170">
        <f t="shared" si="197"/>
        <v>0</v>
      </c>
      <c r="AM364" s="170" t="str">
        <f t="shared" si="189"/>
        <v>0.597112847477242+0.915249661202944i</v>
      </c>
      <c r="AN364" s="170" t="str">
        <f t="shared" si="190"/>
        <v>1.15612716539563i</v>
      </c>
      <c r="AO364" s="170" t="str">
        <f t="shared" si="191"/>
        <v>0.79165137590184-0.516476790226539i</v>
      </c>
      <c r="AP364" s="170" t="str">
        <f t="shared" si="192"/>
        <v>0.067147858753793-0.152541610200491i</v>
      </c>
      <c r="AQ364" s="170" t="str">
        <f t="shared" si="193"/>
        <v>0.932852141246207+0.152541610200491i</v>
      </c>
      <c r="AR364" s="170" t="str">
        <f t="shared" si="194"/>
        <v>0.869705020628062-0.142215682829248i</v>
      </c>
    </row>
    <row r="365" spans="7:44">
      <c r="G365" s="688">
        <v>29512</v>
      </c>
      <c r="H365" s="676">
        <f t="shared" si="186"/>
        <v>29.512</v>
      </c>
      <c r="I365" s="677">
        <f t="shared" si="166"/>
        <v>10.141675988609492</v>
      </c>
      <c r="J365" s="678">
        <f t="shared" si="167"/>
        <v>1.4720328129189986</v>
      </c>
      <c r="K365" s="678">
        <f t="shared" si="168"/>
        <v>1.0006874446948191</v>
      </c>
      <c r="L365" s="679">
        <f t="shared" si="169"/>
        <v>3.7068884765022521E-2</v>
      </c>
      <c r="M365" s="678">
        <f t="shared" si="170"/>
        <v>1.0302959965935903</v>
      </c>
      <c r="N365" s="679">
        <f t="shared" si="171"/>
        <v>-0.24310651901314323</v>
      </c>
      <c r="O365" s="677">
        <f t="shared" si="172"/>
        <v>222515.23749056709</v>
      </c>
      <c r="P365" s="680">
        <f t="shared" si="173"/>
        <v>1.5707918327206423</v>
      </c>
      <c r="Q365" s="689">
        <f t="shared" si="195"/>
        <v>5.0691221656780456</v>
      </c>
      <c r="R365" s="690">
        <f t="shared" si="196"/>
        <v>1.3722210406982061</v>
      </c>
      <c r="S365" s="677">
        <f t="shared" si="174"/>
        <v>1.0076879475842733</v>
      </c>
      <c r="T365" s="680">
        <f t="shared" si="175"/>
        <v>0.12360432660910416</v>
      </c>
      <c r="U365" s="681">
        <f t="shared" si="187"/>
        <v>0.83150445052596755</v>
      </c>
      <c r="V365" s="682">
        <f t="shared" si="188"/>
        <v>-0.74374790127101209</v>
      </c>
      <c r="W365" s="683">
        <f t="shared" si="176"/>
        <v>-10.520944635911778</v>
      </c>
      <c r="X365" s="684">
        <f t="shared" si="177"/>
        <v>-157.21924485421138</v>
      </c>
      <c r="Y365" s="687">
        <f t="shared" si="178"/>
        <v>22.780755145788618</v>
      </c>
      <c r="AA365" s="170">
        <f t="shared" si="179"/>
        <v>29512</v>
      </c>
      <c r="AB365" s="170">
        <f t="shared" si="180"/>
        <v>870958144</v>
      </c>
      <c r="AD365" s="686">
        <f t="shared" si="181"/>
        <v>12.19038885148499</v>
      </c>
      <c r="AE365" s="687">
        <f t="shared" si="182"/>
        <v>-18.459274582806678</v>
      </c>
      <c r="AG365" s="686">
        <f t="shared" si="183"/>
        <v>22.455415193966985</v>
      </c>
      <c r="AH365" s="687">
        <f t="shared" si="184"/>
        <v>-53.532738644935165</v>
      </c>
      <c r="AJ365" s="170">
        <f t="shared" si="185"/>
        <v>0</v>
      </c>
      <c r="AK365" s="170">
        <f t="shared" si="197"/>
        <v>0</v>
      </c>
      <c r="AM365" s="170" t="str">
        <f t="shared" si="189"/>
        <v>0.603179710856564+0.91789632209968i</v>
      </c>
      <c r="AN365" s="170" t="str">
        <f t="shared" si="190"/>
        <v>1.16274621405247i</v>
      </c>
      <c r="AO365" s="170" t="str">
        <f t="shared" si="191"/>
        <v>0.789421037029719-0.518754396760689i</v>
      </c>
      <c r="AP365" s="170" t="str">
        <f t="shared" si="192"/>
        <v>0.0661367148572393-0.152982720349947i</v>
      </c>
      <c r="AQ365" s="170" t="str">
        <f t="shared" si="193"/>
        <v>0.933863285142761+0.152982720349947i</v>
      </c>
      <c r="AR365" s="170" t="str">
        <f t="shared" si="194"/>
        <v>0.868681562748741-0.142304843440579i</v>
      </c>
    </row>
    <row r="366" spans="7:44">
      <c r="G366" s="688">
        <v>29684</v>
      </c>
      <c r="H366" s="676">
        <f t="shared" si="186"/>
        <v>29.684000000000001</v>
      </c>
      <c r="I366" s="677">
        <f t="shared" si="166"/>
        <v>10.200210049636016</v>
      </c>
      <c r="J366" s="678">
        <f t="shared" si="167"/>
        <v>1.4726014028387837</v>
      </c>
      <c r="K366" s="678">
        <f t="shared" si="168"/>
        <v>1.0006954782974393</v>
      </c>
      <c r="L366" s="679">
        <f t="shared" si="169"/>
        <v>3.7284727743607846E-2</v>
      </c>
      <c r="M366" s="678">
        <f t="shared" si="170"/>
        <v>1.0306448978944194</v>
      </c>
      <c r="N366" s="679">
        <f t="shared" si="171"/>
        <v>-0.2444677479403124</v>
      </c>
      <c r="O366" s="677">
        <f t="shared" si="172"/>
        <v>223812.08693647405</v>
      </c>
      <c r="P366" s="680">
        <f t="shared" si="173"/>
        <v>1.5707918587609593</v>
      </c>
      <c r="Q366" s="689">
        <f t="shared" si="195"/>
        <v>5.0975191766576531</v>
      </c>
      <c r="R366" s="690">
        <f t="shared" si="196"/>
        <v>1.373341901221675</v>
      </c>
      <c r="S366" s="677">
        <f t="shared" si="174"/>
        <v>1.0077774747421899</v>
      </c>
      <c r="T366" s="680">
        <f t="shared" si="175"/>
        <v>0.12431733139177634</v>
      </c>
      <c r="U366" s="681">
        <f t="shared" si="187"/>
        <v>0.82998253459681892</v>
      </c>
      <c r="V366" s="682">
        <f t="shared" si="188"/>
        <v>-0.74742224523510081</v>
      </c>
      <c r="W366" s="683">
        <f t="shared" si="176"/>
        <v>-10.586559224589196</v>
      </c>
      <c r="X366" s="684">
        <f t="shared" si="177"/>
        <v>-157.50460591900634</v>
      </c>
      <c r="Y366" s="687">
        <f t="shared" si="178"/>
        <v>22.495394080993663</v>
      </c>
      <c r="AA366" s="170">
        <f t="shared" si="179"/>
        <v>29684</v>
      </c>
      <c r="AB366" s="170">
        <f t="shared" si="180"/>
        <v>881139856</v>
      </c>
      <c r="AD366" s="686">
        <f t="shared" si="181"/>
        <v>12.18766378988143</v>
      </c>
      <c r="AE366" s="687">
        <f t="shared" si="182"/>
        <v>-18.435907662182395</v>
      </c>
      <c r="AG366" s="686">
        <f t="shared" si="183"/>
        <v>22.424350646840729</v>
      </c>
      <c r="AH366" s="687">
        <f t="shared" si="184"/>
        <v>-53.420417826629979</v>
      </c>
      <c r="AJ366" s="170">
        <f t="shared" si="185"/>
        <v>0</v>
      </c>
      <c r="AK366" s="170">
        <f t="shared" si="197"/>
        <v>0</v>
      </c>
      <c r="AM366" s="170" t="str">
        <f t="shared" si="189"/>
        <v>0.609409032356637+0.920564335609099i</v>
      </c>
      <c r="AN366" s="170" t="str">
        <f t="shared" si="190"/>
        <v>1.16952285910591i</v>
      </c>
      <c r="AO366" s="170" t="str">
        <f t="shared" si="191"/>
        <v>0.787128125321862-0.521074921804029i</v>
      </c>
      <c r="AP366" s="170" t="str">
        <f t="shared" si="192"/>
        <v>0.0650984946072272-0.153427389268183i</v>
      </c>
      <c r="AQ366" s="170" t="str">
        <f t="shared" si="193"/>
        <v>0.934901505392773+0.153427389268183i</v>
      </c>
      <c r="AR366" s="170" t="str">
        <f t="shared" si="194"/>
        <v>0.867635497456102-0.142388314109265i</v>
      </c>
    </row>
    <row r="367" spans="7:44">
      <c r="G367" s="688">
        <v>29856</v>
      </c>
      <c r="H367" s="676">
        <f t="shared" si="186"/>
        <v>29.856000000000002</v>
      </c>
      <c r="I367" s="677">
        <f t="shared" si="166"/>
        <v>10.258747370702183</v>
      </c>
      <c r="J367" s="678">
        <f t="shared" si="167"/>
        <v>1.4731635040896895</v>
      </c>
      <c r="K367" s="678">
        <f t="shared" si="168"/>
        <v>1.0007035585199018</v>
      </c>
      <c r="L367" s="679">
        <f t="shared" si="169"/>
        <v>3.7500567246582406E-2</v>
      </c>
      <c r="M367" s="678">
        <f t="shared" si="170"/>
        <v>1.0309957076281135</v>
      </c>
      <c r="N367" s="679">
        <f t="shared" si="171"/>
        <v>-0.24582805303483954</v>
      </c>
      <c r="O367" s="677">
        <f t="shared" si="172"/>
        <v>225108.93638238119</v>
      </c>
      <c r="P367" s="680">
        <f t="shared" si="173"/>
        <v>1.5707918845012405</v>
      </c>
      <c r="Q367" s="689">
        <f t="shared" si="195"/>
        <v>5.1259225208336989</v>
      </c>
      <c r="R367" s="690">
        <f t="shared" si="196"/>
        <v>1.3744503414828839</v>
      </c>
      <c r="S367" s="677">
        <f t="shared" si="174"/>
        <v>1.0078675141386362</v>
      </c>
      <c r="T367" s="680">
        <f t="shared" si="175"/>
        <v>0.12503020914204399</v>
      </c>
      <c r="U367" s="681">
        <f t="shared" si="187"/>
        <v>0.82845946855524388</v>
      </c>
      <c r="V367" s="682">
        <f t="shared" si="188"/>
        <v>-0.75108808665542459</v>
      </c>
      <c r="W367" s="683">
        <f t="shared" si="176"/>
        <v>-10.651887853203361</v>
      </c>
      <c r="X367" s="684">
        <f t="shared" si="177"/>
        <v>-157.78975965100977</v>
      </c>
      <c r="Y367" s="687">
        <f t="shared" si="178"/>
        <v>22.210240348990226</v>
      </c>
      <c r="AA367" s="170">
        <f t="shared" si="179"/>
        <v>29856</v>
      </c>
      <c r="AB367" s="170">
        <f t="shared" si="180"/>
        <v>891380736</v>
      </c>
      <c r="AD367" s="686">
        <f t="shared" si="181"/>
        <v>12.184967189176124</v>
      </c>
      <c r="AE367" s="687">
        <f t="shared" si="182"/>
        <v>-18.413245074555441</v>
      </c>
      <c r="AG367" s="686">
        <f t="shared" si="183"/>
        <v>22.393626125477546</v>
      </c>
      <c r="AH367" s="687">
        <f t="shared" si="184"/>
        <v>-53.30815966228274</v>
      </c>
      <c r="AJ367" s="170">
        <f t="shared" si="185"/>
        <v>0</v>
      </c>
      <c r="AK367" s="170">
        <f t="shared" si="197"/>
        <v>0</v>
      </c>
      <c r="AM367" s="170" t="str">
        <f t="shared" si="189"/>
        <v>0.615656290865116+0.923190074279636i</v>
      </c>
      <c r="AN367" s="170" t="str">
        <f t="shared" si="190"/>
        <v>1.17629950415935i</v>
      </c>
      <c r="AO367" s="170" t="str">
        <f t="shared" si="191"/>
        <v>0.784825693639478-0.523383958497116i</v>
      </c>
      <c r="AP367" s="170" t="str">
        <f t="shared" si="192"/>
        <v>0.064057284855814-0.153865012379939i</v>
      </c>
      <c r="AQ367" s="170" t="str">
        <f t="shared" si="193"/>
        <v>0.935942715144186+0.153865012379939i</v>
      </c>
      <c r="AR367" s="170" t="str">
        <f t="shared" si="194"/>
        <v>0.866591269627403-0.142463928905121i</v>
      </c>
    </row>
    <row r="368" spans="7:44">
      <c r="G368" s="688">
        <v>30028</v>
      </c>
      <c r="H368" s="676">
        <f t="shared" si="186"/>
        <v>30.027999999999999</v>
      </c>
      <c r="I368" s="677">
        <f t="shared" si="166"/>
        <v>10.317287896318408</v>
      </c>
      <c r="J368" s="678">
        <f t="shared" si="167"/>
        <v>1.4737192267640209</v>
      </c>
      <c r="K368" s="678">
        <f t="shared" si="168"/>
        <v>1.0007116853610778</v>
      </c>
      <c r="L368" s="679">
        <f t="shared" si="169"/>
        <v>3.7716403253920151E-2</v>
      </c>
      <c r="M368" s="678">
        <f t="shared" si="170"/>
        <v>1.0313484238472312</v>
      </c>
      <c r="N368" s="679">
        <f t="shared" si="171"/>
        <v>-0.24718743020772024</v>
      </c>
      <c r="O368" s="677">
        <f t="shared" si="172"/>
        <v>226405.78582828847</v>
      </c>
      <c r="P368" s="680">
        <f t="shared" si="173"/>
        <v>1.5707919099466419</v>
      </c>
      <c r="Q368" s="689">
        <f t="shared" si="195"/>
        <v>5.1543320935074819</v>
      </c>
      <c r="R368" s="690">
        <f t="shared" si="196"/>
        <v>1.3755465641087878</v>
      </c>
      <c r="S368" s="677">
        <f t="shared" si="174"/>
        <v>1.0079580656363392</v>
      </c>
      <c r="T368" s="680">
        <f t="shared" si="175"/>
        <v>0.12574295916948616</v>
      </c>
      <c r="U368" s="681">
        <f t="shared" si="187"/>
        <v>0.82693531884095617</v>
      </c>
      <c r="V368" s="682">
        <f t="shared" si="188"/>
        <v>-0.75474544070718597</v>
      </c>
      <c r="W368" s="683">
        <f t="shared" si="176"/>
        <v>-10.716933914870044</v>
      </c>
      <c r="X368" s="684">
        <f t="shared" si="177"/>
        <v>-158.07470134545369</v>
      </c>
      <c r="Y368" s="687">
        <f t="shared" si="178"/>
        <v>21.92529865454631</v>
      </c>
      <c r="AA368" s="170">
        <f t="shared" si="179"/>
        <v>30028</v>
      </c>
      <c r="AB368" s="170">
        <f t="shared" si="180"/>
        <v>901680784</v>
      </c>
      <c r="AD368" s="686">
        <f t="shared" si="181"/>
        <v>12.182298325726226</v>
      </c>
      <c r="AE368" s="687">
        <f t="shared" si="182"/>
        <v>-18.391275170993673</v>
      </c>
      <c r="AG368" s="686">
        <f t="shared" si="183"/>
        <v>22.36323791273265</v>
      </c>
      <c r="AH368" s="687">
        <f t="shared" si="184"/>
        <v>-53.195969357107543</v>
      </c>
      <c r="AJ368" s="170">
        <f t="shared" si="185"/>
        <v>0</v>
      </c>
      <c r="AK368" s="170">
        <f t="shared" si="197"/>
        <v>0</v>
      </c>
      <c r="AM368" s="170" t="str">
        <f t="shared" si="189"/>
        <v>0.621921199490747+0.925773417530167i</v>
      </c>
      <c r="AN368" s="170" t="str">
        <f t="shared" si="190"/>
        <v>1.18307614921278i</v>
      </c>
      <c r="AO368" s="170" t="str">
        <f t="shared" si="191"/>
        <v>0.782513803651758-0.525681461759308i</v>
      </c>
      <c r="AP368" s="170" t="str">
        <f t="shared" si="192"/>
        <v>0.0630131334182088-0.154295569588361i</v>
      </c>
      <c r="AQ368" s="170" t="str">
        <f t="shared" si="193"/>
        <v>0.936986866581791+0.154295569588361i</v>
      </c>
      <c r="AR368" s="170" t="str">
        <f t="shared" si="194"/>
        <v>0.865548934925364-0.142531737299704i</v>
      </c>
    </row>
    <row r="369" spans="7:44">
      <c r="G369" s="688">
        <v>30200</v>
      </c>
      <c r="H369" s="676">
        <f t="shared" si="186"/>
        <v>30.2</v>
      </c>
      <c r="I369" s="677">
        <f t="shared" si="166"/>
        <v>10.375831572244403</v>
      </c>
      <c r="J369" s="678">
        <f t="shared" si="167"/>
        <v>1.4742686784853463</v>
      </c>
      <c r="K369" s="678">
        <f t="shared" si="168"/>
        <v>1.0007198588198316</v>
      </c>
      <c r="L369" s="679">
        <f t="shared" si="169"/>
        <v>3.7932235745596961E-2</v>
      </c>
      <c r="M369" s="678">
        <f t="shared" si="170"/>
        <v>1.0317030445964186</v>
      </c>
      <c r="N369" s="679">
        <f t="shared" si="171"/>
        <v>-0.24854587538924461</v>
      </c>
      <c r="O369" s="677">
        <f t="shared" si="172"/>
        <v>227702.6352741959</v>
      </c>
      <c r="P369" s="680">
        <f t="shared" si="173"/>
        <v>1.5707919351022015</v>
      </c>
      <c r="Q369" s="689">
        <f t="shared" si="195"/>
        <v>5.1827477922532417</v>
      </c>
      <c r="R369" s="690">
        <f t="shared" si="196"/>
        <v>1.3766307674014551</v>
      </c>
      <c r="S369" s="677">
        <f t="shared" si="174"/>
        <v>1.0080491290972955</v>
      </c>
      <c r="T369" s="680">
        <f t="shared" si="175"/>
        <v>0.12645558078444827</v>
      </c>
      <c r="U369" s="681">
        <f t="shared" si="187"/>
        <v>0.82541015115855665</v>
      </c>
      <c r="V369" s="682">
        <f t="shared" si="188"/>
        <v>-0.75839432301479304</v>
      </c>
      <c r="W369" s="683">
        <f t="shared" si="176"/>
        <v>-10.781700734585218</v>
      </c>
      <c r="X369" s="684">
        <f t="shared" si="177"/>
        <v>-158.35942643079986</v>
      </c>
      <c r="Y369" s="687">
        <f t="shared" si="178"/>
        <v>21.640573569200143</v>
      </c>
      <c r="AA369" s="170">
        <f t="shared" si="179"/>
        <v>30200</v>
      </c>
      <c r="AB369" s="170">
        <f t="shared" si="180"/>
        <v>912040000</v>
      </c>
      <c r="AD369" s="686">
        <f t="shared" si="181"/>
        <v>12.17965649574934</v>
      </c>
      <c r="AE369" s="687">
        <f t="shared" si="182"/>
        <v>-18.369986550399858</v>
      </c>
      <c r="AG369" s="686">
        <f t="shared" si="183"/>
        <v>22.333182347147144</v>
      </c>
      <c r="AH369" s="687">
        <f t="shared" si="184"/>
        <v>-53.083851950238085</v>
      </c>
      <c r="AJ369" s="170">
        <f t="shared" si="185"/>
        <v>0</v>
      </c>
      <c r="AK369" s="170">
        <f t="shared" si="197"/>
        <v>0</v>
      </c>
      <c r="AM369" s="170" t="str">
        <f t="shared" si="189"/>
        <v>0.628203470531765+0.928314246726493i</v>
      </c>
      <c r="AN369" s="170" t="str">
        <f t="shared" si="190"/>
        <v>1.18985279426622i</v>
      </c>
      <c r="AO369" s="170" t="str">
        <f t="shared" si="191"/>
        <v>0.780192517259232-0.527967386855764i</v>
      </c>
      <c r="AP369" s="170" t="str">
        <f t="shared" si="192"/>
        <v>0.0619660882447058-0.154719041121082i</v>
      </c>
      <c r="AQ369" s="170" t="str">
        <f t="shared" si="193"/>
        <v>0.938033911755294+0.154719041121082i</v>
      </c>
      <c r="AR369" s="170" t="str">
        <f t="shared" si="194"/>
        <v>0.864508548117462-0.142591788984923i</v>
      </c>
    </row>
    <row r="370" spans="7:44">
      <c r="G370" s="688">
        <v>30375.75</v>
      </c>
      <c r="H370" s="676">
        <f t="shared" si="186"/>
        <v>30.37575</v>
      </c>
      <c r="I370" s="677">
        <f t="shared" si="166"/>
        <v>10.435654835374351</v>
      </c>
      <c r="J370" s="678">
        <f t="shared" si="167"/>
        <v>1.4748237414727225</v>
      </c>
      <c r="K370" s="678">
        <f t="shared" si="168"/>
        <v>1.0007282586310202</v>
      </c>
      <c r="L370" s="679">
        <f t="shared" si="169"/>
        <v>3.8152770235225487E-2</v>
      </c>
      <c r="M370" s="678">
        <f t="shared" si="170"/>
        <v>1.0320673621274647</v>
      </c>
      <c r="N370" s="679">
        <f t="shared" si="171"/>
        <v>-0.24993297092857686</v>
      </c>
      <c r="O370" s="677">
        <f t="shared" si="172"/>
        <v>229027.75905395317</v>
      </c>
      <c r="P370" s="680">
        <f t="shared" si="173"/>
        <v>1.570791960511944</v>
      </c>
      <c r="Q370" s="689">
        <f t="shared" si="195"/>
        <v>5.2117892429318493</v>
      </c>
      <c r="R370" s="690">
        <f t="shared" si="196"/>
        <v>1.3777263955008279</v>
      </c>
      <c r="S370" s="677">
        <f t="shared" si="174"/>
        <v>1.0081427066370428</v>
      </c>
      <c r="T370" s="680">
        <f t="shared" si="175"/>
        <v>0.12718360584859614</v>
      </c>
      <c r="U370" s="681">
        <f t="shared" si="187"/>
        <v>0.82385074736674191</v>
      </c>
      <c r="V370" s="682">
        <f t="shared" si="188"/>
        <v>-0.76211402534788508</v>
      </c>
      <c r="W370" s="683">
        <f t="shared" si="176"/>
        <v>-10.847594571183702</v>
      </c>
      <c r="X370" s="684">
        <f t="shared" si="177"/>
        <v>-158.6501308205126</v>
      </c>
      <c r="Y370" s="687">
        <f t="shared" si="178"/>
        <v>21.349869179487399</v>
      </c>
      <c r="AA370" s="170">
        <f t="shared" si="179"/>
        <v>30375.75</v>
      </c>
      <c r="AB370" s="170">
        <f t="shared" si="180"/>
        <v>922686188.0625</v>
      </c>
      <c r="AD370" s="686">
        <f t="shared" si="181"/>
        <v>12.17698427957335</v>
      </c>
      <c r="AE370" s="687">
        <f t="shared" si="182"/>
        <v>-18.348925903792214</v>
      </c>
      <c r="AG370" s="686">
        <f t="shared" si="183"/>
        <v>22.302811352808995</v>
      </c>
      <c r="AH370" s="687">
        <f t="shared" si="184"/>
        <v>-52.969370496609088</v>
      </c>
      <c r="AJ370" s="170">
        <f t="shared" si="185"/>
        <v>0</v>
      </c>
      <c r="AK370" s="170">
        <f t="shared" si="197"/>
        <v>0</v>
      </c>
      <c r="AM370" s="170" t="str">
        <f t="shared" si="189"/>
        <v>0.634640343872081+0.930866436001475i</v>
      </c>
      <c r="AN370" s="170" t="str">
        <f t="shared" si="190"/>
        <v>1.19677718594146i</v>
      </c>
      <c r="AO370" s="170" t="str">
        <f t="shared" si="191"/>
        <v>0.777810980135953-0.530291144690257i</v>
      </c>
      <c r="AP370" s="170" t="str">
        <f t="shared" si="192"/>
        <v>0.0608932760213198-0.155144406000246i</v>
      </c>
      <c r="AQ370" s="170" t="str">
        <f t="shared" si="193"/>
        <v>0.93910672397868+0.155144406000246i</v>
      </c>
      <c r="AR370" s="170" t="str">
        <f t="shared" si="194"/>
        <v>0.863447546569215-0.14264518963011i</v>
      </c>
    </row>
    <row r="371" spans="7:44">
      <c r="G371" s="688">
        <v>30551.5</v>
      </c>
      <c r="H371" s="676">
        <f t="shared" si="186"/>
        <v>30.551500000000001</v>
      </c>
      <c r="I371" s="677">
        <f t="shared" si="166"/>
        <v>10.4954812770236</v>
      </c>
      <c r="J371" s="678">
        <f t="shared" si="167"/>
        <v>1.4753724766769774</v>
      </c>
      <c r="K371" s="678">
        <f t="shared" si="168"/>
        <v>1.0007367071122708</v>
      </c>
      <c r="L371" s="679">
        <f t="shared" si="169"/>
        <v>3.8373301011959696E-2</v>
      </c>
      <c r="M371" s="678">
        <f t="shared" si="170"/>
        <v>1.0324336639875931</v>
      </c>
      <c r="N371" s="679">
        <f t="shared" si="171"/>
        <v>-0.25131908486532961</v>
      </c>
      <c r="O371" s="677">
        <f t="shared" si="172"/>
        <v>230352.88283371064</v>
      </c>
      <c r="P371" s="680">
        <f t="shared" si="173"/>
        <v>1.5707919856293435</v>
      </c>
      <c r="Q371" s="689">
        <f t="shared" si="195"/>
        <v>5.2408368805064436</v>
      </c>
      <c r="R371" s="690">
        <f t="shared" si="196"/>
        <v>1.3788098797262638</v>
      </c>
      <c r="S371" s="677">
        <f t="shared" si="174"/>
        <v>1.0082368184137336</v>
      </c>
      <c r="T371" s="680">
        <f t="shared" si="175"/>
        <v>0.12791149538649832</v>
      </c>
      <c r="U371" s="681">
        <f t="shared" si="187"/>
        <v>0.82229041708866446</v>
      </c>
      <c r="V371" s="682">
        <f t="shared" si="188"/>
        <v>-0.76582491688755527</v>
      </c>
      <c r="W371" s="683">
        <f t="shared" si="176"/>
        <v>-10.91320366572476</v>
      </c>
      <c r="X371" s="684">
        <f t="shared" si="177"/>
        <v>-158.94059981562103</v>
      </c>
      <c r="Y371" s="687">
        <f t="shared" si="178"/>
        <v>21.059400184378973</v>
      </c>
      <c r="AA371" s="170">
        <f t="shared" si="179"/>
        <v>30551.5</v>
      </c>
      <c r="AB371" s="170">
        <f t="shared" si="180"/>
        <v>933394152.25</v>
      </c>
      <c r="AD371" s="686">
        <f t="shared" si="181"/>
        <v>12.174338863561003</v>
      </c>
      <c r="AE371" s="687">
        <f t="shared" si="182"/>
        <v>-18.328553268076959</v>
      </c>
      <c r="AG371" s="686">
        <f t="shared" si="183"/>
        <v>22.2727801127512</v>
      </c>
      <c r="AH371" s="687">
        <f t="shared" si="184"/>
        <v>-52.854975280039106</v>
      </c>
      <c r="AJ371" s="170">
        <f t="shared" si="185"/>
        <v>0</v>
      </c>
      <c r="AK371" s="170">
        <f t="shared" si="197"/>
        <v>0</v>
      </c>
      <c r="AM371" s="170" t="str">
        <f t="shared" si="189"/>
        <v>0.641094735114933+0.933373993015544i</v>
      </c>
      <c r="AN371" s="170" t="str">
        <f t="shared" si="190"/>
        <v>1.2037015776167i</v>
      </c>
      <c r="AO371" s="170" t="str">
        <f t="shared" si="191"/>
        <v>0.775419763811893-0.532602720671252i</v>
      </c>
      <c r="AP371" s="170" t="str">
        <f t="shared" si="192"/>
        <v>0.0598175441475112-0.155562332169257i</v>
      </c>
      <c r="AQ371" s="170" t="str">
        <f t="shared" si="193"/>
        <v>0.940182455852489+0.155562332169257i</v>
      </c>
      <c r="AR371" s="170" t="str">
        <f t="shared" si="194"/>
        <v>0.862388691551532-0.142690597191061i</v>
      </c>
    </row>
    <row r="372" spans="7:44">
      <c r="G372" s="688">
        <v>30727.25</v>
      </c>
      <c r="H372" s="676">
        <f t="shared" si="186"/>
        <v>30.727250000000002</v>
      </c>
      <c r="I372" s="677">
        <f t="shared" si="166"/>
        <v>10.555310843145572</v>
      </c>
      <c r="J372" s="678">
        <f t="shared" si="167"/>
        <v>1.4759149913661453</v>
      </c>
      <c r="K372" s="678">
        <f t="shared" si="168"/>
        <v>1.0007452042623508</v>
      </c>
      <c r="L372" s="679">
        <f t="shared" si="169"/>
        <v>3.8593828054443377E-2</v>
      </c>
      <c r="M372" s="678">
        <f t="shared" si="170"/>
        <v>1.0328019480654695</v>
      </c>
      <c r="N372" s="679">
        <f t="shared" si="171"/>
        <v>-0.2527042129204623</v>
      </c>
      <c r="O372" s="677">
        <f t="shared" si="172"/>
        <v>231678.0066134682</v>
      </c>
      <c r="P372" s="680">
        <f t="shared" si="173"/>
        <v>1.5707920104594162</v>
      </c>
      <c r="Q372" s="689">
        <f t="shared" si="195"/>
        <v>5.269890602670511</v>
      </c>
      <c r="R372" s="690">
        <f t="shared" si="196"/>
        <v>1.3798814183657802</v>
      </c>
      <c r="S372" s="677">
        <f t="shared" si="174"/>
        <v>1.0083314642777799</v>
      </c>
      <c r="T372" s="680">
        <f t="shared" si="175"/>
        <v>0.12863924866490545</v>
      </c>
      <c r="U372" s="681">
        <f t="shared" si="187"/>
        <v>0.82072922804876969</v>
      </c>
      <c r="V372" s="682">
        <f t="shared" si="188"/>
        <v>-0.76952701570865956</v>
      </c>
      <c r="W372" s="683">
        <f t="shared" si="176"/>
        <v>-10.978531356469796</v>
      </c>
      <c r="X372" s="684">
        <f t="shared" si="177"/>
        <v>-159.23082895100538</v>
      </c>
      <c r="Y372" s="687">
        <f t="shared" si="178"/>
        <v>20.769171048994622</v>
      </c>
      <c r="AA372" s="170">
        <f t="shared" si="179"/>
        <v>30727.25</v>
      </c>
      <c r="AB372" s="170">
        <f t="shared" si="180"/>
        <v>944163892.5625</v>
      </c>
      <c r="AD372" s="686">
        <f t="shared" si="181"/>
        <v>12.171719557046421</v>
      </c>
      <c r="AE372" s="687">
        <f t="shared" si="182"/>
        <v>-18.308857240462881</v>
      </c>
      <c r="AG372" s="686">
        <f t="shared" si="183"/>
        <v>22.243084893824975</v>
      </c>
      <c r="AH372" s="687">
        <f t="shared" si="184"/>
        <v>-52.740671166973485</v>
      </c>
      <c r="AJ372" s="170">
        <f t="shared" si="185"/>
        <v>0</v>
      </c>
      <c r="AK372" s="170">
        <f t="shared" si="197"/>
        <v>0</v>
      </c>
      <c r="AM372" s="170" t="str">
        <f t="shared" si="189"/>
        <v>0.647566334791569+0.93583679753884i</v>
      </c>
      <c r="AN372" s="170" t="str">
        <f t="shared" si="190"/>
        <v>1.21062596929194i</v>
      </c>
      <c r="AO372" s="170" t="str">
        <f t="shared" si="191"/>
        <v>0.773018935060664-0.534902068200562i</v>
      </c>
      <c r="AP372" s="170" t="str">
        <f t="shared" si="192"/>
        <v>0.0587389442014052-0.155972799589807i</v>
      </c>
      <c r="AQ372" s="170" t="str">
        <f t="shared" si="193"/>
        <v>0.941261055798595+0.155972799589807i</v>
      </c>
      <c r="AR372" s="170" t="str">
        <f t="shared" si="194"/>
        <v>0.861332038630247-0.14272806530551i</v>
      </c>
    </row>
    <row r="373" spans="7:44">
      <c r="G373" s="688">
        <v>30903</v>
      </c>
      <c r="H373" s="676">
        <f t="shared" si="186"/>
        <v>30.902999999999999</v>
      </c>
      <c r="I373" s="677">
        <f t="shared" si="166"/>
        <v>10.615143480909367</v>
      </c>
      <c r="J373" s="678">
        <f t="shared" si="167"/>
        <v>1.4764513904046184</v>
      </c>
      <c r="K373" s="678">
        <f t="shared" si="168"/>
        <v>1.0007537500800201</v>
      </c>
      <c r="L373" s="679">
        <f t="shared" si="169"/>
        <v>3.881435134132253E-2</v>
      </c>
      <c r="M373" s="678">
        <f t="shared" si="170"/>
        <v>1.0331722122413525</v>
      </c>
      <c r="N373" s="679">
        <f t="shared" si="171"/>
        <v>-0.25408835083615083</v>
      </c>
      <c r="O373" s="677">
        <f t="shared" si="172"/>
        <v>233003.13039322593</v>
      </c>
      <c r="P373" s="680">
        <f t="shared" si="173"/>
        <v>1.5707920350070639</v>
      </c>
      <c r="Q373" s="689">
        <f t="shared" si="195"/>
        <v>5.2989503093400954</v>
      </c>
      <c r="R373" s="690">
        <f t="shared" si="196"/>
        <v>1.3809412054688075</v>
      </c>
      <c r="S373" s="677">
        <f t="shared" si="174"/>
        <v>1.0084266440788019</v>
      </c>
      <c r="T373" s="680">
        <f t="shared" si="175"/>
        <v>0.12936686495142005</v>
      </c>
      <c r="U373" s="681">
        <f t="shared" si="187"/>
        <v>0.81916724717500811</v>
      </c>
      <c r="V373" s="682">
        <f t="shared" si="188"/>
        <v>-0.77322034034398046</v>
      </c>
      <c r="W373" s="683">
        <f t="shared" si="176"/>
        <v>-11.043580914926789</v>
      </c>
      <c r="X373" s="684">
        <f t="shared" si="177"/>
        <v>-159.52081389417515</v>
      </c>
      <c r="Y373" s="687">
        <f t="shared" si="178"/>
        <v>20.479186105824851</v>
      </c>
      <c r="AA373" s="170">
        <f t="shared" si="179"/>
        <v>30903</v>
      </c>
      <c r="AB373" s="170">
        <f t="shared" si="180"/>
        <v>954995409</v>
      </c>
      <c r="AD373" s="686">
        <f t="shared" si="181"/>
        <v>12.169125688333494</v>
      </c>
      <c r="AE373" s="687">
        <f t="shared" si="182"/>
        <v>-18.289826661054153</v>
      </c>
      <c r="AG373" s="686">
        <f t="shared" si="183"/>
        <v>22.213722018887474</v>
      </c>
      <c r="AH373" s="687">
        <f t="shared" si="184"/>
        <v>-52.62646286111724</v>
      </c>
      <c r="AJ373" s="170">
        <f t="shared" si="185"/>
        <v>0</v>
      </c>
      <c r="AK373" s="170">
        <f t="shared" si="197"/>
        <v>0</v>
      </c>
      <c r="AM373" s="170" t="str">
        <f t="shared" si="189"/>
        <v>0.654054832608154+0.938254731487259i</v>
      </c>
      <c r="AN373" s="170" t="str">
        <f t="shared" si="190"/>
        <v>1.21755036096719i</v>
      </c>
      <c r="AO373" s="170" t="str">
        <f t="shared" si="191"/>
        <v>0.770608560899226-0.537189141062379i</v>
      </c>
      <c r="AP373" s="170" t="str">
        <f t="shared" si="192"/>
        <v>0.057657527898641-0.15637578858121i</v>
      </c>
      <c r="AQ373" s="170" t="str">
        <f t="shared" si="193"/>
        <v>0.942342472101359+0.15637578858121i</v>
      </c>
      <c r="AR373" s="170" t="str">
        <f t="shared" si="194"/>
        <v>0.860277642418811-0.142757647792358i</v>
      </c>
    </row>
    <row r="374" spans="7:44">
      <c r="G374" s="688">
        <v>31083</v>
      </c>
      <c r="H374" s="676">
        <f t="shared" si="186"/>
        <v>31.082999999999998</v>
      </c>
      <c r="I374" s="677">
        <f t="shared" si="166"/>
        <v>10.676426126111526</v>
      </c>
      <c r="J374" s="678">
        <f t="shared" si="167"/>
        <v>1.476994528532007</v>
      </c>
      <c r="K374" s="678">
        <f t="shared" si="168"/>
        <v>1.0007625529991504</v>
      </c>
      <c r="L374" s="679">
        <f t="shared" si="169"/>
        <v>3.9040203424023097E-2</v>
      </c>
      <c r="M374" s="678">
        <f t="shared" si="170"/>
        <v>1.0335534804515212</v>
      </c>
      <c r="N374" s="679">
        <f t="shared" si="171"/>
        <v>-0.25550492931010849</v>
      </c>
      <c r="O374" s="677">
        <f t="shared" si="172"/>
        <v>234360.2984180135</v>
      </c>
      <c r="P374" s="680">
        <f t="shared" si="173"/>
        <v>1.5707920598605791</v>
      </c>
      <c r="Q374" s="689">
        <f t="shared" si="195"/>
        <v>5.328718841094318</v>
      </c>
      <c r="R374" s="690">
        <f t="shared" si="196"/>
        <v>1.3820146376155926</v>
      </c>
      <c r="S374" s="677">
        <f t="shared" si="174"/>
        <v>1.0085246788277646</v>
      </c>
      <c r="T374" s="680">
        <f t="shared" si="175"/>
        <v>0.13011193374539853</v>
      </c>
      <c r="U374" s="681">
        <f t="shared" si="187"/>
        <v>0.81756674267096907</v>
      </c>
      <c r="V374" s="682">
        <f t="shared" si="188"/>
        <v>-0.77699390205938834</v>
      </c>
      <c r="W374" s="683">
        <f t="shared" si="176"/>
        <v>-11.109918554612728</v>
      </c>
      <c r="X374" s="684">
        <f t="shared" si="177"/>
        <v>-159.8175537634441</v>
      </c>
      <c r="Y374" s="687">
        <f t="shared" si="178"/>
        <v>20.182446236555904</v>
      </c>
      <c r="AA374" s="170">
        <f t="shared" si="179"/>
        <v>31083</v>
      </c>
      <c r="AB374" s="170">
        <f t="shared" si="180"/>
        <v>966152889</v>
      </c>
      <c r="AD374" s="686">
        <f t="shared" si="181"/>
        <v>12.166494779858571</v>
      </c>
      <c r="AE374" s="687">
        <f t="shared" si="182"/>
        <v>-18.2710142507716</v>
      </c>
      <c r="AG374" s="686">
        <f t="shared" si="183"/>
        <v>22.183989800345266</v>
      </c>
      <c r="AH374" s="687">
        <f t="shared" si="184"/>
        <v>-52.509596820124571</v>
      </c>
      <c r="AJ374" s="170">
        <f t="shared" si="185"/>
        <v>0</v>
      </c>
      <c r="AK374" s="170">
        <f t="shared" si="197"/>
        <v>0</v>
      </c>
      <c r="AM374" s="170" t="str">
        <f t="shared" si="189"/>
        <v>0.660717426722052+0.940684503683299i</v>
      </c>
      <c r="AN374" s="170" t="str">
        <f t="shared" si="190"/>
        <v>1.22464219881381i</v>
      </c>
      <c r="AO374" s="170" t="str">
        <f t="shared" si="191"/>
        <v>0.768130074722598-0.539518748710459i</v>
      </c>
      <c r="AP374" s="170" t="str">
        <f t="shared" si="192"/>
        <v>0.0565470955463247-0.156780750613883i</v>
      </c>
      <c r="AQ374" s="170" t="str">
        <f t="shared" si="193"/>
        <v>0.943452904453675+0.156780750613883i</v>
      </c>
      <c r="AR374" s="170" t="str">
        <f t="shared" si="194"/>
        <v>0.859200144017069-0.142779828087504i</v>
      </c>
    </row>
    <row r="375" spans="7:44">
      <c r="G375" s="688">
        <v>31263</v>
      </c>
      <c r="H375" s="676">
        <f t="shared" si="186"/>
        <v>31.263000000000002</v>
      </c>
      <c r="I375" s="677">
        <f t="shared" si="166"/>
        <v>10.737711884898172</v>
      </c>
      <c r="J375" s="678">
        <f t="shared" si="167"/>
        <v>1.4775314668674315</v>
      </c>
      <c r="K375" s="678">
        <f t="shared" si="168"/>
        <v>1.0007714069654414</v>
      </c>
      <c r="L375" s="679">
        <f t="shared" si="169"/>
        <v>3.926605152195313E-2</v>
      </c>
      <c r="M375" s="678">
        <f t="shared" si="170"/>
        <v>1.0339368211558124</v>
      </c>
      <c r="N375" s="679">
        <f t="shared" si="171"/>
        <v>-0.2569204602062734</v>
      </c>
      <c r="O375" s="677">
        <f t="shared" si="172"/>
        <v>235717.46644280123</v>
      </c>
      <c r="P375" s="680">
        <f t="shared" si="173"/>
        <v>1.5707920844279006</v>
      </c>
      <c r="Q375" s="689">
        <f t="shared" si="195"/>
        <v>5.3584934446749699</v>
      </c>
      <c r="R375" s="690">
        <f t="shared" si="196"/>
        <v>1.3830761418687654</v>
      </c>
      <c r="S375" s="677">
        <f t="shared" si="174"/>
        <v>1.0086232733275047</v>
      </c>
      <c r="T375" s="680">
        <f t="shared" si="175"/>
        <v>0.13085685728956156</v>
      </c>
      <c r="U375" s="681">
        <f t="shared" si="187"/>
        <v>0.81596554712606517</v>
      </c>
      <c r="V375" s="682">
        <f t="shared" si="188"/>
        <v>-0.78075830089018339</v>
      </c>
      <c r="W375" s="683">
        <f t="shared" si="176"/>
        <v>-11.175971186915149</v>
      </c>
      <c r="X375" s="684">
        <f t="shared" si="177"/>
        <v>-160.11402870207047</v>
      </c>
      <c r="Y375" s="687">
        <f t="shared" si="178"/>
        <v>19.88597129792953</v>
      </c>
      <c r="AA375" s="170">
        <f t="shared" si="179"/>
        <v>31263</v>
      </c>
      <c r="AB375" s="170">
        <f t="shared" si="180"/>
        <v>977375169</v>
      </c>
      <c r="AD375" s="686">
        <f t="shared" si="181"/>
        <v>12.163889186504305</v>
      </c>
      <c r="AE375" s="687">
        <f t="shared" si="182"/>
        <v>-18.252876919853193</v>
      </c>
      <c r="AG375" s="686">
        <f t="shared" si="183"/>
        <v>22.154598561415455</v>
      </c>
      <c r="AH375" s="687">
        <f t="shared" si="184"/>
        <v>-52.392840758359391</v>
      </c>
      <c r="AJ375" s="170">
        <f t="shared" si="185"/>
        <v>0</v>
      </c>
      <c r="AK375" s="170">
        <f t="shared" si="197"/>
        <v>0</v>
      </c>
      <c r="AM375" s="170" t="str">
        <f t="shared" si="189"/>
        <v>0.667397084697829+0.943066965136886i</v>
      </c>
      <c r="AN375" s="170" t="str">
        <f t="shared" si="190"/>
        <v>1.23173403666043i</v>
      </c>
      <c r="AO375" s="170" t="str">
        <f t="shared" si="191"/>
        <v>0.765641718965403-0.541835383965946i</v>
      </c>
      <c r="AP375" s="170" t="str">
        <f t="shared" si="192"/>
        <v>0.0554338192170285-0.157177827522814i</v>
      </c>
      <c r="AQ375" s="170" t="str">
        <f t="shared" si="193"/>
        <v>0.944566180782971+0.157177827522814i</v>
      </c>
      <c r="AR375" s="170" t="str">
        <f t="shared" si="194"/>
        <v>0.858125125713394-0.142793851554763i</v>
      </c>
    </row>
    <row r="376" spans="7:44">
      <c r="G376" s="688">
        <v>31443</v>
      </c>
      <c r="H376" s="676">
        <f t="shared" si="186"/>
        <v>31.443000000000001</v>
      </c>
      <c r="I376" s="677">
        <f t="shared" si="166"/>
        <v>10.799000704259296</v>
      </c>
      <c r="J376" s="678">
        <f t="shared" si="167"/>
        <v>1.4780623106578168</v>
      </c>
      <c r="K376" s="678">
        <f t="shared" si="168"/>
        <v>1.0007803119775387</v>
      </c>
      <c r="L376" s="679">
        <f t="shared" si="169"/>
        <v>3.9491895612178869E-2</v>
      </c>
      <c r="M376" s="678">
        <f t="shared" si="170"/>
        <v>1.0343222320499021</v>
      </c>
      <c r="N376" s="679">
        <f t="shared" si="171"/>
        <v>-0.25833493901989452</v>
      </c>
      <c r="O376" s="677">
        <f t="shared" si="172"/>
        <v>237074.63446758909</v>
      </c>
      <c r="P376" s="680">
        <f t="shared" si="173"/>
        <v>1.570792108713944</v>
      </c>
      <c r="Q376" s="689">
        <f t="shared" si="195"/>
        <v>5.3882740194266914</v>
      </c>
      <c r="R376" s="690">
        <f t="shared" si="196"/>
        <v>1.3841259135897355</v>
      </c>
      <c r="S376" s="677">
        <f t="shared" si="174"/>
        <v>1.0087224274138886</v>
      </c>
      <c r="T376" s="680">
        <f t="shared" si="175"/>
        <v>0.13160163479988926</v>
      </c>
      <c r="U376" s="681">
        <f t="shared" si="187"/>
        <v>0.81436372985555316</v>
      </c>
      <c r="V376" s="682">
        <f t="shared" si="188"/>
        <v>-0.7845135581883903</v>
      </c>
      <c r="W376" s="683">
        <f t="shared" si="176"/>
        <v>-11.241742120027148</v>
      </c>
      <c r="X376" s="684">
        <f t="shared" si="177"/>
        <v>-160.41023446882704</v>
      </c>
      <c r="Y376" s="687">
        <f t="shared" si="178"/>
        <v>19.589765531172958</v>
      </c>
      <c r="AA376" s="170">
        <f t="shared" si="179"/>
        <v>31443</v>
      </c>
      <c r="AB376" s="170">
        <f t="shared" si="180"/>
        <v>988662249</v>
      </c>
      <c r="AD376" s="686">
        <f t="shared" si="181"/>
        <v>12.161308244584712</v>
      </c>
      <c r="AE376" s="687">
        <f t="shared" si="182"/>
        <v>-18.235403430275273</v>
      </c>
      <c r="AG376" s="686">
        <f t="shared" si="183"/>
        <v>22.125544527186825</v>
      </c>
      <c r="AH376" s="687">
        <f t="shared" si="184"/>
        <v>-52.27619922585621</v>
      </c>
      <c r="AJ376" s="170">
        <f t="shared" si="185"/>
        <v>0</v>
      </c>
      <c r="AK376" s="170">
        <f t="shared" si="197"/>
        <v>0</v>
      </c>
      <c r="AM376" s="170" t="str">
        <f t="shared" si="189"/>
        <v>0.67409347058908+0.945401996024616i</v>
      </c>
      <c r="AN376" s="170" t="str">
        <f t="shared" si="190"/>
        <v>1.23882587450705i</v>
      </c>
      <c r="AO376" s="170" t="str">
        <f t="shared" si="191"/>
        <v>0.7631435664038-0.544138998434557i</v>
      </c>
      <c r="AP376" s="170" t="str">
        <f t="shared" si="192"/>
        <v>0.05431775490182-0.157566999337436i</v>
      </c>
      <c r="AQ376" s="170" t="str">
        <f t="shared" si="193"/>
        <v>0.94568224509818+0.157566999337436i</v>
      </c>
      <c r="AR376" s="170" t="str">
        <f t="shared" si="194"/>
        <v>0.857052643115907-0.142799776510525i</v>
      </c>
    </row>
    <row r="377" spans="7:44">
      <c r="G377" s="688">
        <v>31623</v>
      </c>
      <c r="H377" s="676">
        <f t="shared" si="186"/>
        <v>31.623000000000001</v>
      </c>
      <c r="I377" s="677">
        <f t="shared" si="166"/>
        <v>10.860292532378885</v>
      </c>
      <c r="J377" s="678">
        <f t="shared" si="167"/>
        <v>1.4785871627880922</v>
      </c>
      <c r="K377" s="678">
        <f t="shared" si="168"/>
        <v>1.0007892680340791</v>
      </c>
      <c r="L377" s="679">
        <f t="shared" si="169"/>
        <v>3.9717735671768999E-2</v>
      </c>
      <c r="M377" s="678">
        <f t="shared" si="170"/>
        <v>1.0347097108204641</v>
      </c>
      <c r="N377" s="679">
        <f t="shared" si="171"/>
        <v>-0.25974836126975409</v>
      </c>
      <c r="O377" s="677">
        <f t="shared" si="172"/>
        <v>238431.80249237706</v>
      </c>
      <c r="P377" s="680">
        <f t="shared" si="173"/>
        <v>1.5707921327235121</v>
      </c>
      <c r="Q377" s="689">
        <f t="shared" si="195"/>
        <v>5.4180604668871757</v>
      </c>
      <c r="R377" s="690">
        <f t="shared" si="196"/>
        <v>1.3851641439485527</v>
      </c>
      <c r="S377" s="677">
        <f t="shared" si="174"/>
        <v>1.0088221409219162</v>
      </c>
      <c r="T377" s="680">
        <f t="shared" si="175"/>
        <v>0.13234626549331713</v>
      </c>
      <c r="U377" s="681">
        <f t="shared" si="187"/>
        <v>0.81276135930682103</v>
      </c>
      <c r="V377" s="682">
        <f t="shared" si="188"/>
        <v>-0.78825969577512267</v>
      </c>
      <c r="W377" s="683">
        <f t="shared" si="176"/>
        <v>-11.307234596141509</v>
      </c>
      <c r="X377" s="684">
        <f t="shared" si="177"/>
        <v>-160.7061669555745</v>
      </c>
      <c r="Y377" s="687">
        <f t="shared" si="178"/>
        <v>19.293833044425497</v>
      </c>
      <c r="AA377" s="170">
        <f t="shared" si="179"/>
        <v>31623</v>
      </c>
      <c r="AB377" s="170">
        <f t="shared" si="180"/>
        <v>1000014129</v>
      </c>
      <c r="AD377" s="686">
        <f t="shared" si="181"/>
        <v>12.158751308698477</v>
      </c>
      <c r="AE377" s="687">
        <f t="shared" si="182"/>
        <v>-18.218582784209719</v>
      </c>
      <c r="AG377" s="686">
        <f t="shared" si="183"/>
        <v>22.096823979616676</v>
      </c>
      <c r="AH377" s="687">
        <f t="shared" si="184"/>
        <v>-52.159676611788555</v>
      </c>
      <c r="AJ377" s="170">
        <f t="shared" si="185"/>
        <v>0</v>
      </c>
      <c r="AK377" s="170">
        <f t="shared" si="197"/>
        <v>0</v>
      </c>
      <c r="AM377" s="170" t="str">
        <f t="shared" si="189"/>
        <v>0.680806247608085+0.947689478908555i</v>
      </c>
      <c r="AN377" s="170" t="str">
        <f t="shared" si="190"/>
        <v>1.24591771235367i</v>
      </c>
      <c r="AO377" s="170" t="str">
        <f t="shared" si="191"/>
        <v>0.760635690071594-0.546429544148602i</v>
      </c>
      <c r="AP377" s="170" t="str">
        <f t="shared" si="192"/>
        <v>0.0531989587319858-0.157948246484759i</v>
      </c>
      <c r="AQ377" s="170" t="str">
        <f t="shared" si="193"/>
        <v>0.946801041268014+0.157948246484759i</v>
      </c>
      <c r="AR377" s="170" t="str">
        <f t="shared" si="194"/>
        <v>0.855982750814244-0.142797661408611i</v>
      </c>
    </row>
    <row r="378" spans="7:44">
      <c r="G378" s="688">
        <v>31807</v>
      </c>
      <c r="H378" s="676">
        <f t="shared" si="186"/>
        <v>31.806999999999999</v>
      </c>
      <c r="I378" s="677">
        <f t="shared" si="166"/>
        <v>10.922949458179037</v>
      </c>
      <c r="J378" s="678">
        <f t="shared" si="167"/>
        <v>1.4791175901610689</v>
      </c>
      <c r="K378" s="678">
        <f t="shared" si="168"/>
        <v>1.0007984758711999</v>
      </c>
      <c r="L378" s="679">
        <f t="shared" si="169"/>
        <v>3.994859020949032E-2</v>
      </c>
      <c r="M378" s="678">
        <f t="shared" si="170"/>
        <v>1.0351079351285681</v>
      </c>
      <c r="N378" s="679">
        <f t="shared" si="171"/>
        <v>-0.26119209621819023</v>
      </c>
      <c r="O378" s="677">
        <f t="shared" si="172"/>
        <v>239819.12980660496</v>
      </c>
      <c r="P378" s="680">
        <f t="shared" si="173"/>
        <v>1.5707921569857541</v>
      </c>
      <c r="Q378" s="689">
        <f t="shared" si="195"/>
        <v>5.4485148050298529</v>
      </c>
      <c r="R378" s="690">
        <f t="shared" si="196"/>
        <v>1.386213711950024</v>
      </c>
      <c r="S378" s="677">
        <f t="shared" si="174"/>
        <v>1.0089246483201277</v>
      </c>
      <c r="T378" s="680">
        <f t="shared" si="175"/>
        <v>0.13310729097409005</v>
      </c>
      <c r="U378" s="681">
        <f t="shared" si="187"/>
        <v>0.81112287903020774</v>
      </c>
      <c r="V378" s="682">
        <f t="shared" si="188"/>
        <v>-0.79207967811313973</v>
      </c>
      <c r="W378" s="683">
        <f t="shared" si="176"/>
        <v>-11.37389796157785</v>
      </c>
      <c r="X378" s="684">
        <f t="shared" si="177"/>
        <v>-161.00838912157855</v>
      </c>
      <c r="Y378" s="687">
        <f t="shared" si="178"/>
        <v>18.991610878421454</v>
      </c>
      <c r="AA378" s="170">
        <f t="shared" si="179"/>
        <v>31807</v>
      </c>
      <c r="AB378" s="170">
        <f t="shared" si="180"/>
        <v>1011685249</v>
      </c>
      <c r="AD378" s="686">
        <f t="shared" si="181"/>
        <v>12.156161710680715</v>
      </c>
      <c r="AE378" s="687">
        <f t="shared" si="182"/>
        <v>-18.20205190566881</v>
      </c>
      <c r="AG378" s="686">
        <f t="shared" si="183"/>
        <v>22.067806069876553</v>
      </c>
      <c r="AH378" s="687">
        <f t="shared" si="184"/>
        <v>-52.040691924267527</v>
      </c>
      <c r="AJ378" s="170">
        <f t="shared" si="185"/>
        <v>0</v>
      </c>
      <c r="AK378" s="170">
        <f t="shared" si="197"/>
        <v>0</v>
      </c>
      <c r="AM378" s="170" t="str">
        <f t="shared" si="189"/>
        <v>0.687684787456915+0.949978530291168i</v>
      </c>
      <c r="AN378" s="170" t="str">
        <f t="shared" si="190"/>
        <v>1.25316714659688i</v>
      </c>
      <c r="AO378" s="170" t="str">
        <f t="shared" si="191"/>
        <v>0.75806210916951-0.548757433774419i</v>
      </c>
      <c r="AP378" s="170" t="str">
        <f t="shared" si="192"/>
        <v>0.0520525354238475-0.158329755048528i</v>
      </c>
      <c r="AQ378" s="170" t="str">
        <f t="shared" si="193"/>
        <v>0.947947464576153+0.158329755048528i</v>
      </c>
      <c r="AR378" s="170" t="str">
        <f t="shared" si="194"/>
        <v>0.854891816189288-0.14278725025206i</v>
      </c>
    </row>
    <row r="379" spans="7:44">
      <c r="G379" s="688">
        <v>31991</v>
      </c>
      <c r="H379" s="676">
        <f t="shared" si="186"/>
        <v>31.991</v>
      </c>
      <c r="I379" s="677">
        <f t="shared" si="166"/>
        <v>10.9856094221291</v>
      </c>
      <c r="J379" s="678">
        <f t="shared" si="167"/>
        <v>1.479641966753229</v>
      </c>
      <c r="K379" s="678">
        <f t="shared" si="168"/>
        <v>1.000807737043709</v>
      </c>
      <c r="L379" s="679">
        <f t="shared" si="169"/>
        <v>4.0179440486998022E-2</v>
      </c>
      <c r="M379" s="678">
        <f t="shared" si="170"/>
        <v>1.0355083153231472</v>
      </c>
      <c r="N379" s="679">
        <f t="shared" si="171"/>
        <v>-0.2626347177288938</v>
      </c>
      <c r="O379" s="677">
        <f t="shared" si="172"/>
        <v>241206.45712083296</v>
      </c>
      <c r="P379" s="680">
        <f t="shared" si="173"/>
        <v>1.5707921809689021</v>
      </c>
      <c r="Q379" s="689">
        <f t="shared" si="195"/>
        <v>5.4789750784908611</v>
      </c>
      <c r="R379" s="690">
        <f t="shared" si="196"/>
        <v>1.3872516109715616</v>
      </c>
      <c r="S379" s="677">
        <f t="shared" si="174"/>
        <v>1.0090277399279974</v>
      </c>
      <c r="T379" s="680">
        <f t="shared" si="175"/>
        <v>0.13386816138864779</v>
      </c>
      <c r="U379" s="681">
        <f t="shared" si="187"/>
        <v>0.80948396248476451</v>
      </c>
      <c r="V379" s="682">
        <f t="shared" si="188"/>
        <v>-0.79589017848842458</v>
      </c>
      <c r="W379" s="683">
        <f t="shared" si="176"/>
        <v>-11.440277004118975</v>
      </c>
      <c r="X379" s="684">
        <f t="shared" si="177"/>
        <v>-161.31031745841292</v>
      </c>
      <c r="Y379" s="687">
        <f t="shared" si="178"/>
        <v>18.689682541587075</v>
      </c>
      <c r="AA379" s="170">
        <f t="shared" si="179"/>
        <v>31991</v>
      </c>
      <c r="AB379" s="170">
        <f t="shared" si="180"/>
        <v>1023424081</v>
      </c>
      <c r="AD379" s="686">
        <f t="shared" si="181"/>
        <v>12.15359588961984</v>
      </c>
      <c r="AE379" s="687">
        <f t="shared" si="182"/>
        <v>-18.186180709799501</v>
      </c>
      <c r="AG379" s="686">
        <f t="shared" si="183"/>
        <v>22.039128953534281</v>
      </c>
      <c r="AH379" s="687">
        <f t="shared" si="184"/>
        <v>-51.921840277798594</v>
      </c>
      <c r="AJ379" s="170">
        <f t="shared" si="185"/>
        <v>0</v>
      </c>
      <c r="AK379" s="170">
        <f t="shared" si="197"/>
        <v>0</v>
      </c>
      <c r="AM379" s="170" t="str">
        <f t="shared" si="189"/>
        <v>0.694579740740251+0.952217656438751i</v>
      </c>
      <c r="AN379" s="170" t="str">
        <f t="shared" si="190"/>
        <v>1.26041658084009i</v>
      </c>
      <c r="AO379" s="170" t="str">
        <f t="shared" si="191"/>
        <v>0.755478522667546-0.551071567368069i</v>
      </c>
      <c r="AP379" s="170" t="str">
        <f t="shared" si="192"/>
        <v>0.0509033765432915-0.158702942739792i</v>
      </c>
      <c r="AQ379" s="170" t="str">
        <f t="shared" si="193"/>
        <v>0.949096623456709+0.158702942739792i</v>
      </c>
      <c r="AR379" s="170" t="str">
        <f t="shared" si="194"/>
        <v>0.853803700394509-0.14276856162571i</v>
      </c>
    </row>
    <row r="380" spans="7:44">
      <c r="G380" s="688">
        <v>32175</v>
      </c>
      <c r="H380" s="676">
        <f t="shared" si="186"/>
        <v>32.174999999999997</v>
      </c>
      <c r="I380" s="677">
        <f t="shared" si="166"/>
        <v>11.048272372536728</v>
      </c>
      <c r="J380" s="678">
        <f t="shared" si="167"/>
        <v>1.4801603952291176</v>
      </c>
      <c r="K380" s="678">
        <f t="shared" si="168"/>
        <v>1.0008170515501256</v>
      </c>
      <c r="L380" s="679">
        <f t="shared" si="169"/>
        <v>4.0410286479805838E-2</v>
      </c>
      <c r="M380" s="678">
        <f t="shared" si="170"/>
        <v>1.0359108489044466</v>
      </c>
      <c r="N380" s="679">
        <f t="shared" si="171"/>
        <v>-0.26407622109174889</v>
      </c>
      <c r="O380" s="677">
        <f t="shared" si="172"/>
        <v>242593.7844350611</v>
      </c>
      <c r="P380" s="680">
        <f t="shared" si="173"/>
        <v>1.5707922046777438</v>
      </c>
      <c r="Q380" s="689">
        <f t="shared" si="195"/>
        <v>5.5094411888256891</v>
      </c>
      <c r="R380" s="690">
        <f t="shared" si="196"/>
        <v>1.3882780323396873</v>
      </c>
      <c r="S380" s="677">
        <f t="shared" si="174"/>
        <v>1.009131415566479</v>
      </c>
      <c r="T380" s="680">
        <f t="shared" si="175"/>
        <v>0.13462887590367811</v>
      </c>
      <c r="U380" s="681">
        <f t="shared" si="187"/>
        <v>0.80784467998901954</v>
      </c>
      <c r="V380" s="682">
        <f t="shared" si="188"/>
        <v>-0.79969122167308049</v>
      </c>
      <c r="W380" s="683">
        <f t="shared" si="176"/>
        <v>-11.506374984246294</v>
      </c>
      <c r="X380" s="684">
        <f t="shared" si="177"/>
        <v>-161.61194798951979</v>
      </c>
      <c r="Y380" s="687">
        <f t="shared" si="178"/>
        <v>18.388052010480209</v>
      </c>
      <c r="AA380" s="170">
        <f t="shared" si="179"/>
        <v>32175</v>
      </c>
      <c r="AB380" s="170">
        <f t="shared" si="180"/>
        <v>1035230625</v>
      </c>
      <c r="AD380" s="686">
        <f t="shared" si="181"/>
        <v>12.151053211579095</v>
      </c>
      <c r="AE380" s="687">
        <f t="shared" si="182"/>
        <v>-18.170958186928598</v>
      </c>
      <c r="AG380" s="686">
        <f t="shared" si="183"/>
        <v>22.010788836155779</v>
      </c>
      <c r="AH380" s="687">
        <f t="shared" si="184"/>
        <v>-51.803125866823123</v>
      </c>
      <c r="AJ380" s="170">
        <f t="shared" si="185"/>
        <v>0</v>
      </c>
      <c r="AK380" s="170">
        <f t="shared" si="197"/>
        <v>0</v>
      </c>
      <c r="AM380" s="170" t="str">
        <f t="shared" si="189"/>
        <v>0.70149074510026+0.95440673967612i</v>
      </c>
      <c r="AN380" s="170" t="str">
        <f t="shared" si="190"/>
        <v>1.2676660150833i</v>
      </c>
      <c r="AO380" s="170" t="str">
        <f t="shared" si="191"/>
        <v>0.752885009395321-0.553371895084025i</v>
      </c>
      <c r="AP380" s="170" t="str">
        <f t="shared" si="192"/>
        <v>0.04975154248329-0.15906778994602i</v>
      </c>
      <c r="AQ380" s="170" t="str">
        <f t="shared" si="193"/>
        <v>0.95024845751671+0.15906778994602i</v>
      </c>
      <c r="AR380" s="170" t="str">
        <f t="shared" si="194"/>
        <v>0.852718458492345-0.142741658316419i</v>
      </c>
    </row>
    <row r="381" spans="7:44">
      <c r="G381" s="688">
        <v>32359</v>
      </c>
      <c r="H381" s="676">
        <f t="shared" si="186"/>
        <v>32.359000000000002</v>
      </c>
      <c r="I381" s="677">
        <f t="shared" si="166"/>
        <v>11.11093825887327</v>
      </c>
      <c r="J381" s="678">
        <f t="shared" si="167"/>
        <v>1.4806729759501158</v>
      </c>
      <c r="K381" s="678">
        <f t="shared" si="168"/>
        <v>1.0008264193889609</v>
      </c>
      <c r="L381" s="679">
        <f t="shared" si="169"/>
        <v>4.0641128163430219E-2</v>
      </c>
      <c r="M381" s="678">
        <f t="shared" si="170"/>
        <v>1.0363155333631617</v>
      </c>
      <c r="N381" s="679">
        <f t="shared" si="171"/>
        <v>-0.26551660162252555</v>
      </c>
      <c r="O381" s="677">
        <f t="shared" si="172"/>
        <v>243981.11174928938</v>
      </c>
      <c r="P381" s="680">
        <f t="shared" si="173"/>
        <v>1.5707922281169586</v>
      </c>
      <c r="Q381" s="689">
        <f t="shared" si="195"/>
        <v>5.539913039736704</v>
      </c>
      <c r="R381" s="690">
        <f t="shared" si="196"/>
        <v>1.3892931632693697</v>
      </c>
      <c r="S381" s="677">
        <f t="shared" si="174"/>
        <v>1.0092356750555853</v>
      </c>
      <c r="T381" s="680">
        <f t="shared" si="175"/>
        <v>0.13538943368693193</v>
      </c>
      <c r="U381" s="681">
        <f t="shared" si="187"/>
        <v>0.80620510092651065</v>
      </c>
      <c r="V381" s="682">
        <f t="shared" si="188"/>
        <v>-0.80348283291371769</v>
      </c>
      <c r="W381" s="683">
        <f t="shared" si="176"/>
        <v>-11.572195097711489</v>
      </c>
      <c r="X381" s="684">
        <f t="shared" si="177"/>
        <v>-161.91327687067925</v>
      </c>
      <c r="Y381" s="687">
        <f t="shared" si="178"/>
        <v>18.086723129320745</v>
      </c>
      <c r="AA381" s="170">
        <f t="shared" si="179"/>
        <v>32359</v>
      </c>
      <c r="AB381" s="170">
        <f t="shared" si="180"/>
        <v>1047104881</v>
      </c>
      <c r="AD381" s="686">
        <f t="shared" si="181"/>
        <v>12.148533060107651</v>
      </c>
      <c r="AE381" s="687">
        <f t="shared" si="182"/>
        <v>-18.156373563012298</v>
      </c>
      <c r="AG381" s="686">
        <f t="shared" si="183"/>
        <v>21.982781980624168</v>
      </c>
      <c r="AH381" s="687">
        <f t="shared" si="184"/>
        <v>-51.684552728116678</v>
      </c>
      <c r="AJ381" s="170">
        <f t="shared" si="185"/>
        <v>0</v>
      </c>
      <c r="AK381" s="170">
        <f t="shared" si="197"/>
        <v>0</v>
      </c>
      <c r="AM381" s="170" t="str">
        <f t="shared" si="189"/>
        <v>0.708417437335556+0.956545664958049i</v>
      </c>
      <c r="AN381" s="170" t="str">
        <f t="shared" si="190"/>
        <v>1.27491544932651i</v>
      </c>
      <c r="AO381" s="170" t="str">
        <f t="shared" si="191"/>
        <v>0.750281648452339-0.555658367548833i</v>
      </c>
      <c r="AP381" s="170" t="str">
        <f t="shared" si="192"/>
        <v>0.0485970937774073-0.159424277493008i</v>
      </c>
      <c r="AQ381" s="170" t="str">
        <f t="shared" si="193"/>
        <v>0.951402906222593+0.159424277493008i</v>
      </c>
      <c r="AR381" s="170" t="str">
        <f t="shared" si="194"/>
        <v>0.851636144468802-0.142706603197094i</v>
      </c>
    </row>
    <row r="382" spans="7:44">
      <c r="G382" s="688">
        <v>32547.5</v>
      </c>
      <c r="H382" s="676">
        <f t="shared" si="186"/>
        <v>32.547499999999999</v>
      </c>
      <c r="I382" s="677">
        <f t="shared" si="166"/>
        <v>11.175139727697271</v>
      </c>
      <c r="J382" s="678">
        <f t="shared" si="167"/>
        <v>1.481192131152026</v>
      </c>
      <c r="K382" s="678">
        <f t="shared" si="168"/>
        <v>1.0008360716358411</v>
      </c>
      <c r="L382" s="679">
        <f t="shared" si="169"/>
        <v>4.0877610937561766E-2</v>
      </c>
      <c r="M382" s="678">
        <f t="shared" si="170"/>
        <v>1.0367323427879762</v>
      </c>
      <c r="N382" s="679">
        <f t="shared" si="171"/>
        <v>-0.26699103962254672</v>
      </c>
      <c r="O382" s="677">
        <f t="shared" si="172"/>
        <v>245402.36826413751</v>
      </c>
      <c r="P382" s="680">
        <f t="shared" si="173"/>
        <v>1.5707922518545971</v>
      </c>
      <c r="Q382" s="689">
        <f t="shared" si="195"/>
        <v>5.5711359805407135</v>
      </c>
      <c r="R382" s="690">
        <f t="shared" si="196"/>
        <v>1.3903216042800459</v>
      </c>
      <c r="S382" s="677">
        <f t="shared" si="174"/>
        <v>1.0093430896236657</v>
      </c>
      <c r="T382" s="680">
        <f t="shared" si="175"/>
        <v>0.13616842867088502</v>
      </c>
      <c r="U382" s="681">
        <f t="shared" si="187"/>
        <v>0.80452518748464374</v>
      </c>
      <c r="V382" s="682">
        <f t="shared" si="188"/>
        <v>-0.8073574198865312</v>
      </c>
      <c r="W382" s="683">
        <f t="shared" si="176"/>
        <v>-11.639340073657571</v>
      </c>
      <c r="X382" s="684">
        <f t="shared" si="177"/>
        <v>-162.22165851910052</v>
      </c>
      <c r="Y382" s="687">
        <f t="shared" si="178"/>
        <v>17.778341480899485</v>
      </c>
      <c r="AA382" s="170">
        <f t="shared" si="179"/>
        <v>32547.5</v>
      </c>
      <c r="AB382" s="170">
        <f t="shared" si="180"/>
        <v>1059339756.25</v>
      </c>
      <c r="AD382" s="686">
        <f t="shared" si="181"/>
        <v>12.145974007515662</v>
      </c>
      <c r="AE382" s="687">
        <f t="shared" si="182"/>
        <v>-18.142082718514931</v>
      </c>
      <c r="AG382" s="686">
        <f t="shared" si="183"/>
        <v>21.954431914143647</v>
      </c>
      <c r="AH382" s="687">
        <f t="shared" si="184"/>
        <v>-51.563230258730819</v>
      </c>
      <c r="AJ382" s="170">
        <f t="shared" si="185"/>
        <v>0</v>
      </c>
      <c r="AK382" s="170">
        <f t="shared" si="197"/>
        <v>0</v>
      </c>
      <c r="AM382" s="170" t="str">
        <f t="shared" si="189"/>
        <v>0.715529419871852+0.958684770423289i</v>
      </c>
      <c r="AN382" s="170" t="str">
        <f t="shared" si="190"/>
        <v>1.28234217951589i</v>
      </c>
      <c r="AO382" s="170" t="str">
        <f t="shared" si="191"/>
        <v>0.747604489454766-0.557986340386915i</v>
      </c>
      <c r="AP382" s="170" t="str">
        <f t="shared" si="192"/>
        <v>0.0474117633546913-0.159780795070548i</v>
      </c>
      <c r="AQ382" s="170" t="str">
        <f t="shared" si="193"/>
        <v>0.952588236645309+0.159780795070548i</v>
      </c>
      <c r="AR382" s="170" t="str">
        <f t="shared" si="194"/>
        <v>0.850530452288351-0.142662303260151i</v>
      </c>
    </row>
    <row r="383" spans="7:44">
      <c r="G383" s="688">
        <v>32736</v>
      </c>
      <c r="H383" s="676">
        <f t="shared" si="186"/>
        <v>32.735999999999997</v>
      </c>
      <c r="I383" s="677">
        <f t="shared" si="166"/>
        <v>11.239344174058452</v>
      </c>
      <c r="J383" s="678">
        <f t="shared" si="167"/>
        <v>1.4817053551711483</v>
      </c>
      <c r="K383" s="678">
        <f t="shared" si="168"/>
        <v>1.0008457798524988</v>
      </c>
      <c r="L383" s="679">
        <f t="shared" si="169"/>
        <v>4.1114089137146169E-2</v>
      </c>
      <c r="M383" s="678">
        <f t="shared" si="170"/>
        <v>1.0371514042207381</v>
      </c>
      <c r="N383" s="679">
        <f t="shared" si="171"/>
        <v>-0.26846428932870603</v>
      </c>
      <c r="O383" s="677">
        <f t="shared" si="172"/>
        <v>246823.6247789858</v>
      </c>
      <c r="P383" s="680">
        <f t="shared" si="173"/>
        <v>1.5707922753188643</v>
      </c>
      <c r="Q383" s="689">
        <f t="shared" si="195"/>
        <v>5.6023647482007357</v>
      </c>
      <c r="R383" s="690">
        <f t="shared" si="196"/>
        <v>1.3913385808603744</v>
      </c>
      <c r="S383" s="677">
        <f t="shared" si="174"/>
        <v>1.0094511165640594</v>
      </c>
      <c r="T383" s="680">
        <f t="shared" si="175"/>
        <v>0.13694725739826002</v>
      </c>
      <c r="U383" s="681">
        <f t="shared" si="187"/>
        <v>0.80284510721894875</v>
      </c>
      <c r="V383" s="682">
        <f t="shared" si="188"/>
        <v>-0.81122216305642147</v>
      </c>
      <c r="W383" s="683">
        <f t="shared" si="176"/>
        <v>-11.706200014508337</v>
      </c>
      <c r="X383" s="684">
        <f t="shared" si="177"/>
        <v>-162.52971582730765</v>
      </c>
      <c r="Y383" s="687">
        <f t="shared" si="178"/>
        <v>17.470284172692345</v>
      </c>
      <c r="AA383" s="170">
        <f t="shared" si="179"/>
        <v>32736</v>
      </c>
      <c r="AB383" s="170">
        <f t="shared" si="180"/>
        <v>1071645696</v>
      </c>
      <c r="AD383" s="686">
        <f t="shared" si="181"/>
        <v>12.143437340866022</v>
      </c>
      <c r="AE383" s="687">
        <f t="shared" si="182"/>
        <v>-18.128439196028477</v>
      </c>
      <c r="AG383" s="686">
        <f t="shared" si="183"/>
        <v>21.926423849034961</v>
      </c>
      <c r="AH383" s="687">
        <f t="shared" si="184"/>
        <v>-51.442064143844867</v>
      </c>
      <c r="AJ383" s="170">
        <f t="shared" si="185"/>
        <v>0</v>
      </c>
      <c r="AK383" s="170">
        <f t="shared" si="197"/>
        <v>0</v>
      </c>
      <c r="AM383" s="170" t="str">
        <f t="shared" si="189"/>
        <v>0.72265709268674+0.960770998606342i</v>
      </c>
      <c r="AN383" s="170" t="str">
        <f t="shared" si="190"/>
        <v>1.28976890970526i</v>
      </c>
      <c r="AO383" s="170" t="str">
        <f t="shared" si="191"/>
        <v>0.744917164134387-0.560299668606435i</v>
      </c>
      <c r="AP383" s="170" t="str">
        <f t="shared" si="192"/>
        <v>0.0462238178855433-0.160128499767724i</v>
      </c>
      <c r="AQ383" s="170" t="str">
        <f t="shared" si="193"/>
        <v>0.953776182114457+0.160128499767724i</v>
      </c>
      <c r="AR383" s="170" t="str">
        <f t="shared" si="194"/>
        <v>0.849427944230261-0.142609581703783i</v>
      </c>
    </row>
    <row r="384" spans="7:44">
      <c r="G384" s="688">
        <v>32924.5</v>
      </c>
      <c r="H384" s="676">
        <f t="shared" si="186"/>
        <v>32.924500000000002</v>
      </c>
      <c r="I384" s="677">
        <f t="shared" si="166"/>
        <v>11.303551547219367</v>
      </c>
      <c r="J384" s="678">
        <f t="shared" si="167"/>
        <v>1.4822127488071799</v>
      </c>
      <c r="K384" s="678">
        <f t="shared" si="168"/>
        <v>1.0008555440373055</v>
      </c>
      <c r="L384" s="679">
        <f t="shared" si="169"/>
        <v>4.1350562735868283E-2</v>
      </c>
      <c r="M384" s="678">
        <f t="shared" si="170"/>
        <v>1.0375727149327818</v>
      </c>
      <c r="N384" s="679">
        <f t="shared" si="171"/>
        <v>-0.26993634578942594</v>
      </c>
      <c r="O384" s="677">
        <f t="shared" si="172"/>
        <v>248244.88129383419</v>
      </c>
      <c r="P384" s="680">
        <f t="shared" si="173"/>
        <v>1.5707922985144551</v>
      </c>
      <c r="Q384" s="689">
        <f t="shared" si="195"/>
        <v>5.6335992458166242</v>
      </c>
      <c r="R384" s="690">
        <f t="shared" si="196"/>
        <v>1.3923442815766092</v>
      </c>
      <c r="S384" s="677">
        <f t="shared" si="174"/>
        <v>1.0095597556801881</v>
      </c>
      <c r="T384" s="680">
        <f t="shared" si="175"/>
        <v>0.13772591897774483</v>
      </c>
      <c r="U384" s="681">
        <f t="shared" si="187"/>
        <v>0.8011649317012588</v>
      </c>
      <c r="V384" s="682">
        <f t="shared" si="188"/>
        <v>-0.81507709105611081</v>
      </c>
      <c r="W384" s="683">
        <f t="shared" si="176"/>
        <v>-11.772778155989689</v>
      </c>
      <c r="X384" s="684">
        <f t="shared" si="177"/>
        <v>-162.83744507418521</v>
      </c>
      <c r="Y384" s="687">
        <f t="shared" si="178"/>
        <v>17.162554925814788</v>
      </c>
      <c r="AA384" s="170">
        <f t="shared" si="179"/>
        <v>32924.5</v>
      </c>
      <c r="AB384" s="170">
        <f t="shared" si="180"/>
        <v>1084022700.25</v>
      </c>
      <c r="AD384" s="686">
        <f t="shared" si="181"/>
        <v>12.14092245079817</v>
      </c>
      <c r="AE384" s="687">
        <f t="shared" si="182"/>
        <v>-18.11543214070301</v>
      </c>
      <c r="AG384" s="686">
        <f t="shared" si="183"/>
        <v>21.898753947046185</v>
      </c>
      <c r="AH384" s="687">
        <f t="shared" si="184"/>
        <v>-51.321058236125168</v>
      </c>
      <c r="AJ384" s="170">
        <f t="shared" si="185"/>
        <v>0</v>
      </c>
      <c r="AK384" s="170">
        <f t="shared" si="197"/>
        <v>0</v>
      </c>
      <c r="AM384" s="170" t="str">
        <f t="shared" si="189"/>
        <v>0.729800062645833+0.96280423443907i</v>
      </c>
      <c r="AN384" s="170" t="str">
        <f t="shared" si="190"/>
        <v>1.29719563989464i</v>
      </c>
      <c r="AO384" s="170" t="str">
        <f t="shared" si="191"/>
        <v>0.74221975839918-0.562598300673527i</v>
      </c>
      <c r="AP384" s="170" t="str">
        <f t="shared" si="192"/>
        <v>0.0450333228923612-0.160467372406512i</v>
      </c>
      <c r="AQ384" s="170" t="str">
        <f t="shared" si="193"/>
        <v>0.954966677107639+0.160467372406512i</v>
      </c>
      <c r="AR384" s="170" t="str">
        <f t="shared" si="194"/>
        <v>0.848328674887219-0.142548506308672i</v>
      </c>
    </row>
    <row r="385" spans="7:44">
      <c r="G385" s="688">
        <v>33113</v>
      </c>
      <c r="H385" s="676">
        <f t="shared" si="186"/>
        <v>33.113</v>
      </c>
      <c r="I385" s="677">
        <f t="shared" si="166"/>
        <v>11.367761797586581</v>
      </c>
      <c r="J385" s="678">
        <f t="shared" si="167"/>
        <v>1.4827144105945336</v>
      </c>
      <c r="K385" s="678">
        <f t="shared" si="168"/>
        <v>1.0008653641886232</v>
      </c>
      <c r="L385" s="679">
        <f t="shared" si="169"/>
        <v>4.1587031707416067E-2</v>
      </c>
      <c r="M385" s="678">
        <f t="shared" si="170"/>
        <v>1.0379962721852376</v>
      </c>
      <c r="N385" s="679">
        <f t="shared" si="171"/>
        <v>-0.27140720408183244</v>
      </c>
      <c r="O385" s="677">
        <f t="shared" si="172"/>
        <v>249666.13780868272</v>
      </c>
      <c r="P385" s="680">
        <f t="shared" si="173"/>
        <v>1.5707923214459583</v>
      </c>
      <c r="Q385" s="689">
        <f t="shared" si="195"/>
        <v>5.6648393786077786</v>
      </c>
      <c r="R385" s="690">
        <f t="shared" si="196"/>
        <v>1.3933388909278148</v>
      </c>
      <c r="S385" s="677">
        <f t="shared" si="174"/>
        <v>1.0096690067744434</v>
      </c>
      <c r="T385" s="680">
        <f t="shared" si="175"/>
        <v>0.13850441251922069</v>
      </c>
      <c r="U385" s="681">
        <f t="shared" si="187"/>
        <v>0.79948473149098453</v>
      </c>
      <c r="V385" s="682">
        <f t="shared" si="188"/>
        <v>-0.81892223299993694</v>
      </c>
      <c r="W385" s="683">
        <f t="shared" si="176"/>
        <v>-11.83907766981676</v>
      </c>
      <c r="X385" s="684">
        <f t="shared" si="177"/>
        <v>-163.1448426711608</v>
      </c>
      <c r="Y385" s="687">
        <f t="shared" si="178"/>
        <v>16.855157328839198</v>
      </c>
      <c r="AA385" s="170">
        <f t="shared" si="179"/>
        <v>33113</v>
      </c>
      <c r="AB385" s="170">
        <f t="shared" si="180"/>
        <v>1096470769</v>
      </c>
      <c r="AD385" s="686">
        <f t="shared" si="181"/>
        <v>12.138428744816467</v>
      </c>
      <c r="AE385" s="687">
        <f t="shared" si="182"/>
        <v>-18.103050930783642</v>
      </c>
      <c r="AG385" s="686">
        <f t="shared" si="183"/>
        <v>21.871418428214412</v>
      </c>
      <c r="AH385" s="687">
        <f t="shared" si="184"/>
        <v>-51.200216232496693</v>
      </c>
      <c r="AJ385" s="170">
        <f t="shared" si="185"/>
        <v>0</v>
      </c>
      <c r="AK385" s="170">
        <f t="shared" si="197"/>
        <v>0</v>
      </c>
      <c r="AM385" s="170" t="str">
        <f t="shared" si="189"/>
        <v>0.736957935770987+0.964784365776177i</v>
      </c>
      <c r="AN385" s="170" t="str">
        <f t="shared" si="190"/>
        <v>1.30462237008402i</v>
      </c>
      <c r="AO385" s="170" t="str">
        <f t="shared" si="191"/>
        <v>0.73951235844135-0.564882185581047i</v>
      </c>
      <c r="AP385" s="170" t="str">
        <f t="shared" si="192"/>
        <v>0.0438403440381688-0.160797394296029i</v>
      </c>
      <c r="AQ385" s="170" t="str">
        <f t="shared" si="193"/>
        <v>0.956159655961831+0.160797394296029i</v>
      </c>
      <c r="AR385" s="170" t="str">
        <f t="shared" si="194"/>
        <v>0.84723269770908-0.142479144883994i</v>
      </c>
    </row>
    <row r="386" spans="7:44">
      <c r="G386" s="688">
        <v>33305.75</v>
      </c>
      <c r="H386" s="676">
        <f t="shared" si="186"/>
        <v>33.305750000000003</v>
      </c>
      <c r="I386" s="677">
        <f t="shared" si="166"/>
        <v>11.433422683908855</v>
      </c>
      <c r="J386" s="678">
        <f t="shared" si="167"/>
        <v>1.4832215562549087</v>
      </c>
      <c r="K386" s="678">
        <f t="shared" si="168"/>
        <v>1.000875463620974</v>
      </c>
      <c r="L386" s="679">
        <f t="shared" si="169"/>
        <v>4.1828827395250477E-2</v>
      </c>
      <c r="M386" s="678">
        <f t="shared" si="170"/>
        <v>1.0384316993615132</v>
      </c>
      <c r="N386" s="679">
        <f t="shared" si="171"/>
        <v>-0.27290998086851953</v>
      </c>
      <c r="O386" s="677">
        <f t="shared" si="172"/>
        <v>251119.43856856113</v>
      </c>
      <c r="P386" s="680">
        <f t="shared" si="173"/>
        <v>1.5707923446260701</v>
      </c>
      <c r="Q386" s="689">
        <f t="shared" si="195"/>
        <v>5.6967895951264245</v>
      </c>
      <c r="R386" s="690">
        <f t="shared" si="196"/>
        <v>1.3943446439399976</v>
      </c>
      <c r="S386" s="677">
        <f t="shared" si="174"/>
        <v>1.0097813537132496</v>
      </c>
      <c r="T386" s="680">
        <f t="shared" si="175"/>
        <v>0.13930028361253538</v>
      </c>
      <c r="U386" s="681">
        <f t="shared" si="187"/>
        <v>0.79776669570501946</v>
      </c>
      <c r="V386" s="682">
        <f t="shared" si="188"/>
        <v>-0.82284398044812923</v>
      </c>
      <c r="W386" s="683">
        <f t="shared" si="176"/>
        <v>-11.906587117875391</v>
      </c>
      <c r="X386" s="684">
        <f t="shared" si="177"/>
        <v>-163.45882442954041</v>
      </c>
      <c r="Y386" s="687">
        <f t="shared" si="178"/>
        <v>16.541175570459586</v>
      </c>
      <c r="AA386" s="170">
        <f t="shared" si="179"/>
        <v>33305.75</v>
      </c>
      <c r="AB386" s="170">
        <f t="shared" si="180"/>
        <v>1109272983.0625</v>
      </c>
      <c r="AD386" s="686">
        <f t="shared" si="181"/>
        <v>12.135900120405068</v>
      </c>
      <c r="AE386" s="687">
        <f t="shared" si="182"/>
        <v>-18.091026910745232</v>
      </c>
      <c r="AG386" s="686">
        <f t="shared" si="183"/>
        <v>21.843808489906905</v>
      </c>
      <c r="AH386" s="687">
        <f t="shared" si="184"/>
        <v>-51.076822856205979</v>
      </c>
      <c r="AJ386" s="170">
        <f t="shared" si="185"/>
        <v>0</v>
      </c>
      <c r="AK386" s="170">
        <f t="shared" si="197"/>
        <v>0</v>
      </c>
      <c r="AM386" s="170" t="str">
        <f t="shared" si="189"/>
        <v>0.744292192951602+0.966754114247516i</v>
      </c>
      <c r="AN386" s="170" t="str">
        <f t="shared" si="190"/>
        <v>1.31221654644477i</v>
      </c>
      <c r="AO386" s="170" t="str">
        <f t="shared" si="191"/>
        <v>0.736733671638857-0.567202261675587i</v>
      </c>
      <c r="AP386" s="170" t="str">
        <f t="shared" si="192"/>
        <v>0.0426179678413997-0.161125685707919i</v>
      </c>
      <c r="AQ386" s="170" t="str">
        <f t="shared" si="193"/>
        <v>0.9573820321586+0.161125685707919i</v>
      </c>
      <c r="AR386" s="170" t="str">
        <f t="shared" si="194"/>
        <v>0.846115469012517-0.142399721901335i</v>
      </c>
    </row>
    <row r="387" spans="7:44">
      <c r="G387" s="688">
        <v>33498.5</v>
      </c>
      <c r="H387" s="676">
        <f t="shared" si="186"/>
        <v>33.4985</v>
      </c>
      <c r="I387" s="677">
        <f t="shared" si="166"/>
        <v>11.499086477286854</v>
      </c>
      <c r="J387" s="678">
        <f t="shared" si="167"/>
        <v>1.4837229100858933</v>
      </c>
      <c r="K387" s="678">
        <f t="shared" si="168"/>
        <v>1.0008856215684807</v>
      </c>
      <c r="L387" s="679">
        <f t="shared" si="169"/>
        <v>4.2070618189271762E-2</v>
      </c>
      <c r="M387" s="678">
        <f t="shared" si="170"/>
        <v>1.0388694696986867</v>
      </c>
      <c r="N387" s="679">
        <f t="shared" si="171"/>
        <v>-0.27441149453026342</v>
      </c>
      <c r="O387" s="677">
        <f t="shared" si="172"/>
        <v>252572.73932843967</v>
      </c>
      <c r="P387" s="680">
        <f t="shared" si="173"/>
        <v>1.5707923675394257</v>
      </c>
      <c r="Q387" s="689">
        <f t="shared" si="195"/>
        <v>5.7287455098900057</v>
      </c>
      <c r="R387" s="690">
        <f t="shared" si="196"/>
        <v>1.3953391774268527</v>
      </c>
      <c r="S387" s="677">
        <f t="shared" si="174"/>
        <v>1.0098943401159242</v>
      </c>
      <c r="T387" s="680">
        <f t="shared" si="175"/>
        <v>0.14009597712654936</v>
      </c>
      <c r="U387" s="681">
        <f t="shared" si="187"/>
        <v>0.79604878009922975</v>
      </c>
      <c r="V387" s="682">
        <f t="shared" si="188"/>
        <v>-0.82675555865284212</v>
      </c>
      <c r="W387" s="683">
        <f t="shared" si="176"/>
        <v>-11.973811742427845</v>
      </c>
      <c r="X387" s="684">
        <f t="shared" si="177"/>
        <v>-163.77245223609523</v>
      </c>
      <c r="Y387" s="687">
        <f t="shared" si="178"/>
        <v>16.227547763904766</v>
      </c>
      <c r="AA387" s="170">
        <f t="shared" si="179"/>
        <v>33498.5</v>
      </c>
      <c r="AB387" s="170">
        <f t="shared" si="180"/>
        <v>1122149502.25</v>
      </c>
      <c r="AD387" s="686">
        <f t="shared" si="181"/>
        <v>12.13339244472953</v>
      </c>
      <c r="AE387" s="687">
        <f t="shared" si="182"/>
        <v>-18.079635532328492</v>
      </c>
      <c r="AG387" s="686">
        <f t="shared" si="183"/>
        <v>21.816540370871401</v>
      </c>
      <c r="AH387" s="687">
        <f t="shared" si="184"/>
        <v>-50.953608195934535</v>
      </c>
      <c r="AJ387" s="170">
        <f t="shared" si="185"/>
        <v>0</v>
      </c>
      <c r="AK387" s="170">
        <f t="shared" si="197"/>
        <v>0</v>
      </c>
      <c r="AM387" s="170" t="str">
        <f t="shared" si="189"/>
        <v>0.75164119711788+0.968668108812797i</v>
      </c>
      <c r="AN387" s="170" t="str">
        <f t="shared" si="190"/>
        <v>1.31981072280553i</v>
      </c>
      <c r="AO387" s="170" t="str">
        <f t="shared" si="191"/>
        <v>0.733944718037821-0.569506811946573i</v>
      </c>
      <c r="AP387" s="170" t="str">
        <f t="shared" si="192"/>
        <v>0.0413931338136867-0.161444684802133i</v>
      </c>
      <c r="AQ387" s="170" t="str">
        <f t="shared" si="193"/>
        <v>0.958606866186313+0.161444684802133i</v>
      </c>
      <c r="AR387" s="170" t="str">
        <f t="shared" si="194"/>
        <v>0.845001792033145-0.142311778461134i</v>
      </c>
    </row>
    <row r="388" spans="7:44">
      <c r="G388" s="688">
        <v>33691.25</v>
      </c>
      <c r="H388" s="676">
        <f t="shared" si="186"/>
        <v>33.691249999999997</v>
      </c>
      <c r="I388" s="677">
        <f t="shared" si="166"/>
        <v>11.564753128202447</v>
      </c>
      <c r="J388" s="678">
        <f t="shared" si="167"/>
        <v>1.4842185704942803</v>
      </c>
      <c r="K388" s="678">
        <f t="shared" si="168"/>
        <v>1.000895838029362</v>
      </c>
      <c r="L388" s="679">
        <f t="shared" si="169"/>
        <v>4.2312404061357826E-2</v>
      </c>
      <c r="M388" s="678">
        <f t="shared" si="170"/>
        <v>1.0393095802358507</v>
      </c>
      <c r="N388" s="679">
        <f t="shared" si="171"/>
        <v>-0.27591173989703466</v>
      </c>
      <c r="O388" s="677">
        <f t="shared" si="172"/>
        <v>254026.04008831838</v>
      </c>
      <c r="P388" s="680">
        <f t="shared" si="173"/>
        <v>1.5707923901906033</v>
      </c>
      <c r="Q388" s="689">
        <f t="shared" si="195"/>
        <v>5.7607070280702537</v>
      </c>
      <c r="R388" s="690">
        <f t="shared" si="196"/>
        <v>1.3963226761487462</v>
      </c>
      <c r="S388" s="677">
        <f t="shared" si="174"/>
        <v>1.0100079657678629</v>
      </c>
      <c r="T388" s="680">
        <f t="shared" si="175"/>
        <v>0.14089149211347629</v>
      </c>
      <c r="U388" s="681">
        <f t="shared" si="187"/>
        <v>0.79433105686267613</v>
      </c>
      <c r="V388" s="682">
        <f t="shared" si="188"/>
        <v>-0.83065700023871092</v>
      </c>
      <c r="W388" s="683">
        <f t="shared" si="176"/>
        <v>-12.040754737883965</v>
      </c>
      <c r="X388" s="684">
        <f t="shared" si="177"/>
        <v>-164.08572266373241</v>
      </c>
      <c r="Y388" s="687">
        <f t="shared" si="178"/>
        <v>15.914277336267588</v>
      </c>
      <c r="AA388" s="170">
        <f t="shared" si="179"/>
        <v>33691.25</v>
      </c>
      <c r="AB388" s="170">
        <f t="shared" si="180"/>
        <v>1135100326.5625</v>
      </c>
      <c r="AD388" s="686">
        <f t="shared" si="181"/>
        <v>12.130905135501692</v>
      </c>
      <c r="AE388" s="687">
        <f t="shared" si="182"/>
        <v>-18.068866155502374</v>
      </c>
      <c r="AG388" s="686">
        <f t="shared" si="183"/>
        <v>21.789610211353999</v>
      </c>
      <c r="AH388" s="687">
        <f t="shared" si="184"/>
        <v>-50.83057572611277</v>
      </c>
      <c r="AJ388" s="170">
        <f t="shared" si="185"/>
        <v>0</v>
      </c>
      <c r="AK388" s="170">
        <f t="shared" si="197"/>
        <v>0</v>
      </c>
      <c r="AM388" s="170" t="str">
        <f t="shared" si="189"/>
        <v>0.759004524443637+0.970526239089579i</v>
      </c>
      <c r="AN388" s="170" t="str">
        <f t="shared" si="190"/>
        <v>1.32740489916628i</v>
      </c>
      <c r="AO388" s="170" t="str">
        <f t="shared" si="191"/>
        <v>0.7311455906929-0.571795783577682i</v>
      </c>
      <c r="AP388" s="170" t="str">
        <f t="shared" si="192"/>
        <v>0.0401659125927272-0.161754373181596i</v>
      </c>
      <c r="AQ388" s="170" t="str">
        <f t="shared" si="193"/>
        <v>0.959834087407273+0.161754373181596i</v>
      </c>
      <c r="AR388" s="170" t="str">
        <f t="shared" si="194"/>
        <v>0.843891720285065-0.142215387053585i</v>
      </c>
    </row>
    <row r="389" spans="7:44">
      <c r="G389" s="688">
        <v>33884</v>
      </c>
      <c r="H389" s="676">
        <f t="shared" si="186"/>
        <v>33.884</v>
      </c>
      <c r="I389" s="677">
        <f t="shared" si="166"/>
        <v>11.630422588253722</v>
      </c>
      <c r="J389" s="678">
        <f t="shared" si="167"/>
        <v>1.4847086336756412</v>
      </c>
      <c r="K389" s="678">
        <f t="shared" si="168"/>
        <v>1.0009061130018255</v>
      </c>
      <c r="L389" s="679">
        <f t="shared" si="169"/>
        <v>4.2554184983390024E-2</v>
      </c>
      <c r="M389" s="678">
        <f t="shared" si="170"/>
        <v>1.0397520280012971</v>
      </c>
      <c r="N389" s="679">
        <f t="shared" si="171"/>
        <v>-0.27741071183037108</v>
      </c>
      <c r="O389" s="677">
        <f t="shared" si="172"/>
        <v>255479.34084819717</v>
      </c>
      <c r="P389" s="680">
        <f t="shared" si="173"/>
        <v>1.5707924125840775</v>
      </c>
      <c r="Q389" s="689">
        <f t="shared" si="195"/>
        <v>5.7926740569153408</v>
      </c>
      <c r="R389" s="690">
        <f t="shared" si="196"/>
        <v>1.3972953208740897</v>
      </c>
      <c r="S389" s="677">
        <f t="shared" si="174"/>
        <v>1.0101222304533435</v>
      </c>
      <c r="T389" s="680">
        <f t="shared" si="175"/>
        <v>0.14168682762685872</v>
      </c>
      <c r="U389" s="681">
        <f t="shared" si="187"/>
        <v>0.79261359710022838</v>
      </c>
      <c r="V389" s="682">
        <f t="shared" si="188"/>
        <v>-0.83454833831277864</v>
      </c>
      <c r="W389" s="683">
        <f t="shared" si="176"/>
        <v>-12.107419235856259</v>
      </c>
      <c r="X389" s="684">
        <f t="shared" si="177"/>
        <v>-164.39863241690628</v>
      </c>
      <c r="Y389" s="687">
        <f t="shared" si="178"/>
        <v>15.601367583093719</v>
      </c>
      <c r="AA389" s="170">
        <f t="shared" si="179"/>
        <v>33884</v>
      </c>
      <c r="AB389" s="170">
        <f t="shared" si="180"/>
        <v>1148125456</v>
      </c>
      <c r="AD389" s="686">
        <f t="shared" si="181"/>
        <v>12.128437626574598</v>
      </c>
      <c r="AE389" s="687">
        <f t="shared" si="182"/>
        <v>-18.058708369028171</v>
      </c>
      <c r="AG389" s="686">
        <f t="shared" si="183"/>
        <v>21.763014210449867</v>
      </c>
      <c r="AH389" s="687">
        <f t="shared" si="184"/>
        <v>-50.707728768646</v>
      </c>
      <c r="AJ389" s="170">
        <f t="shared" si="185"/>
        <v>0</v>
      </c>
      <c r="AK389" s="170">
        <f t="shared" si="197"/>
        <v>0</v>
      </c>
      <c r="AM389" s="170" t="str">
        <f t="shared" si="189"/>
        <v>0.766381750276695+0.972328397917195i</v>
      </c>
      <c r="AN389" s="170" t="str">
        <f t="shared" si="190"/>
        <v>1.33499907552704i</v>
      </c>
      <c r="AO389" s="170" t="str">
        <f t="shared" si="191"/>
        <v>0.728336382954672-0.574069124335639i</v>
      </c>
      <c r="AP389" s="170" t="str">
        <f t="shared" si="192"/>
        <v>0.0389363749538842-0.162054732986199i</v>
      </c>
      <c r="AQ389" s="170" t="str">
        <f t="shared" si="193"/>
        <v>0.961063625046116+0.162054732986199i</v>
      </c>
      <c r="AR389" s="170" t="str">
        <f t="shared" si="194"/>
        <v>0.842785306083219-0.142110620132413i</v>
      </c>
    </row>
    <row r="390" spans="7:44">
      <c r="G390" s="688">
        <v>34081.5</v>
      </c>
      <c r="H390" s="676">
        <f t="shared" si="186"/>
        <v>34.081499999999998</v>
      </c>
      <c r="I390" s="677">
        <f t="shared" si="166"/>
        <v>11.697713226198728</v>
      </c>
      <c r="J390" s="678">
        <f t="shared" si="167"/>
        <v>1.4852050661516916</v>
      </c>
      <c r="K390" s="678">
        <f t="shared" si="168"/>
        <v>1.0009167018740714</v>
      </c>
      <c r="L390" s="679">
        <f t="shared" si="169"/>
        <v>4.280191902620345E-2</v>
      </c>
      <c r="M390" s="678">
        <f t="shared" si="170"/>
        <v>1.0402078003632909</v>
      </c>
      <c r="N390" s="679">
        <f t="shared" si="171"/>
        <v>-0.27894529717623773</v>
      </c>
      <c r="O390" s="677">
        <f t="shared" si="172"/>
        <v>256968.45576428581</v>
      </c>
      <c r="P390" s="680">
        <f t="shared" si="173"/>
        <v>1.570792435266666</v>
      </c>
      <c r="Q390" s="689">
        <f t="shared" si="195"/>
        <v>5.8254344806598093</v>
      </c>
      <c r="R390" s="690">
        <f t="shared" si="196"/>
        <v>1.3982808612422253</v>
      </c>
      <c r="S390" s="677">
        <f t="shared" si="174"/>
        <v>1.0102399736227465</v>
      </c>
      <c r="T390" s="680">
        <f t="shared" si="175"/>
        <v>0.14250157569742672</v>
      </c>
      <c r="U390" s="681">
        <f t="shared" si="187"/>
        <v>0.79085415994649777</v>
      </c>
      <c r="V390" s="682">
        <f t="shared" si="188"/>
        <v>-0.83852512694090231</v>
      </c>
      <c r="W390" s="683">
        <f t="shared" si="176"/>
        <v>-12.175440902408582</v>
      </c>
      <c r="X390" s="684">
        <f t="shared" si="177"/>
        <v>-164.7188758776887</v>
      </c>
      <c r="Y390" s="687">
        <f t="shared" si="178"/>
        <v>15.281124122311297</v>
      </c>
      <c r="AA390" s="170">
        <f t="shared" si="179"/>
        <v>34081.5</v>
      </c>
      <c r="AB390" s="170">
        <f t="shared" si="180"/>
        <v>1161548642.25</v>
      </c>
      <c r="AD390" s="686">
        <f t="shared" si="181"/>
        <v>12.125929272622136</v>
      </c>
      <c r="AE390" s="687">
        <f t="shared" si="182"/>
        <v>-18.048923990809602</v>
      </c>
      <c r="AG390" s="686">
        <f t="shared" si="183"/>
        <v>21.736105493778453</v>
      </c>
      <c r="AH390" s="687">
        <f t="shared" si="184"/>
        <v>-50.582050198312061</v>
      </c>
      <c r="AJ390" s="170">
        <f t="shared" si="185"/>
        <v>0</v>
      </c>
      <c r="AK390" s="170">
        <f t="shared" si="197"/>
        <v>0</v>
      </c>
      <c r="AM390" s="170" t="str">
        <f t="shared" si="189"/>
        <v>0.773954746994953+0.974116801823008i</v>
      </c>
      <c r="AN390" s="170" t="str">
        <f t="shared" si="190"/>
        <v>1.34278039760875i</v>
      </c>
      <c r="AO390" s="170" t="str">
        <f t="shared" si="191"/>
        <v>0.725447588866902-0.576382220334186i</v>
      </c>
      <c r="AP390" s="170" t="str">
        <f t="shared" si="192"/>
        <v>0.0376742088341745-0.162352800303835i</v>
      </c>
      <c r="AQ390" s="170" t="str">
        <f t="shared" si="193"/>
        <v>0.962325791165826+0.162352800303835i</v>
      </c>
      <c r="AR390" s="170" t="str">
        <f t="shared" si="194"/>
        <v>0.841655473482076-0.141994659464883i</v>
      </c>
    </row>
    <row r="391" spans="7:44">
      <c r="G391" s="688">
        <v>34279</v>
      </c>
      <c r="H391" s="676">
        <f t="shared" si="186"/>
        <v>34.279000000000003</v>
      </c>
      <c r="I391" s="677">
        <f t="shared" si="166"/>
        <v>11.765006714011431</v>
      </c>
      <c r="J391" s="678">
        <f t="shared" si="167"/>
        <v>1.4856958197583794</v>
      </c>
      <c r="K391" s="678">
        <f t="shared" si="168"/>
        <v>1.0009273521734317</v>
      </c>
      <c r="L391" s="679">
        <f t="shared" si="169"/>
        <v>4.3049647812225811E-2</v>
      </c>
      <c r="M391" s="678">
        <f t="shared" si="170"/>
        <v>1.0406660202158535</v>
      </c>
      <c r="N391" s="679">
        <f t="shared" si="171"/>
        <v>-0.28047853473123674</v>
      </c>
      <c r="O391" s="677">
        <f t="shared" si="172"/>
        <v>258457.5706803746</v>
      </c>
      <c r="P391" s="680">
        <f t="shared" si="173"/>
        <v>1.5707924576878809</v>
      </c>
      <c r="Q391" s="689">
        <f t="shared" si="195"/>
        <v>5.8582004993025016</v>
      </c>
      <c r="R391" s="690">
        <f t="shared" si="196"/>
        <v>1.3992553779223325</v>
      </c>
      <c r="S391" s="677">
        <f t="shared" si="174"/>
        <v>1.0103583872474498</v>
      </c>
      <c r="T391" s="680">
        <f t="shared" si="175"/>
        <v>0.14331613333226684</v>
      </c>
      <c r="U391" s="681">
        <f t="shared" si="187"/>
        <v>0.78909514709436068</v>
      </c>
      <c r="V391" s="682">
        <f t="shared" si="188"/>
        <v>-0.84249137983354505</v>
      </c>
      <c r="W391" s="683">
        <f t="shared" si="176"/>
        <v>-12.243176637936768</v>
      </c>
      <c r="X391" s="684">
        <f t="shared" si="177"/>
        <v>-165.03873407316988</v>
      </c>
      <c r="Y391" s="687">
        <f t="shared" si="178"/>
        <v>14.961265926830123</v>
      </c>
      <c r="AA391" s="170">
        <f t="shared" si="179"/>
        <v>34279</v>
      </c>
      <c r="AB391" s="170">
        <f t="shared" si="180"/>
        <v>1175049841</v>
      </c>
      <c r="AD391" s="686">
        <f t="shared" si="181"/>
        <v>12.123440553151251</v>
      </c>
      <c r="AE391" s="687">
        <f t="shared" si="182"/>
        <v>-18.039760297251373</v>
      </c>
      <c r="AG391" s="686">
        <f t="shared" si="183"/>
        <v>21.709539713252433</v>
      </c>
      <c r="AH391" s="687">
        <f t="shared" si="184"/>
        <v>-50.456572984372158</v>
      </c>
      <c r="AJ391" s="170">
        <f t="shared" si="185"/>
        <v>0</v>
      </c>
      <c r="AK391" s="170">
        <f t="shared" si="197"/>
        <v>0</v>
      </c>
      <c r="AM391" s="170" t="str">
        <f t="shared" si="189"/>
        <v>0.781541430452149+0.975846224254163i</v>
      </c>
      <c r="AN391" s="170" t="str">
        <f t="shared" si="190"/>
        <v>1.35056171969046i</v>
      </c>
      <c r="AO391" s="170" t="str">
        <f t="shared" si="191"/>
        <v>0.722548410803336-0.578678796427958i</v>
      </c>
      <c r="AP391" s="170" t="str">
        <f t="shared" si="192"/>
        <v>0.0364097615913085-0.162641037375694i</v>
      </c>
      <c r="AQ391" s="170" t="str">
        <f t="shared" si="193"/>
        <v>0.963590238408692+0.162641037375694i</v>
      </c>
      <c r="AR391" s="170" t="str">
        <f t="shared" si="194"/>
        <v>0.840529588316632-0.141870059222i</v>
      </c>
    </row>
    <row r="392" spans="7:44">
      <c r="G392" s="688">
        <v>34476.5</v>
      </c>
      <c r="H392" s="676">
        <f t="shared" si="186"/>
        <v>34.476500000000001</v>
      </c>
      <c r="I392" s="677">
        <f t="shared" si="166"/>
        <v>11.832303003067945</v>
      </c>
      <c r="J392" s="678">
        <f t="shared" si="167"/>
        <v>1.4861809911530819</v>
      </c>
      <c r="K392" s="678">
        <f t="shared" si="168"/>
        <v>1.0009380638979448</v>
      </c>
      <c r="L392" s="679">
        <f t="shared" si="169"/>
        <v>4.3297371311219392E-2</v>
      </c>
      <c r="M392" s="678">
        <f t="shared" si="170"/>
        <v>1.0411266843274216</v>
      </c>
      <c r="N392" s="679">
        <f t="shared" si="171"/>
        <v>-0.28201041907098717</v>
      </c>
      <c r="O392" s="677">
        <f t="shared" si="172"/>
        <v>259946.68559646353</v>
      </c>
      <c r="P392" s="680">
        <f t="shared" si="173"/>
        <v>1.5707924798522142</v>
      </c>
      <c r="Q392" s="689">
        <f t="shared" si="195"/>
        <v>5.8909720194857158</v>
      </c>
      <c r="R392" s="690">
        <f t="shared" si="196"/>
        <v>1.4002190530224035</v>
      </c>
      <c r="S392" s="677">
        <f t="shared" si="174"/>
        <v>1.0104774710917495</v>
      </c>
      <c r="T392" s="680">
        <f t="shared" si="175"/>
        <v>0.14413049951759427</v>
      </c>
      <c r="U392" s="681">
        <f t="shared" si="187"/>
        <v>0.78733663153555422</v>
      </c>
      <c r="V392" s="682">
        <f t="shared" si="188"/>
        <v>-0.8464471341109282</v>
      </c>
      <c r="W392" s="683">
        <f t="shared" si="176"/>
        <v>-12.310629617001219</v>
      </c>
      <c r="X392" s="684">
        <f t="shared" si="177"/>
        <v>-165.35820386733232</v>
      </c>
      <c r="Y392" s="687">
        <f t="shared" si="178"/>
        <v>14.641796132667679</v>
      </c>
      <c r="AA392" s="170">
        <f t="shared" si="179"/>
        <v>34476.5</v>
      </c>
      <c r="AB392" s="170">
        <f t="shared" si="180"/>
        <v>1188629052.25</v>
      </c>
      <c r="AD392" s="686">
        <f t="shared" si="181"/>
        <v>12.120970908464585</v>
      </c>
      <c r="AE392" s="687">
        <f t="shared" si="182"/>
        <v>-18.03120679650587</v>
      </c>
      <c r="AG392" s="686">
        <f t="shared" si="183"/>
        <v>21.683312964762305</v>
      </c>
      <c r="AH392" s="687">
        <f t="shared" si="184"/>
        <v>-50.331300228992397</v>
      </c>
      <c r="AJ392" s="170">
        <f t="shared" si="185"/>
        <v>0</v>
      </c>
      <c r="AK392" s="170">
        <f t="shared" si="197"/>
        <v>0</v>
      </c>
      <c r="AM392" s="170" t="str">
        <f t="shared" si="189"/>
        <v>0.789141341284697+0.977516560496436i</v>
      </c>
      <c r="AN392" s="170" t="str">
        <f t="shared" si="190"/>
        <v>1.35834304177216i</v>
      </c>
      <c r="AO392" s="170" t="str">
        <f t="shared" si="191"/>
        <v>0.719638950129358-0.580958798342387i</v>
      </c>
      <c r="AP392" s="170" t="str">
        <f t="shared" si="192"/>
        <v>0.0351431097858838-0.162919426749406i</v>
      </c>
      <c r="AQ392" s="170" t="str">
        <f t="shared" si="193"/>
        <v>0.964856890214116+0.162919426749406i</v>
      </c>
      <c r="AR392" s="170" t="str">
        <f t="shared" si="194"/>
        <v>0.839407703034216-0.141736897123699i</v>
      </c>
    </row>
    <row r="393" spans="7:44">
      <c r="G393" s="688">
        <v>34674</v>
      </c>
      <c r="H393" s="676">
        <f t="shared" si="186"/>
        <v>34.673999999999999</v>
      </c>
      <c r="I393" s="677">
        <f t="shared" si="166"/>
        <v>11.899602045842313</v>
      </c>
      <c r="J393" s="678">
        <f t="shared" si="167"/>
        <v>1.486660674817216</v>
      </c>
      <c r="K393" s="678">
        <f t="shared" si="168"/>
        <v>1.0009488370456392</v>
      </c>
      <c r="L393" s="679">
        <f t="shared" si="169"/>
        <v>4.354508949295037E-2</v>
      </c>
      <c r="M393" s="678">
        <f t="shared" si="170"/>
        <v>1.0415897894549269</v>
      </c>
      <c r="N393" s="679">
        <f t="shared" si="171"/>
        <v>-0.28354094480608272</v>
      </c>
      <c r="O393" s="677">
        <f t="shared" si="172"/>
        <v>261435.80051255258</v>
      </c>
      <c r="P393" s="680">
        <f t="shared" si="173"/>
        <v>1.5707925017640552</v>
      </c>
      <c r="Q393" s="689">
        <f t="shared" si="195"/>
        <v>5.9237489499021487</v>
      </c>
      <c r="R393" s="690">
        <f t="shared" si="196"/>
        <v>1.4011720647014796</v>
      </c>
      <c r="S393" s="677">
        <f t="shared" si="174"/>
        <v>1.0105972249187194</v>
      </c>
      <c r="T393" s="680">
        <f t="shared" si="175"/>
        <v>0.14494467324111651</v>
      </c>
      <c r="U393" s="681">
        <f t="shared" si="187"/>
        <v>0.78557868509546658</v>
      </c>
      <c r="V393" s="682">
        <f t="shared" si="188"/>
        <v>-0.8503924273772997</v>
      </c>
      <c r="W393" s="683">
        <f t="shared" si="176"/>
        <v>-12.377802952081314</v>
      </c>
      <c r="X393" s="684">
        <f t="shared" si="177"/>
        <v>-165.67728225555948</v>
      </c>
      <c r="Y393" s="687">
        <f t="shared" si="178"/>
        <v>14.322717744440524</v>
      </c>
      <c r="AA393" s="170">
        <f t="shared" si="179"/>
        <v>34674</v>
      </c>
      <c r="AB393" s="170">
        <f t="shared" si="180"/>
        <v>1202286276</v>
      </c>
      <c r="AD393" s="686">
        <f t="shared" si="181"/>
        <v>12.11851979443672</v>
      </c>
      <c r="AE393" s="687">
        <f t="shared" si="182"/>
        <v>-18.023253223063335</v>
      </c>
      <c r="AG393" s="686">
        <f t="shared" si="183"/>
        <v>21.657421404113663</v>
      </c>
      <c r="AH393" s="687">
        <f t="shared" si="184"/>
        <v>-50.206234883936574</v>
      </c>
      <c r="AJ393" s="170">
        <f t="shared" si="185"/>
        <v>0</v>
      </c>
      <c r="AK393" s="170">
        <f t="shared" si="197"/>
        <v>0</v>
      </c>
      <c r="AM393" s="170" t="str">
        <f t="shared" si="189"/>
        <v>0.796754019328138+0.979127709413197i</v>
      </c>
      <c r="AN393" s="170" t="str">
        <f t="shared" si="190"/>
        <v>1.36612436385387i</v>
      </c>
      <c r="AO393" s="170" t="str">
        <f t="shared" si="191"/>
        <v>0.716719308519653-0.583222172453228i</v>
      </c>
      <c r="AP393" s="170" t="str">
        <f t="shared" si="192"/>
        <v>0.033874330111977-0.163187951568866i</v>
      </c>
      <c r="AQ393" s="170" t="str">
        <f t="shared" si="193"/>
        <v>0.966125669888023+0.163187951568866i</v>
      </c>
      <c r="AR393" s="170" t="str">
        <f t="shared" si="194"/>
        <v>0.838289868819112-0.14159525078076i</v>
      </c>
    </row>
    <row r="394" spans="7:44">
      <c r="G394" s="688">
        <v>34875.75</v>
      </c>
      <c r="H394" s="676">
        <f t="shared" si="186"/>
        <v>34.875749999999996</v>
      </c>
      <c r="I394" s="677">
        <f t="shared" si="166"/>
        <v>11.968352090800121</v>
      </c>
      <c r="J394" s="678">
        <f t="shared" si="167"/>
        <v>1.4871451106928169</v>
      </c>
      <c r="K394" s="678">
        <f t="shared" si="168"/>
        <v>1.0009599054385498</v>
      </c>
      <c r="L394" s="679">
        <f t="shared" si="169"/>
        <v>4.3798132797534875E-2</v>
      </c>
      <c r="M394" s="678">
        <f t="shared" si="170"/>
        <v>1.0420653771247665</v>
      </c>
      <c r="N394" s="679">
        <f t="shared" si="171"/>
        <v>-0.28510299756426483</v>
      </c>
      <c r="O394" s="677">
        <f t="shared" si="172"/>
        <v>262956.95967367146</v>
      </c>
      <c r="P394" s="680">
        <f t="shared" si="173"/>
        <v>1.5707925238911771</v>
      </c>
      <c r="Q394" s="689">
        <f t="shared" si="195"/>
        <v>5.9572366999227269</v>
      </c>
      <c r="R394" s="690">
        <f t="shared" si="196"/>
        <v>1.4021347553902626</v>
      </c>
      <c r="S394" s="677">
        <f t="shared" si="174"/>
        <v>1.0107202472429333</v>
      </c>
      <c r="T394" s="680">
        <f t="shared" si="175"/>
        <v>0.14577616738881582</v>
      </c>
      <c r="U394" s="681">
        <f t="shared" si="187"/>
        <v>0.783783570530037</v>
      </c>
      <c r="V394" s="682">
        <f t="shared" si="188"/>
        <v>-0.85441185785988827</v>
      </c>
      <c r="W394" s="683">
        <f t="shared" si="176"/>
        <v>-12.446136227656574</v>
      </c>
      <c r="X394" s="684">
        <f t="shared" si="177"/>
        <v>-166.00281976648046</v>
      </c>
      <c r="Y394" s="687">
        <f t="shared" si="178"/>
        <v>13.997180233519543</v>
      </c>
      <c r="AA394" s="170">
        <f t="shared" si="179"/>
        <v>34875.75</v>
      </c>
      <c r="AB394" s="170">
        <f t="shared" si="180"/>
        <v>1216317938.0625</v>
      </c>
      <c r="AD394" s="686">
        <f t="shared" si="181"/>
        <v>12.116034517908593</v>
      </c>
      <c r="AE394" s="687">
        <f t="shared" si="182"/>
        <v>-18.015737482754631</v>
      </c>
      <c r="AG394" s="686">
        <f t="shared" si="183"/>
        <v>21.631314831871823</v>
      </c>
      <c r="AH394" s="687">
        <f t="shared" si="184"/>
        <v>-50.078695329242805</v>
      </c>
      <c r="AJ394" s="170">
        <f t="shared" si="185"/>
        <v>0</v>
      </c>
      <c r="AK394" s="170">
        <f t="shared" si="197"/>
        <v>0</v>
      </c>
      <c r="AM394" s="170" t="str">
        <f t="shared" si="189"/>
        <v>0.80454321742654+0.980712315689995i</v>
      </c>
      <c r="AN394" s="170" t="str">
        <f t="shared" si="190"/>
        <v>1.37407313210696i</v>
      </c>
      <c r="AO394" s="170" t="str">
        <f t="shared" si="191"/>
        <v>0.713726433313052-0.585517028626329i</v>
      </c>
      <c r="AP394" s="170" t="str">
        <f t="shared" si="192"/>
        <v>0.03257613042891-0.163452052614999i</v>
      </c>
      <c r="AQ394" s="170" t="str">
        <f t="shared" si="193"/>
        <v>0.96742386957109+0.163452052614999i</v>
      </c>
      <c r="AR394" s="170" t="str">
        <f t="shared" si="194"/>
        <v>0.837152214633975-0.141441876861878i</v>
      </c>
    </row>
    <row r="395" spans="7:44">
      <c r="G395" s="688">
        <v>35077.5</v>
      </c>
      <c r="H395" s="676">
        <f t="shared" si="186"/>
        <v>35.077500000000001</v>
      </c>
      <c r="I395" s="677">
        <f t="shared" si="166"/>
        <v>12.03710491238393</v>
      </c>
      <c r="J395" s="678">
        <f t="shared" si="167"/>
        <v>1.4876240127355604</v>
      </c>
      <c r="K395" s="678">
        <f t="shared" si="168"/>
        <v>1.0009710379224181</v>
      </c>
      <c r="L395" s="679">
        <f t="shared" si="169"/>
        <v>4.4051170489785831E-2</v>
      </c>
      <c r="M395" s="678">
        <f t="shared" si="170"/>
        <v>1.0425435051198879</v>
      </c>
      <c r="N395" s="679">
        <f t="shared" si="171"/>
        <v>-0.28666362136011814</v>
      </c>
      <c r="O395" s="677">
        <f t="shared" si="172"/>
        <v>264478.1188347906</v>
      </c>
      <c r="P395" s="680">
        <f t="shared" si="173"/>
        <v>1.5707925457637686</v>
      </c>
      <c r="Q395" s="689">
        <f t="shared" si="195"/>
        <v>5.9907299092245472</v>
      </c>
      <c r="R395" s="690">
        <f t="shared" si="196"/>
        <v>1.4030866824548411</v>
      </c>
      <c r="S395" s="677">
        <f t="shared" si="174"/>
        <v>1.0108439681910846</v>
      </c>
      <c r="T395" s="680">
        <f t="shared" si="175"/>
        <v>0.14660745857182358</v>
      </c>
      <c r="U395" s="681">
        <f t="shared" si="187"/>
        <v>0.78198919766499841</v>
      </c>
      <c r="V395" s="682">
        <f t="shared" si="188"/>
        <v>-0.85842045308537307</v>
      </c>
      <c r="W395" s="683">
        <f t="shared" si="176"/>
        <v>-12.514184069091209</v>
      </c>
      <c r="X395" s="684">
        <f t="shared" si="177"/>
        <v>-166.32794291231963</v>
      </c>
      <c r="Y395" s="687">
        <f t="shared" si="178"/>
        <v>13.672057087680372</v>
      </c>
      <c r="AA395" s="170">
        <f t="shared" si="179"/>
        <v>35077.5</v>
      </c>
      <c r="AB395" s="170">
        <f t="shared" si="180"/>
        <v>1230431006.25</v>
      </c>
      <c r="AD395" s="686">
        <f t="shared" si="181"/>
        <v>12.113567477855895</v>
      </c>
      <c r="AE395" s="687">
        <f t="shared" si="182"/>
        <v>-18.008826809082066</v>
      </c>
      <c r="AG395" s="686">
        <f t="shared" si="183"/>
        <v>21.605550105503649</v>
      </c>
      <c r="AH395" s="687">
        <f t="shared" si="184"/>
        <v>-49.951377971836521</v>
      </c>
      <c r="AJ395" s="170">
        <f t="shared" si="185"/>
        <v>0</v>
      </c>
      <c r="AK395" s="170">
        <f t="shared" si="197"/>
        <v>0</v>
      </c>
      <c r="AM395" s="170" t="str">
        <f t="shared" si="189"/>
        <v>0.81234476498953+0.982234958028457i</v>
      </c>
      <c r="AN395" s="170" t="str">
        <f t="shared" si="190"/>
        <v>1.38202190036004i</v>
      </c>
      <c r="AO395" s="170" t="str">
        <f t="shared" si="191"/>
        <v>0.710723149736316-0.587794422633896i</v>
      </c>
      <c r="AP395" s="170" t="str">
        <f t="shared" si="192"/>
        <v>0.031275872501745-0.163705826338076i</v>
      </c>
      <c r="AQ395" s="170" t="str">
        <f t="shared" si="193"/>
        <v>0.968724127498255+0.163705826338076i</v>
      </c>
      <c r="AR395" s="170" t="str">
        <f t="shared" si="194"/>
        <v>0.836018891747759-0.141279812923887i</v>
      </c>
    </row>
    <row r="396" spans="7:44">
      <c r="G396" s="688">
        <v>35279.25</v>
      </c>
      <c r="H396" s="676">
        <f t="shared" si="186"/>
        <v>35.279249999999998</v>
      </c>
      <c r="I396" s="677">
        <f t="shared" si="166"/>
        <v>12.105860463285861</v>
      </c>
      <c r="J396" s="678">
        <f t="shared" si="167"/>
        <v>1.4880974750125286</v>
      </c>
      <c r="K396" s="678">
        <f t="shared" si="168"/>
        <v>1.0009822344951058</v>
      </c>
      <c r="L396" s="679">
        <f t="shared" si="169"/>
        <v>4.4304202537487979E-2</v>
      </c>
      <c r="M396" s="678">
        <f t="shared" si="170"/>
        <v>1.0430241699467935</v>
      </c>
      <c r="N396" s="679">
        <f t="shared" si="171"/>
        <v>-0.28822281056207649</v>
      </c>
      <c r="O396" s="677">
        <f t="shared" si="172"/>
        <v>265999.27799590974</v>
      </c>
      <c r="P396" s="680">
        <f t="shared" si="173"/>
        <v>1.5707925673861962</v>
      </c>
      <c r="Q396" s="689">
        <f t="shared" si="195"/>
        <v>6.0242284867508786</v>
      </c>
      <c r="R396" s="690">
        <f t="shared" si="196"/>
        <v>1.4040280237134417</v>
      </c>
      <c r="S396" s="677">
        <f t="shared" si="174"/>
        <v>1.0109683875066831</v>
      </c>
      <c r="T396" s="680">
        <f t="shared" si="175"/>
        <v>0.147438545715948</v>
      </c>
      <c r="U396" s="681">
        <f t="shared" si="187"/>
        <v>0.78019563934416059</v>
      </c>
      <c r="V396" s="682">
        <f t="shared" si="188"/>
        <v>-0.86241825462684429</v>
      </c>
      <c r="W396" s="683">
        <f t="shared" si="176"/>
        <v>-12.581949604137836</v>
      </c>
      <c r="X396" s="684">
        <f t="shared" si="177"/>
        <v>-166.65264889433692</v>
      </c>
      <c r="Y396" s="687">
        <f t="shared" si="178"/>
        <v>13.34735110566308</v>
      </c>
      <c r="AA396" s="170">
        <f t="shared" si="179"/>
        <v>35279.25</v>
      </c>
      <c r="AB396" s="170">
        <f t="shared" si="180"/>
        <v>1244625480.5625</v>
      </c>
      <c r="AD396" s="686">
        <f t="shared" si="181"/>
        <v>12.111118141357819</v>
      </c>
      <c r="AE396" s="687">
        <f t="shared" si="182"/>
        <v>-18.002510952515259</v>
      </c>
      <c r="AG396" s="686">
        <f t="shared" si="183"/>
        <v>21.580123313407363</v>
      </c>
      <c r="AH396" s="687">
        <f t="shared" si="184"/>
        <v>-49.824285498582732</v>
      </c>
      <c r="AJ396" s="170">
        <f t="shared" si="185"/>
        <v>0</v>
      </c>
      <c r="AK396" s="170">
        <f t="shared" si="197"/>
        <v>0</v>
      </c>
      <c r="AM396" s="170" t="str">
        <f t="shared" si="189"/>
        <v>0.82015816909519+0.983695540224111i</v>
      </c>
      <c r="AN396" s="170" t="str">
        <f t="shared" si="190"/>
        <v>1.38997066861313i</v>
      </c>
      <c r="AO396" s="170" t="str">
        <f t="shared" si="191"/>
        <v>0.707709567141882-0.590054299428864i</v>
      </c>
      <c r="AP396" s="170" t="str">
        <f t="shared" si="192"/>
        <v>0.029973638484135-0.163949256704018i</v>
      </c>
      <c r="AQ396" s="170" t="str">
        <f t="shared" si="193"/>
        <v>0.970026361515865+0.163949256704018i</v>
      </c>
      <c r="AR396" s="170" t="str">
        <f t="shared" si="194"/>
        <v>0.834889950737103-0.141109141239316i</v>
      </c>
    </row>
    <row r="397" spans="7:44">
      <c r="G397" s="688">
        <v>35481</v>
      </c>
      <c r="H397" s="676">
        <f t="shared" si="186"/>
        <v>35.481000000000002</v>
      </c>
      <c r="I397" s="677">
        <f t="shared" ref="I397:I460" si="198">SQRT(1+(G397/pole1)^2)</f>
        <v>12.174618697264851</v>
      </c>
      <c r="J397" s="678">
        <f t="shared" ref="J397:J460" si="199">ATAN(G397/pole1)</f>
        <v>1.4885655894756471</v>
      </c>
      <c r="K397" s="678">
        <f t="shared" ref="K397:K460" si="200">SQRT(1+(G397/Zero1)^2)</f>
        <v>1.0009934951544626</v>
      </c>
      <c r="L397" s="679">
        <f t="shared" ref="L397:L460" si="201">ATAN(G397/Zero1)</f>
        <v>4.4557228908430439E-2</v>
      </c>
      <c r="M397" s="678">
        <f t="shared" ref="M397:M460" si="202">SQRT(1+(G397/z_RHP)^2)</f>
        <v>1.0435073680999047</v>
      </c>
      <c r="N397" s="679">
        <f t="shared" ref="N397:N460" si="203">-ATAN(G397/z_RHP)</f>
        <v>-0.28978055957682325</v>
      </c>
      <c r="O397" s="677">
        <f t="shared" ref="O397:O460" si="204">SQRT(1+(G397/Pole2)^2)</f>
        <v>267520.43715702905</v>
      </c>
      <c r="P397" s="680">
        <f t="shared" ref="P397:P460" si="205">ATAN(G397/Pole2)</f>
        <v>1.5707925887627274</v>
      </c>
      <c r="Q397" s="689">
        <f t="shared" si="195"/>
        <v>6.0577323434446901</v>
      </c>
      <c r="R397" s="690">
        <f t="shared" si="196"/>
        <v>1.4049589531264037</v>
      </c>
      <c r="S397" s="677">
        <f t="shared" ref="S397:S460" si="206">SQRT(1+(G397/pole4)^2)</f>
        <v>1.0110935049319176</v>
      </c>
      <c r="T397" s="680">
        <f t="shared" ref="T397:T460" si="207">ATAN(G397/pole4)</f>
        <v>0.14826942774865193</v>
      </c>
      <c r="U397" s="681">
        <f t="shared" si="187"/>
        <v>0.77840296717633928</v>
      </c>
      <c r="V397" s="682">
        <f t="shared" si="188"/>
        <v>-0.86640530453373832</v>
      </c>
      <c r="W397" s="683">
        <f t="shared" ref="W397:W460" si="208">20*LOG10(((K397*Q397*M397*U397)/(I397*O397*S397))*Adc)</f>
        <v>-12.649435899950685</v>
      </c>
      <c r="X397" s="684">
        <f t="shared" ref="X397:X460" si="209">((L397+R397+N397+V397)-(J397+P397+T397))*radconv</f>
        <v>-166.97693504321629</v>
      </c>
      <c r="Y397" s="687">
        <f t="shared" ref="Y397:Y460" si="210">IF(X397&gt;0,X397,X397+180)</f>
        <v>13.023064956783713</v>
      </c>
      <c r="AA397" s="170">
        <f t="shared" ref="AA397:AA460" si="211">IF(W397&lt;0,G397,1000000000)</f>
        <v>35481</v>
      </c>
      <c r="AB397" s="170">
        <f t="shared" ref="AB397:AB460" si="212">G397^2</f>
        <v>1258901361</v>
      </c>
      <c r="AD397" s="686">
        <f t="shared" ref="AD397:AD460" si="213">20*LOG10((Q397/(O397*S397))*Aea)</f>
        <v>12.108685990331562</v>
      </c>
      <c r="AE397" s="687">
        <f t="shared" ref="AE397:AE460" si="214">(R397-(P397+T397))*radconv</f>
        <v>-17.996779884653609</v>
      </c>
      <c r="AG397" s="686">
        <f t="shared" ref="AG397:AG460" si="215">20*LOG10((K397*M397/(I397*U397))*Acs*Am)</f>
        <v>21.555030604254451</v>
      </c>
      <c r="AH397" s="687">
        <f t="shared" ref="AH397:AH460" si="216">(L397+N397-(J397+V397))*radconv</f>
        <v>-49.697420450055574</v>
      </c>
      <c r="AJ397" s="170">
        <f t="shared" ref="AJ397:AJ460" si="217">SUM((W398&lt;0)*(W397&gt;0))*G397</f>
        <v>0</v>
      </c>
      <c r="AK397" s="170">
        <f t="shared" si="197"/>
        <v>0</v>
      </c>
      <c r="AM397" s="170" t="str">
        <f t="shared" si="189"/>
        <v>0.827982936072451+0.985093969993597i</v>
      </c>
      <c r="AN397" s="170" t="str">
        <f t="shared" si="190"/>
        <v>1.39791943686622i</v>
      </c>
      <c r="AO397" s="170" t="str">
        <f t="shared" si="191"/>
        <v>0.704685795199992-0.592296604680294i</v>
      </c>
      <c r="AP397" s="170" t="str">
        <f t="shared" si="192"/>
        <v>0.0286695106545915-0.164182328332266i</v>
      </c>
      <c r="AQ397" s="170" t="str">
        <f t="shared" si="193"/>
        <v>0.971330489345408+0.164182328332266i</v>
      </c>
      <c r="AR397" s="170" t="str">
        <f t="shared" si="194"/>
        <v>0.833765440870364-0.140929943893068i</v>
      </c>
    </row>
    <row r="398" spans="7:44">
      <c r="G398" s="688">
        <v>35687.75</v>
      </c>
      <c r="H398" s="676">
        <f t="shared" ref="H398:H461" si="218">G398/1000</f>
        <v>35.687750000000001</v>
      </c>
      <c r="I398" s="677">
        <f t="shared" si="198"/>
        <v>12.245083713059998</v>
      </c>
      <c r="J398" s="678">
        <f t="shared" si="199"/>
        <v>1.4890398510515186</v>
      </c>
      <c r="K398" s="678">
        <f t="shared" si="200"/>
        <v>1.001005101374892</v>
      </c>
      <c r="L398" s="679">
        <f t="shared" si="201"/>
        <v>4.4816520146010452E-2</v>
      </c>
      <c r="M398" s="678">
        <f t="shared" si="202"/>
        <v>1.0440051660243712</v>
      </c>
      <c r="N398" s="679">
        <f t="shared" si="203"/>
        <v>-0.29137541453644766</v>
      </c>
      <c r="O398" s="677">
        <f t="shared" si="204"/>
        <v>269079.29542994819</v>
      </c>
      <c r="P398" s="680">
        <f t="shared" si="205"/>
        <v>1.5707926104182857</v>
      </c>
      <c r="Q398" s="689">
        <f t="shared" si="195"/>
        <v>6.0920719170888109</v>
      </c>
      <c r="R398" s="690">
        <f t="shared" si="196"/>
        <v>1.4059023298197424</v>
      </c>
      <c r="S398" s="677">
        <f t="shared" si="206"/>
        <v>1.0112224471657381</v>
      </c>
      <c r="T398" s="680">
        <f t="shared" si="207"/>
        <v>0.14912068773374285</v>
      </c>
      <c r="U398" s="681">
        <f t="shared" ref="U398:U461" si="219">IMABS(IMPRODUCT(AO398, AR398))</f>
        <v>0.77656685993398056</v>
      </c>
      <c r="V398" s="682">
        <f t="shared" ref="V398:V461" si="220">IMARGUMENT(IMPRODUCT(AO398, AR398))</f>
        <v>-0.87048005593515065</v>
      </c>
      <c r="W398" s="683">
        <f t="shared" si="208"/>
        <v>-12.718308159304231</v>
      </c>
      <c r="X398" s="684">
        <f t="shared" si="209"/>
        <v>-167.30881979485486</v>
      </c>
      <c r="Y398" s="687">
        <f t="shared" si="210"/>
        <v>12.691180205145145</v>
      </c>
      <c r="AA398" s="170">
        <f t="shared" si="211"/>
        <v>35687.75</v>
      </c>
      <c r="AB398" s="170">
        <f t="shared" si="212"/>
        <v>1273615500.0625</v>
      </c>
      <c r="AD398" s="686">
        <f t="shared" si="213"/>
        <v>12.106210865724714</v>
      </c>
      <c r="AE398" s="687">
        <f t="shared" si="214"/>
        <v>-17.991503226814423</v>
      </c>
      <c r="AG398" s="686">
        <f t="shared" si="215"/>
        <v>21.529658657276336</v>
      </c>
      <c r="AH398" s="687">
        <f t="shared" si="216"/>
        <v>-49.567649743267928</v>
      </c>
      <c r="AJ398" s="170">
        <f t="shared" si="217"/>
        <v>0</v>
      </c>
      <c r="AK398" s="170">
        <f t="shared" si="197"/>
        <v>0</v>
      </c>
      <c r="AM398" s="170" t="str">
        <f t="shared" ref="AM398:AM461" si="221">IMSUB(1,IMEXP(COMPLEX(0,-2*Pi*G398*Tsw)))</f>
        <v>0.836012897014943+0.986462482841881i</v>
      </c>
      <c r="AN398" s="170" t="str">
        <f t="shared" ref="AN398:AN461" si="222">COMPLEX(0, 2*Pi*G398*Tsw)</f>
        <v>1.40606520061504i</v>
      </c>
      <c r="AO398" s="170" t="str">
        <f t="shared" ref="AO398:AO461" si="223">IMDIV(AM398, AN398)</f>
        <v>0.701576628459607-0.594576195079186i</v>
      </c>
      <c r="AP398" s="170" t="str">
        <f t="shared" ref="AP398:AP461" si="224">IMDIV(IMEXP(COMPLEX(0,-2*Pi*G398*Tsw)),6)</f>
        <v>0.0273311838308428-0.16441041380698i</v>
      </c>
      <c r="AQ398" s="170" t="str">
        <f t="shared" ref="AQ398:AQ461" si="225">IMSUB(1, AP398)</f>
        <v>0.972668816169157+0.16441041380698i</v>
      </c>
      <c r="AR398" s="170" t="str">
        <f t="shared" ref="AR398:AR461" si="226">IMDIV(0.833, AQ398)</f>
        <v>0.832617709519416-0.140737545904114i</v>
      </c>
    </row>
    <row r="399" spans="7:44">
      <c r="G399" s="688">
        <v>35894.5</v>
      </c>
      <c r="H399" s="676">
        <f t="shared" si="218"/>
        <v>35.894500000000001</v>
      </c>
      <c r="I399" s="677">
        <f t="shared" si="198"/>
        <v>12.315551451551338</v>
      </c>
      <c r="J399" s="678">
        <f t="shared" si="199"/>
        <v>1.4895086854246109</v>
      </c>
      <c r="K399" s="678">
        <f t="shared" si="200"/>
        <v>1.001016774893279</v>
      </c>
      <c r="L399" s="679">
        <f t="shared" si="201"/>
        <v>4.507580535348929E-2</v>
      </c>
      <c r="M399" s="678">
        <f t="shared" si="202"/>
        <v>1.0445056169059781</v>
      </c>
      <c r="N399" s="679">
        <f t="shared" si="203"/>
        <v>-0.29296874526931682</v>
      </c>
      <c r="O399" s="677">
        <f t="shared" si="204"/>
        <v>270638.15370286757</v>
      </c>
      <c r="P399" s="680">
        <f t="shared" si="205"/>
        <v>1.5707926318243748</v>
      </c>
      <c r="Q399" s="689">
        <f t="shared" si="195"/>
        <v>6.1264168516489184</v>
      </c>
      <c r="R399" s="690">
        <f t="shared" si="196"/>
        <v>1.4068351301215782</v>
      </c>
      <c r="S399" s="677">
        <f t="shared" si="206"/>
        <v>1.0113521219882347</v>
      </c>
      <c r="T399" s="680">
        <f t="shared" si="207"/>
        <v>0.14997173003955092</v>
      </c>
      <c r="U399" s="681">
        <f t="shared" si="219"/>
        <v>0.77473183164350068</v>
      </c>
      <c r="V399" s="682">
        <f t="shared" si="220"/>
        <v>-0.87454360707357282</v>
      </c>
      <c r="W399" s="683">
        <f t="shared" si="208"/>
        <v>-12.786893500882126</v>
      </c>
      <c r="X399" s="684">
        <f t="shared" si="209"/>
        <v>-167.64025837281756</v>
      </c>
      <c r="Y399" s="687">
        <f t="shared" si="210"/>
        <v>12.359741627182444</v>
      </c>
      <c r="AA399" s="170">
        <f t="shared" si="211"/>
        <v>35894.5</v>
      </c>
      <c r="AB399" s="170">
        <f t="shared" si="212"/>
        <v>1288415130.25</v>
      </c>
      <c r="AD399" s="686">
        <f t="shared" si="213"/>
        <v>12.103752733023098</v>
      </c>
      <c r="AE399" s="687">
        <f t="shared" si="214"/>
        <v>-17.986820065173799</v>
      </c>
      <c r="AG399" s="686">
        <f t="shared" si="215"/>
        <v>21.504629557318765</v>
      </c>
      <c r="AH399" s="687">
        <f t="shared" si="216"/>
        <v>-49.438122822204775</v>
      </c>
      <c r="AJ399" s="170">
        <f t="shared" si="217"/>
        <v>0</v>
      </c>
      <c r="AK399" s="170">
        <f t="shared" si="197"/>
        <v>0</v>
      </c>
      <c r="AM399" s="170" t="str">
        <f t="shared" si="221"/>
        <v>0.844053739010112+0.987765540846244i</v>
      </c>
      <c r="AN399" s="170" t="str">
        <f t="shared" si="222"/>
        <v>1.41421096436387i</v>
      </c>
      <c r="AO399" s="170" t="str">
        <f t="shared" si="223"/>
        <v>0.698456995269128-0.596837218971625i</v>
      </c>
      <c r="AP399" s="170" t="str">
        <f t="shared" si="224"/>
        <v>0.0259910434983147-0.164627590141041i</v>
      </c>
      <c r="AQ399" s="170" t="str">
        <f t="shared" si="225"/>
        <v>0.974008956501685+0.164627590141041i</v>
      </c>
      <c r="AR399" s="170" t="str">
        <f t="shared" si="226"/>
        <v>0.83147473229401-0.140536368302372i</v>
      </c>
    </row>
    <row r="400" spans="7:44">
      <c r="G400" s="688">
        <v>36101.25</v>
      </c>
      <c r="H400" s="676">
        <f t="shared" si="218"/>
        <v>36.10125</v>
      </c>
      <c r="I400" s="677">
        <f t="shared" si="198"/>
        <v>12.386021866268198</v>
      </c>
      <c r="J400" s="678">
        <f t="shared" si="199"/>
        <v>1.4899721850214389</v>
      </c>
      <c r="K400" s="678">
        <f t="shared" si="200"/>
        <v>1.0010285157072691</v>
      </c>
      <c r="L400" s="679">
        <f t="shared" si="201"/>
        <v>4.5335084496215663E-2</v>
      </c>
      <c r="M400" s="678">
        <f t="shared" si="202"/>
        <v>1.0450087169332514</v>
      </c>
      <c r="N400" s="679">
        <f t="shared" si="203"/>
        <v>-0.2945605458811158</v>
      </c>
      <c r="O400" s="677">
        <f t="shared" si="204"/>
        <v>272197.011975787</v>
      </c>
      <c r="P400" s="680">
        <f t="shared" si="205"/>
        <v>1.5707926529852807</v>
      </c>
      <c r="Q400" s="689">
        <f t="shared" si="195"/>
        <v>6.1607670574671962</v>
      </c>
      <c r="R400" s="690">
        <f t="shared" si="196"/>
        <v>1.4077575293052809</v>
      </c>
      <c r="S400" s="677">
        <f t="shared" si="206"/>
        <v>1.0114825291176477</v>
      </c>
      <c r="T400" s="680">
        <f t="shared" si="207"/>
        <v>0.15082255351726148</v>
      </c>
      <c r="U400" s="681">
        <f t="shared" si="219"/>
        <v>0.77289795539592099</v>
      </c>
      <c r="V400" s="682">
        <f t="shared" si="220"/>
        <v>-0.87859600467879262</v>
      </c>
      <c r="W400" s="683">
        <f t="shared" si="208"/>
        <v>-12.855195038060911</v>
      </c>
      <c r="X400" s="684">
        <f t="shared" si="209"/>
        <v>-167.97124830643804</v>
      </c>
      <c r="Y400" s="687">
        <f t="shared" si="210"/>
        <v>12.028751693561958</v>
      </c>
      <c r="AA400" s="170">
        <f t="shared" si="211"/>
        <v>36101.25</v>
      </c>
      <c r="AB400" s="170">
        <f t="shared" si="212"/>
        <v>1303300251.5625</v>
      </c>
      <c r="AD400" s="686">
        <f t="shared" si="213"/>
        <v>12.101311080037622</v>
      </c>
      <c r="AE400" s="687">
        <f t="shared" si="214"/>
        <v>-17.982720291730697</v>
      </c>
      <c r="AG400" s="686">
        <f t="shared" si="215"/>
        <v>21.479939348935815</v>
      </c>
      <c r="AH400" s="687">
        <f t="shared" si="216"/>
        <v>-49.30884196936173</v>
      </c>
      <c r="AJ400" s="170">
        <f t="shared" si="217"/>
        <v>0</v>
      </c>
      <c r="AK400" s="170">
        <f t="shared" si="197"/>
        <v>0</v>
      </c>
      <c r="AM400" s="170" t="str">
        <f t="shared" si="221"/>
        <v>0.852104928523156+0.989003057544747i</v>
      </c>
      <c r="AN400" s="170" t="str">
        <f t="shared" si="222"/>
        <v>1.4223567281127i</v>
      </c>
      <c r="AO400" s="170" t="str">
        <f t="shared" si="223"/>
        <v>0.695327014663219-0.599079620239712i</v>
      </c>
      <c r="AP400" s="170" t="str">
        <f t="shared" si="224"/>
        <v>0.024649178579474-0.164833842924125i</v>
      </c>
      <c r="AQ400" s="170" t="str">
        <f t="shared" si="225"/>
        <v>0.975350821420526+0.164833842924125i</v>
      </c>
      <c r="AR400" s="170" t="str">
        <f t="shared" si="226"/>
        <v>0.830336558053986-0.140326498710579i</v>
      </c>
    </row>
    <row r="401" spans="7:44">
      <c r="G401" s="688">
        <v>36308</v>
      </c>
      <c r="H401" s="676">
        <f t="shared" si="218"/>
        <v>36.308</v>
      </c>
      <c r="I401" s="677">
        <f t="shared" si="198"/>
        <v>12.456494911789765</v>
      </c>
      <c r="J401" s="678">
        <f t="shared" si="199"/>
        <v>1.4904304401861808</v>
      </c>
      <c r="K401" s="678">
        <f t="shared" si="200"/>
        <v>1.0010403238144947</v>
      </c>
      <c r="L401" s="679">
        <f t="shared" si="201"/>
        <v>4.5594357539543134E-2</v>
      </c>
      <c r="M401" s="678">
        <f t="shared" si="202"/>
        <v>1.0455144622818955</v>
      </c>
      <c r="N401" s="679">
        <f t="shared" si="203"/>
        <v>-0.29615081051986142</v>
      </c>
      <c r="O401" s="677">
        <f t="shared" si="204"/>
        <v>273755.87024870649</v>
      </c>
      <c r="P401" s="680">
        <f t="shared" si="205"/>
        <v>1.5707926739051921</v>
      </c>
      <c r="Q401" s="689">
        <f t="shared" si="195"/>
        <v>6.1951224468607284</v>
      </c>
      <c r="R401" s="690">
        <f t="shared" si="196"/>
        <v>1.4086696988279628</v>
      </c>
      <c r="S401" s="677">
        <f t="shared" si="206"/>
        <v>1.0116136682707724</v>
      </c>
      <c r="T401" s="680">
        <f t="shared" si="207"/>
        <v>0.15167315701991801</v>
      </c>
      <c r="U401" s="681">
        <f t="shared" si="219"/>
        <v>0.77106530296257669</v>
      </c>
      <c r="V401" s="682">
        <f t="shared" si="220"/>
        <v>-0.88263729595169593</v>
      </c>
      <c r="W401" s="683">
        <f t="shared" si="208"/>
        <v>-12.92321582433682</v>
      </c>
      <c r="X401" s="684">
        <f t="shared" si="209"/>
        <v>-168.30178725391451</v>
      </c>
      <c r="Y401" s="687">
        <f t="shared" si="210"/>
        <v>11.698212746085488</v>
      </c>
      <c r="AA401" s="170">
        <f t="shared" si="211"/>
        <v>36308</v>
      </c>
      <c r="AB401" s="170">
        <f t="shared" si="212"/>
        <v>1318270864</v>
      </c>
      <c r="AD401" s="686">
        <f t="shared" si="213"/>
        <v>12.098885408897182</v>
      </c>
      <c r="AE401" s="687">
        <f t="shared" si="214"/>
        <v>-17.979194017240435</v>
      </c>
      <c r="AG401" s="686">
        <f t="shared" si="215"/>
        <v>21.45558413810668</v>
      </c>
      <c r="AH401" s="687">
        <f t="shared" si="216"/>
        <v>-49.179809323358498</v>
      </c>
      <c r="AJ401" s="170">
        <f t="shared" si="217"/>
        <v>0</v>
      </c>
      <c r="AK401" s="170">
        <f t="shared" si="197"/>
        <v>0</v>
      </c>
      <c r="AM401" s="170" t="str">
        <f t="shared" si="221"/>
        <v>0.860165931332679+0.990174950824319i</v>
      </c>
      <c r="AN401" s="170" t="str">
        <f t="shared" si="222"/>
        <v>1.43050249186152i</v>
      </c>
      <c r="AO401" s="170" t="str">
        <f t="shared" si="223"/>
        <v>0.69218680600535-0.6013033435638i</v>
      </c>
      <c r="AP401" s="170" t="str">
        <f t="shared" si="224"/>
        <v>0.0233056781112202-0.16502915847072i</v>
      </c>
      <c r="AQ401" s="170" t="str">
        <f t="shared" si="225"/>
        <v>0.97669432188878+0.16502915847072i</v>
      </c>
      <c r="AR401" s="170" t="str">
        <f t="shared" si="226"/>
        <v>0.829203234292978-0.140108024475801i</v>
      </c>
    </row>
    <row r="402" spans="7:44">
      <c r="G402" s="688">
        <v>36519.5</v>
      </c>
      <c r="H402" s="676">
        <f t="shared" si="218"/>
        <v>36.519500000000001</v>
      </c>
      <c r="I402" s="677">
        <f t="shared" si="198"/>
        <v>12.528589723710692</v>
      </c>
      <c r="J402" s="678">
        <f t="shared" si="199"/>
        <v>1.4908938891089447</v>
      </c>
      <c r="K402" s="678">
        <f t="shared" si="200"/>
        <v>1.0010524728359089</v>
      </c>
      <c r="L402" s="679">
        <f t="shared" si="201"/>
        <v>4.5859580931825697E-2</v>
      </c>
      <c r="M402" s="678">
        <f t="shared" si="202"/>
        <v>1.0460345601128058</v>
      </c>
      <c r="N402" s="679">
        <f t="shared" si="203"/>
        <v>-0.29777601549559518</v>
      </c>
      <c r="O402" s="677">
        <f t="shared" si="204"/>
        <v>275350.54267783591</v>
      </c>
      <c r="P402" s="680">
        <f t="shared" si="205"/>
        <v>1.5707926950606343</v>
      </c>
      <c r="Q402" s="689">
        <f t="shared" si="195"/>
        <v>6.2302724119953439</v>
      </c>
      <c r="R402" s="690">
        <f t="shared" si="196"/>
        <v>1.4095924150681622</v>
      </c>
      <c r="S402" s="677">
        <f t="shared" si="206"/>
        <v>1.0117485774414481</v>
      </c>
      <c r="T402" s="680">
        <f t="shared" si="207"/>
        <v>0.15254307399598532</v>
      </c>
      <c r="U402" s="681">
        <f t="shared" si="219"/>
        <v>0.76919188583217013</v>
      </c>
      <c r="V402" s="682">
        <f t="shared" si="220"/>
        <v>-0.88675999198858246</v>
      </c>
      <c r="W402" s="683">
        <f t="shared" si="208"/>
        <v>-12.992511983881156</v>
      </c>
      <c r="X402" s="684">
        <f t="shared" si="209"/>
        <v>-168.63945124679222</v>
      </c>
      <c r="Y402" s="687">
        <f t="shared" si="210"/>
        <v>11.36054875320778</v>
      </c>
      <c r="AA402" s="170">
        <f t="shared" si="211"/>
        <v>36519.5</v>
      </c>
      <c r="AB402" s="170">
        <f t="shared" si="212"/>
        <v>1333673880.25</v>
      </c>
      <c r="AD402" s="686">
        <f t="shared" si="213"/>
        <v>12.096420041157748</v>
      </c>
      <c r="AE402" s="687">
        <f t="shared" si="214"/>
        <v>-17.97617005435837</v>
      </c>
      <c r="AG402" s="686">
        <f t="shared" si="215"/>
        <v>21.431012009552333</v>
      </c>
      <c r="AH402" s="687">
        <f t="shared" si="216"/>
        <v>-49.048071112320592</v>
      </c>
      <c r="AJ402" s="170">
        <f t="shared" si="217"/>
        <v>0</v>
      </c>
      <c r="AK402" s="170">
        <f t="shared" si="197"/>
        <v>0</v>
      </c>
      <c r="AM402" s="170" t="str">
        <f t="shared" si="221"/>
        <v>0.868421728896666+0.991305784595983i</v>
      </c>
      <c r="AN402" s="170" t="str">
        <f t="shared" si="222"/>
        <v>1.4388354013313i</v>
      </c>
      <c r="AO402" s="170" t="str">
        <f t="shared" si="223"/>
        <v>0.688963993851392-0.603558772666525i</v>
      </c>
      <c r="AP402" s="170" t="str">
        <f t="shared" si="224"/>
        <v>0.0219297118505557-0.165217630765997i</v>
      </c>
      <c r="AQ402" s="170" t="str">
        <f t="shared" si="225"/>
        <v>0.978070288149444+0.165217630765997i</v>
      </c>
      <c r="AR402" s="170" t="str">
        <f t="shared" si="226"/>
        <v>0.828048939886941-0.139875718201464i</v>
      </c>
    </row>
    <row r="403" spans="7:44">
      <c r="G403" s="688">
        <v>36731</v>
      </c>
      <c r="H403" s="676">
        <f t="shared" si="218"/>
        <v>36.731000000000002</v>
      </c>
      <c r="I403" s="677">
        <f t="shared" si="198"/>
        <v>12.600687195790673</v>
      </c>
      <c r="J403" s="678">
        <f t="shared" si="199"/>
        <v>1.4913520346889344</v>
      </c>
      <c r="K403" s="678">
        <f t="shared" si="200"/>
        <v>1.0010646922730935</v>
      </c>
      <c r="L403" s="679">
        <f t="shared" si="201"/>
        <v>4.6124797867896743E-2</v>
      </c>
      <c r="M403" s="678">
        <f t="shared" si="202"/>
        <v>1.0465574180752668</v>
      </c>
      <c r="N403" s="679">
        <f t="shared" si="203"/>
        <v>-0.2993996008579129</v>
      </c>
      <c r="O403" s="677">
        <f t="shared" si="204"/>
        <v>276945.21510696551</v>
      </c>
      <c r="P403" s="680">
        <f t="shared" si="205"/>
        <v>1.5707927159724471</v>
      </c>
      <c r="Q403" s="689">
        <f t="shared" si="195"/>
        <v>6.2654276220961531</v>
      </c>
      <c r="R403" s="690">
        <f t="shared" si="196"/>
        <v>1.4105047773869737</v>
      </c>
      <c r="S403" s="677">
        <f t="shared" si="206"/>
        <v>1.011884252053973</v>
      </c>
      <c r="T403" s="680">
        <f t="shared" si="207"/>
        <v>0.15341275835109297</v>
      </c>
      <c r="U403" s="681">
        <f t="shared" si="219"/>
        <v>0.76731989715474136</v>
      </c>
      <c r="V403" s="682">
        <f t="shared" si="220"/>
        <v>-0.89087116688020918</v>
      </c>
      <c r="W403" s="683">
        <f t="shared" si="208"/>
        <v>-13.061520623371683</v>
      </c>
      <c r="X403" s="684">
        <f t="shared" si="209"/>
        <v>-168.97663873425176</v>
      </c>
      <c r="Y403" s="687">
        <f t="shared" si="210"/>
        <v>11.023361265748235</v>
      </c>
      <c r="AA403" s="170">
        <f t="shared" si="211"/>
        <v>36731</v>
      </c>
      <c r="AB403" s="170">
        <f t="shared" si="212"/>
        <v>1349166361</v>
      </c>
      <c r="AD403" s="686">
        <f t="shared" si="213"/>
        <v>12.093970387932455</v>
      </c>
      <c r="AE403" s="687">
        <f t="shared" si="214"/>
        <v>-17.973725985315738</v>
      </c>
      <c r="AG403" s="686">
        <f t="shared" si="215"/>
        <v>21.406782396301971</v>
      </c>
      <c r="AH403" s="687">
        <f t="shared" si="216"/>
        <v>-48.916596728023741</v>
      </c>
      <c r="AJ403" s="170">
        <f t="shared" si="217"/>
        <v>0</v>
      </c>
      <c r="AK403" s="170">
        <f t="shared" si="197"/>
        <v>0</v>
      </c>
      <c r="AM403" s="170" t="str">
        <f t="shared" si="221"/>
        <v>0.876686662858226+0.992367785089258i</v>
      </c>
      <c r="AN403" s="170" t="str">
        <f t="shared" si="222"/>
        <v>1.44716831080108i</v>
      </c>
      <c r="AO403" s="170" t="str">
        <f t="shared" si="223"/>
        <v>0.685730731997533-0.605794541184319i</v>
      </c>
      <c r="AP403" s="170" t="str">
        <f t="shared" si="224"/>
        <v>0.0205522228569623-0.16539463084821i</v>
      </c>
      <c r="AQ403" s="170" t="str">
        <f t="shared" si="225"/>
        <v>0.979447777143038+0.16539463084821i</v>
      </c>
      <c r="AR403" s="170" t="str">
        <f t="shared" si="226"/>
        <v>0.826899817646384-0.139634591327581i</v>
      </c>
    </row>
    <row r="404" spans="7:44">
      <c r="G404" s="688">
        <v>36942.5</v>
      </c>
      <c r="H404" s="676">
        <f t="shared" si="218"/>
        <v>36.942500000000003</v>
      </c>
      <c r="I404" s="677">
        <f t="shared" si="198"/>
        <v>12.672787282627519</v>
      </c>
      <c r="J404" s="678">
        <f t="shared" si="199"/>
        <v>1.4918049672500879</v>
      </c>
      <c r="K404" s="678">
        <f t="shared" si="200"/>
        <v>1.0010769821234697</v>
      </c>
      <c r="L404" s="679">
        <f t="shared" si="201"/>
        <v>4.6390008310682622E-2</v>
      </c>
      <c r="M404" s="678">
        <f t="shared" si="202"/>
        <v>1.0470830320344868</v>
      </c>
      <c r="N404" s="679">
        <f t="shared" si="203"/>
        <v>-0.30102156047985829</v>
      </c>
      <c r="O404" s="677">
        <f t="shared" si="204"/>
        <v>278539.88753609511</v>
      </c>
      <c r="P404" s="680">
        <f t="shared" si="205"/>
        <v>1.5707927366448149</v>
      </c>
      <c r="Q404" s="689">
        <f t="shared" si="195"/>
        <v>6.3005879893675933</v>
      </c>
      <c r="R404" s="690">
        <f t="shared" si="196"/>
        <v>1.4114069575924915</v>
      </c>
      <c r="S404" s="677">
        <f t="shared" si="206"/>
        <v>1.0120206918004948</v>
      </c>
      <c r="T404" s="680">
        <f t="shared" si="207"/>
        <v>0.15428220886349123</v>
      </c>
      <c r="U404" s="681">
        <f t="shared" si="219"/>
        <v>0.76544940954938268</v>
      </c>
      <c r="V404" s="682">
        <f t="shared" si="220"/>
        <v>-0.89497087260022568</v>
      </c>
      <c r="W404" s="683">
        <f t="shared" si="208"/>
        <v>-13.130244827539887</v>
      </c>
      <c r="X404" s="684">
        <f t="shared" si="209"/>
        <v>-169.31334760677981</v>
      </c>
      <c r="Y404" s="687">
        <f t="shared" si="210"/>
        <v>10.686652393220186</v>
      </c>
      <c r="AA404" s="170">
        <f t="shared" si="211"/>
        <v>36942.5</v>
      </c>
      <c r="AB404" s="170">
        <f t="shared" si="212"/>
        <v>1364748306.25</v>
      </c>
      <c r="AD404" s="686">
        <f t="shared" si="213"/>
        <v>12.091535959749782</v>
      </c>
      <c r="AE404" s="687">
        <f t="shared" si="214"/>
        <v>-17.971851896472518</v>
      </c>
      <c r="AG404" s="686">
        <f t="shared" si="215"/>
        <v>21.382891321552048</v>
      </c>
      <c r="AH404" s="687">
        <f t="shared" si="216"/>
        <v>-48.785388018853048</v>
      </c>
      <c r="AJ404" s="170">
        <f t="shared" si="217"/>
        <v>0</v>
      </c>
      <c r="AK404" s="170">
        <f t="shared" si="197"/>
        <v>0</v>
      </c>
      <c r="AM404" s="170" t="str">
        <f t="shared" si="221"/>
        <v>0.884960159325318+0.993360878562038i</v>
      </c>
      <c r="AN404" s="170" t="str">
        <f t="shared" si="222"/>
        <v>1.45550122027086i</v>
      </c>
      <c r="AO404" s="170" t="str">
        <f t="shared" si="223"/>
        <v>0.682487149256515-0.60801059250272i</v>
      </c>
      <c r="AP404" s="170" t="str">
        <f t="shared" si="224"/>
        <v>0.0191733067791137-0.165560146427006i</v>
      </c>
      <c r="AQ404" s="170" t="str">
        <f t="shared" si="225"/>
        <v>0.980826693220886+0.165560146427006i</v>
      </c>
      <c r="AR404" s="170" t="str">
        <f t="shared" si="226"/>
        <v>0.825755914103898-0.139384736362614i</v>
      </c>
    </row>
    <row r="405" spans="7:44">
      <c r="G405" s="688">
        <v>37154</v>
      </c>
      <c r="H405" s="676">
        <f t="shared" si="218"/>
        <v>37.154000000000003</v>
      </c>
      <c r="I405" s="677">
        <f t="shared" si="198"/>
        <v>12.744889939844814</v>
      </c>
      <c r="J405" s="678">
        <f t="shared" si="199"/>
        <v>1.4922527750810253</v>
      </c>
      <c r="K405" s="678">
        <f t="shared" si="200"/>
        <v>1.0010893423844447</v>
      </c>
      <c r="L405" s="679">
        <f t="shared" si="201"/>
        <v>4.6655212223115201E-2</v>
      </c>
      <c r="M405" s="678">
        <f t="shared" si="202"/>
        <v>1.0476113978421995</v>
      </c>
      <c r="N405" s="679">
        <f t="shared" si="203"/>
        <v>-0.30264188828095417</v>
      </c>
      <c r="O405" s="677">
        <f t="shared" si="204"/>
        <v>280134.55996522488</v>
      </c>
      <c r="P405" s="680">
        <f t="shared" si="205"/>
        <v>1.5707927570818268</v>
      </c>
      <c r="Q405" s="689">
        <f t="shared" si="195"/>
        <v>6.335753427950257</v>
      </c>
      <c r="R405" s="690">
        <f t="shared" si="196"/>
        <v>1.412299123745596</v>
      </c>
      <c r="S405" s="677">
        <f t="shared" si="206"/>
        <v>1.0121578963715911</v>
      </c>
      <c r="T405" s="680">
        <f t="shared" si="207"/>
        <v>0.15515142431350154</v>
      </c>
      <c r="U405" s="681">
        <f t="shared" si="219"/>
        <v>0.76358049424005614</v>
      </c>
      <c r="V405" s="682">
        <f t="shared" si="220"/>
        <v>-0.8990591615806951</v>
      </c>
      <c r="W405" s="683">
        <f t="shared" si="208"/>
        <v>-13.198687622398026</v>
      </c>
      <c r="X405" s="684">
        <f t="shared" si="209"/>
        <v>-169.64957588198854</v>
      </c>
      <c r="Y405" s="687">
        <f t="shared" si="210"/>
        <v>10.35042411801146</v>
      </c>
      <c r="AA405" s="170">
        <f t="shared" si="211"/>
        <v>37154</v>
      </c>
      <c r="AB405" s="170">
        <f t="shared" si="212"/>
        <v>1380419716</v>
      </c>
      <c r="AD405" s="686">
        <f t="shared" si="213"/>
        <v>12.089116280853826</v>
      </c>
      <c r="AE405" s="687">
        <f t="shared" si="214"/>
        <v>-17.970538089001387</v>
      </c>
      <c r="AG405" s="686">
        <f t="shared" si="215"/>
        <v>21.359334870665659</v>
      </c>
      <c r="AH405" s="687">
        <f t="shared" si="216"/>
        <v>-48.654446692976073</v>
      </c>
      <c r="AJ405" s="170">
        <f t="shared" si="217"/>
        <v>0</v>
      </c>
      <c r="AK405" s="170">
        <f t="shared" si="197"/>
        <v>0</v>
      </c>
      <c r="AM405" s="170" t="str">
        <f t="shared" si="221"/>
        <v>0.893241643811337+0.994284996056912i</v>
      </c>
      <c r="AN405" s="170" t="str">
        <f t="shared" si="222"/>
        <v>1.46383412974063i</v>
      </c>
      <c r="AO405" s="170" t="str">
        <f t="shared" si="223"/>
        <v>0.679233374776611-0.610206870890219i</v>
      </c>
      <c r="AP405" s="170" t="str">
        <f t="shared" si="224"/>
        <v>0.0177930593647772-0.165714166009485i</v>
      </c>
      <c r="AQ405" s="170" t="str">
        <f t="shared" si="225"/>
        <v>0.982206940635223+0.165714166009485i</v>
      </c>
      <c r="AR405" s="170" t="str">
        <f t="shared" si="226"/>
        <v>0.824617274382242-0.139126245445681i</v>
      </c>
    </row>
    <row r="406" spans="7:44">
      <c r="G406" s="688">
        <v>37370.25</v>
      </c>
      <c r="H406" s="676">
        <f t="shared" si="218"/>
        <v>37.370249999999999</v>
      </c>
      <c r="I406" s="677">
        <f t="shared" si="198"/>
        <v>12.818614536316769</v>
      </c>
      <c r="J406" s="678">
        <f t="shared" si="199"/>
        <v>1.4927054312938852</v>
      </c>
      <c r="K406" s="678">
        <f t="shared" si="200"/>
        <v>1.0011020530375601</v>
      </c>
      <c r="L406" s="679">
        <f t="shared" si="201"/>
        <v>4.6926365461182631E-2</v>
      </c>
      <c r="M406" s="678">
        <f t="shared" si="202"/>
        <v>1.0481544709329587</v>
      </c>
      <c r="N406" s="679">
        <f t="shared" si="203"/>
        <v>-0.30429691293246092</v>
      </c>
      <c r="O406" s="677">
        <f t="shared" si="204"/>
        <v>281765.04655056458</v>
      </c>
      <c r="P406" s="680">
        <f t="shared" si="205"/>
        <v>1.5707927777386448</v>
      </c>
      <c r="Q406" s="689">
        <f t="shared" si="195"/>
        <v>6.3717137900329561</v>
      </c>
      <c r="R406" s="690">
        <f t="shared" si="196"/>
        <v>1.4132011440428154</v>
      </c>
      <c r="S406" s="677">
        <f t="shared" si="206"/>
        <v>1.012298972828092</v>
      </c>
      <c r="T406" s="680">
        <f t="shared" si="207"/>
        <v>0.15603991684191293</v>
      </c>
      <c r="U406" s="681">
        <f t="shared" si="219"/>
        <v>0.76167130406028938</v>
      </c>
      <c r="V406" s="682">
        <f t="shared" si="220"/>
        <v>-0.90322751878366148</v>
      </c>
      <c r="W406" s="683">
        <f t="shared" si="208"/>
        <v>-13.268379680511783</v>
      </c>
      <c r="X406" s="684">
        <f t="shared" si="209"/>
        <v>-169.9928565390494</v>
      </c>
      <c r="Y406" s="687">
        <f t="shared" si="210"/>
        <v>10.007143460950601</v>
      </c>
      <c r="AA406" s="170">
        <f t="shared" si="211"/>
        <v>37370.25</v>
      </c>
      <c r="AB406" s="170">
        <f t="shared" si="212"/>
        <v>1396535585.0625</v>
      </c>
      <c r="AD406" s="686">
        <f t="shared" si="213"/>
        <v>12.086657027475326</v>
      </c>
      <c r="AE406" s="687">
        <f t="shared" si="214"/>
        <v>-17.969764188490064</v>
      </c>
      <c r="AG406" s="686">
        <f t="shared" si="215"/>
        <v>21.335591341284964</v>
      </c>
      <c r="AH406" s="687">
        <f t="shared" si="216"/>
        <v>-48.520842699536601</v>
      </c>
      <c r="AJ406" s="170">
        <f t="shared" si="217"/>
        <v>0</v>
      </c>
      <c r="AK406" s="170">
        <f t="shared" si="197"/>
        <v>0</v>
      </c>
      <c r="AM406" s="170" t="str">
        <f t="shared" si="221"/>
        <v>0.901716779204822+0.995158484117041i</v>
      </c>
      <c r="AN406" s="170" t="str">
        <f t="shared" si="222"/>
        <v>1.47235418493137i</v>
      </c>
      <c r="AO406" s="170" t="str">
        <f t="shared" si="223"/>
        <v>0.675896122211537-0.612431973524667i</v>
      </c>
      <c r="AP406" s="170" t="str">
        <f t="shared" si="224"/>
        <v>0.0163805367991964-0.16585974735284i</v>
      </c>
      <c r="AQ406" s="170" t="str">
        <f t="shared" si="225"/>
        <v>0.983619463200804+0.16585974735284i</v>
      </c>
      <c r="AR406" s="170" t="str">
        <f t="shared" si="226"/>
        <v>0.823458550398922-0.138853115696043i</v>
      </c>
    </row>
    <row r="407" spans="7:44">
      <c r="G407" s="688">
        <v>37586.5</v>
      </c>
      <c r="H407" s="676">
        <f t="shared" si="218"/>
        <v>37.586500000000001</v>
      </c>
      <c r="I407" s="677">
        <f t="shared" si="198"/>
        <v>12.892341729253149</v>
      </c>
      <c r="J407" s="678">
        <f t="shared" si="199"/>
        <v>1.493152910404365</v>
      </c>
      <c r="K407" s="678">
        <f t="shared" si="200"/>
        <v>1.0011148372939094</v>
      </c>
      <c r="L407" s="679">
        <f t="shared" si="201"/>
        <v>4.7197511793920947E-2</v>
      </c>
      <c r="M407" s="678">
        <f t="shared" si="202"/>
        <v>1.0487004120524379</v>
      </c>
      <c r="N407" s="679">
        <f t="shared" si="203"/>
        <v>-0.30595021893583313</v>
      </c>
      <c r="O407" s="677">
        <f t="shared" si="204"/>
        <v>283395.53313590441</v>
      </c>
      <c r="P407" s="680">
        <f t="shared" si="205"/>
        <v>1.5707927981577692</v>
      </c>
      <c r="Q407" s="689">
        <f t="shared" ref="Q407:Q470" si="227">SQRT(1+(G407/Zero2)^2)</f>
        <v>6.4076792782091756</v>
      </c>
      <c r="R407" s="690">
        <f t="shared" ref="R407:R470" si="228">ATAN(G407/Zero2)</f>
        <v>1.4140930392087177</v>
      </c>
      <c r="S407" s="677">
        <f t="shared" si="206"/>
        <v>1.0124408481895348</v>
      </c>
      <c r="T407" s="680">
        <f t="shared" si="207"/>
        <v>0.15692816105888699</v>
      </c>
      <c r="U407" s="681">
        <f t="shared" si="219"/>
        <v>0.75976390377594483</v>
      </c>
      <c r="V407" s="682">
        <f t="shared" si="220"/>
        <v>-0.90738405294491753</v>
      </c>
      <c r="W407" s="683">
        <f t="shared" si="208"/>
        <v>-13.337783764165502</v>
      </c>
      <c r="X407" s="684">
        <f t="shared" si="209"/>
        <v>-170.3356309704391</v>
      </c>
      <c r="Y407" s="687">
        <f t="shared" si="210"/>
        <v>9.6643690295609019</v>
      </c>
      <c r="AA407" s="170">
        <f t="shared" si="211"/>
        <v>37586.5</v>
      </c>
      <c r="AB407" s="170">
        <f t="shared" si="212"/>
        <v>1412744982.25</v>
      </c>
      <c r="AD407" s="686">
        <f t="shared" si="213"/>
        <v>12.084212229382377</v>
      </c>
      <c r="AE407" s="687">
        <f t="shared" si="214"/>
        <v>-17.969556174454681</v>
      </c>
      <c r="AG407" s="686">
        <f t="shared" si="215"/>
        <v>21.312189551856655</v>
      </c>
      <c r="AH407" s="687">
        <f t="shared" si="216"/>
        <v>-48.387521414733619</v>
      </c>
      <c r="AJ407" s="170">
        <f t="shared" si="217"/>
        <v>0</v>
      </c>
      <c r="AK407" s="170">
        <f t="shared" ref="AK407:AK470" si="229">IF(AJ407&gt;0,Y407,0)</f>
        <v>0</v>
      </c>
      <c r="AM407" s="170" t="str">
        <f t="shared" si="221"/>
        <v>0.91019904906588+0.995959732725841i</v>
      </c>
      <c r="AN407" s="170" t="str">
        <f t="shared" si="222"/>
        <v>1.4808742401221i</v>
      </c>
      <c r="AO407" s="170" t="str">
        <f t="shared" si="223"/>
        <v>0.672548489089609-0.614636290108492i</v>
      </c>
      <c r="AP407" s="170" t="str">
        <f t="shared" si="224"/>
        <v>0.0149668251556867-0.16599328878764i</v>
      </c>
      <c r="AQ407" s="170" t="str">
        <f t="shared" si="225"/>
        <v>0.985033174844313+0.16599328878764i</v>
      </c>
      <c r="AR407" s="170" t="str">
        <f t="shared" si="226"/>
        <v>0.822305420315198-0.138571151299139i</v>
      </c>
    </row>
    <row r="408" spans="7:44">
      <c r="G408" s="688">
        <v>37802.75</v>
      </c>
      <c r="H408" s="676">
        <f t="shared" si="218"/>
        <v>37.802750000000003</v>
      </c>
      <c r="I408" s="677">
        <f t="shared" si="198"/>
        <v>12.966071474362197</v>
      </c>
      <c r="J408" s="678">
        <f t="shared" si="199"/>
        <v>1.4935953005483118</v>
      </c>
      <c r="K408" s="678">
        <f t="shared" si="200"/>
        <v>1.0011276951506727</v>
      </c>
      <c r="L408" s="679">
        <f t="shared" si="201"/>
        <v>4.7468651181725934E-2</v>
      </c>
      <c r="M408" s="678">
        <f t="shared" si="202"/>
        <v>1.0492492167237937</v>
      </c>
      <c r="N408" s="679">
        <f t="shared" si="203"/>
        <v>-0.30760179994250691</v>
      </c>
      <c r="O408" s="677">
        <f t="shared" si="204"/>
        <v>285026.01972124429</v>
      </c>
      <c r="P408" s="680">
        <f t="shared" si="205"/>
        <v>1.5707928183432789</v>
      </c>
      <c r="Q408" s="689">
        <f t="shared" si="227"/>
        <v>6.4436498066444328</v>
      </c>
      <c r="R408" s="690">
        <f t="shared" si="228"/>
        <v>1.4149749773775573</v>
      </c>
      <c r="S408" s="677">
        <f t="shared" si="206"/>
        <v>1.0125835221201103</v>
      </c>
      <c r="T408" s="680">
        <f t="shared" si="207"/>
        <v>0.15781615566748403</v>
      </c>
      <c r="U408" s="681">
        <f t="shared" si="219"/>
        <v>0.75785836507995974</v>
      </c>
      <c r="V408" s="682">
        <f t="shared" si="220"/>
        <v>-0.91152882150500603</v>
      </c>
      <c r="W408" s="683">
        <f t="shared" si="208"/>
        <v>-13.406902927700202</v>
      </c>
      <c r="X408" s="684">
        <f t="shared" si="209"/>
        <v>-170.67789744813504</v>
      </c>
      <c r="Y408" s="687">
        <f t="shared" si="210"/>
        <v>9.3221025518649583</v>
      </c>
      <c r="AA408" s="170">
        <f t="shared" si="211"/>
        <v>37802.75</v>
      </c>
      <c r="AB408" s="170">
        <f t="shared" si="212"/>
        <v>1429047907.5625</v>
      </c>
      <c r="AD408" s="686">
        <f t="shared" si="213"/>
        <v>12.081781419642626</v>
      </c>
      <c r="AE408" s="687">
        <f t="shared" si="214"/>
        <v>-17.969904339436557</v>
      </c>
      <c r="AG408" s="686">
        <f t="shared" si="215"/>
        <v>21.289125511837401</v>
      </c>
      <c r="AH408" s="687">
        <f t="shared" si="216"/>
        <v>-48.254484235801733</v>
      </c>
      <c r="AJ408" s="170">
        <f t="shared" si="217"/>
        <v>0</v>
      </c>
      <c r="AK408" s="170">
        <f t="shared" si="229"/>
        <v>0</v>
      </c>
      <c r="AM408" s="170" t="str">
        <f t="shared" si="221"/>
        <v>0.918687837658907+0.996688683719955i</v>
      </c>
      <c r="AN408" s="170" t="str">
        <f t="shared" si="222"/>
        <v>1.48939429531283i</v>
      </c>
      <c r="AO408" s="170" t="str">
        <f t="shared" si="223"/>
        <v>0.669190614504544-0.616819763947026i</v>
      </c>
      <c r="AP408" s="170" t="str">
        <f t="shared" si="224"/>
        <v>0.0135520270568489-0.166114780619992i</v>
      </c>
      <c r="AQ408" s="170" t="str">
        <f t="shared" si="225"/>
        <v>0.986447972943151+0.166114780619992i</v>
      </c>
      <c r="AR408" s="170" t="str">
        <f t="shared" si="226"/>
        <v>0.821157927933649-0.138280449445382i</v>
      </c>
    </row>
    <row r="409" spans="7:44">
      <c r="G409" s="688">
        <v>38019</v>
      </c>
      <c r="H409" s="676">
        <f t="shared" si="218"/>
        <v>38.018999999999998</v>
      </c>
      <c r="I409" s="677">
        <f t="shared" si="198"/>
        <v>13.039803728352375</v>
      </c>
      <c r="J409" s="678">
        <f t="shared" si="199"/>
        <v>1.4940326878762229</v>
      </c>
      <c r="K409" s="678">
        <f t="shared" si="200"/>
        <v>1.0011406266050142</v>
      </c>
      <c r="L409" s="679">
        <f t="shared" si="201"/>
        <v>4.773978358499946E-2</v>
      </c>
      <c r="M409" s="678">
        <f t="shared" si="202"/>
        <v>1.0498008804560872</v>
      </c>
      <c r="N409" s="679">
        <f t="shared" si="203"/>
        <v>-0.30925164965480123</v>
      </c>
      <c r="O409" s="677">
        <f t="shared" si="204"/>
        <v>286656.50630658428</v>
      </c>
      <c r="P409" s="680">
        <f t="shared" si="205"/>
        <v>1.5707928382991605</v>
      </c>
      <c r="Q409" s="689">
        <f t="shared" si="227"/>
        <v>6.4796252913983272</v>
      </c>
      <c r="R409" s="690">
        <f t="shared" si="228"/>
        <v>1.4158471230123455</v>
      </c>
      <c r="S409" s="677">
        <f t="shared" si="206"/>
        <v>1.0127269942823094</v>
      </c>
      <c r="T409" s="680">
        <f t="shared" si="207"/>
        <v>0.15870389937306786</v>
      </c>
      <c r="U409" s="681">
        <f t="shared" si="219"/>
        <v>0.75595475819874824</v>
      </c>
      <c r="V409" s="682">
        <f t="shared" si="220"/>
        <v>-0.91566188234507628</v>
      </c>
      <c r="W409" s="683">
        <f t="shared" si="208"/>
        <v>-13.475740168019257</v>
      </c>
      <c r="X409" s="684">
        <f t="shared" si="209"/>
        <v>-171.01965436899562</v>
      </c>
      <c r="Y409" s="687">
        <f t="shared" si="210"/>
        <v>8.9803456310043828</v>
      </c>
      <c r="AA409" s="170">
        <f t="shared" si="211"/>
        <v>38019</v>
      </c>
      <c r="AB409" s="170">
        <f t="shared" si="212"/>
        <v>1445444361</v>
      </c>
      <c r="AD409" s="686">
        <f t="shared" si="213"/>
        <v>12.079364144434805</v>
      </c>
      <c r="AE409" s="687">
        <f t="shared" si="214"/>
        <v>-17.97079918645051</v>
      </c>
      <c r="AG409" s="686">
        <f t="shared" si="215"/>
        <v>21.266395293486767</v>
      </c>
      <c r="AH409" s="687">
        <f t="shared" si="216"/>
        <v>-48.121732423893562</v>
      </c>
      <c r="AJ409" s="170">
        <f t="shared" si="217"/>
        <v>0</v>
      </c>
      <c r="AK409" s="170">
        <f t="shared" si="229"/>
        <v>0</v>
      </c>
      <c r="AM409" s="170" t="str">
        <f t="shared" si="221"/>
        <v>0.927182528775087+0.997345284184173i</v>
      </c>
      <c r="AN409" s="170" t="str">
        <f t="shared" si="222"/>
        <v>1.49791435050356i</v>
      </c>
      <c r="AO409" s="170" t="str">
        <f t="shared" si="223"/>
        <v>0.66582263788907-0.618982339319596i</v>
      </c>
      <c r="AP409" s="170" t="str">
        <f t="shared" si="224"/>
        <v>0.0121362452041522-0.166224214030696i</v>
      </c>
      <c r="AQ409" s="170" t="str">
        <f t="shared" si="225"/>
        <v>0.987863754795848+0.166224214030696i</v>
      </c>
      <c r="AR409" s="170" t="str">
        <f t="shared" si="226"/>
        <v>0.820016115612121-0.13798110685648i</v>
      </c>
    </row>
    <row r="410" spans="7:44">
      <c r="G410" s="688">
        <v>38240.5</v>
      </c>
      <c r="H410" s="676">
        <f t="shared" si="218"/>
        <v>38.240499999999997</v>
      </c>
      <c r="I410" s="677">
        <f t="shared" si="198"/>
        <v>13.115328570704747</v>
      </c>
      <c r="J410" s="678">
        <f t="shared" si="199"/>
        <v>1.4944755953892488</v>
      </c>
      <c r="K410" s="678">
        <f t="shared" si="200"/>
        <v>1.0011539482986076</v>
      </c>
      <c r="L410" s="679">
        <f t="shared" si="201"/>
        <v>4.8017491111121864E-2</v>
      </c>
      <c r="M410" s="678">
        <f t="shared" si="202"/>
        <v>1.0503688964921776</v>
      </c>
      <c r="N410" s="679">
        <f t="shared" si="203"/>
        <v>-0.3109397521420425</v>
      </c>
      <c r="O410" s="677">
        <f t="shared" si="204"/>
        <v>288326.57695931417</v>
      </c>
      <c r="P410" s="680">
        <f t="shared" si="205"/>
        <v>1.5707928585055333</v>
      </c>
      <c r="Q410" s="689">
        <f t="shared" si="227"/>
        <v>6.5164792219039924</v>
      </c>
      <c r="R410" s="690">
        <f t="shared" si="228"/>
        <v>1.4167304582229985</v>
      </c>
      <c r="S410" s="677">
        <f t="shared" si="206"/>
        <v>1.0128747767646016</v>
      </c>
      <c r="T410" s="680">
        <f t="shared" si="207"/>
        <v>0.15961293377350133</v>
      </c>
      <c r="U410" s="681">
        <f t="shared" si="219"/>
        <v>0.75400701118492341</v>
      </c>
      <c r="V410" s="682">
        <f t="shared" si="220"/>
        <v>-0.91988320680916491</v>
      </c>
      <c r="W410" s="683">
        <f t="shared" si="208"/>
        <v>-13.545959401921907</v>
      </c>
      <c r="X410" s="684">
        <f t="shared" si="209"/>
        <v>-171.36917846792343</v>
      </c>
      <c r="Y410" s="687">
        <f t="shared" si="210"/>
        <v>8.6308215320765669</v>
      </c>
      <c r="AA410" s="170">
        <f t="shared" si="211"/>
        <v>38240.5</v>
      </c>
      <c r="AB410" s="170">
        <f t="shared" si="212"/>
        <v>1462335840.25</v>
      </c>
      <c r="AD410" s="686">
        <f t="shared" si="213"/>
        <v>12.07690175437139</v>
      </c>
      <c r="AE410" s="687">
        <f t="shared" si="214"/>
        <v>-17.972272799303401</v>
      </c>
      <c r="AG410" s="686">
        <f t="shared" si="215"/>
        <v>21.243455279666321</v>
      </c>
      <c r="AH410" s="687">
        <f t="shared" si="216"/>
        <v>-47.98605475792057</v>
      </c>
      <c r="AJ410" s="170">
        <f t="shared" si="217"/>
        <v>0</v>
      </c>
      <c r="AK410" s="170">
        <f t="shared" si="229"/>
        <v>0</v>
      </c>
      <c r="AM410" s="170" t="str">
        <f t="shared" si="221"/>
        <v>0.935888924146161+0.997942768876484i</v>
      </c>
      <c r="AN410" s="170" t="str">
        <f t="shared" si="222"/>
        <v>1.50664125096481i</v>
      </c>
      <c r="AO410" s="170" t="str">
        <f t="shared" si="223"/>
        <v>0.662362568552686-0.621175693647605i</v>
      </c>
      <c r="AP410" s="170" t="str">
        <f t="shared" si="224"/>
        <v>0.0106851793089733-0.166323794812747i</v>
      </c>
      <c r="AQ410" s="170" t="str">
        <f t="shared" si="225"/>
        <v>0.989314820691027+0.166323794812747i</v>
      </c>
      <c r="AR410" s="170" t="str">
        <f t="shared" si="226"/>
        <v>0.818852514346128-0.137665639622053i</v>
      </c>
    </row>
    <row r="411" spans="7:44">
      <c r="G411" s="688">
        <v>38462</v>
      </c>
      <c r="H411" s="676">
        <f t="shared" si="218"/>
        <v>38.462000000000003</v>
      </c>
      <c r="I411" s="677">
        <f t="shared" si="198"/>
        <v>13.190855956391028</v>
      </c>
      <c r="J411" s="678">
        <f t="shared" si="199"/>
        <v>1.4949134310425576</v>
      </c>
      <c r="K411" s="678">
        <f t="shared" si="200"/>
        <v>1.0011673472006071</v>
      </c>
      <c r="L411" s="679">
        <f t="shared" si="201"/>
        <v>4.8295191225385781E-2</v>
      </c>
      <c r="M411" s="678">
        <f t="shared" si="202"/>
        <v>1.0509399025134634</v>
      </c>
      <c r="N411" s="679">
        <f t="shared" si="203"/>
        <v>-0.3126260250405633</v>
      </c>
      <c r="O411" s="677">
        <f t="shared" si="204"/>
        <v>289996.64761204424</v>
      </c>
      <c r="P411" s="680">
        <f t="shared" si="205"/>
        <v>1.5707928784791723</v>
      </c>
      <c r="Q411" s="689">
        <f t="shared" si="227"/>
        <v>6.5533381799035242</v>
      </c>
      <c r="R411" s="690">
        <f t="shared" si="228"/>
        <v>1.4176038575498684</v>
      </c>
      <c r="S411" s="677">
        <f t="shared" si="206"/>
        <v>1.0130233959848181</v>
      </c>
      <c r="T411" s="680">
        <f t="shared" si="207"/>
        <v>0.16052170219842113</v>
      </c>
      <c r="U411" s="681">
        <f t="shared" si="219"/>
        <v>0.75206143541648451</v>
      </c>
      <c r="V411" s="682">
        <f t="shared" si="220"/>
        <v>-0.92409237246489639</v>
      </c>
      <c r="W411" s="683">
        <f t="shared" si="208"/>
        <v>-13.615889044415697</v>
      </c>
      <c r="X411" s="684">
        <f t="shared" si="209"/>
        <v>-171.71816495084559</v>
      </c>
      <c r="Y411" s="687">
        <f t="shared" si="210"/>
        <v>8.2818350491544095</v>
      </c>
      <c r="AA411" s="170">
        <f t="shared" si="211"/>
        <v>38462</v>
      </c>
      <c r="AB411" s="170">
        <f t="shared" si="212"/>
        <v>1479325444</v>
      </c>
      <c r="AD411" s="686">
        <f t="shared" si="213"/>
        <v>12.07445264049734</v>
      </c>
      <c r="AE411" s="687">
        <f t="shared" si="214"/>
        <v>-17.974300443754377</v>
      </c>
      <c r="AG411" s="686">
        <f t="shared" si="215"/>
        <v>21.22085734810446</v>
      </c>
      <c r="AH411" s="687">
        <f t="shared" si="216"/>
        <v>-47.850678741150908</v>
      </c>
      <c r="AJ411" s="170">
        <f t="shared" si="217"/>
        <v>0</v>
      </c>
      <c r="AK411" s="170">
        <f t="shared" si="229"/>
        <v>0</v>
      </c>
      <c r="AM411" s="170" t="str">
        <f t="shared" si="221"/>
        <v>0.944600202108325+0.998464251935722i</v>
      </c>
      <c r="AN411" s="170" t="str">
        <f t="shared" si="222"/>
        <v>1.51536815142607i</v>
      </c>
      <c r="AO411" s="170" t="str">
        <f t="shared" si="223"/>
        <v>0.658892197909858-0.623347007273043i</v>
      </c>
      <c r="AP411" s="170" t="str">
        <f t="shared" si="224"/>
        <v>0.00923329964861245-0.166410708655954i</v>
      </c>
      <c r="AQ411" s="170" t="str">
        <f t="shared" si="225"/>
        <v>0.990766700351388+0.166410708655954i</v>
      </c>
      <c r="AR411" s="170" t="str">
        <f t="shared" si="226"/>
        <v>0.817694957698923-0.137341310852311i</v>
      </c>
    </row>
    <row r="412" spans="7:44">
      <c r="G412" s="688">
        <v>38683.5</v>
      </c>
      <c r="H412" s="676">
        <f t="shared" si="218"/>
        <v>38.683500000000002</v>
      </c>
      <c r="I412" s="677">
        <f t="shared" si="198"/>
        <v>13.26638584197255</v>
      </c>
      <c r="J412" s="678">
        <f t="shared" si="199"/>
        <v>1.4953462812941154</v>
      </c>
      <c r="K412" s="678">
        <f t="shared" si="200"/>
        <v>1.0011808233079125</v>
      </c>
      <c r="L412" s="679">
        <f t="shared" si="201"/>
        <v>4.8572883885258676E-2</v>
      </c>
      <c r="M412" s="678">
        <f t="shared" si="202"/>
        <v>1.051513893648969</v>
      </c>
      <c r="N412" s="679">
        <f t="shared" si="203"/>
        <v>-0.31431046174888905</v>
      </c>
      <c r="O412" s="677">
        <f t="shared" si="204"/>
        <v>291666.7182647743</v>
      </c>
      <c r="P412" s="680">
        <f t="shared" si="205"/>
        <v>1.5707928982240746</v>
      </c>
      <c r="Q412" s="689">
        <f t="shared" si="227"/>
        <v>6.5902020810407018</v>
      </c>
      <c r="R412" s="690">
        <f t="shared" si="228"/>
        <v>1.4184674863855073</v>
      </c>
      <c r="S412" s="677">
        <f t="shared" si="206"/>
        <v>1.0131728515747429</v>
      </c>
      <c r="T412" s="680">
        <f t="shared" si="207"/>
        <v>0.16143020326417332</v>
      </c>
      <c r="U412" s="681">
        <f t="shared" si="219"/>
        <v>0.75011810167374293</v>
      </c>
      <c r="V412" s="682">
        <f t="shared" si="220"/>
        <v>-0.92828944285441739</v>
      </c>
      <c r="W412" s="683">
        <f t="shared" si="208"/>
        <v>-13.685532138730551</v>
      </c>
      <c r="X412" s="684">
        <f t="shared" si="209"/>
        <v>-172.06661248099198</v>
      </c>
      <c r="Y412" s="687">
        <f t="shared" si="210"/>
        <v>7.9333875190080221</v>
      </c>
      <c r="AA412" s="170">
        <f t="shared" si="211"/>
        <v>38683.5</v>
      </c>
      <c r="AB412" s="170">
        <f t="shared" si="212"/>
        <v>1496413172.25</v>
      </c>
      <c r="AD412" s="686">
        <f t="shared" si="213"/>
        <v>12.072016355145045</v>
      </c>
      <c r="AE412" s="687">
        <f t="shared" si="214"/>
        <v>-17.976872564459715</v>
      </c>
      <c r="AG412" s="686">
        <f t="shared" si="215"/>
        <v>21.198597475028489</v>
      </c>
      <c r="AH412" s="687">
        <f t="shared" si="216"/>
        <v>-47.715605310764616</v>
      </c>
      <c r="AJ412" s="170">
        <f t="shared" si="217"/>
        <v>0</v>
      </c>
      <c r="AK412" s="170">
        <f t="shared" si="229"/>
        <v>0</v>
      </c>
      <c r="AM412" s="170" t="str">
        <f t="shared" si="221"/>
        <v>0.953315699225379+0.99890969364662i</v>
      </c>
      <c r="AN412" s="170" t="str">
        <f t="shared" si="222"/>
        <v>1.52409505188733i</v>
      </c>
      <c r="AO412" s="170" t="str">
        <f t="shared" si="223"/>
        <v>0.655411676856796-0.625496223509722i</v>
      </c>
      <c r="AP412" s="170" t="str">
        <f t="shared" si="224"/>
        <v>0.00778071679577023-0.166484948941103i</v>
      </c>
      <c r="AQ412" s="170" t="str">
        <f t="shared" si="225"/>
        <v>0.99221928320423+0.166484948941103i</v>
      </c>
      <c r="AR412" s="170" t="str">
        <f t="shared" si="226"/>
        <v>0.81654348663338-0.137008222861123i</v>
      </c>
    </row>
    <row r="413" spans="7:44">
      <c r="G413" s="688">
        <v>38905</v>
      </c>
      <c r="H413" s="676">
        <f t="shared" si="218"/>
        <v>38.905000000000001</v>
      </c>
      <c r="I413" s="677">
        <f t="shared" si="198"/>
        <v>13.341918184992871</v>
      </c>
      <c r="J413" s="678">
        <f t="shared" si="199"/>
        <v>1.4957742306516069</v>
      </c>
      <c r="K413" s="678">
        <f t="shared" si="200"/>
        <v>1.0011943766174067</v>
      </c>
      <c r="L413" s="679">
        <f t="shared" si="201"/>
        <v>4.8850569048214866E-2</v>
      </c>
      <c r="M413" s="678">
        <f t="shared" si="202"/>
        <v>1.0520908650129117</v>
      </c>
      <c r="N413" s="679">
        <f t="shared" si="203"/>
        <v>-0.31599305572159286</v>
      </c>
      <c r="O413" s="677">
        <f t="shared" si="204"/>
        <v>293336.78891750454</v>
      </c>
      <c r="P413" s="680">
        <f t="shared" si="205"/>
        <v>1.5707929177441475</v>
      </c>
      <c r="Q413" s="689">
        <f t="shared" si="227"/>
        <v>6.6270708428250815</v>
      </c>
      <c r="R413" s="690">
        <f t="shared" si="228"/>
        <v>1.4193215065009581</v>
      </c>
      <c r="S413" s="677">
        <f t="shared" si="206"/>
        <v>1.0133231431643062</v>
      </c>
      <c r="T413" s="680">
        <f t="shared" si="207"/>
        <v>0.16233843558968328</v>
      </c>
      <c r="U413" s="681">
        <f t="shared" si="219"/>
        <v>0.74817707919015419</v>
      </c>
      <c r="V413" s="682">
        <f t="shared" si="220"/>
        <v>-0.93247448194123672</v>
      </c>
      <c r="W413" s="683">
        <f t="shared" si="208"/>
        <v>-13.754891671542778</v>
      </c>
      <c r="X413" s="684">
        <f t="shared" si="209"/>
        <v>-172.41451984484269</v>
      </c>
      <c r="Y413" s="687">
        <f t="shared" si="210"/>
        <v>7.5854801551573132</v>
      </c>
      <c r="AA413" s="170">
        <f t="shared" si="211"/>
        <v>38905</v>
      </c>
      <c r="AB413" s="170">
        <f t="shared" si="212"/>
        <v>1513599025</v>
      </c>
      <c r="AD413" s="686">
        <f t="shared" si="213"/>
        <v>12.069592463267572</v>
      </c>
      <c r="AE413" s="687">
        <f t="shared" si="214"/>
        <v>-17.979979813715531</v>
      </c>
      <c r="AG413" s="686">
        <f t="shared" si="215"/>
        <v>21.176671700572633</v>
      </c>
      <c r="AH413" s="687">
        <f t="shared" si="216"/>
        <v>-47.580835271267475</v>
      </c>
      <c r="AJ413" s="170">
        <f t="shared" si="217"/>
        <v>0</v>
      </c>
      <c r="AK413" s="170">
        <f t="shared" si="229"/>
        <v>0</v>
      </c>
      <c r="AM413" s="170" t="str">
        <f t="shared" si="221"/>
        <v>0.962034751739804+0.99927906008509i</v>
      </c>
      <c r="AN413" s="170" t="str">
        <f t="shared" si="222"/>
        <v>1.53282195234859i</v>
      </c>
      <c r="AO413" s="170" t="str">
        <f t="shared" si="223"/>
        <v>0.651921156631398-0.62762328675276i</v>
      </c>
      <c r="AP413" s="170" t="str">
        <f t="shared" si="224"/>
        <v>0.00632754137669938-0.166546510014182i</v>
      </c>
      <c r="AQ413" s="170" t="str">
        <f t="shared" si="225"/>
        <v>0.993672458623301+0.166546510014182i</v>
      </c>
      <c r="AR413" s="170" t="str">
        <f t="shared" si="226"/>
        <v>0.81539814062903-0.136666477384275i</v>
      </c>
    </row>
    <row r="414" spans="7:44">
      <c r="G414" s="688">
        <v>39131.5</v>
      </c>
      <c r="H414" s="676">
        <f t="shared" si="218"/>
        <v>39.131500000000003</v>
      </c>
      <c r="I414" s="677">
        <f t="shared" si="198"/>
        <v>13.41915804508182</v>
      </c>
      <c r="J414" s="678">
        <f t="shared" si="199"/>
        <v>1.4962068582404708</v>
      </c>
      <c r="K414" s="678">
        <f t="shared" si="200"/>
        <v>1.0012083157033427</v>
      </c>
      <c r="L414" s="679">
        <f t="shared" si="201"/>
        <v>4.9134514702301152E-2</v>
      </c>
      <c r="M414" s="678">
        <f t="shared" si="202"/>
        <v>1.0526839373537431</v>
      </c>
      <c r="N414" s="679">
        <f t="shared" si="203"/>
        <v>-0.31771171913839963</v>
      </c>
      <c r="O414" s="677">
        <f t="shared" si="204"/>
        <v>295044.55868203472</v>
      </c>
      <c r="P414" s="680">
        <f t="shared" si="205"/>
        <v>1.5707929374763325</v>
      </c>
      <c r="Q414" s="689">
        <f t="shared" si="227"/>
        <v>6.6647767989905891</v>
      </c>
      <c r="R414" s="690">
        <f t="shared" si="228"/>
        <v>1.4201850330598416</v>
      </c>
      <c r="S414" s="677">
        <f t="shared" si="206"/>
        <v>1.0134776914726475</v>
      </c>
      <c r="T414" s="680">
        <f t="shared" si="207"/>
        <v>0.16326689042906695</v>
      </c>
      <c r="U414" s="681">
        <f t="shared" si="219"/>
        <v>0.7461947019394507</v>
      </c>
      <c r="V414" s="682">
        <f t="shared" si="220"/>
        <v>-0.93674161675645473</v>
      </c>
      <c r="W414" s="683">
        <f t="shared" si="208"/>
        <v>-13.82552670132997</v>
      </c>
      <c r="X414" s="684">
        <f t="shared" si="209"/>
        <v>-172.7697209153277</v>
      </c>
      <c r="Y414" s="687">
        <f t="shared" si="210"/>
        <v>7.2302790846723042</v>
      </c>
      <c r="AA414" s="170">
        <f t="shared" si="211"/>
        <v>39131.5</v>
      </c>
      <c r="AB414" s="170">
        <f t="shared" si="212"/>
        <v>1531274292.25</v>
      </c>
      <c r="AD414" s="686">
        <f t="shared" si="213"/>
        <v>12.067126231786812</v>
      </c>
      <c r="AE414" s="687">
        <f t="shared" si="214"/>
        <v>-17.983701060734415</v>
      </c>
      <c r="AG414" s="686">
        <f t="shared" si="215"/>
        <v>21.154592423865502</v>
      </c>
      <c r="AH414" s="687">
        <f t="shared" si="216"/>
        <v>-47.443337463124188</v>
      </c>
      <c r="AJ414" s="170">
        <f t="shared" si="217"/>
        <v>0</v>
      </c>
      <c r="AK414" s="170">
        <f t="shared" si="229"/>
        <v>0</v>
      </c>
      <c r="AM414" s="170" t="str">
        <f t="shared" si="221"/>
        <v>0.970953607434774+0.999578064524701i</v>
      </c>
      <c r="AN414" s="170" t="str">
        <f t="shared" si="222"/>
        <v>1.54174584830558i</v>
      </c>
      <c r="AO414" s="170" t="str">
        <f t="shared" si="223"/>
        <v>0.648341661255819-0.629775399429081i</v>
      </c>
      <c r="AP414" s="170" t="str">
        <f t="shared" si="224"/>
        <v>0.0048410654275376-0.16659634408745i</v>
      </c>
      <c r="AQ414" s="170" t="str">
        <f t="shared" si="225"/>
        <v>0.995158934572462+0.16659634408745i</v>
      </c>
      <c r="AR414" s="170" t="str">
        <f t="shared" si="226"/>
        <v>0.814233313937153-0.136308170105929i</v>
      </c>
    </row>
    <row r="415" spans="7:44">
      <c r="G415" s="688">
        <v>39358</v>
      </c>
      <c r="H415" s="676">
        <f t="shared" si="218"/>
        <v>39.357999999999997</v>
      </c>
      <c r="I415" s="677">
        <f t="shared" si="198"/>
        <v>13.496400388041126</v>
      </c>
      <c r="J415" s="678">
        <f t="shared" si="199"/>
        <v>1.4966345338965823</v>
      </c>
      <c r="K415" s="678">
        <f t="shared" si="200"/>
        <v>1.0012223355095824</v>
      </c>
      <c r="L415" s="679">
        <f t="shared" si="201"/>
        <v>4.9418452427273336E-2</v>
      </c>
      <c r="M415" s="678">
        <f t="shared" si="202"/>
        <v>1.0532801156095264</v>
      </c>
      <c r="N415" s="679">
        <f t="shared" si="203"/>
        <v>-0.31942844202345944</v>
      </c>
      <c r="O415" s="677">
        <f t="shared" si="204"/>
        <v>296752.32844656502</v>
      </c>
      <c r="P415" s="680">
        <f t="shared" si="205"/>
        <v>1.5707929569814052</v>
      </c>
      <c r="Q415" s="689">
        <f t="shared" si="227"/>
        <v>6.7024876690155448</v>
      </c>
      <c r="R415" s="690">
        <f t="shared" si="228"/>
        <v>1.4210388431594738</v>
      </c>
      <c r="S415" s="677">
        <f t="shared" si="206"/>
        <v>1.0136331131606819</v>
      </c>
      <c r="T415" s="680">
        <f t="shared" si="207"/>
        <v>0.16419506134597203</v>
      </c>
      <c r="U415" s="681">
        <f t="shared" si="219"/>
        <v>0.74421488301834815</v>
      </c>
      <c r="V415" s="682">
        <f t="shared" si="220"/>
        <v>-0.94099630752443597</v>
      </c>
      <c r="W415" s="683">
        <f t="shared" si="208"/>
        <v>-13.89587136546467</v>
      </c>
      <c r="X415" s="684">
        <f t="shared" si="209"/>
        <v>-173.12435497113839</v>
      </c>
      <c r="Y415" s="687">
        <f t="shared" si="210"/>
        <v>6.8756450288616122</v>
      </c>
      <c r="AA415" s="170">
        <f t="shared" si="211"/>
        <v>39358</v>
      </c>
      <c r="AB415" s="170">
        <f t="shared" si="212"/>
        <v>1549052164</v>
      </c>
      <c r="AD415" s="686">
        <f t="shared" si="213"/>
        <v>12.064672078154615</v>
      </c>
      <c r="AE415" s="687">
        <f t="shared" si="214"/>
        <v>-17.987962739288491</v>
      </c>
      <c r="AG415" s="686">
        <f t="shared" si="215"/>
        <v>21.132854323922995</v>
      </c>
      <c r="AH415" s="687">
        <f t="shared" si="216"/>
        <v>-47.306158191546515</v>
      </c>
      <c r="AJ415" s="170">
        <f t="shared" si="217"/>
        <v>0</v>
      </c>
      <c r="AK415" s="170">
        <f t="shared" si="229"/>
        <v>0</v>
      </c>
      <c r="AM415" s="170" t="str">
        <f t="shared" si="221"/>
        <v>0.979874776250572+0.999797467174745i</v>
      </c>
      <c r="AN415" s="170" t="str">
        <f t="shared" si="222"/>
        <v>1.55066974426258i</v>
      </c>
      <c r="AO415" s="170" t="str">
        <f t="shared" si="223"/>
        <v>0.644752031097504-0.631904233558481i</v>
      </c>
      <c r="AP415" s="170" t="str">
        <f t="shared" si="224"/>
        <v>0.00335420395823807-0.166632911195791i</v>
      </c>
      <c r="AQ415" s="170" t="str">
        <f t="shared" si="225"/>
        <v>0.996645796041762+0.166632911195791i</v>
      </c>
      <c r="AR415" s="170" t="str">
        <f t="shared" si="226"/>
        <v>0.813074970817663-0.135941023326308i</v>
      </c>
    </row>
    <row r="416" spans="7:44">
      <c r="G416" s="688">
        <v>39584.5</v>
      </c>
      <c r="H416" s="676">
        <f t="shared" si="218"/>
        <v>39.584499999999998</v>
      </c>
      <c r="I416" s="677">
        <f t="shared" si="198"/>
        <v>13.57364517148363</v>
      </c>
      <c r="J416" s="678">
        <f t="shared" si="199"/>
        <v>1.4970573420033897</v>
      </c>
      <c r="K416" s="678">
        <f t="shared" si="200"/>
        <v>1.0012364360327348</v>
      </c>
      <c r="L416" s="679">
        <f t="shared" si="201"/>
        <v>4.9702382177682983E-2</v>
      </c>
      <c r="M416" s="678">
        <f t="shared" si="202"/>
        <v>1.0538793945092255</v>
      </c>
      <c r="N416" s="679">
        <f t="shared" si="203"/>
        <v>-0.32114321755981851</v>
      </c>
      <c r="O416" s="677">
        <f t="shared" si="204"/>
        <v>298460.09821109532</v>
      </c>
      <c r="P416" s="680">
        <f t="shared" si="205"/>
        <v>1.5707929762632644</v>
      </c>
      <c r="Q416" s="689">
        <f t="shared" si="227"/>
        <v>6.7402033704220594</v>
      </c>
      <c r="R416" s="690">
        <f t="shared" si="228"/>
        <v>1.4218830986536561</v>
      </c>
      <c r="S416" s="677">
        <f t="shared" si="206"/>
        <v>1.013789407826722</v>
      </c>
      <c r="T416" s="680">
        <f t="shared" si="207"/>
        <v>0.1651229468721096</v>
      </c>
      <c r="U416" s="681">
        <f t="shared" si="219"/>
        <v>0.74223769155071839</v>
      </c>
      <c r="V416" s="682">
        <f t="shared" si="220"/>
        <v>-0.94523862390606261</v>
      </c>
      <c r="W416" s="683">
        <f t="shared" si="208"/>
        <v>-13.96592868398673</v>
      </c>
      <c r="X416" s="684">
        <f t="shared" si="209"/>
        <v>-173.47842109294308</v>
      </c>
      <c r="Y416" s="687">
        <f t="shared" si="210"/>
        <v>6.5215789070569201</v>
      </c>
      <c r="AA416" s="170">
        <f t="shared" si="211"/>
        <v>39584.5</v>
      </c>
      <c r="AB416" s="170">
        <f t="shared" si="212"/>
        <v>1566932640.25</v>
      </c>
      <c r="AD416" s="686">
        <f t="shared" si="213"/>
        <v>12.06222957548383</v>
      </c>
      <c r="AE416" s="687">
        <f t="shared" si="214"/>
        <v>-17.992755491934709</v>
      </c>
      <c r="AG416" s="686">
        <f t="shared" si="215"/>
        <v>21.111453365959406</v>
      </c>
      <c r="AH416" s="687">
        <f t="shared" si="216"/>
        <v>-47.169297912096674</v>
      </c>
      <c r="AJ416" s="170">
        <f t="shared" si="217"/>
        <v>0</v>
      </c>
      <c r="AK416" s="170">
        <f t="shared" si="229"/>
        <v>0</v>
      </c>
      <c r="AM416" s="170" t="str">
        <f t="shared" si="221"/>
        <v>0.988797547746422+0.999937250563007i</v>
      </c>
      <c r="AN416" s="170" t="str">
        <f t="shared" si="222"/>
        <v>1.55959364021958i</v>
      </c>
      <c r="AO416" s="170" t="str">
        <f t="shared" si="223"/>
        <v>0.641152428925154-0.634009733206662i</v>
      </c>
      <c r="AP416" s="170" t="str">
        <f t="shared" si="224"/>
        <v>0.00186707537559632-0.166656208427168i</v>
      </c>
      <c r="AQ416" s="170" t="str">
        <f t="shared" si="225"/>
        <v>0.998132924624404+0.166656208427168i</v>
      </c>
      <c r="AR416" s="170" t="str">
        <f t="shared" si="226"/>
        <v>0.811923148847-0.135565143862984i</v>
      </c>
    </row>
    <row r="417" spans="7:44">
      <c r="G417" s="688">
        <v>39811</v>
      </c>
      <c r="H417" s="676">
        <f t="shared" si="218"/>
        <v>39.811</v>
      </c>
      <c r="I417" s="677">
        <f t="shared" si="198"/>
        <v>13.650892353980264</v>
      </c>
      <c r="J417" s="678">
        <f t="shared" si="199"/>
        <v>1.4974753650413704</v>
      </c>
      <c r="K417" s="678">
        <f t="shared" si="200"/>
        <v>1.0012506172693898</v>
      </c>
      <c r="L417" s="679">
        <f t="shared" si="201"/>
        <v>4.998630390808937E-2</v>
      </c>
      <c r="M417" s="678">
        <f t="shared" si="202"/>
        <v>1.0544817687664028</v>
      </c>
      <c r="N417" s="679">
        <f t="shared" si="203"/>
        <v>-0.32285603899178827</v>
      </c>
      <c r="O417" s="677">
        <f t="shared" si="204"/>
        <v>300167.86797562579</v>
      </c>
      <c r="P417" s="680">
        <f t="shared" si="205"/>
        <v>1.5707929953257198</v>
      </c>
      <c r="Q417" s="689">
        <f t="shared" si="227"/>
        <v>6.7779238225575869</v>
      </c>
      <c r="R417" s="690">
        <f t="shared" si="228"/>
        <v>1.4227179578483766</v>
      </c>
      <c r="S417" s="677">
        <f t="shared" si="206"/>
        <v>1.0139465750670722</v>
      </c>
      <c r="T417" s="680">
        <f t="shared" si="207"/>
        <v>0.16605054554205914</v>
      </c>
      <c r="U417" s="681">
        <f t="shared" si="219"/>
        <v>0.74026319504576077</v>
      </c>
      <c r="V417" s="682">
        <f t="shared" si="220"/>
        <v>-0.94946863595668141</v>
      </c>
      <c r="W417" s="683">
        <f t="shared" si="208"/>
        <v>-14.035701621652469</v>
      </c>
      <c r="X417" s="684">
        <f t="shared" si="209"/>
        <v>-173.83191848192271</v>
      </c>
      <c r="Y417" s="687">
        <f t="shared" si="210"/>
        <v>6.1680815180772868</v>
      </c>
      <c r="AA417" s="170">
        <f t="shared" si="211"/>
        <v>39811</v>
      </c>
      <c r="AB417" s="170">
        <f t="shared" si="212"/>
        <v>1584915721</v>
      </c>
      <c r="AD417" s="686">
        <f t="shared" si="213"/>
        <v>12.059798308953482</v>
      </c>
      <c r="AE417" s="687">
        <f t="shared" si="214"/>
        <v>-17.998070164663904</v>
      </c>
      <c r="AG417" s="686">
        <f t="shared" si="215"/>
        <v>21.090385579794141</v>
      </c>
      <c r="AH417" s="687">
        <f t="shared" si="216"/>
        <v>-47.032756952213333</v>
      </c>
      <c r="AJ417" s="170">
        <f t="shared" si="217"/>
        <v>0</v>
      </c>
      <c r="AK417" s="170">
        <f t="shared" si="229"/>
        <v>0</v>
      </c>
      <c r="AM417" s="170" t="str">
        <f t="shared" si="221"/>
        <v>0.997721211353923+0.999997403557783i</v>
      </c>
      <c r="AN417" s="170" t="str">
        <f t="shared" si="222"/>
        <v>1.56851753617657i</v>
      </c>
      <c r="AO417" s="170" t="str">
        <f t="shared" si="223"/>
        <v>0.637543017845618-0.636091843630882i</v>
      </c>
      <c r="AP417" s="170" t="str">
        <f t="shared" si="224"/>
        <v>0.000379798107679487-0.166666233926297i</v>
      </c>
      <c r="AQ417" s="170" t="str">
        <f t="shared" si="225"/>
        <v>0.99962020189232+0.166666233926297i</v>
      </c>
      <c r="AR417" s="170" t="str">
        <f t="shared" si="226"/>
        <v>0.810777884096977-0.135180637843623i</v>
      </c>
    </row>
    <row r="418" spans="7:44">
      <c r="G418" s="688">
        <v>40042.75</v>
      </c>
      <c r="H418" s="676">
        <f t="shared" si="218"/>
        <v>40.042749999999998</v>
      </c>
      <c r="I418" s="677">
        <f t="shared" si="198"/>
        <v>13.729932474958696</v>
      </c>
      <c r="J418" s="678">
        <f t="shared" si="199"/>
        <v>1.4978982087222177</v>
      </c>
      <c r="K418" s="678">
        <f t="shared" si="200"/>
        <v>1.0012652107480773</v>
      </c>
      <c r="L418" s="679">
        <f t="shared" si="201"/>
        <v>5.0276798257369894E-2</v>
      </c>
      <c r="M418" s="678">
        <f t="shared" si="202"/>
        <v>1.0551013036199455</v>
      </c>
      <c r="N418" s="679">
        <f t="shared" si="203"/>
        <v>-0.32460653203058931</v>
      </c>
      <c r="O418" s="677">
        <f t="shared" si="204"/>
        <v>301915.22180754616</v>
      </c>
      <c r="P418" s="680">
        <f t="shared" si="205"/>
        <v>1.5707930146068128</v>
      </c>
      <c r="Q418" s="689">
        <f t="shared" si="227"/>
        <v>6.8165234247273476</v>
      </c>
      <c r="R418" s="690">
        <f t="shared" si="228"/>
        <v>1.423562604065584</v>
      </c>
      <c r="S418" s="677">
        <f t="shared" si="206"/>
        <v>1.0141082879800907</v>
      </c>
      <c r="T418" s="680">
        <f t="shared" si="207"/>
        <v>0.1669993464112477</v>
      </c>
      <c r="U418" s="681">
        <f t="shared" si="219"/>
        <v>0.73824579019216496</v>
      </c>
      <c r="V418" s="682">
        <f t="shared" si="220"/>
        <v>-0.95378403267547573</v>
      </c>
      <c r="W418" s="683">
        <f t="shared" si="208"/>
        <v>-14.106800504129954</v>
      </c>
      <c r="X418" s="684">
        <f t="shared" si="209"/>
        <v>-174.19302014925771</v>
      </c>
      <c r="Y418" s="687">
        <f t="shared" si="210"/>
        <v>5.8069798507422945</v>
      </c>
      <c r="AA418" s="170">
        <f t="shared" si="211"/>
        <v>40042.75</v>
      </c>
      <c r="AB418" s="170">
        <f t="shared" si="212"/>
        <v>1603421827.5625</v>
      </c>
      <c r="AD418" s="686">
        <f t="shared" si="213"/>
        <v>12.05732189794999</v>
      </c>
      <c r="AE418" s="687">
        <f t="shared" si="214"/>
        <v>-18.004038891371156</v>
      </c>
      <c r="AG418" s="686">
        <f t="shared" si="215"/>
        <v>21.06917023797164</v>
      </c>
      <c r="AH418" s="687">
        <f t="shared" si="216"/>
        <v>-46.89338185445304</v>
      </c>
      <c r="AJ418" s="170">
        <f t="shared" si="217"/>
        <v>0</v>
      </c>
      <c r="AK418" s="170">
        <f t="shared" si="229"/>
        <v>0</v>
      </c>
      <c r="AM418" s="170" t="str">
        <f t="shared" si="221"/>
        <v>1.0068518969937+0.999976525478267i</v>
      </c>
      <c r="AN418" s="170" t="str">
        <f t="shared" si="222"/>
        <v>1.5776482774041i</v>
      </c>
      <c r="AO418" s="170" t="str">
        <f t="shared" si="223"/>
        <v>0.633839962810755-0.63819795033808i</v>
      </c>
      <c r="AP418" s="170" t="str">
        <f t="shared" si="224"/>
        <v>-0.00114198283228306-0.166662754246378i</v>
      </c>
      <c r="AQ418" s="170" t="str">
        <f t="shared" si="225"/>
        <v>1.00114198283228+0.166662754246378i</v>
      </c>
      <c r="AR418" s="170" t="str">
        <f t="shared" si="226"/>
        <v>0.809612896516599-0.134778400587211i</v>
      </c>
    </row>
    <row r="419" spans="7:44">
      <c r="G419" s="688">
        <v>40274.5</v>
      </c>
      <c r="H419" s="676">
        <f t="shared" si="218"/>
        <v>40.274500000000003</v>
      </c>
      <c r="I419" s="677">
        <f t="shared" si="198"/>
        <v>13.808975022702114</v>
      </c>
      <c r="J419" s="678">
        <f t="shared" si="199"/>
        <v>1.4983162117641815</v>
      </c>
      <c r="K419" s="678">
        <f t="shared" si="200"/>
        <v>1.0012798887180319</v>
      </c>
      <c r="L419" s="679">
        <f t="shared" si="201"/>
        <v>5.0567284114328974E-2</v>
      </c>
      <c r="M419" s="678">
        <f t="shared" si="202"/>
        <v>1.0557240677418824</v>
      </c>
      <c r="N419" s="679">
        <f t="shared" si="203"/>
        <v>-0.32635496521493357</v>
      </c>
      <c r="O419" s="677">
        <f t="shared" si="204"/>
        <v>303662.57563946664</v>
      </c>
      <c r="P419" s="680">
        <f t="shared" si="205"/>
        <v>1.5707930336660088</v>
      </c>
      <c r="Q419" s="689">
        <f t="shared" si="227"/>
        <v>6.8551278352226843</v>
      </c>
      <c r="R419" s="690">
        <f t="shared" si="228"/>
        <v>1.4243977376822881</v>
      </c>
      <c r="S419" s="677">
        <f t="shared" si="206"/>
        <v>1.014270913525217</v>
      </c>
      <c r="T419" s="680">
        <f t="shared" si="207"/>
        <v>0.167947843877569</v>
      </c>
      <c r="U419" s="681">
        <f t="shared" si="219"/>
        <v>0.736231344577154</v>
      </c>
      <c r="V419" s="682">
        <f t="shared" si="220"/>
        <v>-0.95808669763053256</v>
      </c>
      <c r="W419" s="683">
        <f t="shared" si="208"/>
        <v>-14.177607778559269</v>
      </c>
      <c r="X419" s="684">
        <f t="shared" si="209"/>
        <v>-174.5535250931369</v>
      </c>
      <c r="Y419" s="687">
        <f t="shared" si="210"/>
        <v>5.4464749068631022</v>
      </c>
      <c r="AA419" s="170">
        <f t="shared" si="211"/>
        <v>40274.5</v>
      </c>
      <c r="AB419" s="170">
        <f t="shared" si="212"/>
        <v>1622035350.25</v>
      </c>
      <c r="AD419" s="686">
        <f t="shared" si="213"/>
        <v>12.054856408377965</v>
      </c>
      <c r="AE419" s="687">
        <f t="shared" si="214"/>
        <v>-18.010535253522491</v>
      </c>
      <c r="AG419" s="686">
        <f t="shared" si="215"/>
        <v>21.048295484695011</v>
      </c>
      <c r="AH419" s="687">
        <f t="shared" si="216"/>
        <v>-46.754341350450261</v>
      </c>
      <c r="AJ419" s="170">
        <f t="shared" si="217"/>
        <v>0</v>
      </c>
      <c r="AK419" s="170">
        <f t="shared" si="229"/>
        <v>0</v>
      </c>
      <c r="AM419" s="170" t="str">
        <f t="shared" si="221"/>
        <v>1.0159820113918+0.999872279499673i</v>
      </c>
      <c r="AN419" s="170" t="str">
        <f t="shared" si="222"/>
        <v>1.58677901863162i</v>
      </c>
      <c r="AO419" s="170" t="str">
        <f t="shared" si="223"/>
        <v>0.630126985395815-0.640279458867528i</v>
      </c>
      <c r="AP419" s="170" t="str">
        <f t="shared" si="224"/>
        <v>-0.00266366856529947-0.166645379916612i</v>
      </c>
      <c r="AQ419" s="170" t="str">
        <f t="shared" si="225"/>
        <v>1.0026636685653+0.166645379916612i</v>
      </c>
      <c r="AR419" s="170" t="str">
        <f t="shared" si="226"/>
        <v>0.808454845360985-0.134367354751553i</v>
      </c>
    </row>
    <row r="420" spans="7:44">
      <c r="G420" s="688">
        <v>40506.25</v>
      </c>
      <c r="H420" s="676">
        <f t="shared" si="218"/>
        <v>40.506250000000001</v>
      </c>
      <c r="I420" s="677">
        <f t="shared" si="198"/>
        <v>13.888019955775306</v>
      </c>
      <c r="J420" s="678">
        <f t="shared" si="199"/>
        <v>1.4987294566727418</v>
      </c>
      <c r="K420" s="678">
        <f t="shared" si="200"/>
        <v>1.0012946511755381</v>
      </c>
      <c r="L420" s="679">
        <f t="shared" si="201"/>
        <v>5.0857761430317588E-2</v>
      </c>
      <c r="M420" s="678">
        <f t="shared" si="202"/>
        <v>1.0563500554208332</v>
      </c>
      <c r="N420" s="679">
        <f t="shared" si="203"/>
        <v>-0.32810133150743903</v>
      </c>
      <c r="O420" s="677">
        <f t="shared" si="204"/>
        <v>305409.92947138718</v>
      </c>
      <c r="P420" s="680">
        <f t="shared" si="205"/>
        <v>1.5707930525071165</v>
      </c>
      <c r="Q420" s="689">
        <f t="shared" si="227"/>
        <v>6.8937369732648053</v>
      </c>
      <c r="R420" s="690">
        <f t="shared" si="228"/>
        <v>1.4252235173527883</v>
      </c>
      <c r="S420" s="677">
        <f t="shared" si="206"/>
        <v>1.0144344512635348</v>
      </c>
      <c r="T420" s="680">
        <f t="shared" si="207"/>
        <v>0.16889603638072556</v>
      </c>
      <c r="U420" s="681">
        <f t="shared" si="219"/>
        <v>0.73421992539308056</v>
      </c>
      <c r="V420" s="682">
        <f t="shared" si="220"/>
        <v>-0.9623767070413104</v>
      </c>
      <c r="W420" s="683">
        <f t="shared" si="208"/>
        <v>-14.248126450761502</v>
      </c>
      <c r="X420" s="684">
        <f t="shared" si="209"/>
        <v>-174.91343282800236</v>
      </c>
      <c r="Y420" s="687">
        <f t="shared" si="210"/>
        <v>5.0865671719976433</v>
      </c>
      <c r="AA420" s="170">
        <f t="shared" si="211"/>
        <v>40506.25</v>
      </c>
      <c r="AB420" s="170">
        <f t="shared" si="212"/>
        <v>1640756289.0625</v>
      </c>
      <c r="AD420" s="686">
        <f t="shared" si="213"/>
        <v>12.052401432581231</v>
      </c>
      <c r="AE420" s="687">
        <f t="shared" si="214"/>
        <v>-18.017550071715906</v>
      </c>
      <c r="AG420" s="686">
        <f t="shared" si="215"/>
        <v>21.027757269214643</v>
      </c>
      <c r="AH420" s="687">
        <f t="shared" si="216"/>
        <v>-46.615635399942605</v>
      </c>
      <c r="AJ420" s="170">
        <f t="shared" si="217"/>
        <v>0</v>
      </c>
      <c r="AK420" s="170">
        <f t="shared" si="229"/>
        <v>0</v>
      </c>
      <c r="AM420" s="170" t="str">
        <f t="shared" si="221"/>
        <v>1.0251107933719+0.999684674312972i</v>
      </c>
      <c r="AN420" s="170" t="str">
        <f t="shared" si="222"/>
        <v>1.59590975985914i</v>
      </c>
      <c r="AO420" s="170" t="str">
        <f t="shared" si="223"/>
        <v>0.626404261354481-0.642336314468294i</v>
      </c>
      <c r="AP420" s="170" t="str">
        <f t="shared" si="224"/>
        <v>-0.00418513222865078-0.166614112385495i</v>
      </c>
      <c r="AQ420" s="170" t="str">
        <f t="shared" si="225"/>
        <v>1.00418513222865+0.166614112385495i</v>
      </c>
      <c r="AR420" s="170" t="str">
        <f t="shared" si="226"/>
        <v>0.807303764568313-0.133947611692374i</v>
      </c>
    </row>
    <row r="421" spans="7:44">
      <c r="G421" s="688">
        <v>40738</v>
      </c>
      <c r="H421" s="676">
        <f t="shared" si="218"/>
        <v>40.738</v>
      </c>
      <c r="I421" s="677">
        <f t="shared" si="198"/>
        <v>13.967067233679815</v>
      </c>
      <c r="J421" s="678">
        <f t="shared" si="199"/>
        <v>1.4991380240921892</v>
      </c>
      <c r="K421" s="678">
        <f t="shared" si="200"/>
        <v>1.0013094981168587</v>
      </c>
      <c r="L421" s="679">
        <f t="shared" si="201"/>
        <v>5.1148230156695354E-2</v>
      </c>
      <c r="M421" s="678">
        <f t="shared" si="202"/>
        <v>1.0569792609294186</v>
      </c>
      <c r="N421" s="679">
        <f t="shared" si="203"/>
        <v>-0.32984562393778011</v>
      </c>
      <c r="O421" s="677">
        <f t="shared" si="204"/>
        <v>307157.28330330789</v>
      </c>
      <c r="P421" s="680">
        <f t="shared" si="205"/>
        <v>1.570793071133858</v>
      </c>
      <c r="Q421" s="689">
        <f t="shared" si="227"/>
        <v>6.9323507598647023</v>
      </c>
      <c r="R421" s="690">
        <f t="shared" si="228"/>
        <v>1.4260400982481938</v>
      </c>
      <c r="S421" s="677">
        <f t="shared" si="206"/>
        <v>1.0145989007539495</v>
      </c>
      <c r="T421" s="680">
        <f t="shared" si="207"/>
        <v>0.16984392236361651</v>
      </c>
      <c r="U421" s="681">
        <f t="shared" si="219"/>
        <v>0.73221159814917403</v>
      </c>
      <c r="V421" s="682">
        <f t="shared" si="220"/>
        <v>-0.96665413749092299</v>
      </c>
      <c r="W421" s="683">
        <f t="shared" si="208"/>
        <v>-14.318359472413906</v>
      </c>
      <c r="X421" s="684">
        <f t="shared" si="209"/>
        <v>-175.27274298608566</v>
      </c>
      <c r="Y421" s="687">
        <f t="shared" si="210"/>
        <v>4.7272570139143397</v>
      </c>
      <c r="AA421" s="170">
        <f t="shared" si="211"/>
        <v>40738</v>
      </c>
      <c r="AB421" s="170">
        <f t="shared" si="212"/>
        <v>1659584644</v>
      </c>
      <c r="AD421" s="686">
        <f t="shared" si="213"/>
        <v>12.049956574466181</v>
      </c>
      <c r="AE421" s="687">
        <f t="shared" si="214"/>
        <v>-18.025074366299698</v>
      </c>
      <c r="AG421" s="686">
        <f t="shared" si="215"/>
        <v>21.007551606254612</v>
      </c>
      <c r="AH421" s="687">
        <f t="shared" si="216"/>
        <v>-46.477263839035011</v>
      </c>
      <c r="AJ421" s="170">
        <f t="shared" si="217"/>
        <v>0</v>
      </c>
      <c r="AK421" s="170">
        <f t="shared" si="229"/>
        <v>0</v>
      </c>
      <c r="AM421" s="170" t="str">
        <f t="shared" si="221"/>
        <v>1.03423748186879+0.999413725558782i</v>
      </c>
      <c r="AN421" s="170" t="str">
        <f t="shared" si="222"/>
        <v>1.60504050108667i</v>
      </c>
      <c r="AO421" s="170" t="str">
        <f t="shared" si="223"/>
        <v>0.622671966771021-0.644368463704545i</v>
      </c>
      <c r="AP421" s="170" t="str">
        <f t="shared" si="224"/>
        <v>-0.00570624697813188-0.166568954259797i</v>
      </c>
      <c r="AQ421" s="170" t="str">
        <f t="shared" si="225"/>
        <v>1.00570624697813+0.166568954259797i</v>
      </c>
      <c r="AR421" s="170" t="str">
        <f t="shared" si="226"/>
        <v>0.80615968655564-0.133519281956791i</v>
      </c>
    </row>
    <row r="422" spans="7:44">
      <c r="G422" s="688">
        <v>40975.25</v>
      </c>
      <c r="H422" s="676">
        <f t="shared" si="218"/>
        <v>40.975250000000003</v>
      </c>
      <c r="I422" s="677">
        <f t="shared" si="198"/>
        <v>14.047992886399499</v>
      </c>
      <c r="J422" s="678">
        <f t="shared" si="199"/>
        <v>1.4995515248057816</v>
      </c>
      <c r="K422" s="678">
        <f t="shared" si="200"/>
        <v>1.001324784923971</v>
      </c>
      <c r="L422" s="679">
        <f t="shared" si="201"/>
        <v>5.1445583474920974E-2</v>
      </c>
      <c r="M422" s="678">
        <f t="shared" si="202"/>
        <v>1.0576267263290826</v>
      </c>
      <c r="N422" s="679">
        <f t="shared" si="203"/>
        <v>-0.33162915725632514</v>
      </c>
      <c r="O422" s="677">
        <f t="shared" si="204"/>
        <v>308946.10615820845</v>
      </c>
      <c r="P422" s="680">
        <f t="shared" si="205"/>
        <v>1.5707930899843978</v>
      </c>
      <c r="Q422" s="689">
        <f t="shared" si="227"/>
        <v>6.9718856817166683</v>
      </c>
      <c r="R422" s="690">
        <f t="shared" si="228"/>
        <v>1.4268666882469307</v>
      </c>
      <c r="S422" s="677">
        <f t="shared" si="206"/>
        <v>1.0147681970402544</v>
      </c>
      <c r="T422" s="680">
        <f t="shared" si="207"/>
        <v>0.17081398488180688</v>
      </c>
      <c r="U422" s="681">
        <f t="shared" si="219"/>
        <v>0.73015887787039191</v>
      </c>
      <c r="V422" s="682">
        <f t="shared" si="220"/>
        <v>-0.97102013195645431</v>
      </c>
      <c r="W422" s="683">
        <f t="shared" si="208"/>
        <v>-14.389966423877203</v>
      </c>
      <c r="X422" s="684">
        <f t="shared" si="209"/>
        <v>-175.63996117998445</v>
      </c>
      <c r="Y422" s="687">
        <f t="shared" si="210"/>
        <v>4.3600388200155464</v>
      </c>
      <c r="AA422" s="170">
        <f t="shared" si="211"/>
        <v>40975.25</v>
      </c>
      <c r="AB422" s="170">
        <f t="shared" si="212"/>
        <v>1678971112.5625</v>
      </c>
      <c r="AD422" s="686">
        <f t="shared" si="213"/>
        <v>12.047463772726374</v>
      </c>
      <c r="AE422" s="687">
        <f t="shared" si="214"/>
        <v>-18.033295816206248</v>
      </c>
      <c r="AG422" s="686">
        <f t="shared" si="215"/>
        <v>20.987206804113008</v>
      </c>
      <c r="AH422" s="687">
        <f t="shared" si="216"/>
        <v>-46.335954469950657</v>
      </c>
      <c r="AJ422" s="170">
        <f t="shared" si="217"/>
        <v>0</v>
      </c>
      <c r="AK422" s="170">
        <f t="shared" si="229"/>
        <v>0</v>
      </c>
      <c r="AM422" s="170" t="str">
        <f t="shared" si="221"/>
        <v>1.04357780620603+0.999050036187512i</v>
      </c>
      <c r="AN422" s="170" t="str">
        <f t="shared" si="222"/>
        <v>1.6143879373595i</v>
      </c>
      <c r="AO422" s="170" t="str">
        <f t="shared" si="223"/>
        <v>0.618841365862509-0.64642319361783i</v>
      </c>
      <c r="AP422" s="170" t="str">
        <f t="shared" si="224"/>
        <v>-0.00726296770100502-0.166508339364585i</v>
      </c>
      <c r="AQ422" s="170" t="str">
        <f t="shared" si="225"/>
        <v>1.007262967701+0.166508339364585i</v>
      </c>
      <c r="AR422" s="170" t="str">
        <f t="shared" si="226"/>
        <v>0.804995743069192-0.133072006687532i</v>
      </c>
    </row>
    <row r="423" spans="7:44">
      <c r="G423" s="688">
        <v>41212.5</v>
      </c>
      <c r="H423" s="676">
        <f t="shared" si="218"/>
        <v>41.212499999999999</v>
      </c>
      <c r="I423" s="677">
        <f t="shared" si="198"/>
        <v>14.128920913569383</v>
      </c>
      <c r="J423" s="678">
        <f t="shared" si="199"/>
        <v>1.4999602886667656</v>
      </c>
      <c r="K423" s="678">
        <f t="shared" si="200"/>
        <v>1.0013401602645076</v>
      </c>
      <c r="L423" s="679">
        <f t="shared" si="201"/>
        <v>5.1742927687857529E-2</v>
      </c>
      <c r="M423" s="678">
        <f t="shared" si="202"/>
        <v>1.0582775519070799</v>
      </c>
      <c r="N423" s="679">
        <f t="shared" si="203"/>
        <v>-0.33341050254049076</v>
      </c>
      <c r="O423" s="677">
        <f t="shared" si="204"/>
        <v>310734.92901310913</v>
      </c>
      <c r="P423" s="680">
        <f t="shared" si="205"/>
        <v>1.5707931086179019</v>
      </c>
      <c r="Q423" s="689">
        <f t="shared" si="227"/>
        <v>7.0114253133949029</v>
      </c>
      <c r="R423" s="690">
        <f t="shared" si="228"/>
        <v>1.4276839559970782</v>
      </c>
      <c r="S423" s="677">
        <f t="shared" si="206"/>
        <v>1.0149384479259429</v>
      </c>
      <c r="T423" s="680">
        <f t="shared" si="207"/>
        <v>0.17178372286594434</v>
      </c>
      <c r="U423" s="681">
        <f t="shared" si="219"/>
        <v>0.72810953166263548</v>
      </c>
      <c r="V423" s="682">
        <f t="shared" si="220"/>
        <v>-0.97537310684038403</v>
      </c>
      <c r="W423" s="683">
        <f t="shared" si="208"/>
        <v>-14.461280098394946</v>
      </c>
      <c r="X423" s="684">
        <f t="shared" si="209"/>
        <v>-176.00655268033526</v>
      </c>
      <c r="Y423" s="687">
        <f t="shared" si="210"/>
        <v>3.9934473196647389</v>
      </c>
      <c r="AA423" s="170">
        <f t="shared" si="211"/>
        <v>41212.5</v>
      </c>
      <c r="AB423" s="170">
        <f t="shared" si="212"/>
        <v>1698470156.25</v>
      </c>
      <c r="AD423" s="686">
        <f t="shared" si="213"/>
        <v>12.044980770013753</v>
      </c>
      <c r="AE423" s="687">
        <f t="shared" si="214"/>
        <v>-18.042032784746379</v>
      </c>
      <c r="AG423" s="686">
        <f t="shared" si="215"/>
        <v>20.967202278695463</v>
      </c>
      <c r="AH423" s="687">
        <f t="shared" si="216"/>
        <v>-46.194994822840144</v>
      </c>
      <c r="AJ423" s="170">
        <f t="shared" si="217"/>
        <v>0</v>
      </c>
      <c r="AK423" s="170">
        <f t="shared" si="229"/>
        <v>0</v>
      </c>
      <c r="AM423" s="170" t="str">
        <f t="shared" si="221"/>
        <v>1.05291432297915+0.998599055889629i</v>
      </c>
      <c r="AN423" s="170" t="str">
        <f t="shared" si="222"/>
        <v>1.62373537363234i</v>
      </c>
      <c r="AO423" s="170" t="str">
        <f t="shared" si="223"/>
        <v>0.615001109236005-0.648451921462887i</v>
      </c>
      <c r="AP423" s="170" t="str">
        <f t="shared" si="224"/>
        <v>-0.00881905382985788-0.166433175981605i</v>
      </c>
      <c r="AQ423" s="170" t="str">
        <f t="shared" si="225"/>
        <v>1.00881905382986+0.166433175981605i</v>
      </c>
      <c r="AR423" s="170" t="str">
        <f t="shared" si="226"/>
        <v>0.803839202700268-0.132615964157325i</v>
      </c>
    </row>
    <row r="424" spans="7:44">
      <c r="G424" s="688">
        <v>41449.75</v>
      </c>
      <c r="H424" s="676">
        <f t="shared" si="218"/>
        <v>41.449750000000002</v>
      </c>
      <c r="I424" s="677">
        <f t="shared" si="198"/>
        <v>14.209851274620515</v>
      </c>
      <c r="J424" s="678">
        <f t="shared" si="199"/>
        <v>1.5003643964717468</v>
      </c>
      <c r="K424" s="678">
        <f t="shared" si="200"/>
        <v>1.0013556241343899</v>
      </c>
      <c r="L424" s="679">
        <f t="shared" si="201"/>
        <v>5.2040262743347124E-2</v>
      </c>
      <c r="M424" s="678">
        <f t="shared" si="202"/>
        <v>1.0589317314678555</v>
      </c>
      <c r="N424" s="679">
        <f t="shared" si="203"/>
        <v>-0.3351896525299693</v>
      </c>
      <c r="O424" s="677">
        <f t="shared" si="204"/>
        <v>312523.75186800997</v>
      </c>
      <c r="P424" s="680">
        <f t="shared" si="205"/>
        <v>1.5707931270380973</v>
      </c>
      <c r="Q424" s="689">
        <f t="shared" si="227"/>
        <v>7.0509695756657091</v>
      </c>
      <c r="R424" s="690">
        <f t="shared" si="228"/>
        <v>1.4284920572447275</v>
      </c>
      <c r="S424" s="677">
        <f t="shared" si="206"/>
        <v>1.0151096529307078</v>
      </c>
      <c r="T424" s="680">
        <f t="shared" si="207"/>
        <v>0.17275313465591188</v>
      </c>
      <c r="U424" s="681">
        <f t="shared" si="219"/>
        <v>0.72606362447286665</v>
      </c>
      <c r="V424" s="682">
        <f t="shared" si="220"/>
        <v>-0.97971314538608623</v>
      </c>
      <c r="W424" s="683">
        <f t="shared" si="208"/>
        <v>-14.532303496145602</v>
      </c>
      <c r="X424" s="684">
        <f t="shared" si="209"/>
        <v>-176.37251745444226</v>
      </c>
      <c r="Y424" s="687">
        <f t="shared" si="210"/>
        <v>3.62748254555774</v>
      </c>
      <c r="AA424" s="170">
        <f t="shared" si="211"/>
        <v>41449.75</v>
      </c>
      <c r="AB424" s="170">
        <f t="shared" si="212"/>
        <v>1718081775.0625</v>
      </c>
      <c r="AD424" s="686">
        <f t="shared" si="213"/>
        <v>12.042507176576498</v>
      </c>
      <c r="AE424" s="687">
        <f t="shared" si="214"/>
        <v>-18.051276253422191</v>
      </c>
      <c r="AG424" s="686">
        <f t="shared" si="215"/>
        <v>20.947533959259559</v>
      </c>
      <c r="AH424" s="687">
        <f t="shared" si="216"/>
        <v>-46.054384344517381</v>
      </c>
      <c r="AJ424" s="170">
        <f t="shared" si="217"/>
        <v>0</v>
      </c>
      <c r="AK424" s="170">
        <f t="shared" si="229"/>
        <v>0</v>
      </c>
      <c r="AM424" s="170" t="str">
        <f t="shared" si="221"/>
        <v>1.06224621641997+0.998060824069053i</v>
      </c>
      <c r="AN424" s="170" t="str">
        <f t="shared" si="222"/>
        <v>1.63308280990517i</v>
      </c>
      <c r="AO424" s="170" t="str">
        <f t="shared" si="223"/>
        <v>0.611151386822208-0.650454594204964i</v>
      </c>
      <c r="AP424" s="170" t="str">
        <f t="shared" si="224"/>
        <v>-0.0103743694033286-0.166343470678176i</v>
      </c>
      <c r="AQ424" s="170" t="str">
        <f t="shared" si="225"/>
        <v>1.01037436940333+0.166343470678176i</v>
      </c>
      <c r="AR424" s="170" t="str">
        <f t="shared" si="226"/>
        <v>0.802690095482384-0.13215127026667i</v>
      </c>
    </row>
    <row r="425" spans="7:44">
      <c r="G425" s="688">
        <v>41687</v>
      </c>
      <c r="H425" s="676">
        <f t="shared" si="218"/>
        <v>41.686999999999998</v>
      </c>
      <c r="I425" s="677">
        <f t="shared" si="198"/>
        <v>14.290783929901783</v>
      </c>
      <c r="J425" s="678">
        <f t="shared" si="199"/>
        <v>1.5007639271931994</v>
      </c>
      <c r="K425" s="678">
        <f t="shared" si="200"/>
        <v>1.0013711765295172</v>
      </c>
      <c r="L425" s="679">
        <f t="shared" si="201"/>
        <v>5.2337588589241549E-2</v>
      </c>
      <c r="M425" s="678">
        <f t="shared" si="202"/>
        <v>1.0595892587992652</v>
      </c>
      <c r="N425" s="679">
        <f t="shared" si="203"/>
        <v>-0.33696660003792789</v>
      </c>
      <c r="O425" s="677">
        <f t="shared" si="204"/>
        <v>314312.57472291082</v>
      </c>
      <c r="P425" s="680">
        <f t="shared" si="205"/>
        <v>1.5707931452486257</v>
      </c>
      <c r="Q425" s="689">
        <f t="shared" si="227"/>
        <v>7.090518391053779</v>
      </c>
      <c r="R425" s="690">
        <f t="shared" si="228"/>
        <v>1.4292911443096483</v>
      </c>
      <c r="S425" s="677">
        <f t="shared" si="206"/>
        <v>1.0152818115718758</v>
      </c>
      <c r="T425" s="680">
        <f t="shared" si="207"/>
        <v>0.17372221859516146</v>
      </c>
      <c r="U425" s="681">
        <f t="shared" si="219"/>
        <v>0.72402121949644316</v>
      </c>
      <c r="V425" s="682">
        <f t="shared" si="220"/>
        <v>-0.98404033116536005</v>
      </c>
      <c r="W425" s="683">
        <f t="shared" si="208"/>
        <v>-14.603039564194402</v>
      </c>
      <c r="X425" s="684">
        <f t="shared" si="209"/>
        <v>-176.73785558463447</v>
      </c>
      <c r="Y425" s="687">
        <f t="shared" si="210"/>
        <v>3.2621444153655261</v>
      </c>
      <c r="AA425" s="170">
        <f t="shared" si="211"/>
        <v>41687</v>
      </c>
      <c r="AB425" s="170">
        <f t="shared" si="212"/>
        <v>1737805969</v>
      </c>
      <c r="AD425" s="686">
        <f t="shared" si="213"/>
        <v>12.040042613765308</v>
      </c>
      <c r="AE425" s="687">
        <f t="shared" si="214"/>
        <v>-18.061017400249195</v>
      </c>
      <c r="AG425" s="686">
        <f t="shared" si="215"/>
        <v>20.928197841564696</v>
      </c>
      <c r="AH425" s="687">
        <f t="shared" si="216"/>
        <v>-45.914122362673154</v>
      </c>
      <c r="AJ425" s="170">
        <f t="shared" si="217"/>
        <v>0</v>
      </c>
      <c r="AK425" s="170">
        <f t="shared" si="229"/>
        <v>0</v>
      </c>
      <c r="AM425" s="170" t="str">
        <f t="shared" si="221"/>
        <v>1.07157267116433+0.997435387753213i</v>
      </c>
      <c r="AN425" s="170" t="str">
        <f t="shared" si="222"/>
        <v>1.64243024617801i</v>
      </c>
      <c r="AO425" s="170" t="str">
        <f t="shared" si="223"/>
        <v>0.607292388869651-0.652431160262614i</v>
      </c>
      <c r="AP425" s="170" t="str">
        <f t="shared" si="224"/>
        <v>-0.0119287785273887-0.166239231292202i</v>
      </c>
      <c r="AQ425" s="170" t="str">
        <f t="shared" si="225"/>
        <v>1.01192877852739+0.166239231292202i</v>
      </c>
      <c r="AR425" s="170" t="str">
        <f t="shared" si="226"/>
        <v>0.801548449917318-0.131678039981847i</v>
      </c>
    </row>
    <row r="426" spans="7:44">
      <c r="G426" s="688">
        <v>41929.75</v>
      </c>
      <c r="H426" s="676">
        <f t="shared" si="218"/>
        <v>41.929749999999999</v>
      </c>
      <c r="I426" s="677">
        <f t="shared" si="198"/>
        <v>14.373595124250221</v>
      </c>
      <c r="J426" s="678">
        <f t="shared" si="199"/>
        <v>1.5011680629918243</v>
      </c>
      <c r="K426" s="678">
        <f t="shared" si="200"/>
        <v>1.0013871810879476</v>
      </c>
      <c r="L426" s="679">
        <f t="shared" si="201"/>
        <v>5.2641797544545628E-2</v>
      </c>
      <c r="M426" s="678">
        <f t="shared" si="202"/>
        <v>1.0602654877117328</v>
      </c>
      <c r="N426" s="679">
        <f t="shared" si="203"/>
        <v>-0.33878245419068981</v>
      </c>
      <c r="O426" s="677">
        <f t="shared" si="204"/>
        <v>316142.86660079163</v>
      </c>
      <c r="P426" s="680">
        <f t="shared" si="205"/>
        <v>1.5707931636680144</v>
      </c>
      <c r="Q426" s="689">
        <f t="shared" si="227"/>
        <v>7.1309886724845715</v>
      </c>
      <c r="R426" s="690">
        <f t="shared" si="228"/>
        <v>1.4300995813684612</v>
      </c>
      <c r="S426" s="677">
        <f t="shared" si="206"/>
        <v>1.0154589477937743</v>
      </c>
      <c r="T426" s="680">
        <f t="shared" si="207"/>
        <v>0.17471342706285806</v>
      </c>
      <c r="U426" s="681">
        <f t="shared" si="219"/>
        <v>0.72193515592291746</v>
      </c>
      <c r="V426" s="682">
        <f t="shared" si="220"/>
        <v>-0.98845461539148649</v>
      </c>
      <c r="W426" s="683">
        <f t="shared" si="208"/>
        <v>-14.675121078185569</v>
      </c>
      <c r="X426" s="684">
        <f t="shared" si="209"/>
        <v>-177.11101469203393</v>
      </c>
      <c r="Y426" s="687">
        <f t="shared" si="210"/>
        <v>2.8889853079660668</v>
      </c>
      <c r="AA426" s="170">
        <f t="shared" si="211"/>
        <v>41929.75</v>
      </c>
      <c r="AB426" s="170">
        <f t="shared" si="212"/>
        <v>1758103935.0625</v>
      </c>
      <c r="AD426" s="686">
        <f t="shared" si="213"/>
        <v>12.037529880120525</v>
      </c>
      <c r="AE426" s="687">
        <f t="shared" si="214"/>
        <v>-18.071490485959096</v>
      </c>
      <c r="AG426" s="686">
        <f t="shared" si="215"/>
        <v>20.908753202877179</v>
      </c>
      <c r="AH426" s="687">
        <f t="shared" si="216"/>
        <v>-45.770968672328266</v>
      </c>
      <c r="AJ426" s="170">
        <f t="shared" si="217"/>
        <v>0</v>
      </c>
      <c r="AK426" s="170">
        <f t="shared" si="229"/>
        <v>0</v>
      </c>
      <c r="AM426" s="170" t="str">
        <f t="shared" si="221"/>
        <v>1.08110885531496+0.996705249103012i</v>
      </c>
      <c r="AN426" s="170" t="str">
        <f t="shared" si="222"/>
        <v>1.65199437749616i</v>
      </c>
      <c r="AO426" s="170" t="str">
        <f t="shared" si="223"/>
        <v>0.603334528664477-0.654426473868234i</v>
      </c>
      <c r="AP426" s="170" t="str">
        <f t="shared" si="224"/>
        <v>-0.0135181425524926-0.166117541517169i</v>
      </c>
      <c r="AQ426" s="170" t="str">
        <f t="shared" si="225"/>
        <v>1.01351814255249+0.166117541517169i</v>
      </c>
      <c r="AR426" s="170" t="str">
        <f t="shared" si="226"/>
        <v>0.800388089668523-0.131185122528256i</v>
      </c>
    </row>
    <row r="427" spans="7:44">
      <c r="G427" s="688">
        <v>42172.5</v>
      </c>
      <c r="H427" s="676">
        <f t="shared" si="218"/>
        <v>42.172499999999999</v>
      </c>
      <c r="I427" s="677">
        <f t="shared" si="198"/>
        <v>14.456408639281104</v>
      </c>
      <c r="J427" s="678">
        <f t="shared" si="199"/>
        <v>1.5015675686724543</v>
      </c>
      <c r="K427" s="678">
        <f t="shared" si="200"/>
        <v>1.001403278314873</v>
      </c>
      <c r="L427" s="679">
        <f t="shared" si="201"/>
        <v>5.2945996747883556E-2</v>
      </c>
      <c r="M427" s="678">
        <f t="shared" si="202"/>
        <v>1.0609452082021249</v>
      </c>
      <c r="N427" s="679">
        <f t="shared" si="203"/>
        <v>-0.34059598757416393</v>
      </c>
      <c r="O427" s="677">
        <f t="shared" si="204"/>
        <v>317973.15847867256</v>
      </c>
      <c r="P427" s="680">
        <f t="shared" si="205"/>
        <v>1.5707931818753544</v>
      </c>
      <c r="Q427" s="689">
        <f t="shared" si="227"/>
        <v>7.1714635619154743</v>
      </c>
      <c r="R427" s="690">
        <f t="shared" si="228"/>
        <v>1.4308988934991043</v>
      </c>
      <c r="S427" s="677">
        <f t="shared" si="206"/>
        <v>1.0156370813496454</v>
      </c>
      <c r="T427" s="680">
        <f t="shared" si="207"/>
        <v>0.17570428880579067</v>
      </c>
      <c r="U427" s="681">
        <f t="shared" si="219"/>
        <v>0.71985288716604856</v>
      </c>
      <c r="V427" s="682">
        <f t="shared" si="220"/>
        <v>-0.99285562202172772</v>
      </c>
      <c r="W427" s="683">
        <f t="shared" si="208"/>
        <v>-14.746907864286465</v>
      </c>
      <c r="X427" s="684">
        <f t="shared" si="209"/>
        <v>-177.48351829332501</v>
      </c>
      <c r="Y427" s="687">
        <f t="shared" si="210"/>
        <v>2.5164817066749947</v>
      </c>
      <c r="AA427" s="170">
        <f t="shared" si="211"/>
        <v>42172.5</v>
      </c>
      <c r="AB427" s="170">
        <f t="shared" si="212"/>
        <v>1778519756.25</v>
      </c>
      <c r="AD427" s="686">
        <f t="shared" si="213"/>
        <v>12.035025832680226</v>
      </c>
      <c r="AE427" s="687">
        <f t="shared" si="214"/>
        <v>-18.082466513526938</v>
      </c>
      <c r="AG427" s="686">
        <f t="shared" si="215"/>
        <v>20.889648073277641</v>
      </c>
      <c r="AH427" s="687">
        <f t="shared" si="216"/>
        <v>-45.628178034431436</v>
      </c>
      <c r="AJ427" s="170">
        <f t="shared" si="217"/>
        <v>0</v>
      </c>
      <c r="AK427" s="170">
        <f t="shared" si="229"/>
        <v>0</v>
      </c>
      <c r="AM427" s="170" t="str">
        <f t="shared" si="221"/>
        <v>1.09063762028362+0.995883939919368i</v>
      </c>
      <c r="AN427" s="170" t="str">
        <f t="shared" si="222"/>
        <v>1.66155850881431i</v>
      </c>
      <c r="AO427" s="170" t="str">
        <f t="shared" si="223"/>
        <v>0.599367361809023-0.656394351747445i</v>
      </c>
      <c r="AP427" s="170" t="str">
        <f t="shared" si="224"/>
        <v>-0.0151062700472694-0.165980656653228i</v>
      </c>
      <c r="AQ427" s="170" t="str">
        <f t="shared" si="225"/>
        <v>1.01510627004727+0.165980656653228i</v>
      </c>
      <c r="AR427" s="170" t="str">
        <f t="shared" si="226"/>
        <v>0.799235596645057-0.130683508777464i</v>
      </c>
    </row>
    <row r="428" spans="7:44">
      <c r="G428" s="688">
        <v>42415.25</v>
      </c>
      <c r="H428" s="676">
        <f t="shared" si="218"/>
        <v>42.41525</v>
      </c>
      <c r="I428" s="677">
        <f t="shared" si="198"/>
        <v>14.539224435339531</v>
      </c>
      <c r="J428" s="678">
        <f t="shared" si="199"/>
        <v>1.501962523226275</v>
      </c>
      <c r="K428" s="678">
        <f t="shared" si="200"/>
        <v>1.0014194682058251</v>
      </c>
      <c r="L428" s="679">
        <f t="shared" si="201"/>
        <v>5.325018614342749E-2</v>
      </c>
      <c r="M428" s="678">
        <f t="shared" si="202"/>
        <v>1.0616284135638665</v>
      </c>
      <c r="N428" s="679">
        <f t="shared" si="203"/>
        <v>-0.34240719272847142</v>
      </c>
      <c r="O428" s="677">
        <f t="shared" si="204"/>
        <v>319803.45035655354</v>
      </c>
      <c r="P428" s="680">
        <f t="shared" si="205"/>
        <v>1.5707931998742868</v>
      </c>
      <c r="Q428" s="689">
        <f t="shared" si="227"/>
        <v>7.2119429817633911</v>
      </c>
      <c r="R428" s="690">
        <f t="shared" si="228"/>
        <v>1.4316892333215709</v>
      </c>
      <c r="S428" s="677">
        <f t="shared" si="206"/>
        <v>1.0158162117148106</v>
      </c>
      <c r="T428" s="680">
        <f t="shared" si="207"/>
        <v>0.17669480206120833</v>
      </c>
      <c r="U428" s="681">
        <f t="shared" si="219"/>
        <v>0.71777447538507189</v>
      </c>
      <c r="V428" s="682">
        <f t="shared" si="220"/>
        <v>-0.9972434415334781</v>
      </c>
      <c r="W428" s="683">
        <f t="shared" si="208"/>
        <v>-14.818402916155261</v>
      </c>
      <c r="X428" s="684">
        <f t="shared" si="209"/>
        <v>-177.85536682885026</v>
      </c>
      <c r="Y428" s="687">
        <f t="shared" si="210"/>
        <v>2.1446331711497351</v>
      </c>
      <c r="AA428" s="170">
        <f t="shared" si="211"/>
        <v>42415.25</v>
      </c>
      <c r="AB428" s="170">
        <f t="shared" si="212"/>
        <v>1799053432.5625</v>
      </c>
      <c r="AD428" s="686">
        <f t="shared" si="213"/>
        <v>12.032530099596173</v>
      </c>
      <c r="AE428" s="687">
        <f t="shared" si="214"/>
        <v>-18.093936637681633</v>
      </c>
      <c r="AG428" s="686">
        <f t="shared" si="215"/>
        <v>20.870878371429296</v>
      </c>
      <c r="AH428" s="687">
        <f t="shared" si="216"/>
        <v>-45.485749366650488</v>
      </c>
      <c r="AJ428" s="170">
        <f t="shared" si="217"/>
        <v>0</v>
      </c>
      <c r="AK428" s="170">
        <f t="shared" si="229"/>
        <v>0</v>
      </c>
      <c r="AM428" s="170" t="str">
        <f t="shared" si="221"/>
        <v>1.10015809445598+0.994971535329i</v>
      </c>
      <c r="AN428" s="170" t="str">
        <f t="shared" si="222"/>
        <v>1.67112264013246i</v>
      </c>
      <c r="AO428" s="170" t="str">
        <f t="shared" si="223"/>
        <v>0.59539109304996-0.658334743384709i</v>
      </c>
      <c r="AP428" s="170" t="str">
        <f t="shared" si="224"/>
        <v>-0.0166930157426628-0.1658285892215i</v>
      </c>
      <c r="AQ428" s="170" t="str">
        <f t="shared" si="225"/>
        <v>1.01669301574266+0.1658285892215i</v>
      </c>
      <c r="AR428" s="170" t="str">
        <f t="shared" si="226"/>
        <v>0.798090996621672-0.130173318780476i</v>
      </c>
    </row>
    <row r="429" spans="7:44">
      <c r="G429" s="688">
        <v>42658</v>
      </c>
      <c r="H429" s="676">
        <f t="shared" si="218"/>
        <v>42.658000000000001</v>
      </c>
      <c r="I429" s="677">
        <f t="shared" si="198"/>
        <v>14.622042473667895</v>
      </c>
      <c r="J429" s="678">
        <f t="shared" si="199"/>
        <v>1.5023530038606263</v>
      </c>
      <c r="K429" s="678">
        <f t="shared" si="200"/>
        <v>1.0014357507563096</v>
      </c>
      <c r="L429" s="679">
        <f t="shared" si="201"/>
        <v>5.3554365675360475E-2</v>
      </c>
      <c r="M429" s="678">
        <f t="shared" si="202"/>
        <v>1.0623150970732946</v>
      </c>
      <c r="N429" s="679">
        <f t="shared" si="203"/>
        <v>-0.34421606227397605</v>
      </c>
      <c r="O429" s="677">
        <f t="shared" si="204"/>
        <v>321633.74223443464</v>
      </c>
      <c r="P429" s="680">
        <f t="shared" si="205"/>
        <v>1.5707932176683694</v>
      </c>
      <c r="Q429" s="689">
        <f t="shared" si="227"/>
        <v>7.2524268561687553</v>
      </c>
      <c r="R429" s="690">
        <f t="shared" si="228"/>
        <v>1.4324707500934952</v>
      </c>
      <c r="S429" s="677">
        <f t="shared" si="206"/>
        <v>1.0159963383620281</v>
      </c>
      <c r="T429" s="680">
        <f t="shared" si="207"/>
        <v>0.17768496507033499</v>
      </c>
      <c r="U429" s="681">
        <f t="shared" si="219"/>
        <v>0.71569998092733522</v>
      </c>
      <c r="V429" s="682">
        <f t="shared" si="220"/>
        <v>-1.0016181646912499</v>
      </c>
      <c r="W429" s="683">
        <f t="shared" si="208"/>
        <v>-14.889609175487228</v>
      </c>
      <c r="X429" s="684">
        <f t="shared" si="209"/>
        <v>-178.22656085066473</v>
      </c>
      <c r="Y429" s="687">
        <f t="shared" si="210"/>
        <v>1.7734391493352746</v>
      </c>
      <c r="AA429" s="170">
        <f t="shared" si="211"/>
        <v>42658</v>
      </c>
      <c r="AB429" s="170">
        <f t="shared" si="212"/>
        <v>1819704964</v>
      </c>
      <c r="AD429" s="686">
        <f t="shared" si="213"/>
        <v>12.030042319656712</v>
      </c>
      <c r="AE429" s="687">
        <f t="shared" si="214"/>
        <v>-18.105892206024112</v>
      </c>
      <c r="AG429" s="686">
        <f t="shared" si="215"/>
        <v>20.852440083398299</v>
      </c>
      <c r="AH429" s="687">
        <f t="shared" si="216"/>
        <v>-45.343681472592742</v>
      </c>
      <c r="AJ429" s="170">
        <f t="shared" si="217"/>
        <v>0</v>
      </c>
      <c r="AK429" s="170">
        <f t="shared" si="229"/>
        <v>0</v>
      </c>
      <c r="AM429" s="170" t="str">
        <f t="shared" si="221"/>
        <v>1.10966940697608+0.9939681187913i</v>
      </c>
      <c r="AN429" s="170" t="str">
        <f t="shared" si="222"/>
        <v>1.68068677145061i</v>
      </c>
      <c r="AO429" s="170" t="str">
        <f t="shared" si="223"/>
        <v>0.591405927431321-0.660247599865571i</v>
      </c>
      <c r="AP429" s="170" t="str">
        <f t="shared" si="224"/>
        <v>-0.0182782344960125-0.165661353131883i</v>
      </c>
      <c r="AQ429" s="170" t="str">
        <f t="shared" si="225"/>
        <v>1.01827823449601+0.165661353131883i</v>
      </c>
      <c r="AR429" s="170" t="str">
        <f t="shared" si="226"/>
        <v>0.796954313844077-0.129654671526045i</v>
      </c>
    </row>
    <row r="430" spans="7:44">
      <c r="G430" s="688">
        <v>42906.5</v>
      </c>
      <c r="H430" s="676">
        <f t="shared" si="218"/>
        <v>42.906500000000001</v>
      </c>
      <c r="I430" s="677">
        <f t="shared" si="198"/>
        <v>14.706824499323581</v>
      </c>
      <c r="J430" s="678">
        <f t="shared" si="199"/>
        <v>1.5027481784272136</v>
      </c>
      <c r="K430" s="678">
        <f t="shared" si="200"/>
        <v>1.0014525149633127</v>
      </c>
      <c r="L430" s="679">
        <f t="shared" si="201"/>
        <v>5.3865740008648272E-2</v>
      </c>
      <c r="M430" s="678">
        <f t="shared" si="202"/>
        <v>1.0630216416668126</v>
      </c>
      <c r="N430" s="679">
        <f t="shared" si="203"/>
        <v>-0.34606535149978496</v>
      </c>
      <c r="O430" s="677">
        <f t="shared" si="204"/>
        <v>323507.38809088565</v>
      </c>
      <c r="P430" s="680">
        <f t="shared" si="205"/>
        <v>1.5707932356753833</v>
      </c>
      <c r="Q430" s="689">
        <f t="shared" si="227"/>
        <v>7.2938742055394874</v>
      </c>
      <c r="R430" s="690">
        <f t="shared" si="228"/>
        <v>1.4332617919679786</v>
      </c>
      <c r="S430" s="677">
        <f t="shared" si="206"/>
        <v>1.0161817630615579</v>
      </c>
      <c r="T430" s="680">
        <f t="shared" si="207"/>
        <v>0.17869821737125521</v>
      </c>
      <c r="U430" s="681">
        <f t="shared" si="219"/>
        <v>0.71358046681779275</v>
      </c>
      <c r="V430" s="682">
        <f t="shared" si="220"/>
        <v>-1.0060830412635313</v>
      </c>
      <c r="W430" s="683">
        <f t="shared" si="208"/>
        <v>-14.962205975437644</v>
      </c>
      <c r="X430" s="684">
        <f t="shared" si="209"/>
        <v>-178.60587005348941</v>
      </c>
      <c r="Y430" s="687">
        <f t="shared" si="210"/>
        <v>1.3941299465105885</v>
      </c>
      <c r="AA430" s="170">
        <f t="shared" si="211"/>
        <v>42906.5</v>
      </c>
      <c r="AB430" s="170">
        <f t="shared" si="212"/>
        <v>1840967742.25</v>
      </c>
      <c r="AD430" s="686">
        <f t="shared" si="213"/>
        <v>12.027503483523974</v>
      </c>
      <c r="AE430" s="687">
        <f t="shared" si="214"/>
        <v>-18.118624957363195</v>
      </c>
      <c r="AG430" s="686">
        <f t="shared" si="215"/>
        <v>20.833904210058215</v>
      </c>
      <c r="AH430" s="687">
        <f t="shared" si="216"/>
        <v>-45.19862075621657</v>
      </c>
      <c r="AJ430" s="170">
        <f t="shared" si="217"/>
        <v>0</v>
      </c>
      <c r="AK430" s="170">
        <f t="shared" si="229"/>
        <v>0</v>
      </c>
      <c r="AM430" s="170" t="str">
        <f t="shared" si="221"/>
        <v>1.11939561517833+0.992846759110482i</v>
      </c>
      <c r="AN430" s="170" t="str">
        <f t="shared" si="222"/>
        <v>1.69047744758886i</v>
      </c>
      <c r="AO430" s="170" t="str">
        <f t="shared" si="223"/>
        <v>0.587317364408846-0.662177195427796i</v>
      </c>
      <c r="AP430" s="170" t="str">
        <f t="shared" si="224"/>
        <v>-0.0198992691963887-0.165474459851747i</v>
      </c>
      <c r="AQ430" s="170" t="str">
        <f t="shared" si="225"/>
        <v>1.01989926919639+0.165474459851747i</v>
      </c>
      <c r="AR430" s="170" t="str">
        <f t="shared" si="226"/>
        <v>0.795798931066641-0.129115102094943i</v>
      </c>
    </row>
    <row r="431" spans="7:44">
      <c r="G431" s="688">
        <v>43155</v>
      </c>
      <c r="H431" s="676">
        <f t="shared" si="218"/>
        <v>43.155000000000001</v>
      </c>
      <c r="I431" s="677">
        <f t="shared" si="198"/>
        <v>14.791608795312142</v>
      </c>
      <c r="J431" s="678">
        <f t="shared" si="199"/>
        <v>1.5031388228374118</v>
      </c>
      <c r="K431" s="678">
        <f t="shared" si="200"/>
        <v>1.0014693762618621</v>
      </c>
      <c r="L431" s="679">
        <f t="shared" si="201"/>
        <v>5.4177103887178335E-2</v>
      </c>
      <c r="M431" s="678">
        <f t="shared" si="202"/>
        <v>1.0637318168202305</v>
      </c>
      <c r="N431" s="679">
        <f t="shared" si="203"/>
        <v>-0.34791217776688266</v>
      </c>
      <c r="O431" s="677">
        <f t="shared" si="204"/>
        <v>325381.03394733672</v>
      </c>
      <c r="P431" s="680">
        <f t="shared" si="205"/>
        <v>1.5707932534750173</v>
      </c>
      <c r="Q431" s="689">
        <f t="shared" si="227"/>
        <v>7.3353260674522653</v>
      </c>
      <c r="R431" s="690">
        <f t="shared" si="228"/>
        <v>1.4340438939861651</v>
      </c>
      <c r="S431" s="677">
        <f t="shared" si="206"/>
        <v>1.0163682306735109</v>
      </c>
      <c r="T431" s="680">
        <f t="shared" si="207"/>
        <v>0.17971109891986564</v>
      </c>
      <c r="U431" s="681">
        <f t="shared" si="219"/>
        <v>0.71146518008590676</v>
      </c>
      <c r="V431" s="682">
        <f t="shared" si="220"/>
        <v>-1.0105343870402788</v>
      </c>
      <c r="W431" s="683">
        <f t="shared" si="208"/>
        <v>-15.034506217436723</v>
      </c>
      <c r="X431" s="684">
        <f t="shared" si="209"/>
        <v>-178.98449488347904</v>
      </c>
      <c r="Y431" s="687">
        <f t="shared" si="210"/>
        <v>1.0155051165209557</v>
      </c>
      <c r="AA431" s="170">
        <f t="shared" si="211"/>
        <v>43155</v>
      </c>
      <c r="AB431" s="170">
        <f t="shared" si="212"/>
        <v>1862354025</v>
      </c>
      <c r="AD431" s="686">
        <f t="shared" si="213"/>
        <v>12.024972248398774</v>
      </c>
      <c r="AE431" s="687">
        <f t="shared" si="214"/>
        <v>-18.131848670313513</v>
      </c>
      <c r="AG431" s="686">
        <f t="shared" si="215"/>
        <v>20.81570733531931</v>
      </c>
      <c r="AH431" s="687">
        <f t="shared" si="216"/>
        <v>-45.053935220350965</v>
      </c>
      <c r="AJ431" s="170">
        <f t="shared" si="217"/>
        <v>0</v>
      </c>
      <c r="AK431" s="170">
        <f t="shared" si="229"/>
        <v>0</v>
      </c>
      <c r="AM431" s="170" t="str">
        <f t="shared" si="221"/>
        <v>1.12911037852602+0.991630228541298i</v>
      </c>
      <c r="AN431" s="170" t="str">
        <f t="shared" si="222"/>
        <v>1.70026812372711i</v>
      </c>
      <c r="AO431" s="170" t="str">
        <f t="shared" si="223"/>
        <v>0.583219913790757-0.664077837353634i</v>
      </c>
      <c r="AP431" s="170" t="str">
        <f t="shared" si="224"/>
        <v>-0.021518396421004-0.165271704756883i</v>
      </c>
      <c r="AQ431" s="170" t="str">
        <f t="shared" si="225"/>
        <v>1.021518396421+0.165271704756883i</v>
      </c>
      <c r="AR431" s="170" t="str">
        <f t="shared" si="226"/>
        <v>0.794651891714721-0.128566918904363i</v>
      </c>
    </row>
    <row r="432" spans="7:44">
      <c r="G432" s="688">
        <v>43403.5</v>
      </c>
      <c r="H432" s="676">
        <f t="shared" si="218"/>
        <v>43.403500000000001</v>
      </c>
      <c r="I432" s="677">
        <f t="shared" si="198"/>
        <v>14.876395322815991</v>
      </c>
      <c r="J432" s="678">
        <f t="shared" si="199"/>
        <v>1.5035250144284824</v>
      </c>
      <c r="K432" s="678">
        <f t="shared" si="200"/>
        <v>1.0014863346470542</v>
      </c>
      <c r="L432" s="679">
        <f t="shared" si="201"/>
        <v>5.4488457251108367E-2</v>
      </c>
      <c r="M432" s="678">
        <f t="shared" si="202"/>
        <v>1.0644456152668549</v>
      </c>
      <c r="N432" s="679">
        <f t="shared" si="203"/>
        <v>-0.34975653341942342</v>
      </c>
      <c r="O432" s="677">
        <f t="shared" si="204"/>
        <v>327254.67980378796</v>
      </c>
      <c r="P432" s="680">
        <f t="shared" si="205"/>
        <v>1.570793271070833</v>
      </c>
      <c r="Q432" s="689">
        <f t="shared" si="227"/>
        <v>7.3767823658360063</v>
      </c>
      <c r="R432" s="690">
        <f t="shared" si="228"/>
        <v>1.4348172059046473</v>
      </c>
      <c r="S432" s="677">
        <f t="shared" si="206"/>
        <v>1.0165557406239798</v>
      </c>
      <c r="T432" s="680">
        <f t="shared" si="207"/>
        <v>0.18072360784247346</v>
      </c>
      <c r="U432" s="681">
        <f t="shared" si="219"/>
        <v>0.70935417974673232</v>
      </c>
      <c r="V432" s="682">
        <f t="shared" si="220"/>
        <v>-1.0149723002125517</v>
      </c>
      <c r="W432" s="683">
        <f t="shared" si="208"/>
        <v>-15.106512897353653</v>
      </c>
      <c r="X432" s="684">
        <f t="shared" si="209"/>
        <v>-179.36243627487525</v>
      </c>
      <c r="Y432" s="687">
        <f t="shared" si="210"/>
        <v>0.63756372512474968</v>
      </c>
      <c r="AA432" s="170">
        <f t="shared" si="211"/>
        <v>43403.5</v>
      </c>
      <c r="AB432" s="170">
        <f t="shared" si="212"/>
        <v>1883863812.25</v>
      </c>
      <c r="AD432" s="686">
        <f t="shared" si="213"/>
        <v>12.022448259176706</v>
      </c>
      <c r="AE432" s="687">
        <f t="shared" si="214"/>
        <v>-18.14555465730372</v>
      </c>
      <c r="AG432" s="686">
        <f t="shared" si="215"/>
        <v>20.797845364280988</v>
      </c>
      <c r="AH432" s="687">
        <f t="shared" si="216"/>
        <v>-44.909623234942387</v>
      </c>
      <c r="AJ432" s="170">
        <f t="shared" si="217"/>
        <v>0</v>
      </c>
      <c r="AK432" s="170">
        <f t="shared" si="229"/>
        <v>0</v>
      </c>
      <c r="AM432" s="170" t="str">
        <f t="shared" si="221"/>
        <v>1.13881276579522+0.9903186436962i</v>
      </c>
      <c r="AN432" s="170" t="str">
        <f t="shared" si="222"/>
        <v>1.71005879986536i</v>
      </c>
      <c r="AO432" s="170" t="str">
        <f t="shared" si="223"/>
        <v>0.579113796422773-0.665949478395061i</v>
      </c>
      <c r="AP432" s="170" t="str">
        <f t="shared" si="224"/>
        <v>-0.0231354609658707-0.1650531072827i</v>
      </c>
      <c r="AQ432" s="170" t="str">
        <f t="shared" si="225"/>
        <v>1.02313546096587+0.1650531072827i</v>
      </c>
      <c r="AR432" s="170" t="str">
        <f t="shared" si="226"/>
        <v>0.793513217059032-0.128010246093751i</v>
      </c>
    </row>
    <row r="433" spans="7:44">
      <c r="G433" s="688">
        <v>43652</v>
      </c>
      <c r="H433" s="676">
        <f t="shared" si="218"/>
        <v>43.652000000000001</v>
      </c>
      <c r="I433" s="677">
        <f t="shared" si="198"/>
        <v>14.961184043896472</v>
      </c>
      <c r="J433" s="678">
        <f t="shared" si="199"/>
        <v>1.5039068287899122</v>
      </c>
      <c r="K433" s="678">
        <f t="shared" si="200"/>
        <v>1.0015033901139565</v>
      </c>
      <c r="L433" s="679">
        <f t="shared" si="201"/>
        <v>5.4799800040608283E-2</v>
      </c>
      <c r="M433" s="678">
        <f t="shared" si="202"/>
        <v>1.0651630297224457</v>
      </c>
      <c r="N433" s="679">
        <f t="shared" si="203"/>
        <v>-0.35159841088926391</v>
      </c>
      <c r="O433" s="677">
        <f t="shared" si="204"/>
        <v>329128.32566023921</v>
      </c>
      <c r="P433" s="680">
        <f t="shared" si="205"/>
        <v>1.5707932884663116</v>
      </c>
      <c r="Q433" s="689">
        <f t="shared" si="227"/>
        <v>7.4182430263120489</v>
      </c>
      <c r="R433" s="690">
        <f t="shared" si="228"/>
        <v>1.4355818741746442</v>
      </c>
      <c r="S433" s="677">
        <f t="shared" si="206"/>
        <v>1.0167442923362746</v>
      </c>
      <c r="T433" s="680">
        <f t="shared" si="207"/>
        <v>0.18173574226982034</v>
      </c>
      <c r="U433" s="681">
        <f t="shared" si="219"/>
        <v>0.70724752294480564</v>
      </c>
      <c r="V433" s="682">
        <f t="shared" si="220"/>
        <v>-1.0193968792124641</v>
      </c>
      <c r="W433" s="683">
        <f t="shared" si="208"/>
        <v>-15.178228960145649</v>
      </c>
      <c r="X433" s="684">
        <f t="shared" si="209"/>
        <v>-179.73969527024883</v>
      </c>
      <c r="Y433" s="687">
        <f t="shared" si="210"/>
        <v>0.26030472975116936</v>
      </c>
      <c r="AA433" s="170">
        <f t="shared" si="211"/>
        <v>43652</v>
      </c>
      <c r="AB433" s="170">
        <f t="shared" si="212"/>
        <v>1905497104</v>
      </c>
      <c r="AD433" s="686">
        <f t="shared" si="213"/>
        <v>12.019931170962611</v>
      </c>
      <c r="AE433" s="687">
        <f t="shared" si="214"/>
        <v>-18.1597344203959</v>
      </c>
      <c r="AG433" s="686">
        <f t="shared" si="215"/>
        <v>20.780314270494245</v>
      </c>
      <c r="AH433" s="687">
        <f t="shared" si="216"/>
        <v>-44.765683061010037</v>
      </c>
      <c r="AJ433" s="170">
        <f t="shared" si="217"/>
        <v>0</v>
      </c>
      <c r="AK433" s="170">
        <f t="shared" si="229"/>
        <v>0</v>
      </c>
      <c r="AM433" s="170" t="str">
        <f t="shared" si="221"/>
        <v>1.14850184694833+0.988912130299216i</v>
      </c>
      <c r="AN433" s="170" t="str">
        <f t="shared" si="222"/>
        <v>1.71984947600361i</v>
      </c>
      <c r="AO433" s="170" t="str">
        <f t="shared" si="223"/>
        <v>0.574999233419623-0.667792073069724i</v>
      </c>
      <c r="AP433" s="170" t="str">
        <f t="shared" si="224"/>
        <v>-0.0247503078247222-0.164818688383203i</v>
      </c>
      <c r="AQ433" s="170" t="str">
        <f t="shared" si="225"/>
        <v>1.02475030782472+0.164818688383203i</v>
      </c>
      <c r="AR433" s="170" t="str">
        <f t="shared" si="226"/>
        <v>0.792382926851733-0.127445206606647i</v>
      </c>
    </row>
    <row r="434" spans="7:44">
      <c r="G434" s="688">
        <v>43906</v>
      </c>
      <c r="H434" s="676">
        <f t="shared" si="218"/>
        <v>43.905999999999999</v>
      </c>
      <c r="I434" s="677">
        <f t="shared" si="198"/>
        <v>15.04785160484616</v>
      </c>
      <c r="J434" s="678">
        <f t="shared" si="199"/>
        <v>1.5042926470645017</v>
      </c>
      <c r="K434" s="678">
        <f t="shared" si="200"/>
        <v>1.0015209233894016</v>
      </c>
      <c r="L434" s="679">
        <f t="shared" si="201"/>
        <v>5.5118022726440265E-2</v>
      </c>
      <c r="M434" s="678">
        <f t="shared" si="202"/>
        <v>1.0659000519081749</v>
      </c>
      <c r="N434" s="679">
        <f t="shared" si="203"/>
        <v>-0.35347848540821297</v>
      </c>
      <c r="O434" s="677">
        <f t="shared" si="204"/>
        <v>331043.44053967041</v>
      </c>
      <c r="P434" s="680">
        <f t="shared" si="205"/>
        <v>1.5707933060433048</v>
      </c>
      <c r="Q434" s="689">
        <f t="shared" si="227"/>
        <v>7.4606257594288792</v>
      </c>
      <c r="R434" s="690">
        <f t="shared" si="228"/>
        <v>1.436354683064639</v>
      </c>
      <c r="S434" s="677">
        <f t="shared" si="206"/>
        <v>1.0169380932246606</v>
      </c>
      <c r="T434" s="680">
        <f t="shared" si="207"/>
        <v>0.18276988910146927</v>
      </c>
      <c r="U434" s="681">
        <f t="shared" si="219"/>
        <v>0.70509878630352785</v>
      </c>
      <c r="V434" s="682">
        <f t="shared" si="220"/>
        <v>-1.0239057091064969</v>
      </c>
      <c r="W434" s="683">
        <f t="shared" si="208"/>
        <v>-15.251234977532391</v>
      </c>
      <c r="X434" s="684">
        <f t="shared" si="209"/>
        <v>-180.12460003938546</v>
      </c>
      <c r="Y434" s="687">
        <f t="shared" si="210"/>
        <v>-0.12460003938545583</v>
      </c>
      <c r="AA434" s="170">
        <f t="shared" si="211"/>
        <v>43906</v>
      </c>
      <c r="AB434" s="170">
        <f t="shared" si="212"/>
        <v>1927736836</v>
      </c>
      <c r="AD434" s="686">
        <f t="shared" si="213"/>
        <v>12.017365155626097</v>
      </c>
      <c r="AE434" s="687">
        <f t="shared" si="214"/>
        <v>-18.174708988583962</v>
      </c>
      <c r="AG434" s="686">
        <f t="shared" si="215"/>
        <v>20.762732986182399</v>
      </c>
      <c r="AH434" s="687">
        <f t="shared" si="216"/>
        <v>-44.618939414427238</v>
      </c>
      <c r="AJ434" s="170">
        <f t="shared" si="217"/>
        <v>0</v>
      </c>
      <c r="AK434" s="170">
        <f t="shared" si="229"/>
        <v>0</v>
      </c>
      <c r="AM434" s="170" t="str">
        <f t="shared" si="221"/>
        <v>1.15839065654089+0.987376523885668i</v>
      </c>
      <c r="AN434" s="170" t="str">
        <f t="shared" si="222"/>
        <v>1.72985684718717i</v>
      </c>
      <c r="AO434" s="170" t="str">
        <f t="shared" si="223"/>
        <v>0.570785105999487-0.669645386220535i</v>
      </c>
      <c r="AP434" s="170" t="str">
        <f t="shared" si="224"/>
        <v>-0.0263984427568153-0.164562753980945i</v>
      </c>
      <c r="AQ434" s="170" t="str">
        <f t="shared" si="225"/>
        <v>1.02639844275682+0.164562753980945i</v>
      </c>
      <c r="AR434" s="170" t="str">
        <f t="shared" si="226"/>
        <v>0.791236304034875-0.126859141457732i</v>
      </c>
    </row>
    <row r="435" spans="7:44">
      <c r="G435" s="688">
        <v>44160</v>
      </c>
      <c r="H435" s="676">
        <f t="shared" si="218"/>
        <v>44.16</v>
      </c>
      <c r="I435" s="677">
        <f t="shared" si="198"/>
        <v>15.134521380100589</v>
      </c>
      <c r="J435" s="678">
        <f t="shared" si="199"/>
        <v>1.5046740465197868</v>
      </c>
      <c r="K435" s="678">
        <f t="shared" si="200"/>
        <v>1.0015385580809848</v>
      </c>
      <c r="L435" s="679">
        <f t="shared" si="201"/>
        <v>5.5436234238218869E-2</v>
      </c>
      <c r="M435" s="678">
        <f t="shared" si="202"/>
        <v>1.0666408364952904</v>
      </c>
      <c r="N435" s="679">
        <f t="shared" si="203"/>
        <v>-0.35535595512334306</v>
      </c>
      <c r="O435" s="677">
        <f t="shared" si="204"/>
        <v>332958.55541910179</v>
      </c>
      <c r="P435" s="680">
        <f t="shared" si="205"/>
        <v>1.5707933234180986</v>
      </c>
      <c r="Q435" s="689">
        <f t="shared" si="227"/>
        <v>7.5030128979416162</v>
      </c>
      <c r="R435" s="690">
        <f t="shared" si="228"/>
        <v>1.4371187606723994</v>
      </c>
      <c r="S435" s="677">
        <f t="shared" si="206"/>
        <v>1.0171329812722003</v>
      </c>
      <c r="T435" s="680">
        <f t="shared" si="207"/>
        <v>0.18380364074233962</v>
      </c>
      <c r="U435" s="681">
        <f t="shared" si="219"/>
        <v>0.70295470247067415</v>
      </c>
      <c r="V435" s="682">
        <f t="shared" si="220"/>
        <v>-1.0284008166976102</v>
      </c>
      <c r="W435" s="683">
        <f t="shared" si="208"/>
        <v>-15.323943436077911</v>
      </c>
      <c r="X435" s="684">
        <f t="shared" si="209"/>
        <v>-180.50879440601594</v>
      </c>
      <c r="Y435" s="687">
        <f t="shared" si="210"/>
        <v>-0.50879440601593728</v>
      </c>
      <c r="AA435" s="170">
        <f t="shared" si="211"/>
        <v>44160</v>
      </c>
      <c r="AB435" s="170">
        <f t="shared" si="212"/>
        <v>1950105600</v>
      </c>
      <c r="AD435" s="686">
        <f t="shared" si="213"/>
        <v>12.014805652716136</v>
      </c>
      <c r="AE435" s="687">
        <f t="shared" si="214"/>
        <v>-18.190161168045442</v>
      </c>
      <c r="AG435" s="686">
        <f t="shared" si="215"/>
        <v>20.745489094422247</v>
      </c>
      <c r="AH435" s="687">
        <f t="shared" si="216"/>
        <v>-44.472580214151606</v>
      </c>
      <c r="AJ435" s="170">
        <f t="shared" si="217"/>
        <v>0</v>
      </c>
      <c r="AK435" s="170">
        <f t="shared" si="229"/>
        <v>0</v>
      </c>
      <c r="AM435" s="170" t="str">
        <f t="shared" si="221"/>
        <v>1.16826360384105+0.985742035028649i</v>
      </c>
      <c r="AN435" s="170" t="str">
        <f t="shared" si="222"/>
        <v>1.73986421837074i</v>
      </c>
      <c r="AO435" s="170" t="str">
        <f t="shared" si="223"/>
        <v>0.566562622887737-0.671468262583759i</v>
      </c>
      <c r="AP435" s="170" t="str">
        <f t="shared" si="224"/>
        <v>-0.0280439339735085-0.164290339171442i</v>
      </c>
      <c r="AQ435" s="170" t="str">
        <f t="shared" si="225"/>
        <v>1.02804393397351+0.164290339171442i</v>
      </c>
      <c r="AR435" s="170" t="str">
        <f t="shared" si="226"/>
        <v>0.790098477959666-0.126264591067738i</v>
      </c>
    </row>
    <row r="436" spans="7:44">
      <c r="G436" s="688">
        <v>44414</v>
      </c>
      <c r="H436" s="676">
        <f t="shared" si="218"/>
        <v>44.414000000000001</v>
      </c>
      <c r="I436" s="677">
        <f t="shared" si="198"/>
        <v>15.22119333183487</v>
      </c>
      <c r="J436" s="678">
        <f t="shared" si="199"/>
        <v>1.505051102528276</v>
      </c>
      <c r="K436" s="678">
        <f t="shared" si="200"/>
        <v>1.0015562941833491</v>
      </c>
      <c r="L436" s="679">
        <f t="shared" si="201"/>
        <v>5.5754434512092776E-2</v>
      </c>
      <c r="M436" s="678">
        <f t="shared" si="202"/>
        <v>1.0673853756502698</v>
      </c>
      <c r="N436" s="679">
        <f t="shared" si="203"/>
        <v>-0.35723081223605585</v>
      </c>
      <c r="O436" s="677">
        <f t="shared" si="204"/>
        <v>334873.67029853316</v>
      </c>
      <c r="P436" s="680">
        <f t="shared" si="205"/>
        <v>1.5707933405941628</v>
      </c>
      <c r="Q436" s="689">
        <f t="shared" si="227"/>
        <v>7.5454043676068725</v>
      </c>
      <c r="R436" s="690">
        <f t="shared" si="228"/>
        <v>1.4378742532600117</v>
      </c>
      <c r="S436" s="677">
        <f t="shared" si="206"/>
        <v>1.0173289558540974</v>
      </c>
      <c r="T436" s="680">
        <f t="shared" si="207"/>
        <v>0.18483699521076533</v>
      </c>
      <c r="U436" s="681">
        <f t="shared" si="219"/>
        <v>0.70081532660432178</v>
      </c>
      <c r="V436" s="682">
        <f t="shared" si="220"/>
        <v>-1.032882307766966</v>
      </c>
      <c r="W436" s="683">
        <f t="shared" si="208"/>
        <v>-15.39635732488706</v>
      </c>
      <c r="X436" s="684">
        <f t="shared" si="209"/>
        <v>-180.89227981277006</v>
      </c>
      <c r="Y436" s="687">
        <f t="shared" si="210"/>
        <v>-0.89227981277005597</v>
      </c>
      <c r="AA436" s="170">
        <f t="shared" si="211"/>
        <v>44414</v>
      </c>
      <c r="AB436" s="170">
        <f t="shared" si="212"/>
        <v>1972603396</v>
      </c>
      <c r="AD436" s="686">
        <f t="shared" si="213"/>
        <v>12.012252324847401</v>
      </c>
      <c r="AE436" s="687">
        <f t="shared" si="214"/>
        <v>-18.206082465237795</v>
      </c>
      <c r="AG436" s="686">
        <f t="shared" si="215"/>
        <v>20.728578508681068</v>
      </c>
      <c r="AH436" s="687">
        <f t="shared" si="216"/>
        <v>-44.326603274727276</v>
      </c>
      <c r="AJ436" s="170">
        <f t="shared" si="217"/>
        <v>0</v>
      </c>
      <c r="AK436" s="170">
        <f t="shared" si="229"/>
        <v>0</v>
      </c>
      <c r="AM436" s="170" t="str">
        <f t="shared" si="221"/>
        <v>1.17811970010627+0.984008827416733i</v>
      </c>
      <c r="AN436" s="170" t="str">
        <f t="shared" si="222"/>
        <v>1.7498715895543i</v>
      </c>
      <c r="AO436" s="170" t="str">
        <f t="shared" si="223"/>
        <v>0.562332020984102-0.673260659318632i</v>
      </c>
      <c r="AP436" s="170" t="str">
        <f t="shared" si="224"/>
        <v>-0.0296866166843778-0.164001471236122i</v>
      </c>
      <c r="AQ436" s="170" t="str">
        <f t="shared" si="225"/>
        <v>1.02968661668438+0.164001471236122i</v>
      </c>
      <c r="AR436" s="170" t="str">
        <f t="shared" si="226"/>
        <v>0.788969465054818-0.125661682819587i</v>
      </c>
    </row>
    <row r="437" spans="7:44">
      <c r="G437" s="688">
        <v>44668</v>
      </c>
      <c r="H437" s="676">
        <f t="shared" si="218"/>
        <v>44.667999999999999</v>
      </c>
      <c r="I437" s="677">
        <f t="shared" si="198"/>
        <v>15.307867423079827</v>
      </c>
      <c r="J437" s="678">
        <f t="shared" si="199"/>
        <v>1.5054238887604281</v>
      </c>
      <c r="K437" s="678">
        <f t="shared" si="200"/>
        <v>1.0015741316911073</v>
      </c>
      <c r="L437" s="679">
        <f t="shared" si="201"/>
        <v>5.6072623484224239E-2</v>
      </c>
      <c r="M437" s="678">
        <f t="shared" si="202"/>
        <v>1.0681336615217847</v>
      </c>
      <c r="N437" s="679">
        <f t="shared" si="203"/>
        <v>-0.35910304904290968</v>
      </c>
      <c r="O437" s="677">
        <f t="shared" si="204"/>
        <v>336788.78517796466</v>
      </c>
      <c r="P437" s="680">
        <f t="shared" si="205"/>
        <v>1.5707933575748869</v>
      </c>
      <c r="Q437" s="689">
        <f t="shared" si="227"/>
        <v>7.5878000958328888</v>
      </c>
      <c r="R437" s="690">
        <f t="shared" si="228"/>
        <v>1.4386213038603939</v>
      </c>
      <c r="S437" s="677">
        <f t="shared" si="206"/>
        <v>1.0175260163425557</v>
      </c>
      <c r="T437" s="680">
        <f t="shared" si="207"/>
        <v>0.18586995052999569</v>
      </c>
      <c r="U437" s="681">
        <f t="shared" si="219"/>
        <v>0.69868071195073089</v>
      </c>
      <c r="V437" s="682">
        <f t="shared" si="220"/>
        <v>-1.0373502882841472</v>
      </c>
      <c r="W437" s="683">
        <f t="shared" si="208"/>
        <v>-15.468479583507897</v>
      </c>
      <c r="X437" s="684">
        <f t="shared" si="209"/>
        <v>-181.27505780629926</v>
      </c>
      <c r="Y437" s="687">
        <f t="shared" si="210"/>
        <v>-1.2750578062992588</v>
      </c>
      <c r="AA437" s="170">
        <f t="shared" si="211"/>
        <v>44668</v>
      </c>
      <c r="AB437" s="170">
        <f t="shared" si="212"/>
        <v>1995230224</v>
      </c>
      <c r="AD437" s="686">
        <f t="shared" si="213"/>
        <v>12.009704844373974</v>
      </c>
      <c r="AE437" s="687">
        <f t="shared" si="214"/>
        <v>-18.222464571913218</v>
      </c>
      <c r="AG437" s="686">
        <f t="shared" si="215"/>
        <v>20.711997211525201</v>
      </c>
      <c r="AH437" s="687">
        <f t="shared" si="216"/>
        <v>-44.181006307833677</v>
      </c>
      <c r="AJ437" s="170">
        <f t="shared" si="217"/>
        <v>0</v>
      </c>
      <c r="AK437" s="170">
        <f t="shared" si="229"/>
        <v>0</v>
      </c>
      <c r="AM437" s="170" t="str">
        <f t="shared" si="221"/>
        <v>1.18795795828162+0.982177074624839i</v>
      </c>
      <c r="AN437" s="170" t="str">
        <f t="shared" si="222"/>
        <v>1.75987896073787i</v>
      </c>
      <c r="AO437" s="170" t="str">
        <f t="shared" si="223"/>
        <v>0.558093537417504-0.67502253551775i</v>
      </c>
      <c r="AP437" s="170" t="str">
        <f t="shared" si="224"/>
        <v>-0.0313263263802693-0.16369617910414i</v>
      </c>
      <c r="AQ437" s="170" t="str">
        <f t="shared" si="225"/>
        <v>1.03132632638027+0.16369617910414i</v>
      </c>
      <c r="AR437" s="170" t="str">
        <f t="shared" si="226"/>
        <v>0.787849280261421-0.125050542771841i</v>
      </c>
    </row>
    <row r="438" spans="7:44">
      <c r="G438" s="688">
        <v>44928.25</v>
      </c>
      <c r="H438" s="676">
        <f t="shared" si="218"/>
        <v>44.928249999999998</v>
      </c>
      <c r="I438" s="677">
        <f t="shared" si="198"/>
        <v>15.396676424290012</v>
      </c>
      <c r="J438" s="678">
        <f t="shared" si="199"/>
        <v>1.5058014945163645</v>
      </c>
      <c r="K438" s="678">
        <f t="shared" si="200"/>
        <v>1.001592513287163</v>
      </c>
      <c r="L438" s="679">
        <f t="shared" si="201"/>
        <v>5.6398630120363218E-2</v>
      </c>
      <c r="M438" s="678">
        <f t="shared" si="202"/>
        <v>1.0689042378507247</v>
      </c>
      <c r="N438" s="679">
        <f t="shared" si="203"/>
        <v>-0.36101862889997771</v>
      </c>
      <c r="O438" s="677">
        <f t="shared" si="204"/>
        <v>338751.02394714608</v>
      </c>
      <c r="P438" s="680">
        <f t="shared" si="205"/>
        <v>1.5707933747742995</v>
      </c>
      <c r="Q438" s="689">
        <f t="shared" si="227"/>
        <v>7.6312433688431511</v>
      </c>
      <c r="R438" s="690">
        <f t="shared" si="228"/>
        <v>1.4393781267472245</v>
      </c>
      <c r="S438" s="677">
        <f t="shared" si="206"/>
        <v>1.0177290514162256</v>
      </c>
      <c r="T438" s="680">
        <f t="shared" si="207"/>
        <v>0.18692790699254022</v>
      </c>
      <c r="U438" s="681">
        <f t="shared" si="219"/>
        <v>0.6964985644213777</v>
      </c>
      <c r="V438" s="682">
        <f t="shared" si="220"/>
        <v>-1.0419143069514996</v>
      </c>
      <c r="W438" s="683">
        <f t="shared" si="208"/>
        <v>-15.542077044899003</v>
      </c>
      <c r="X438" s="684">
        <f t="shared" si="209"/>
        <v>-181.66652253533786</v>
      </c>
      <c r="Y438" s="687">
        <f t="shared" si="210"/>
        <v>-1.6665225353378617</v>
      </c>
      <c r="AA438" s="170">
        <f t="shared" si="211"/>
        <v>44928.25</v>
      </c>
      <c r="AB438" s="170">
        <f t="shared" si="212"/>
        <v>2018547648.0625</v>
      </c>
      <c r="AD438" s="686">
        <f t="shared" si="213"/>
        <v>12.007100412105217</v>
      </c>
      <c r="AE438" s="687">
        <f t="shared" si="214"/>
        <v>-18.239719240344776</v>
      </c>
      <c r="AG438" s="686">
        <f t="shared" si="215"/>
        <v>20.695345322328123</v>
      </c>
      <c r="AH438" s="687">
        <f t="shared" si="216"/>
        <v>-44.032218353326705</v>
      </c>
      <c r="AJ438" s="170">
        <f t="shared" si="217"/>
        <v>0</v>
      </c>
      <c r="AK438" s="170">
        <f t="shared" si="229"/>
        <v>0</v>
      </c>
      <c r="AM438" s="170" t="str">
        <f t="shared" si="221"/>
        <v>1.19801876739468+0.980198228808587i</v>
      </c>
      <c r="AN438" s="170" t="str">
        <f t="shared" si="222"/>
        <v>1.7701325762911i</v>
      </c>
      <c r="AO438" s="170" t="str">
        <f t="shared" si="223"/>
        <v>0.553742833693487-0.676796067956022i</v>
      </c>
      <c r="AP438" s="170" t="str">
        <f t="shared" si="224"/>
        <v>-0.0330031278991137-0.163366371468098i</v>
      </c>
      <c r="AQ438" s="170" t="str">
        <f t="shared" si="225"/>
        <v>1.03300312789911+0.163366371468098i</v>
      </c>
      <c r="AR438" s="170" t="str">
        <f t="shared" si="226"/>
        <v>0.786710702593347-0.12441595713188i</v>
      </c>
    </row>
    <row r="439" spans="7:44">
      <c r="G439" s="688">
        <v>45188.5</v>
      </c>
      <c r="H439" s="676">
        <f t="shared" si="218"/>
        <v>45.188499999999998</v>
      </c>
      <c r="I439" s="677">
        <f t="shared" si="198"/>
        <v>15.485487595671552</v>
      </c>
      <c r="J439" s="678">
        <f t="shared" si="199"/>
        <v>1.5061747690943346</v>
      </c>
      <c r="K439" s="678">
        <f t="shared" si="200"/>
        <v>1.0016110013288841</v>
      </c>
      <c r="L439" s="679">
        <f t="shared" si="201"/>
        <v>5.6724624756087867E-2</v>
      </c>
      <c r="M439" s="678">
        <f t="shared" si="202"/>
        <v>1.0696787308067759</v>
      </c>
      <c r="N439" s="679">
        <f t="shared" si="203"/>
        <v>-0.36293144184476911</v>
      </c>
      <c r="O439" s="677">
        <f t="shared" si="204"/>
        <v>340713.26271632762</v>
      </c>
      <c r="P439" s="680">
        <f t="shared" si="205"/>
        <v>1.5707933917756021</v>
      </c>
      <c r="Q439" s="689">
        <f t="shared" si="227"/>
        <v>7.6746909633970546</v>
      </c>
      <c r="R439" s="690">
        <f t="shared" si="228"/>
        <v>1.4401263810793232</v>
      </c>
      <c r="S439" s="677">
        <f t="shared" si="206"/>
        <v>1.0179332251502455</v>
      </c>
      <c r="T439" s="680">
        <f t="shared" si="207"/>
        <v>0.18798544023542782</v>
      </c>
      <c r="U439" s="681">
        <f t="shared" si="219"/>
        <v>0.69432152245800893</v>
      </c>
      <c r="V439" s="682">
        <f t="shared" si="220"/>
        <v>-1.0464643677627266</v>
      </c>
      <c r="W439" s="683">
        <f t="shared" si="208"/>
        <v>-15.615374442051873</v>
      </c>
      <c r="X439" s="684">
        <f t="shared" si="209"/>
        <v>-182.05724821705985</v>
      </c>
      <c r="Y439" s="687">
        <f t="shared" si="210"/>
        <v>-2.0572482170598505</v>
      </c>
      <c r="AA439" s="170">
        <f t="shared" si="211"/>
        <v>45188.5</v>
      </c>
      <c r="AB439" s="170">
        <f t="shared" si="212"/>
        <v>2042000532.25</v>
      </c>
      <c r="AD439" s="686">
        <f t="shared" si="213"/>
        <v>12.004501452108336</v>
      </c>
      <c r="AE439" s="687">
        <f t="shared" si="214"/>
        <v>-18.257440590748509</v>
      </c>
      <c r="AG439" s="686">
        <f t="shared" si="215"/>
        <v>20.679030803993474</v>
      </c>
      <c r="AH439" s="687">
        <f t="shared" si="216"/>
        <v>-43.883824122026788</v>
      </c>
      <c r="AJ439" s="170">
        <f t="shared" si="217"/>
        <v>0</v>
      </c>
      <c r="AK439" s="170">
        <f t="shared" si="229"/>
        <v>0</v>
      </c>
      <c r="AM439" s="170" t="str">
        <f t="shared" si="221"/>
        <v>1.2080587576639+0.978116329154847i</v>
      </c>
      <c r="AN439" s="170" t="str">
        <f t="shared" si="222"/>
        <v>1.78038619184434i</v>
      </c>
      <c r="AO439" s="170" t="str">
        <f t="shared" si="223"/>
        <v>0.549384360334538-0.678537478664922i</v>
      </c>
      <c r="AP439" s="170" t="str">
        <f t="shared" si="224"/>
        <v>-0.0346764596106503-0.163019388192474i</v>
      </c>
      <c r="AQ439" s="170" t="str">
        <f t="shared" si="225"/>
        <v>1.03467645961065+0.163019388192474i</v>
      </c>
      <c r="AR439" s="170" t="str">
        <f t="shared" si="226"/>
        <v>0.78558141998318-0.123772993259385i</v>
      </c>
    </row>
    <row r="440" spans="7:44">
      <c r="G440" s="688">
        <v>45448.75</v>
      </c>
      <c r="H440" s="676">
        <f t="shared" si="218"/>
        <v>45.448749999999997</v>
      </c>
      <c r="I440" s="677">
        <f t="shared" si="198"/>
        <v>15.574300900098779</v>
      </c>
      <c r="J440" s="678">
        <f t="shared" si="199"/>
        <v>1.5065437864857574</v>
      </c>
      <c r="K440" s="678">
        <f t="shared" si="200"/>
        <v>1.0016295958103771</v>
      </c>
      <c r="L440" s="679">
        <f t="shared" si="201"/>
        <v>5.7050607322776094E-2</v>
      </c>
      <c r="M440" s="678">
        <f t="shared" si="202"/>
        <v>1.0704571318887097</v>
      </c>
      <c r="N440" s="679">
        <f t="shared" si="203"/>
        <v>-0.36484147990082921</v>
      </c>
      <c r="O440" s="677">
        <f t="shared" si="204"/>
        <v>342675.50148550916</v>
      </c>
      <c r="P440" s="680">
        <f t="shared" si="205"/>
        <v>1.5707934085821977</v>
      </c>
      <c r="Q440" s="689">
        <f t="shared" si="227"/>
        <v>7.7181428065130522</v>
      </c>
      <c r="R440" s="690">
        <f t="shared" si="228"/>
        <v>1.4408662107302188</v>
      </c>
      <c r="S440" s="677">
        <f t="shared" si="206"/>
        <v>1.018138536859587</v>
      </c>
      <c r="T440" s="680">
        <f t="shared" si="207"/>
        <v>0.18904254814854499</v>
      </c>
      <c r="U440" s="681">
        <f t="shared" si="219"/>
        <v>0.69214963730133905</v>
      </c>
      <c r="V440" s="682">
        <f t="shared" si="220"/>
        <v>-1.0510005852053184</v>
      </c>
      <c r="W440" s="683">
        <f t="shared" si="208"/>
        <v>-15.688374784030612</v>
      </c>
      <c r="X440" s="684">
        <f t="shared" si="209"/>
        <v>-182.44723683337415</v>
      </c>
      <c r="Y440" s="687">
        <f t="shared" si="210"/>
        <v>-2.4472368333741485</v>
      </c>
      <c r="AA440" s="170">
        <f t="shared" si="211"/>
        <v>45448.75</v>
      </c>
      <c r="AB440" s="170">
        <f t="shared" si="212"/>
        <v>2065588876.5625</v>
      </c>
      <c r="AD440" s="686">
        <f t="shared" si="213"/>
        <v>12.001907641699162</v>
      </c>
      <c r="AE440" s="687">
        <f t="shared" si="214"/>
        <v>-18.275620259072827</v>
      </c>
      <c r="AG440" s="686">
        <f t="shared" si="215"/>
        <v>20.66304955224366</v>
      </c>
      <c r="AH440" s="687">
        <f t="shared" si="216"/>
        <v>-43.735820840594521</v>
      </c>
      <c r="AJ440" s="170">
        <f t="shared" si="217"/>
        <v>0</v>
      </c>
      <c r="AK440" s="170">
        <f t="shared" si="229"/>
        <v>0</v>
      </c>
      <c r="AM440" s="170" t="str">
        <f t="shared" si="221"/>
        <v>1.21807687352775+0.975931594545623i</v>
      </c>
      <c r="AN440" s="170" t="str">
        <f t="shared" si="222"/>
        <v>1.79063980739758i</v>
      </c>
      <c r="AO440" s="170" t="str">
        <f t="shared" si="223"/>
        <v>0.545018373049569-0.680246729965217i</v>
      </c>
      <c r="AP440" s="170" t="str">
        <f t="shared" si="224"/>
        <v>-0.0363461455879585-0.162655265757604i</v>
      </c>
      <c r="AQ440" s="170" t="str">
        <f t="shared" si="225"/>
        <v>1.03634614558796+0.162655265757604i</v>
      </c>
      <c r="AR440" s="170" t="str">
        <f t="shared" si="226"/>
        <v>0.784461443913285-0.123121782407864i</v>
      </c>
    </row>
    <row r="441" spans="7:44">
      <c r="G441" s="688">
        <v>45709</v>
      </c>
      <c r="H441" s="676">
        <f t="shared" si="218"/>
        <v>45.709000000000003</v>
      </c>
      <c r="I441" s="677">
        <f t="shared" si="198"/>
        <v>15.663116301287179</v>
      </c>
      <c r="J441" s="678">
        <f t="shared" si="199"/>
        <v>1.5069086190085212</v>
      </c>
      <c r="K441" s="678">
        <f t="shared" si="200"/>
        <v>1.0016482967257139</v>
      </c>
      <c r="L441" s="679">
        <f t="shared" si="201"/>
        <v>5.7376577751821138E-2</v>
      </c>
      <c r="M441" s="678">
        <f t="shared" si="202"/>
        <v>1.0712394325771719</v>
      </c>
      <c r="N441" s="679">
        <f t="shared" si="203"/>
        <v>-0.36674873519581624</v>
      </c>
      <c r="O441" s="677">
        <f t="shared" si="204"/>
        <v>344637.74025469087</v>
      </c>
      <c r="P441" s="680">
        <f t="shared" si="205"/>
        <v>1.5707934251974127</v>
      </c>
      <c r="Q441" s="689">
        <f t="shared" si="227"/>
        <v>7.7615988268368286</v>
      </c>
      <c r="R441" s="690">
        <f t="shared" si="228"/>
        <v>1.4415977563887001</v>
      </c>
      <c r="S441" s="677">
        <f t="shared" si="206"/>
        <v>1.0183449858559583</v>
      </c>
      <c r="T441" s="680">
        <f t="shared" si="207"/>
        <v>0.19009922862727752</v>
      </c>
      <c r="U441" s="681">
        <f t="shared" si="219"/>
        <v>0.68998295822708899</v>
      </c>
      <c r="V441" s="682">
        <f t="shared" si="220"/>
        <v>-1.0555230738990831</v>
      </c>
      <c r="W441" s="683">
        <f t="shared" si="208"/>
        <v>-15.761081031217381</v>
      </c>
      <c r="X441" s="684">
        <f t="shared" si="209"/>
        <v>-182.83649046663194</v>
      </c>
      <c r="Y441" s="687">
        <f t="shared" si="210"/>
        <v>-2.8364904666319433</v>
      </c>
      <c r="AA441" s="170">
        <f t="shared" si="211"/>
        <v>45709</v>
      </c>
      <c r="AB441" s="170">
        <f t="shared" si="212"/>
        <v>2089312681</v>
      </c>
      <c r="AD441" s="686">
        <f t="shared" si="213"/>
        <v>11.99931866757427</v>
      </c>
      <c r="AE441" s="687">
        <f t="shared" si="214"/>
        <v>-18.294250064048953</v>
      </c>
      <c r="AG441" s="686">
        <f t="shared" si="215"/>
        <v>20.647397533230929</v>
      </c>
      <c r="AH441" s="687">
        <f t="shared" si="216"/>
        <v>-43.588205638187361</v>
      </c>
      <c r="AJ441" s="170">
        <f t="shared" si="217"/>
        <v>0</v>
      </c>
      <c r="AK441" s="170">
        <f t="shared" si="229"/>
        <v>0</v>
      </c>
      <c r="AM441" s="170" t="str">
        <f t="shared" si="221"/>
        <v>1.2280720617245+0.973644254674538i</v>
      </c>
      <c r="AN441" s="170" t="str">
        <f t="shared" si="222"/>
        <v>1.80089342295082i</v>
      </c>
      <c r="AO441" s="170" t="str">
        <f t="shared" si="223"/>
        <v>0.540645127727321-0.681923786312832i</v>
      </c>
      <c r="AP441" s="170" t="str">
        <f t="shared" si="224"/>
        <v>-0.0380120102874165-0.162274042445756i</v>
      </c>
      <c r="AQ441" s="170" t="str">
        <f t="shared" si="225"/>
        <v>1.03801201028742+0.162274042445756i</v>
      </c>
      <c r="AR441" s="170" t="str">
        <f t="shared" si="226"/>
        <v>0.783350784407037-0.122462454363688i</v>
      </c>
    </row>
    <row r="442" spans="7:44">
      <c r="G442" s="688">
        <v>45975.25</v>
      </c>
      <c r="H442" s="676">
        <f t="shared" si="218"/>
        <v>45.975250000000003</v>
      </c>
      <c r="I442" s="677">
        <f t="shared" si="198"/>
        <v>15.753981452642707</v>
      </c>
      <c r="J442" s="678">
        <f t="shared" si="199"/>
        <v>1.5072776056606318</v>
      </c>
      <c r="K442" s="678">
        <f t="shared" si="200"/>
        <v>1.0016675389226952</v>
      </c>
      <c r="L442" s="679">
        <f t="shared" si="201"/>
        <v>5.7710050717117697E-2</v>
      </c>
      <c r="M442" s="678">
        <f t="shared" si="202"/>
        <v>1.0720437956133757</v>
      </c>
      <c r="N442" s="679">
        <f t="shared" si="203"/>
        <v>-0.36869707395968981</v>
      </c>
      <c r="O442" s="677">
        <f t="shared" si="204"/>
        <v>346645.21795803244</v>
      </c>
      <c r="P442" s="680">
        <f t="shared" si="205"/>
        <v>1.5707934420010261</v>
      </c>
      <c r="Q442" s="689">
        <f t="shared" si="227"/>
        <v>7.8060609650900199</v>
      </c>
      <c r="R442" s="690">
        <f t="shared" si="228"/>
        <v>1.4423377384429963</v>
      </c>
      <c r="S442" s="677">
        <f t="shared" si="206"/>
        <v>1.0185573706812929</v>
      </c>
      <c r="T442" s="680">
        <f t="shared" si="207"/>
        <v>0.19117982609712997</v>
      </c>
      <c r="U442" s="681">
        <f t="shared" si="219"/>
        <v>0.68777176376183868</v>
      </c>
      <c r="V442" s="682">
        <f t="shared" si="220"/>
        <v>-1.0601357399408102</v>
      </c>
      <c r="W442" s="683">
        <f t="shared" si="208"/>
        <v>-15.835162197232043</v>
      </c>
      <c r="X442" s="684">
        <f t="shared" si="209"/>
        <v>-183.23395992470608</v>
      </c>
      <c r="Y442" s="687">
        <f t="shared" si="210"/>
        <v>-3.2339599247060846</v>
      </c>
      <c r="AA442" s="170">
        <f t="shared" si="211"/>
        <v>45975.25</v>
      </c>
      <c r="AB442" s="170">
        <f t="shared" si="212"/>
        <v>2113723612.5625</v>
      </c>
      <c r="AD442" s="686">
        <f t="shared" si="213"/>
        <v>11.996674692902632</v>
      </c>
      <c r="AE442" s="687">
        <f t="shared" si="214"/>
        <v>-18.313766852595855</v>
      </c>
      <c r="AG442" s="686">
        <f t="shared" si="215"/>
        <v>20.631721232494389</v>
      </c>
      <c r="AH442" s="687">
        <f t="shared" si="216"/>
        <v>-43.437585714122058</v>
      </c>
      <c r="AJ442" s="170">
        <f t="shared" si="217"/>
        <v>0</v>
      </c>
      <c r="AK442" s="170">
        <f t="shared" si="229"/>
        <v>0</v>
      </c>
      <c r="AM442" s="170" t="str">
        <f t="shared" si="221"/>
        <v>1.23827286407545+0.971198250742494i</v>
      </c>
      <c r="AN442" s="170" t="str">
        <f t="shared" si="222"/>
        <v>1.81138343309894i</v>
      </c>
      <c r="AO442" s="170" t="str">
        <f t="shared" si="223"/>
        <v>0.536163814350976-0.683606155079488i</v>
      </c>
      <c r="AP442" s="170" t="str">
        <f t="shared" si="224"/>
        <v>-0.0397121440125757-0.161866375123749i</v>
      </c>
      <c r="AQ442" s="170" t="str">
        <f t="shared" si="225"/>
        <v>1.03971214401258+0.161866375123749i</v>
      </c>
      <c r="AR442" s="170" t="str">
        <f t="shared" si="226"/>
        <v>0.782224169112619-0.121779659415918i</v>
      </c>
    </row>
    <row r="443" spans="7:44">
      <c r="G443" s="688">
        <v>46241.5</v>
      </c>
      <c r="H443" s="676">
        <f t="shared" si="218"/>
        <v>46.241500000000002</v>
      </c>
      <c r="I443" s="677">
        <f t="shared" si="198"/>
        <v>15.844848724319856</v>
      </c>
      <c r="J443" s="678">
        <f t="shared" si="199"/>
        <v>1.5076423602217635</v>
      </c>
      <c r="K443" s="678">
        <f t="shared" si="200"/>
        <v>1.0016868925050457</v>
      </c>
      <c r="L443" s="679">
        <f t="shared" si="201"/>
        <v>5.8043510833439636E-2</v>
      </c>
      <c r="M443" s="678">
        <f t="shared" si="202"/>
        <v>1.0728522220423262</v>
      </c>
      <c r="N443" s="679">
        <f t="shared" si="203"/>
        <v>-0.37064248383537596</v>
      </c>
      <c r="O443" s="677">
        <f t="shared" si="204"/>
        <v>348652.69566137413</v>
      </c>
      <c r="P443" s="680">
        <f t="shared" si="205"/>
        <v>1.5707934586111354</v>
      </c>
      <c r="Q443" s="689">
        <f t="shared" si="227"/>
        <v>7.8505273293167459</v>
      </c>
      <c r="R443" s="690">
        <f t="shared" si="228"/>
        <v>1.443069338193149</v>
      </c>
      <c r="S443" s="677">
        <f t="shared" si="206"/>
        <v>1.0187709443700868</v>
      </c>
      <c r="T443" s="680">
        <f t="shared" si="207"/>
        <v>0.19225997175799217</v>
      </c>
      <c r="U443" s="681">
        <f t="shared" si="219"/>
        <v>0.68556611638702647</v>
      </c>
      <c r="V443" s="682">
        <f t="shared" si="220"/>
        <v>-1.0647342799565556</v>
      </c>
      <c r="W443" s="683">
        <f t="shared" si="208"/>
        <v>-15.908941669806232</v>
      </c>
      <c r="X443" s="684">
        <f t="shared" si="209"/>
        <v>-183.63066483623271</v>
      </c>
      <c r="Y443" s="687">
        <f t="shared" si="210"/>
        <v>-3.630664836232711</v>
      </c>
      <c r="AA443" s="170">
        <f t="shared" si="211"/>
        <v>46241.5</v>
      </c>
      <c r="AB443" s="170">
        <f t="shared" si="212"/>
        <v>2138276322.25</v>
      </c>
      <c r="AD443" s="686">
        <f t="shared" si="213"/>
        <v>11.994035145431871</v>
      </c>
      <c r="AE443" s="687">
        <f t="shared" si="214"/>
        <v>-18.333738013958033</v>
      </c>
      <c r="AG443" s="686">
        <f t="shared" si="215"/>
        <v>20.6163811988148</v>
      </c>
      <c r="AH443" s="687">
        <f t="shared" si="216"/>
        <v>-43.287365594035855</v>
      </c>
      <c r="AJ443" s="170">
        <f t="shared" si="217"/>
        <v>0</v>
      </c>
      <c r="AK443" s="170">
        <f t="shared" si="229"/>
        <v>0</v>
      </c>
      <c r="AM443" s="170" t="str">
        <f t="shared" si="221"/>
        <v>1.24844744704633+0.968645376831046i</v>
      </c>
      <c r="AN443" s="170" t="str">
        <f t="shared" si="222"/>
        <v>1.82187344324707i</v>
      </c>
      <c r="AO443" s="170" t="str">
        <f t="shared" si="223"/>
        <v>0.531675446733917-0.685254758871319i</v>
      </c>
      <c r="AP443" s="170" t="str">
        <f t="shared" si="224"/>
        <v>-0.0414079078410553-0.161440896138508i</v>
      </c>
      <c r="AQ443" s="170" t="str">
        <f t="shared" si="225"/>
        <v>1.04140790784106+0.161440896138508i</v>
      </c>
      <c r="AR443" s="170" t="str">
        <f t="shared" si="226"/>
        <v>0.781107321652245-0.121088638792182i</v>
      </c>
    </row>
    <row r="444" spans="7:44">
      <c r="G444" s="688">
        <v>46507.75</v>
      </c>
      <c r="H444" s="676">
        <f t="shared" si="218"/>
        <v>46.507750000000001</v>
      </c>
      <c r="I444" s="677">
        <f t="shared" si="198"/>
        <v>15.93571808004768</v>
      </c>
      <c r="J444" s="678">
        <f t="shared" si="199"/>
        <v>1.5080029549912668</v>
      </c>
      <c r="K444" s="678">
        <f t="shared" si="200"/>
        <v>1.0017063574663094</v>
      </c>
      <c r="L444" s="679">
        <f t="shared" si="201"/>
        <v>5.8376958027375234E-2</v>
      </c>
      <c r="M444" s="678">
        <f t="shared" si="202"/>
        <v>1.0736647026853092</v>
      </c>
      <c r="N444" s="679">
        <f t="shared" si="203"/>
        <v>-0.37258495673028358</v>
      </c>
      <c r="O444" s="677">
        <f t="shared" si="204"/>
        <v>350660.17336471594</v>
      </c>
      <c r="P444" s="680">
        <f t="shared" si="205"/>
        <v>1.5707934750310639</v>
      </c>
      <c r="Q444" s="689">
        <f t="shared" si="227"/>
        <v>7.894997848112169</v>
      </c>
      <c r="R444" s="690">
        <f t="shared" si="228"/>
        <v>1.443792696495481</v>
      </c>
      <c r="S444" s="677">
        <f t="shared" si="206"/>
        <v>1.018985706174802</v>
      </c>
      <c r="T444" s="680">
        <f t="shared" si="207"/>
        <v>0.19333966337430622</v>
      </c>
      <c r="U444" s="681">
        <f t="shared" si="219"/>
        <v>0.68336606270988876</v>
      </c>
      <c r="V444" s="682">
        <f t="shared" si="220"/>
        <v>-1.069318816994151</v>
      </c>
      <c r="W444" s="683">
        <f t="shared" si="208"/>
        <v>-15.982422469506394</v>
      </c>
      <c r="X444" s="684">
        <f t="shared" si="209"/>
        <v>-184.02660773594522</v>
      </c>
      <c r="Y444" s="687">
        <f t="shared" si="210"/>
        <v>-4.0266077359452197</v>
      </c>
      <c r="AA444" s="170">
        <f t="shared" si="211"/>
        <v>46507.75</v>
      </c>
      <c r="AB444" s="170">
        <f t="shared" si="212"/>
        <v>2162970810.0625</v>
      </c>
      <c r="AD444" s="686">
        <f t="shared" si="213"/>
        <v>11.991399718184631</v>
      </c>
      <c r="AE444" s="687">
        <f t="shared" si="214"/>
        <v>-18.354155349765048</v>
      </c>
      <c r="AG444" s="686">
        <f t="shared" si="215"/>
        <v>20.601373332942984</v>
      </c>
      <c r="AH444" s="687">
        <f t="shared" si="216"/>
        <v>-43.137541910789842</v>
      </c>
      <c r="AJ444" s="170">
        <f t="shared" si="217"/>
        <v>0</v>
      </c>
      <c r="AK444" s="170">
        <f t="shared" si="229"/>
        <v>0</v>
      </c>
      <c r="AM444" s="170" t="str">
        <f t="shared" si="221"/>
        <v>1.25859469103309+0.965985913856668i</v>
      </c>
      <c r="AN444" s="170" t="str">
        <f t="shared" si="222"/>
        <v>1.83236345339519i</v>
      </c>
      <c r="AO444" s="170" t="str">
        <f t="shared" si="223"/>
        <v>0.52718029933788-0.686869566570452i</v>
      </c>
      <c r="AP444" s="170" t="str">
        <f t="shared" si="224"/>
        <v>-0.0430991151721812-0.160997652309445i</v>
      </c>
      <c r="AQ444" s="170" t="str">
        <f t="shared" si="225"/>
        <v>1.04309911517218+0.160997652309445i</v>
      </c>
      <c r="AR444" s="170" t="str">
        <f t="shared" si="226"/>
        <v>0.780000248302617-0.120389526700707i</v>
      </c>
    </row>
    <row r="445" spans="7:44">
      <c r="G445" s="688">
        <v>46774</v>
      </c>
      <c r="H445" s="676">
        <f t="shared" si="218"/>
        <v>46.774000000000001</v>
      </c>
      <c r="I445" s="677">
        <f t="shared" si="198"/>
        <v>16.026589484377027</v>
      </c>
      <c r="J445" s="678">
        <f t="shared" si="199"/>
        <v>1.5083594606331154</v>
      </c>
      <c r="K445" s="678">
        <f t="shared" si="200"/>
        <v>1.0017259337999933</v>
      </c>
      <c r="L445" s="679">
        <f t="shared" si="201"/>
        <v>5.8710392225529963E-2</v>
      </c>
      <c r="M445" s="678">
        <f t="shared" si="202"/>
        <v>1.0744812283454102</v>
      </c>
      <c r="N445" s="679">
        <f t="shared" si="203"/>
        <v>-0.37452448466489152</v>
      </c>
      <c r="O445" s="677">
        <f t="shared" si="204"/>
        <v>352667.65106805781</v>
      </c>
      <c r="P445" s="680">
        <f t="shared" si="205"/>
        <v>1.5707934912640591</v>
      </c>
      <c r="Q445" s="689">
        <f t="shared" si="227"/>
        <v>7.9394724516646624</v>
      </c>
      <c r="R445" s="690">
        <f t="shared" si="228"/>
        <v>1.4445079510851131</v>
      </c>
      <c r="S445" s="677">
        <f t="shared" si="206"/>
        <v>1.0192016553443748</v>
      </c>
      <c r="T445" s="680">
        <f t="shared" si="207"/>
        <v>0.19441889871662763</v>
      </c>
      <c r="U445" s="681">
        <f t="shared" si="219"/>
        <v>0.68117164733857816</v>
      </c>
      <c r="V445" s="682">
        <f t="shared" si="220"/>
        <v>-1.0738894741715639</v>
      </c>
      <c r="W445" s="683">
        <f t="shared" si="208"/>
        <v>-16.055607569392002</v>
      </c>
      <c r="X445" s="684">
        <f t="shared" si="209"/>
        <v>-184.42179125455064</v>
      </c>
      <c r="Y445" s="687">
        <f t="shared" si="210"/>
        <v>-4.4217912545506408</v>
      </c>
      <c r="AA445" s="170">
        <f t="shared" si="211"/>
        <v>46774</v>
      </c>
      <c r="AB445" s="170">
        <f t="shared" si="212"/>
        <v>2187807076</v>
      </c>
      <c r="AD445" s="686">
        <f t="shared" si="213"/>
        <v>11.988768113163164</v>
      </c>
      <c r="AE445" s="687">
        <f t="shared" si="214"/>
        <v>-18.375010840824075</v>
      </c>
      <c r="AG445" s="686">
        <f t="shared" si="215"/>
        <v>20.586693606979445</v>
      </c>
      <c r="AH445" s="687">
        <f t="shared" si="216"/>
        <v>-42.98811120600385</v>
      </c>
      <c r="AJ445" s="170">
        <f t="shared" si="217"/>
        <v>0</v>
      </c>
      <c r="AK445" s="170">
        <f t="shared" si="229"/>
        <v>0</v>
      </c>
      <c r="AM445" s="170" t="str">
        <f t="shared" si="221"/>
        <v>1.26871347944007+0.963220154464808i</v>
      </c>
      <c r="AN445" s="170" t="str">
        <f t="shared" si="222"/>
        <v>1.84285346354332i</v>
      </c>
      <c r="AO445" s="170" t="str">
        <f t="shared" si="223"/>
        <v>0.522678646739926-0.688450549399988i</v>
      </c>
      <c r="AP445" s="170" t="str">
        <f t="shared" si="224"/>
        <v>-0.044785579906679-0.160536692410801i</v>
      </c>
      <c r="AQ445" s="170" t="str">
        <f t="shared" si="225"/>
        <v>1.04478557990668+0.160536692410801i</v>
      </c>
      <c r="AR445" s="170" t="str">
        <f t="shared" si="226"/>
        <v>0.778902953931772-0.119682455747885i</v>
      </c>
    </row>
    <row r="446" spans="7:44">
      <c r="G446" s="688">
        <v>47046.25</v>
      </c>
      <c r="H446" s="676">
        <f t="shared" si="218"/>
        <v>47.046250000000001</v>
      </c>
      <c r="I446" s="677">
        <f t="shared" si="198"/>
        <v>16.119510777276187</v>
      </c>
      <c r="J446" s="678">
        <f t="shared" si="199"/>
        <v>1.5087198437693203</v>
      </c>
      <c r="K446" s="678">
        <f t="shared" si="200"/>
        <v>1.0017460664490911</v>
      </c>
      <c r="L446" s="679">
        <f t="shared" si="201"/>
        <v>5.9051326918963108E-2</v>
      </c>
      <c r="M446" s="678">
        <f t="shared" si="202"/>
        <v>1.0753203277607624</v>
      </c>
      <c r="N446" s="679">
        <f t="shared" si="203"/>
        <v>-0.37650466682015571</v>
      </c>
      <c r="O446" s="677">
        <f t="shared" si="204"/>
        <v>354720.36770555965</v>
      </c>
      <c r="P446" s="680">
        <f t="shared" si="205"/>
        <v>1.5707935076728754</v>
      </c>
      <c r="Q446" s="689">
        <f t="shared" si="227"/>
        <v>7.9849534525662529</v>
      </c>
      <c r="R446" s="690">
        <f t="shared" si="228"/>
        <v>1.4452310847050429</v>
      </c>
      <c r="S446" s="677">
        <f t="shared" si="206"/>
        <v>1.019423697990576</v>
      </c>
      <c r="T446" s="680">
        <f t="shared" si="207"/>
        <v>0.19552198072593951</v>
      </c>
      <c r="U446" s="681">
        <f t="shared" si="219"/>
        <v>0.67893365510064863</v>
      </c>
      <c r="V446" s="682">
        <f t="shared" si="220"/>
        <v>-1.0785489078335959</v>
      </c>
      <c r="W446" s="683">
        <f t="shared" si="208"/>
        <v>-16.130139189636303</v>
      </c>
      <c r="X446" s="684">
        <f t="shared" si="209"/>
        <v>-184.82509791192007</v>
      </c>
      <c r="Y446" s="687">
        <f t="shared" si="210"/>
        <v>-4.8250979119200679</v>
      </c>
      <c r="AA446" s="170">
        <f t="shared" si="211"/>
        <v>47046.25</v>
      </c>
      <c r="AB446" s="170">
        <f t="shared" si="212"/>
        <v>2213349639.0625</v>
      </c>
      <c r="AD446" s="686">
        <f t="shared" si="213"/>
        <v>11.986080855398999</v>
      </c>
      <c r="AE446" s="687">
        <f t="shared" si="214"/>
        <v>-18.396781220149254</v>
      </c>
      <c r="AG446" s="686">
        <f t="shared" si="215"/>
        <v>20.572018262511286</v>
      </c>
      <c r="AH446" s="687">
        <f t="shared" si="216"/>
        <v>-42.835715715926774</v>
      </c>
      <c r="AJ446" s="170">
        <f t="shared" si="217"/>
        <v>0</v>
      </c>
      <c r="AK446" s="170">
        <f t="shared" si="229"/>
        <v>0</v>
      </c>
      <c r="AM446" s="170" t="str">
        <f t="shared" si="221"/>
        <v>1.27902971218232+0.960282468713997i</v>
      </c>
      <c r="AN446" s="170" t="str">
        <f t="shared" si="222"/>
        <v>1.85357986828633i</v>
      </c>
      <c r="AO446" s="170" t="str">
        <f t="shared" si="223"/>
        <v>0.518069107861965-0.690032155649601i</v>
      </c>
      <c r="AP446" s="170" t="str">
        <f t="shared" si="224"/>
        <v>-0.0465049520303873-0.160047078119i</v>
      </c>
      <c r="AQ446" s="170" t="str">
        <f t="shared" si="225"/>
        <v>1.04650495203039+0.160047078119i</v>
      </c>
      <c r="AR446" s="170" t="str">
        <f t="shared" si="226"/>
        <v>0.777791047463424-0.118951357365409i</v>
      </c>
    </row>
    <row r="447" spans="7:44">
      <c r="G447" s="688">
        <v>47318.5</v>
      </c>
      <c r="H447" s="676">
        <f t="shared" si="218"/>
        <v>47.3185</v>
      </c>
      <c r="I447" s="677">
        <f t="shared" si="198"/>
        <v>16.212434139714702</v>
      </c>
      <c r="J447" s="678">
        <f t="shared" si="199"/>
        <v>1.5090760957996097</v>
      </c>
      <c r="K447" s="678">
        <f t="shared" si="200"/>
        <v>1.0017663155329228</v>
      </c>
      <c r="L447" s="679">
        <f t="shared" si="201"/>
        <v>5.9392247869136924E-2</v>
      </c>
      <c r="M447" s="678">
        <f t="shared" si="202"/>
        <v>1.0761636370527288</v>
      </c>
      <c r="N447" s="679">
        <f t="shared" si="203"/>
        <v>-0.3784817532751662</v>
      </c>
      <c r="O447" s="677">
        <f t="shared" si="204"/>
        <v>356773.08434306155</v>
      </c>
      <c r="P447" s="680">
        <f t="shared" si="205"/>
        <v>1.5707935238928732</v>
      </c>
      <c r="Q447" s="689">
        <f t="shared" si="227"/>
        <v>8.0304385816796291</v>
      </c>
      <c r="R447" s="690">
        <f t="shared" si="228"/>
        <v>1.4459460269070952</v>
      </c>
      <c r="S447" s="677">
        <f t="shared" si="206"/>
        <v>1.0196469805201358</v>
      </c>
      <c r="T447" s="680">
        <f t="shared" si="207"/>
        <v>0.19662458097009325</v>
      </c>
      <c r="U447" s="681">
        <f t="shared" si="219"/>
        <v>0.67670164625169382</v>
      </c>
      <c r="V447" s="682">
        <f t="shared" si="220"/>
        <v>-1.0831940895255177</v>
      </c>
      <c r="W447" s="683">
        <f t="shared" si="208"/>
        <v>-16.204367773515195</v>
      </c>
      <c r="X447" s="684">
        <f t="shared" si="209"/>
        <v>-185.22761643323329</v>
      </c>
      <c r="Y447" s="687">
        <f t="shared" si="210"/>
        <v>-5.2276164332332939</v>
      </c>
      <c r="AA447" s="170">
        <f t="shared" si="211"/>
        <v>47318.5</v>
      </c>
      <c r="AB447" s="170">
        <f t="shared" si="212"/>
        <v>2239040442.25</v>
      </c>
      <c r="AD447" s="686">
        <f t="shared" si="213"/>
        <v>11.983396991359843</v>
      </c>
      <c r="AE447" s="687">
        <f t="shared" si="214"/>
        <v>-18.418993319218782</v>
      </c>
      <c r="AG447" s="686">
        <f t="shared" si="215"/>
        <v>20.557677718550771</v>
      </c>
      <c r="AH447" s="687">
        <f t="shared" si="216"/>
        <v>-42.683723525525117</v>
      </c>
      <c r="AJ447" s="170">
        <f t="shared" si="217"/>
        <v>0</v>
      </c>
      <c r="AK447" s="170">
        <f t="shared" si="229"/>
        <v>0</v>
      </c>
      <c r="AM447" s="170" t="str">
        <f t="shared" si="221"/>
        <v>1.28931384125715+0.957234297994506i</v>
      </c>
      <c r="AN447" s="170" t="str">
        <f t="shared" si="222"/>
        <v>1.86430627302934i</v>
      </c>
      <c r="AO447" s="170" t="str">
        <f t="shared" si="223"/>
        <v>0.513453348220022-0.691578341986762i</v>
      </c>
      <c r="AP447" s="170" t="str">
        <f t="shared" si="224"/>
        <v>-0.048218973542858-0.159539049665751i</v>
      </c>
      <c r="AQ447" s="170" t="str">
        <f t="shared" si="225"/>
        <v>1.04821897354286+0.159539049665751i</v>
      </c>
      <c r="AR447" s="170" t="str">
        <f t="shared" si="226"/>
        <v>0.776689371665943-0.118212212685165i</v>
      </c>
    </row>
    <row r="448" spans="7:44">
      <c r="G448" s="688">
        <v>47590.75</v>
      </c>
      <c r="H448" s="676">
        <f t="shared" si="218"/>
        <v>47.59075</v>
      </c>
      <c r="I448" s="677">
        <f t="shared" si="198"/>
        <v>16.305359536309982</v>
      </c>
      <c r="J448" s="678">
        <f t="shared" si="199"/>
        <v>1.5094282872631668</v>
      </c>
      <c r="K448" s="678">
        <f t="shared" si="200"/>
        <v>1.0017866810444276</v>
      </c>
      <c r="L448" s="679">
        <f t="shared" si="201"/>
        <v>5.9733154997638691E-2</v>
      </c>
      <c r="M448" s="678">
        <f t="shared" si="202"/>
        <v>1.077011146332197</v>
      </c>
      <c r="N448" s="679">
        <f t="shared" si="203"/>
        <v>-0.38045573586365466</v>
      </c>
      <c r="O448" s="677">
        <f t="shared" si="204"/>
        <v>358825.80098056351</v>
      </c>
      <c r="P448" s="680">
        <f t="shared" si="205"/>
        <v>1.5707935399272932</v>
      </c>
      <c r="Q448" s="689">
        <f t="shared" si="227"/>
        <v>8.0759277692522158</v>
      </c>
      <c r="R448" s="690">
        <f t="shared" si="228"/>
        <v>1.446652915373273</v>
      </c>
      <c r="S448" s="677">
        <f t="shared" si="206"/>
        <v>1.0198715021187041</v>
      </c>
      <c r="T448" s="680">
        <f t="shared" si="207"/>
        <v>0.197726697085472</v>
      </c>
      <c r="U448" s="681">
        <f t="shared" si="219"/>
        <v>0.67447566224569755</v>
      </c>
      <c r="V448" s="682">
        <f t="shared" si="220"/>
        <v>-1.0878251509934724</v>
      </c>
      <c r="W448" s="683">
        <f t="shared" si="208"/>
        <v>-16.278296354217577</v>
      </c>
      <c r="X448" s="684">
        <f t="shared" si="209"/>
        <v>-185.62934992134845</v>
      </c>
      <c r="Y448" s="687">
        <f t="shared" si="210"/>
        <v>-5.6293499213484495</v>
      </c>
      <c r="AA448" s="170">
        <f t="shared" si="211"/>
        <v>47590.75</v>
      </c>
      <c r="AB448" s="170">
        <f t="shared" si="212"/>
        <v>2264879485.5625</v>
      </c>
      <c r="AD448" s="686">
        <f t="shared" si="213"/>
        <v>11.98071622967602</v>
      </c>
      <c r="AE448" s="687">
        <f t="shared" si="214"/>
        <v>-18.441639114195343</v>
      </c>
      <c r="AG448" s="686">
        <f t="shared" si="215"/>
        <v>20.543667891267013</v>
      </c>
      <c r="AH448" s="687">
        <f t="shared" si="216"/>
        <v>-42.532130664498411</v>
      </c>
      <c r="AJ448" s="170">
        <f t="shared" si="217"/>
        <v>0</v>
      </c>
      <c r="AK448" s="170">
        <f t="shared" si="229"/>
        <v>0</v>
      </c>
      <c r="AM448" s="170" t="str">
        <f t="shared" si="221"/>
        <v>1.29956468342763+0.954075993012562i</v>
      </c>
      <c r="AN448" s="170" t="str">
        <f t="shared" si="222"/>
        <v>1.87503267777236i</v>
      </c>
      <c r="AO448" s="170" t="str">
        <f t="shared" si="223"/>
        <v>0.508831661614589-0.693089085237481i</v>
      </c>
      <c r="AP448" s="170" t="str">
        <f t="shared" si="224"/>
        <v>-0.0499274472379377-0.159012665502094i</v>
      </c>
      <c r="AQ448" s="170" t="str">
        <f t="shared" si="225"/>
        <v>1.04992744723794+0.159012665502094i</v>
      </c>
      <c r="AR448" s="170" t="str">
        <f t="shared" si="226"/>
        <v>0.775597927471604-0.117465158311277i</v>
      </c>
    </row>
    <row r="449" spans="7:44">
      <c r="G449" s="688">
        <v>47863</v>
      </c>
      <c r="H449" s="676">
        <f t="shared" si="218"/>
        <v>47.863</v>
      </c>
      <c r="I449" s="677">
        <f t="shared" si="198"/>
        <v>16.398286932480719</v>
      </c>
      <c r="J449" s="678">
        <f t="shared" si="199"/>
        <v>1.5097764871043051</v>
      </c>
      <c r="K449" s="678">
        <f t="shared" si="200"/>
        <v>1.0018071629765051</v>
      </c>
      <c r="L449" s="679">
        <f t="shared" si="201"/>
        <v>6.00740482260749E-2</v>
      </c>
      <c r="M449" s="678">
        <f t="shared" si="202"/>
        <v>1.0778628456919837</v>
      </c>
      <c r="N449" s="679">
        <f t="shared" si="203"/>
        <v>-0.38242660654172905</v>
      </c>
      <c r="O449" s="677">
        <f t="shared" si="204"/>
        <v>360878.51761806558</v>
      </c>
      <c r="P449" s="680">
        <f t="shared" si="205"/>
        <v>1.5707935557793022</v>
      </c>
      <c r="Q449" s="689">
        <f t="shared" si="227"/>
        <v>8.1214209470880618</v>
      </c>
      <c r="R449" s="690">
        <f t="shared" si="228"/>
        <v>1.4473518847332147</v>
      </c>
      <c r="S449" s="677">
        <f t="shared" si="206"/>
        <v>1.0200972619681299</v>
      </c>
      <c r="T449" s="680">
        <f t="shared" si="207"/>
        <v>0.19882832671523851</v>
      </c>
      <c r="U449" s="681">
        <f t="shared" si="219"/>
        <v>0.67225574251553721</v>
      </c>
      <c r="V449" s="682">
        <f t="shared" si="220"/>
        <v>-1.0924422239869016</v>
      </c>
      <c r="W449" s="683">
        <f t="shared" si="208"/>
        <v>-16.351927918686524</v>
      </c>
      <c r="X449" s="684">
        <f t="shared" si="209"/>
        <v>-186.03030157021584</v>
      </c>
      <c r="Y449" s="687">
        <f t="shared" si="210"/>
        <v>-6.0303015702158405</v>
      </c>
      <c r="AA449" s="170">
        <f t="shared" si="211"/>
        <v>47863</v>
      </c>
      <c r="AB449" s="170">
        <f t="shared" si="212"/>
        <v>2290866769</v>
      </c>
      <c r="AD449" s="686">
        <f t="shared" si="213"/>
        <v>11.978038287556238</v>
      </c>
      <c r="AE449" s="687">
        <f t="shared" si="214"/>
        <v>-18.464710756513469</v>
      </c>
      <c r="AG449" s="686">
        <f t="shared" si="215"/>
        <v>20.529984768966678</v>
      </c>
      <c r="AH449" s="687">
        <f t="shared" si="216"/>
        <v>-42.380933077988438</v>
      </c>
      <c r="AJ449" s="170">
        <f t="shared" si="217"/>
        <v>0</v>
      </c>
      <c r="AK449" s="170">
        <f t="shared" si="229"/>
        <v>0</v>
      </c>
      <c r="AM449" s="170" t="str">
        <f t="shared" si="221"/>
        <v>1.30978105928662+0.950807917145865i</v>
      </c>
      <c r="AN449" s="170" t="str">
        <f t="shared" si="222"/>
        <v>1.88575908251537i</v>
      </c>
      <c r="AO449" s="170" t="str">
        <f t="shared" si="223"/>
        <v>0.504204341881045-0.694564364785948i</v>
      </c>
      <c r="AP449" s="170" t="str">
        <f t="shared" si="224"/>
        <v>-0.0516301765477705-0.158467986190977i</v>
      </c>
      <c r="AQ449" s="170" t="str">
        <f t="shared" si="225"/>
        <v>1.05163017654777+0.158467986190977i</v>
      </c>
      <c r="AR449" s="170" t="str">
        <f t="shared" si="226"/>
        <v>0.77451671447-0.1167103291161i</v>
      </c>
    </row>
    <row r="450" spans="7:44">
      <c r="G450" s="688">
        <v>48141.75</v>
      </c>
      <c r="H450" s="676">
        <f t="shared" si="218"/>
        <v>48.141750000000002</v>
      </c>
      <c r="I450" s="677">
        <f t="shared" si="198"/>
        <v>16.493435017360337</v>
      </c>
      <c r="J450" s="678">
        <f t="shared" si="199"/>
        <v>1.5101289349191269</v>
      </c>
      <c r="K450" s="678">
        <f t="shared" si="200"/>
        <v>1.0018282545326902</v>
      </c>
      <c r="L450" s="679">
        <f t="shared" si="201"/>
        <v>6.0423065835794029E-2</v>
      </c>
      <c r="M450" s="678">
        <f t="shared" si="202"/>
        <v>1.0787392104392504</v>
      </c>
      <c r="N450" s="679">
        <f t="shared" si="203"/>
        <v>-0.38444129946792643</v>
      </c>
      <c r="O450" s="677">
        <f t="shared" si="204"/>
        <v>362980.24310090754</v>
      </c>
      <c r="P450" s="680">
        <f t="shared" si="205"/>
        <v>1.570793571824016</v>
      </c>
      <c r="Q450" s="689">
        <f t="shared" si="227"/>
        <v>8.1680043444391135</v>
      </c>
      <c r="R450" s="690">
        <f t="shared" si="228"/>
        <v>1.4480594745803768</v>
      </c>
      <c r="S450" s="677">
        <f t="shared" si="206"/>
        <v>1.0203296939503108</v>
      </c>
      <c r="T450" s="680">
        <f t="shared" si="207"/>
        <v>0.19995575137804994</v>
      </c>
      <c r="U450" s="681">
        <f t="shared" si="219"/>
        <v>0.66998914422981093</v>
      </c>
      <c r="V450" s="682">
        <f t="shared" si="220"/>
        <v>-1.0971551742792069</v>
      </c>
      <c r="W450" s="683">
        <f t="shared" si="208"/>
        <v>-16.427012779582526</v>
      </c>
      <c r="X450" s="684">
        <f t="shared" si="209"/>
        <v>-186.44001935177303</v>
      </c>
      <c r="Y450" s="687">
        <f t="shared" si="210"/>
        <v>-6.4400193517730315</v>
      </c>
      <c r="AA450" s="170">
        <f t="shared" si="211"/>
        <v>48141.75</v>
      </c>
      <c r="AB450" s="170">
        <f t="shared" si="212"/>
        <v>2317628093.0625</v>
      </c>
      <c r="AD450" s="686">
        <f t="shared" si="213"/>
        <v>11.975299043986499</v>
      </c>
      <c r="AE450" s="687">
        <f t="shared" si="214"/>
        <v>-18.488766438864708</v>
      </c>
      <c r="AG450" s="686">
        <f t="shared" si="215"/>
        <v>20.516309343559968</v>
      </c>
      <c r="AH450" s="687">
        <f t="shared" si="216"/>
        <v>-42.226530854969191</v>
      </c>
      <c r="AJ450" s="170">
        <f t="shared" si="217"/>
        <v>0</v>
      </c>
      <c r="AK450" s="170">
        <f t="shared" si="229"/>
        <v>0</v>
      </c>
      <c r="AM450" s="170" t="str">
        <f t="shared" si="221"/>
        <v>1.32020441428728+0.947348474992672i</v>
      </c>
      <c r="AN450" s="170" t="str">
        <f t="shared" si="222"/>
        <v>1.89674158140284i</v>
      </c>
      <c r="AO450" s="170" t="str">
        <f t="shared" si="223"/>
        <v>0.499461014764071-0.696038104100006i</v>
      </c>
      <c r="AP450" s="170" t="str">
        <f t="shared" si="224"/>
        <v>-0.053367402381213-0.157891412498779i</v>
      </c>
      <c r="AQ450" s="170" t="str">
        <f t="shared" si="225"/>
        <v>1.05336740238121+0.157891412498779i</v>
      </c>
      <c r="AR450" s="170" t="str">
        <f t="shared" si="226"/>
        <v>0.773420286109924-0.115929561853778i</v>
      </c>
    </row>
    <row r="451" spans="7:44">
      <c r="G451" s="688">
        <v>48420.5</v>
      </c>
      <c r="H451" s="676">
        <f t="shared" si="218"/>
        <v>48.420499999999997</v>
      </c>
      <c r="I451" s="677">
        <f t="shared" si="198"/>
        <v>16.588585127542533</v>
      </c>
      <c r="J451" s="678">
        <f t="shared" si="199"/>
        <v>1.5104773395810682</v>
      </c>
      <c r="K451" s="678">
        <f t="shared" si="200"/>
        <v>1.0018494681197256</v>
      </c>
      <c r="L451" s="679">
        <f t="shared" si="201"/>
        <v>6.0772068707530019E-2</v>
      </c>
      <c r="M451" s="678">
        <f t="shared" si="202"/>
        <v>1.0796199466567202</v>
      </c>
      <c r="N451" s="679">
        <f t="shared" si="203"/>
        <v>-0.38645271344056875</v>
      </c>
      <c r="O451" s="677">
        <f t="shared" si="204"/>
        <v>365081.96858374967</v>
      </c>
      <c r="P451" s="680">
        <f t="shared" si="205"/>
        <v>1.5707935876839954</v>
      </c>
      <c r="Q451" s="689">
        <f t="shared" si="227"/>
        <v>8.2145917849905832</v>
      </c>
      <c r="R451" s="690">
        <f t="shared" si="228"/>
        <v>1.4487590388613887</v>
      </c>
      <c r="S451" s="677">
        <f t="shared" si="206"/>
        <v>1.0205634222679509</v>
      </c>
      <c r="T451" s="680">
        <f t="shared" si="207"/>
        <v>0.20108266106959172</v>
      </c>
      <c r="U451" s="681">
        <f t="shared" si="219"/>
        <v>0.66772898059217944</v>
      </c>
      <c r="V451" s="682">
        <f t="shared" si="220"/>
        <v>-1.1018537396371788</v>
      </c>
      <c r="W451" s="683">
        <f t="shared" si="208"/>
        <v>-16.501792466764996</v>
      </c>
      <c r="X451" s="684">
        <f t="shared" si="209"/>
        <v>-186.84892457073551</v>
      </c>
      <c r="Y451" s="687">
        <f t="shared" si="210"/>
        <v>-6.8489245707355053</v>
      </c>
      <c r="AA451" s="170">
        <f t="shared" si="211"/>
        <v>48420.5</v>
      </c>
      <c r="AB451" s="170">
        <f t="shared" si="212"/>
        <v>2344544820.25</v>
      </c>
      <c r="AD451" s="686">
        <f t="shared" si="213"/>
        <v>11.972562182575956</v>
      </c>
      <c r="AE451" s="687">
        <f t="shared" si="214"/>
        <v>-18.513252436020213</v>
      </c>
      <c r="AG451" s="686">
        <f t="shared" si="215"/>
        <v>20.502968123863276</v>
      </c>
      <c r="AH451" s="687">
        <f t="shared" si="216"/>
        <v>-42.072534146604603</v>
      </c>
      <c r="AJ451" s="170">
        <f t="shared" si="217"/>
        <v>0</v>
      </c>
      <c r="AK451" s="170">
        <f t="shared" si="229"/>
        <v>0</v>
      </c>
      <c r="AM451" s="170" t="str">
        <f t="shared" si="221"/>
        <v>1.33058914813047+0.94377476928469i</v>
      </c>
      <c r="AN451" s="170" t="str">
        <f t="shared" si="222"/>
        <v>1.90772408029032i</v>
      </c>
      <c r="AO451" s="170" t="str">
        <f t="shared" si="223"/>
        <v>0.494712405758942-0.697474630570255i</v>
      </c>
      <c r="AP451" s="170" t="str">
        <f t="shared" si="224"/>
        <v>-0.0550981913550783-0.157295794880782i</v>
      </c>
      <c r="AQ451" s="170" t="str">
        <f t="shared" si="225"/>
        <v>1.05509819135508+0.157295794880782i</v>
      </c>
      <c r="AR451" s="170" t="str">
        <f t="shared" si="226"/>
        <v>0.772334578336937-0.1151409247109i</v>
      </c>
    </row>
    <row r="452" spans="7:44">
      <c r="G452" s="688">
        <v>48699.25</v>
      </c>
      <c r="H452" s="676">
        <f t="shared" si="218"/>
        <v>48.699249999999999</v>
      </c>
      <c r="I452" s="677">
        <f t="shared" si="198"/>
        <v>16.683737228375403</v>
      </c>
      <c r="J452" s="678">
        <f t="shared" si="199"/>
        <v>1.5108217701825681</v>
      </c>
      <c r="K452" s="678">
        <f t="shared" si="200"/>
        <v>1.0018708037298603</v>
      </c>
      <c r="L452" s="679">
        <f t="shared" si="201"/>
        <v>6.1121056757202578E-2</v>
      </c>
      <c r="M452" s="678">
        <f t="shared" si="202"/>
        <v>1.0805050436546368</v>
      </c>
      <c r="N452" s="679">
        <f t="shared" si="203"/>
        <v>-0.38846084022227945</v>
      </c>
      <c r="O452" s="677">
        <f t="shared" si="204"/>
        <v>367183.69406659179</v>
      </c>
      <c r="P452" s="680">
        <f t="shared" si="205"/>
        <v>1.5707936033624126</v>
      </c>
      <c r="Q452" s="689">
        <f t="shared" si="227"/>
        <v>8.2611832003397865</v>
      </c>
      <c r="R452" s="690">
        <f t="shared" si="228"/>
        <v>1.4494507126734195</v>
      </c>
      <c r="S452" s="677">
        <f t="shared" si="206"/>
        <v>1.0207984460305988</v>
      </c>
      <c r="T452" s="680">
        <f t="shared" si="207"/>
        <v>0.20220905328240132</v>
      </c>
      <c r="U452" s="681">
        <f t="shared" si="219"/>
        <v>0.66547528760512231</v>
      </c>
      <c r="V452" s="682">
        <f t="shared" si="220"/>
        <v>-1.1065380613756708</v>
      </c>
      <c r="W452" s="683">
        <f t="shared" si="208"/>
        <v>-16.576270044083536</v>
      </c>
      <c r="X452" s="684">
        <f t="shared" si="209"/>
        <v>-187.25702093142084</v>
      </c>
      <c r="Y452" s="687">
        <f t="shared" si="210"/>
        <v>-7.2570209314208398</v>
      </c>
      <c r="AA452" s="170">
        <f t="shared" si="211"/>
        <v>48699.25</v>
      </c>
      <c r="AB452" s="170">
        <f t="shared" si="212"/>
        <v>2371616950.5625</v>
      </c>
      <c r="AD452" s="686">
        <f t="shared" si="213"/>
        <v>11.969827425925448</v>
      </c>
      <c r="AE452" s="687">
        <f t="shared" si="214"/>
        <v>-18.53816086399711</v>
      </c>
      <c r="AG452" s="686">
        <f t="shared" si="215"/>
        <v>20.489957029987821</v>
      </c>
      <c r="AH452" s="687">
        <f t="shared" si="216"/>
        <v>-41.918938347705691</v>
      </c>
      <c r="AJ452" s="170">
        <f t="shared" si="217"/>
        <v>0</v>
      </c>
      <c r="AK452" s="170">
        <f t="shared" si="229"/>
        <v>0</v>
      </c>
      <c r="AM452" s="170" t="str">
        <f t="shared" si="221"/>
        <v>1.34093400827117+0.940087231061115i</v>
      </c>
      <c r="AN452" s="170" t="str">
        <f t="shared" si="222"/>
        <v>1.91870657917779i</v>
      </c>
      <c r="AO452" s="170" t="str">
        <f t="shared" si="223"/>
        <v>0.489958830215699-0.698873930398358i</v>
      </c>
      <c r="AP452" s="170" t="str">
        <f t="shared" si="224"/>
        <v>-0.0568223347118617-0.156681205176852i</v>
      </c>
      <c r="AQ452" s="170" t="str">
        <f t="shared" si="225"/>
        <v>1.05682233471186+0.156681205176852i</v>
      </c>
      <c r="AR452" s="170" t="str">
        <f t="shared" si="226"/>
        <v>0.771259586644149-0.114344556857377i</v>
      </c>
    </row>
    <row r="453" spans="7:44">
      <c r="G453" s="688">
        <v>48978</v>
      </c>
      <c r="H453" s="676">
        <f t="shared" si="218"/>
        <v>48.978000000000002</v>
      </c>
      <c r="I453" s="677">
        <f t="shared" si="198"/>
        <v>16.778891285992358</v>
      </c>
      <c r="J453" s="678">
        <f t="shared" si="199"/>
        <v>1.5111622942525784</v>
      </c>
      <c r="K453" s="678">
        <f t="shared" si="200"/>
        <v>1.0018922613552983</v>
      </c>
      <c r="L453" s="679">
        <f t="shared" si="201"/>
        <v>6.1470029900752989E-2</v>
      </c>
      <c r="M453" s="678">
        <f t="shared" si="202"/>
        <v>1.0813944907253985</v>
      </c>
      <c r="N453" s="679">
        <f t="shared" si="203"/>
        <v>-0.39046567170862995</v>
      </c>
      <c r="O453" s="677">
        <f t="shared" si="204"/>
        <v>369285.41954943404</v>
      </c>
      <c r="P453" s="680">
        <f t="shared" si="205"/>
        <v>1.5707936188623679</v>
      </c>
      <c r="Q453" s="689">
        <f t="shared" si="227"/>
        <v>8.3077785236127273</v>
      </c>
      <c r="R453" s="690">
        <f t="shared" si="228"/>
        <v>1.4501346281133831</v>
      </c>
      <c r="S453" s="677">
        <f t="shared" si="206"/>
        <v>1.0210347643436903</v>
      </c>
      <c r="T453" s="680">
        <f t="shared" si="207"/>
        <v>0.20333492551657098</v>
      </c>
      <c r="U453" s="681">
        <f t="shared" si="219"/>
        <v>0.6632280992257632</v>
      </c>
      <c r="V453" s="682">
        <f t="shared" si="220"/>
        <v>-1.1112082807416881</v>
      </c>
      <c r="W453" s="683">
        <f t="shared" si="208"/>
        <v>-16.650448530158489</v>
      </c>
      <c r="X453" s="684">
        <f t="shared" si="209"/>
        <v>-187.66431222462458</v>
      </c>
      <c r="Y453" s="687">
        <f t="shared" si="210"/>
        <v>-7.6643122246245809</v>
      </c>
      <c r="AA453" s="170">
        <f t="shared" si="211"/>
        <v>48978</v>
      </c>
      <c r="AB453" s="170">
        <f t="shared" si="212"/>
        <v>2398844484</v>
      </c>
      <c r="AD453" s="686">
        <f t="shared" si="213"/>
        <v>11.967094504873732</v>
      </c>
      <c r="AE453" s="687">
        <f t="shared" si="214"/>
        <v>-18.563484011143217</v>
      </c>
      <c r="AG453" s="686">
        <f t="shared" si="215"/>
        <v>20.477272055365518</v>
      </c>
      <c r="AH453" s="687">
        <f t="shared" si="216"/>
        <v>-41.765738775005758</v>
      </c>
      <c r="AJ453" s="170">
        <f t="shared" si="217"/>
        <v>0</v>
      </c>
      <c r="AK453" s="170">
        <f t="shared" si="229"/>
        <v>0</v>
      </c>
      <c r="AM453" s="170" t="str">
        <f t="shared" si="221"/>
        <v>1.35123774697371+0.936286305090934i</v>
      </c>
      <c r="AN453" s="170" t="str">
        <f t="shared" si="222"/>
        <v>1.92968907806526i</v>
      </c>
      <c r="AO453" s="170" t="str">
        <f t="shared" si="223"/>
        <v>0.485200603420356-0.700235992592384i</v>
      </c>
      <c r="AP453" s="170" t="str">
        <f t="shared" si="224"/>
        <v>-0.0585396244956178-0.156047717515156i</v>
      </c>
      <c r="AQ453" s="170" t="str">
        <f t="shared" si="225"/>
        <v>1.05853962449562+0.156047717515156i</v>
      </c>
      <c r="AR453" s="170" t="str">
        <f t="shared" si="226"/>
        <v>0.770195305254263-0.113540595594694i</v>
      </c>
    </row>
    <row r="454" spans="7:44">
      <c r="G454" s="688">
        <v>49263.25</v>
      </c>
      <c r="H454" s="676">
        <f t="shared" si="218"/>
        <v>49.263249999999999</v>
      </c>
      <c r="I454" s="677">
        <f t="shared" si="198"/>
        <v>16.876266173848581</v>
      </c>
      <c r="J454" s="678">
        <f t="shared" si="199"/>
        <v>1.5115067834179048</v>
      </c>
      <c r="K454" s="678">
        <f t="shared" si="200"/>
        <v>1.0019143456460182</v>
      </c>
      <c r="L454" s="679">
        <f t="shared" si="201"/>
        <v>6.182712501541613E-2</v>
      </c>
      <c r="M454" s="678">
        <f t="shared" si="202"/>
        <v>1.0823091704871068</v>
      </c>
      <c r="N454" s="679">
        <f t="shared" si="203"/>
        <v>-0.39251383285978431</v>
      </c>
      <c r="O454" s="677">
        <f t="shared" si="204"/>
        <v>371436.15387761616</v>
      </c>
      <c r="P454" s="680">
        <f t="shared" si="205"/>
        <v>1.5707936345421647</v>
      </c>
      <c r="Q454" s="689">
        <f t="shared" si="227"/>
        <v>8.3554643520693315</v>
      </c>
      <c r="R454" s="690">
        <f t="shared" si="228"/>
        <v>1.4508265942615783</v>
      </c>
      <c r="S454" s="677">
        <f t="shared" si="206"/>
        <v>1.0212779324633861</v>
      </c>
      <c r="T454" s="680">
        <f t="shared" si="207"/>
        <v>0.20448651036589846</v>
      </c>
      <c r="U454" s="681">
        <f t="shared" si="219"/>
        <v>0.66093527725907508</v>
      </c>
      <c r="V454" s="682">
        <f t="shared" si="220"/>
        <v>-1.1159729498845365</v>
      </c>
      <c r="W454" s="683">
        <f t="shared" si="208"/>
        <v>-16.72605020795498</v>
      </c>
      <c r="X454" s="684">
        <f t="shared" si="209"/>
        <v>-188.0802714899377</v>
      </c>
      <c r="Y454" s="687">
        <f t="shared" si="210"/>
        <v>-8.0802714899377008</v>
      </c>
      <c r="AA454" s="170">
        <f t="shared" si="211"/>
        <v>49263.25</v>
      </c>
      <c r="AB454" s="170">
        <f t="shared" si="212"/>
        <v>2426867800.5625</v>
      </c>
      <c r="AD454" s="686">
        <f t="shared" si="213"/>
        <v>11.964299484360186</v>
      </c>
      <c r="AE454" s="687">
        <f t="shared" si="214"/>
        <v>-18.589819121319643</v>
      </c>
      <c r="AG454" s="686">
        <f t="shared" si="215"/>
        <v>20.464624797803765</v>
      </c>
      <c r="AH454" s="687">
        <f t="shared" si="216"/>
        <v>-41.609372064195696</v>
      </c>
      <c r="AJ454" s="170">
        <f t="shared" si="217"/>
        <v>0</v>
      </c>
      <c r="AK454" s="170">
        <f t="shared" si="229"/>
        <v>0</v>
      </c>
      <c r="AM454" s="170" t="str">
        <f t="shared" si="221"/>
        <v>1.36173788473016+0.932279841437616i</v>
      </c>
      <c r="AN454" s="170" t="str">
        <f t="shared" si="222"/>
        <v>1.9409276710972i</v>
      </c>
      <c r="AO454" s="170" t="str">
        <f t="shared" si="223"/>
        <v>0.480326936093709-0.701591257112829i</v>
      </c>
      <c r="AP454" s="170" t="str">
        <f t="shared" si="224"/>
        <v>-0.0602896474550273-0.155379973572936i</v>
      </c>
      <c r="AQ454" s="170" t="str">
        <f t="shared" si="225"/>
        <v>1.06028964745503+0.155379973572936i</v>
      </c>
      <c r="AR454" s="170" t="str">
        <f t="shared" si="226"/>
        <v>0.769117287067146-0.112710167477185i</v>
      </c>
    </row>
    <row r="455" spans="7:44">
      <c r="G455" s="688">
        <v>49548.5</v>
      </c>
      <c r="H455" s="676">
        <f t="shared" si="218"/>
        <v>49.548499999999997</v>
      </c>
      <c r="I455" s="677">
        <f t="shared" si="198"/>
        <v>16.973643041479267</v>
      </c>
      <c r="J455" s="678">
        <f t="shared" si="199"/>
        <v>1.5118473199920206</v>
      </c>
      <c r="K455" s="678">
        <f t="shared" si="200"/>
        <v>1.0019365576921289</v>
      </c>
      <c r="L455" s="679">
        <f t="shared" si="201"/>
        <v>6.218420434264639E-2</v>
      </c>
      <c r="M455" s="678">
        <f t="shared" si="202"/>
        <v>1.0832283828182467</v>
      </c>
      <c r="N455" s="679">
        <f t="shared" si="203"/>
        <v>-0.39455852649491108</v>
      </c>
      <c r="O455" s="677">
        <f t="shared" si="204"/>
        <v>373586.88820579846</v>
      </c>
      <c r="P455" s="680">
        <f t="shared" si="205"/>
        <v>1.5707936500414248</v>
      </c>
      <c r="Q455" s="689">
        <f t="shared" si="227"/>
        <v>8.4031541358580331</v>
      </c>
      <c r="R455" s="690">
        <f t="shared" si="228"/>
        <v>1.4515107066081745</v>
      </c>
      <c r="S455" s="677">
        <f t="shared" si="206"/>
        <v>1.0215224543025803</v>
      </c>
      <c r="T455" s="680">
        <f t="shared" si="207"/>
        <v>0.20563754543130927</v>
      </c>
      <c r="U455" s="681">
        <f t="shared" si="219"/>
        <v>0.65864933236380618</v>
      </c>
      <c r="V455" s="682">
        <f t="shared" si="220"/>
        <v>-1.1207231502813084</v>
      </c>
      <c r="W455" s="683">
        <f t="shared" si="208"/>
        <v>-16.801344939520064</v>
      </c>
      <c r="X455" s="684">
        <f t="shared" si="209"/>
        <v>-188.49539599993253</v>
      </c>
      <c r="Y455" s="687">
        <f t="shared" si="210"/>
        <v>-8.4953959999325264</v>
      </c>
      <c r="AA455" s="170">
        <f t="shared" si="211"/>
        <v>49548.5</v>
      </c>
      <c r="AB455" s="170">
        <f t="shared" si="212"/>
        <v>2455053852.25</v>
      </c>
      <c r="AD455" s="686">
        <f t="shared" si="213"/>
        <v>11.961505841013375</v>
      </c>
      <c r="AE455" s="687">
        <f t="shared" si="214"/>
        <v>-18.616572710539263</v>
      </c>
      <c r="AG455" s="686">
        <f t="shared" si="215"/>
        <v>20.452310786021272</v>
      </c>
      <c r="AH455" s="687">
        <f t="shared" si="216"/>
        <v>-41.453410115196135</v>
      </c>
      <c r="AJ455" s="170">
        <f t="shared" si="217"/>
        <v>0</v>
      </c>
      <c r="AK455" s="170">
        <f t="shared" si="229"/>
        <v>0</v>
      </c>
      <c r="AM455" s="170" t="str">
        <f t="shared" si="221"/>
        <v>1.37219233331189+0.928155626510904i</v>
      </c>
      <c r="AN455" s="170" t="str">
        <f t="shared" si="222"/>
        <v>1.95216626412913i</v>
      </c>
      <c r="AO455" s="170" t="str">
        <f t="shared" si="223"/>
        <v>0.475449065771536-0.702907512810663i</v>
      </c>
      <c r="AP455" s="170" t="str">
        <f t="shared" si="224"/>
        <v>-0.062032055551982-0.154692604418484i</v>
      </c>
      <c r="AQ455" s="170" t="str">
        <f t="shared" si="225"/>
        <v>1.06203205555198+0.154692604418484i</v>
      </c>
      <c r="AR455" s="170" t="str">
        <f t="shared" si="226"/>
        <v>0.768050468396909-0.111872072655475i</v>
      </c>
    </row>
    <row r="456" spans="7:44">
      <c r="G456" s="688">
        <v>49833.75</v>
      </c>
      <c r="H456" s="676">
        <f t="shared" si="218"/>
        <v>49.833750000000002</v>
      </c>
      <c r="I456" s="677">
        <f t="shared" si="198"/>
        <v>17.071021855005199</v>
      </c>
      <c r="J456" s="678">
        <f t="shared" si="199"/>
        <v>1.5121839715359644</v>
      </c>
      <c r="K456" s="678">
        <f t="shared" si="200"/>
        <v>1.0019588974851337</v>
      </c>
      <c r="L456" s="679">
        <f t="shared" si="201"/>
        <v>6.2541267792437502E-2</v>
      </c>
      <c r="M456" s="678">
        <f t="shared" si="202"/>
        <v>1.0841521161898262</v>
      </c>
      <c r="N456" s="679">
        <f t="shared" si="203"/>
        <v>-0.39659974435894457</v>
      </c>
      <c r="O456" s="677">
        <f t="shared" si="204"/>
        <v>375737.62253398076</v>
      </c>
      <c r="P456" s="680">
        <f t="shared" si="205"/>
        <v>1.5707936653632486</v>
      </c>
      <c r="Q456" s="689">
        <f t="shared" si="227"/>
        <v>8.4508478080166967</v>
      </c>
      <c r="R456" s="690">
        <f t="shared" si="228"/>
        <v>1.4521870974797935</v>
      </c>
      <c r="S456" s="677">
        <f t="shared" si="206"/>
        <v>1.0217683288893882</v>
      </c>
      <c r="T456" s="680">
        <f t="shared" si="207"/>
        <v>0.20678802805864241</v>
      </c>
      <c r="U456" s="681">
        <f t="shared" si="219"/>
        <v>0.65637029455615303</v>
      </c>
      <c r="V456" s="682">
        <f t="shared" si="220"/>
        <v>-1.1254590329664989</v>
      </c>
      <c r="W456" s="683">
        <f t="shared" si="208"/>
        <v>-16.876335820853576</v>
      </c>
      <c r="X456" s="684">
        <f t="shared" si="209"/>
        <v>-188.90969007773563</v>
      </c>
      <c r="Y456" s="687">
        <f t="shared" si="210"/>
        <v>-8.9096900777356325</v>
      </c>
      <c r="AA456" s="170">
        <f t="shared" si="211"/>
        <v>49833.75</v>
      </c>
      <c r="AB456" s="170">
        <f t="shared" si="212"/>
        <v>2483402639.0625</v>
      </c>
      <c r="AD456" s="686">
        <f t="shared" si="213"/>
        <v>11.958713311449142</v>
      </c>
      <c r="AE456" s="687">
        <f t="shared" si="214"/>
        <v>-18.643737045150512</v>
      </c>
      <c r="AG456" s="686">
        <f t="shared" si="215"/>
        <v>20.440325955912414</v>
      </c>
      <c r="AH456" s="687">
        <f t="shared" si="216"/>
        <v>-41.297847677506844</v>
      </c>
      <c r="AJ456" s="170">
        <f t="shared" si="217"/>
        <v>0</v>
      </c>
      <c r="AK456" s="170">
        <f t="shared" si="229"/>
        <v>0</v>
      </c>
      <c r="AM456" s="170" t="str">
        <f t="shared" si="221"/>
        <v>1.3825997722735+0.92391418121829i</v>
      </c>
      <c r="AN456" s="170" t="str">
        <f t="shared" si="222"/>
        <v>1.96340485716107i</v>
      </c>
      <c r="AO456" s="170" t="str">
        <f t="shared" si="223"/>
        <v>0.470567329936322-0.704184757020837i</v>
      </c>
      <c r="AP456" s="170" t="str">
        <f t="shared" si="224"/>
        <v>-0.0637666287122507-0.153985696869715i</v>
      </c>
      <c r="AQ456" s="170" t="str">
        <f t="shared" si="225"/>
        <v>1.06376662871225+0.153985696869715i</v>
      </c>
      <c r="AR456" s="170" t="str">
        <f t="shared" si="226"/>
        <v>0.766994839240117-0.111026452257521i</v>
      </c>
    </row>
    <row r="457" spans="7:44">
      <c r="G457" s="688">
        <v>50119</v>
      </c>
      <c r="H457" s="676">
        <f t="shared" si="218"/>
        <v>50.119</v>
      </c>
      <c r="I457" s="677">
        <f t="shared" si="198"/>
        <v>17.168402581315156</v>
      </c>
      <c r="J457" s="678">
        <f t="shared" si="199"/>
        <v>1.5125168040814947</v>
      </c>
      <c r="K457" s="678">
        <f t="shared" si="200"/>
        <v>1.0019813650164882</v>
      </c>
      <c r="L457" s="679">
        <f t="shared" si="201"/>
        <v>6.2898315274807437E-2</v>
      </c>
      <c r="M457" s="678">
        <f t="shared" si="202"/>
        <v>1.0850803590555043</v>
      </c>
      <c r="N457" s="679">
        <f t="shared" si="203"/>
        <v>-0.39863747834071567</v>
      </c>
      <c r="O457" s="677">
        <f t="shared" si="204"/>
        <v>377888.35686216317</v>
      </c>
      <c r="P457" s="680">
        <f t="shared" si="205"/>
        <v>1.5707936805106653</v>
      </c>
      <c r="Q457" s="689">
        <f t="shared" si="227"/>
        <v>8.4985453030809559</v>
      </c>
      <c r="R457" s="690">
        <f t="shared" si="228"/>
        <v>1.4528558962609883</v>
      </c>
      <c r="S457" s="677">
        <f t="shared" si="206"/>
        <v>1.0220155552474848</v>
      </c>
      <c r="T457" s="680">
        <f t="shared" si="207"/>
        <v>0.20793795560213382</v>
      </c>
      <c r="U457" s="681">
        <f t="shared" si="219"/>
        <v>0.654098191796184</v>
      </c>
      <c r="V457" s="682">
        <f t="shared" si="220"/>
        <v>-1.1301807488316025</v>
      </c>
      <c r="W457" s="683">
        <f t="shared" si="208"/>
        <v>-16.951025903843263</v>
      </c>
      <c r="X457" s="684">
        <f t="shared" si="209"/>
        <v>-189.32315812794724</v>
      </c>
      <c r="Y457" s="687">
        <f t="shared" si="210"/>
        <v>-9.323158127947238</v>
      </c>
      <c r="AA457" s="170">
        <f t="shared" si="211"/>
        <v>50119</v>
      </c>
      <c r="AB457" s="170">
        <f t="shared" si="212"/>
        <v>2511914161</v>
      </c>
      <c r="AD457" s="686">
        <f t="shared" si="213"/>
        <v>11.955921640176674</v>
      </c>
      <c r="AE457" s="687">
        <f t="shared" si="214"/>
        <v>-18.671304560547004</v>
      </c>
      <c r="AG457" s="686">
        <f t="shared" si="215"/>
        <v>20.428666317734066</v>
      </c>
      <c r="AH457" s="687">
        <f t="shared" si="216"/>
        <v>-41.142679429442921</v>
      </c>
      <c r="AJ457" s="170">
        <f t="shared" si="217"/>
        <v>0</v>
      </c>
      <c r="AK457" s="170">
        <f t="shared" si="229"/>
        <v>0</v>
      </c>
      <c r="AM457" s="170" t="str">
        <f t="shared" si="221"/>
        <v>1.39295888710711+0.919556041274017i</v>
      </c>
      <c r="AN457" s="170" t="str">
        <f t="shared" si="222"/>
        <v>1.974643450193i</v>
      </c>
      <c r="AO457" s="170" t="str">
        <f t="shared" si="223"/>
        <v>0.46568206588594-0.705422990145873i</v>
      </c>
      <c r="AP457" s="170" t="str">
        <f t="shared" si="224"/>
        <v>-0.065493147851185-0.153259340212336i</v>
      </c>
      <c r="AQ457" s="170" t="str">
        <f t="shared" si="225"/>
        <v>1.06549314785119+0.153259340212336i</v>
      </c>
      <c r="AR457" s="170" t="str">
        <f t="shared" si="226"/>
        <v>0.765950388412037-0.110173445413659i</v>
      </c>
    </row>
    <row r="458" spans="7:44">
      <c r="G458" s="688">
        <v>50410.75</v>
      </c>
      <c r="H458" s="676">
        <f t="shared" si="218"/>
        <v>50.41075</v>
      </c>
      <c r="I458" s="677">
        <f t="shared" si="198"/>
        <v>17.268004269983123</v>
      </c>
      <c r="J458" s="678">
        <f t="shared" si="199"/>
        <v>1.5128533376334448</v>
      </c>
      <c r="K458" s="678">
        <f t="shared" si="200"/>
        <v>1.002004476644853</v>
      </c>
      <c r="L458" s="679">
        <f t="shared" si="201"/>
        <v>6.3263482197380205E-2</v>
      </c>
      <c r="M458" s="678">
        <f t="shared" si="202"/>
        <v>1.0860344065677172</v>
      </c>
      <c r="N458" s="679">
        <f t="shared" si="203"/>
        <v>-0.40071803405397016</v>
      </c>
      <c r="O458" s="677">
        <f t="shared" si="204"/>
        <v>380088.10003568558</v>
      </c>
      <c r="P458" s="680">
        <f t="shared" si="205"/>
        <v>1.570793695825919</v>
      </c>
      <c r="Q458" s="689">
        <f t="shared" si="227"/>
        <v>8.5473335702048221</v>
      </c>
      <c r="R458" s="690">
        <f t="shared" si="228"/>
        <v>1.4535322132744701</v>
      </c>
      <c r="S458" s="677">
        <f t="shared" si="206"/>
        <v>1.0222698124640182</v>
      </c>
      <c r="T458" s="680">
        <f t="shared" si="207"/>
        <v>0.20911350962795236</v>
      </c>
      <c r="U458" s="681">
        <f t="shared" si="219"/>
        <v>0.65178151549206653</v>
      </c>
      <c r="V458" s="682">
        <f t="shared" si="220"/>
        <v>-1.1349955609524667</v>
      </c>
      <c r="W458" s="683">
        <f t="shared" si="208"/>
        <v>-17.027109930102625</v>
      </c>
      <c r="X458" s="684">
        <f t="shared" si="209"/>
        <v>-189.74519808350786</v>
      </c>
      <c r="Y458" s="687">
        <f t="shared" si="210"/>
        <v>-9.7451980835078587</v>
      </c>
      <c r="AA458" s="170">
        <f t="shared" si="211"/>
        <v>50410.75</v>
      </c>
      <c r="AB458" s="170">
        <f t="shared" si="212"/>
        <v>2541243715.5625</v>
      </c>
      <c r="AD458" s="686">
        <f t="shared" si="213"/>
        <v>11.95306698456341</v>
      </c>
      <c r="AE458" s="687">
        <f t="shared" si="214"/>
        <v>-18.699909611862701</v>
      </c>
      <c r="AG458" s="686">
        <f t="shared" si="215"/>
        <v>20.417073300581027</v>
      </c>
      <c r="AH458" s="687">
        <f t="shared" si="216"/>
        <v>-40.984377505709475</v>
      </c>
      <c r="AJ458" s="170">
        <f t="shared" si="217"/>
        <v>0</v>
      </c>
      <c r="AK458" s="170">
        <f t="shared" si="229"/>
        <v>0</v>
      </c>
      <c r="AM458" s="170" t="str">
        <f t="shared" si="221"/>
        <v>1.40350270326154+0.914978452457012i</v>
      </c>
      <c r="AN458" s="170" t="str">
        <f t="shared" si="222"/>
        <v>1.9861381373694i</v>
      </c>
      <c r="AO458" s="170" t="str">
        <f t="shared" si="223"/>
        <v>0.460682182795645-0.706649087923185i</v>
      </c>
      <c r="AP458" s="170" t="str">
        <f t="shared" si="224"/>
        <v>-0.0672504505435902-0.152496408742835i</v>
      </c>
      <c r="AQ458" s="170" t="str">
        <f t="shared" si="225"/>
        <v>1.06725045054359+0.152496408742835i</v>
      </c>
      <c r="AR458" s="170" t="str">
        <f t="shared" si="226"/>
        <v>0.764893688122196-0.109293503178458i</v>
      </c>
    </row>
    <row r="459" spans="7:44">
      <c r="G459" s="688">
        <v>50702.5</v>
      </c>
      <c r="H459" s="676">
        <f t="shared" si="218"/>
        <v>50.702500000000001</v>
      </c>
      <c r="I459" s="677">
        <f t="shared" si="198"/>
        <v>17.36760789190452</v>
      </c>
      <c r="J459" s="678">
        <f t="shared" si="199"/>
        <v>1.5131860111677315</v>
      </c>
      <c r="K459" s="678">
        <f t="shared" si="200"/>
        <v>1.0020277218812161</v>
      </c>
      <c r="L459" s="679">
        <f t="shared" si="201"/>
        <v>6.3628632226214399E-2</v>
      </c>
      <c r="M459" s="678">
        <f t="shared" si="202"/>
        <v>1.086993146946013</v>
      </c>
      <c r="N459" s="679">
        <f t="shared" si="203"/>
        <v>-0.40279492859648758</v>
      </c>
      <c r="O459" s="677">
        <f t="shared" si="204"/>
        <v>382287.84320920799</v>
      </c>
      <c r="P459" s="680">
        <f t="shared" si="205"/>
        <v>1.5707937109649199</v>
      </c>
      <c r="Q459" s="689">
        <f t="shared" si="227"/>
        <v>8.5961257025395899</v>
      </c>
      <c r="R459" s="690">
        <f t="shared" si="228"/>
        <v>1.4542008529578954</v>
      </c>
      <c r="S459" s="677">
        <f t="shared" si="206"/>
        <v>1.0225254816793876</v>
      </c>
      <c r="T459" s="680">
        <f t="shared" si="207"/>
        <v>0.21028847741278564</v>
      </c>
      <c r="U459" s="681">
        <f t="shared" si="219"/>
        <v>0.6494721466697716</v>
      </c>
      <c r="V459" s="682">
        <f t="shared" si="220"/>
        <v>-1.139795872023508</v>
      </c>
      <c r="W459" s="683">
        <f t="shared" si="208"/>
        <v>-17.102885615279106</v>
      </c>
      <c r="X459" s="684">
        <f t="shared" si="209"/>
        <v>-190.16638350507921</v>
      </c>
      <c r="Y459" s="687">
        <f t="shared" si="210"/>
        <v>-10.16638350507921</v>
      </c>
      <c r="AA459" s="170">
        <f t="shared" si="211"/>
        <v>50702.5</v>
      </c>
      <c r="AB459" s="170">
        <f t="shared" si="212"/>
        <v>2570743506.25</v>
      </c>
      <c r="AD459" s="686">
        <f t="shared" si="213"/>
        <v>11.950212710342718</v>
      </c>
      <c r="AE459" s="687">
        <f t="shared" si="214"/>
        <v>-18.728920942556258</v>
      </c>
      <c r="AG459" s="686">
        <f t="shared" si="215"/>
        <v>20.405812254139576</v>
      </c>
      <c r="AH459" s="687">
        <f t="shared" si="216"/>
        <v>-40.826476466517519</v>
      </c>
      <c r="AJ459" s="170">
        <f t="shared" si="217"/>
        <v>0</v>
      </c>
      <c r="AK459" s="170">
        <f t="shared" si="229"/>
        <v>0</v>
      </c>
      <c r="AM459" s="170" t="str">
        <f t="shared" si="221"/>
        <v>1.41399320606509+0.910279970850701i</v>
      </c>
      <c r="AN459" s="170" t="str">
        <f t="shared" si="222"/>
        <v>1.9976328245458i</v>
      </c>
      <c r="AO459" s="170" t="str">
        <f t="shared" si="223"/>
        <v>0.455679321878219-0.707834387125967i</v>
      </c>
      <c r="AP459" s="170" t="str">
        <f t="shared" si="224"/>
        <v>-0.0689988676775142-0.151713328475117i</v>
      </c>
      <c r="AQ459" s="170" t="str">
        <f t="shared" si="225"/>
        <v>1.06899886767751+0.151713328475117i</v>
      </c>
      <c r="AR459" s="170" t="str">
        <f t="shared" si="226"/>
        <v>0.763848654173892-0.108406122101637i</v>
      </c>
    </row>
    <row r="460" spans="7:44">
      <c r="G460" s="688">
        <v>50994.25</v>
      </c>
      <c r="H460" s="676">
        <f t="shared" si="218"/>
        <v>50.994250000000001</v>
      </c>
      <c r="I460" s="677">
        <f t="shared" si="198"/>
        <v>17.467213414007254</v>
      </c>
      <c r="J460" s="678">
        <f t="shared" si="199"/>
        <v>1.5135148906444984</v>
      </c>
      <c r="K460" s="678">
        <f t="shared" si="200"/>
        <v>1.0020511007162789</v>
      </c>
      <c r="L460" s="679">
        <f t="shared" si="201"/>
        <v>6.3993765265114883E-2</v>
      </c>
      <c r="M460" s="678">
        <f t="shared" si="202"/>
        <v>1.0879565677839032</v>
      </c>
      <c r="N460" s="679">
        <f t="shared" si="203"/>
        <v>-0.40486815375367952</v>
      </c>
      <c r="O460" s="677">
        <f t="shared" si="204"/>
        <v>384487.58638273051</v>
      </c>
      <c r="P460" s="680">
        <f t="shared" si="205"/>
        <v>1.5707937259306934</v>
      </c>
      <c r="Q460" s="689">
        <f t="shared" si="227"/>
        <v>8.6449216346392497</v>
      </c>
      <c r="R460" s="690">
        <f t="shared" si="228"/>
        <v>1.4548619447114692</v>
      </c>
      <c r="S460" s="677">
        <f t="shared" si="206"/>
        <v>1.0227825618347033</v>
      </c>
      <c r="T460" s="680">
        <f t="shared" si="207"/>
        <v>0.2114628561532885</v>
      </c>
      <c r="U460" s="681">
        <f t="shared" si="219"/>
        <v>0.64717010886459259</v>
      </c>
      <c r="V460" s="682">
        <f t="shared" si="220"/>
        <v>-1.1445818429247383</v>
      </c>
      <c r="W460" s="683">
        <f t="shared" si="208"/>
        <v>-17.178356089649483</v>
      </c>
      <c r="X460" s="684">
        <f t="shared" si="209"/>
        <v>-190.58671934996298</v>
      </c>
      <c r="Y460" s="687">
        <f t="shared" si="210"/>
        <v>-10.586719349962976</v>
      </c>
      <c r="AA460" s="170">
        <f t="shared" si="211"/>
        <v>50994.25</v>
      </c>
      <c r="AB460" s="170">
        <f t="shared" si="212"/>
        <v>2600413533.0625</v>
      </c>
      <c r="AD460" s="686">
        <f t="shared" si="213"/>
        <v>11.947358568114714</v>
      </c>
      <c r="AE460" s="687">
        <f t="shared" si="214"/>
        <v>-18.758330978095547</v>
      </c>
      <c r="AG460" s="686">
        <f t="shared" si="215"/>
        <v>20.394879141841045</v>
      </c>
      <c r="AH460" s="687">
        <f t="shared" si="216"/>
        <v>-40.668970408209489</v>
      </c>
      <c r="AJ460" s="170">
        <f t="shared" si="217"/>
        <v>0</v>
      </c>
      <c r="AK460" s="170">
        <f t="shared" si="229"/>
        <v>0</v>
      </c>
      <c r="AM460" s="170" t="str">
        <f t="shared" si="221"/>
        <v>1.42442900944559+0.905461217248446i</v>
      </c>
      <c r="AN460" s="170" t="str">
        <f t="shared" si="222"/>
        <v>2.00912751172219i</v>
      </c>
      <c r="AO460" s="170" t="str">
        <f t="shared" si="223"/>
        <v>0.450673843230737-0.708978898121102i</v>
      </c>
      <c r="AP460" s="170" t="str">
        <f t="shared" si="224"/>
        <v>-0.0707381682409313-0.150910202874741i</v>
      </c>
      <c r="AQ460" s="170" t="str">
        <f t="shared" si="225"/>
        <v>1.07073816824093+0.150910202874741i</v>
      </c>
      <c r="AR460" s="170" t="str">
        <f t="shared" si="226"/>
        <v>0.76281527109225-0.107511444656542i</v>
      </c>
    </row>
    <row r="461" spans="7:44">
      <c r="G461" s="688">
        <v>51286</v>
      </c>
      <c r="H461" s="676">
        <f t="shared" si="218"/>
        <v>51.286000000000001</v>
      </c>
      <c r="I461" s="677">
        <f t="shared" ref="I461:I524" si="230">SQRT(1+(G461/pole1)^2)</f>
        <v>17.566820803968721</v>
      </c>
      <c r="J461" s="678">
        <f t="shared" ref="J461:J524" si="231">ATAN(G461/pole1)</f>
        <v>1.5138400405311854</v>
      </c>
      <c r="K461" s="678">
        <f t="shared" ref="K461:K524" si="232">SQRT(1+(G461/Zero1)^2)</f>
        <v>1.0020746131406908</v>
      </c>
      <c r="L461" s="679">
        <f t="shared" ref="L461:L524" si="233">ATAN(G461/Zero1)</f>
        <v>6.4358881217913583E-2</v>
      </c>
      <c r="M461" s="678">
        <f t="shared" ref="M461:M524" si="234">SQRT(1+(G461/z_RHP)^2)</f>
        <v>1.0889246566583461</v>
      </c>
      <c r="N461" s="679">
        <f t="shared" ref="N461:N524" si="235">-ATAN(G461/z_RHP)</f>
        <v>-0.40693770146613312</v>
      </c>
      <c r="O461" s="677">
        <f t="shared" ref="O461:O524" si="236">SQRT(1+(G461/Pole2)^2)</f>
        <v>386687.3295562531</v>
      </c>
      <c r="P461" s="680">
        <f t="shared" ref="P461:P524" si="237">ATAN(G461/Pole2)</f>
        <v>1.5707937407261958</v>
      </c>
      <c r="Q461" s="689">
        <f t="shared" si="227"/>
        <v>8.6937213025220839</v>
      </c>
      <c r="R461" s="690">
        <f t="shared" si="228"/>
        <v>1.4555156150567266</v>
      </c>
      <c r="S461" s="677">
        <f t="shared" ref="S461:S524" si="238">SQRT(1+(G461/pole4)^2)</f>
        <v>1.0230410518662991</v>
      </c>
      <c r="T461" s="680">
        <f t="shared" ref="T461:T524" si="239">ATAN(G461/pole4)</f>
        <v>0.21263664305542498</v>
      </c>
      <c r="U461" s="681">
        <f t="shared" si="219"/>
        <v>0.64487542355837169</v>
      </c>
      <c r="V461" s="682">
        <f t="shared" si="220"/>
        <v>-1.1493536343151793</v>
      </c>
      <c r="W461" s="683">
        <f t="shared" ref="W461:W524" si="240">20*LOG10(((K461*Q461*M461*U461)/(I461*O461*S461))*Adc)</f>
        <v>-17.253524440586951</v>
      </c>
      <c r="X461" s="684">
        <f t="shared" ref="X461:X524" si="241">((L461+R461+N461+V461)-(J461+P461+T461))*radconv</f>
        <v>-191.00621065162795</v>
      </c>
      <c r="Y461" s="687">
        <f t="shared" ref="Y461:Y524" si="242">IF(X461&gt;0,X461,X461+180)</f>
        <v>-11.006210651627953</v>
      </c>
      <c r="AA461" s="170">
        <f t="shared" ref="AA461:AA524" si="243">IF(W461&lt;0,G461,1000000000)</f>
        <v>51286</v>
      </c>
      <c r="AB461" s="170">
        <f t="shared" ref="AB461:AB524" si="244">G461^2</f>
        <v>2630253796</v>
      </c>
      <c r="AD461" s="686">
        <f t="shared" ref="AD461:AD524" si="245">20*LOG10((Q461/(O461*S461))*Aea)</f>
        <v>11.944504316027199</v>
      </c>
      <c r="AE461" s="687">
        <f t="shared" ref="AE461:AE524" si="246">(R461-(P461+T461))*radconv</f>
        <v>-18.788132309413491</v>
      </c>
      <c r="AG461" s="686">
        <f t="shared" ref="AG461:AG524" si="247">20*LOG10((K461*M461/(I461*U461))*Acs*Am)</f>
        <v>20.384270002389894</v>
      </c>
      <c r="AH461" s="687">
        <f t="shared" ref="AH461:AH524" si="248">(L461+N461-(J461+V461))*radconv</f>
        <v>-40.511853363153428</v>
      </c>
      <c r="AJ461" s="170">
        <f t="shared" ref="AJ461:AJ524" si="249">SUM((W462&lt;0)*(W461&gt;0))*G461</f>
        <v>0</v>
      </c>
      <c r="AK461" s="170">
        <f t="shared" si="229"/>
        <v>0</v>
      </c>
      <c r="AM461" s="170" t="str">
        <f t="shared" si="221"/>
        <v>1.43480873455816+0.900522828334701i</v>
      </c>
      <c r="AN461" s="170" t="str">
        <f t="shared" si="222"/>
        <v>2.02062219889859i</v>
      </c>
      <c r="AO461" s="170" t="str">
        <f t="shared" si="223"/>
        <v>0.445666106620803-0.710082634616334i</v>
      </c>
      <c r="AP461" s="170" t="str">
        <f t="shared" si="224"/>
        <v>-0.0724681224263605-0.150087138055783i</v>
      </c>
      <c r="AQ461" s="170" t="str">
        <f t="shared" si="225"/>
        <v>1.07246812242636+0.150087138055783i</v>
      </c>
      <c r="AR461" s="170" t="str">
        <f t="shared" si="226"/>
        <v>0.761793522326323-0.106609611199183i</v>
      </c>
    </row>
    <row r="462" spans="7:44">
      <c r="G462" s="688">
        <v>51584.75</v>
      </c>
      <c r="H462" s="676">
        <f t="shared" ref="H462:H525" si="250">G462/1000</f>
        <v>51.58475</v>
      </c>
      <c r="I462" s="677">
        <f t="shared" si="230"/>
        <v>17.668819991084526</v>
      </c>
      <c r="J462" s="678">
        <f t="shared" si="231"/>
        <v>1.514169192711869</v>
      </c>
      <c r="K462" s="678">
        <f t="shared" si="232"/>
        <v>1.0020988281279277</v>
      </c>
      <c r="L462" s="679">
        <f t="shared" si="233"/>
        <v>6.4732739644273368E-2</v>
      </c>
      <c r="M462" s="678">
        <f t="shared" si="234"/>
        <v>1.089920797417407</v>
      </c>
      <c r="N462" s="679">
        <f t="shared" si="235"/>
        <v>-0.40905308502696031</v>
      </c>
      <c r="O462" s="677">
        <f t="shared" si="236"/>
        <v>388939.85148629558</v>
      </c>
      <c r="P462" s="680">
        <f t="shared" si="237"/>
        <v>1.5707937557032583</v>
      </c>
      <c r="Q462" s="689">
        <f t="shared" si="227"/>
        <v>8.7436956338744274</v>
      </c>
      <c r="R462" s="690">
        <f t="shared" si="228"/>
        <v>1.4561774075890737</v>
      </c>
      <c r="S462" s="677">
        <f t="shared" si="238"/>
        <v>1.0233072037937321</v>
      </c>
      <c r="T462" s="680">
        <f t="shared" si="239"/>
        <v>0.21383797657913364</v>
      </c>
      <c r="U462" s="681">
        <f t="shared" ref="U462:U525" si="251">IMABS(IMPRODUCT(AO462, AR462))</f>
        <v>0.64253332109664263</v>
      </c>
      <c r="V462" s="682">
        <f t="shared" ref="V462:V525" si="252">IMARGUMENT(IMPRODUCT(AO462, AR462))</f>
        <v>-1.1542253896500132</v>
      </c>
      <c r="W462" s="683">
        <f t="shared" si="240"/>
        <v>-17.330186414118216</v>
      </c>
      <c r="X462" s="684">
        <f t="shared" si="241"/>
        <v>-191.43489702231753</v>
      </c>
      <c r="Y462" s="687">
        <f t="shared" si="242"/>
        <v>-11.434897022317529</v>
      </c>
      <c r="AA462" s="170">
        <f t="shared" si="243"/>
        <v>51584.75</v>
      </c>
      <c r="AB462" s="170">
        <f t="shared" si="244"/>
        <v>2660986432.5625</v>
      </c>
      <c r="AD462" s="686">
        <f t="shared" si="245"/>
        <v>11.941581222648486</v>
      </c>
      <c r="AE462" s="687">
        <f t="shared" si="246"/>
        <v>-18.819046589250608</v>
      </c>
      <c r="AG462" s="686">
        <f t="shared" si="247"/>
        <v>20.373737981848826</v>
      </c>
      <c r="AH462" s="687">
        <f t="shared" si="248"/>
        <v>-40.351363414355355</v>
      </c>
      <c r="AJ462" s="170">
        <f t="shared" si="249"/>
        <v>0</v>
      </c>
      <c r="AK462" s="170">
        <f t="shared" si="229"/>
        <v>0</v>
      </c>
      <c r="AM462" s="170" t="str">
        <f t="shared" ref="AM462:AM525" si="253">IMSUB(1,IMEXP(COMPLEX(0,-2*Pi*G462*Tsw)))</f>
        <v>1.44537795676152+0.895342658221384i</v>
      </c>
      <c r="AN462" s="170" t="str">
        <f t="shared" ref="AN462:AN525" si="254">COMPLEX(0, 2*Pi*G462*Tsw)</f>
        <v>2.03239267976902i</v>
      </c>
      <c r="AO462" s="170" t="str">
        <f t="shared" ref="AO462:AO525" si="255">IMDIV(AM462, AN462)</f>
        <v>0.440536254206121-0.711170617346342i</v>
      </c>
      <c r="AP462" s="170" t="str">
        <f t="shared" ref="AP462:AP525" si="256">IMDIV(IMEXP(COMPLEX(0,-2*Pi*G462*Tsw)),6)</f>
        <v>-0.0742296594602532-0.149223776370231i</v>
      </c>
      <c r="AQ462" s="170" t="str">
        <f t="shared" ref="AQ462:AQ525" si="257">IMSUB(1, AP462)</f>
        <v>1.07422965946025+0.149223776370231i</v>
      </c>
      <c r="AR462" s="170" t="str">
        <f t="shared" ref="AR462:AR525" si="258">IMDIV(0.833, AQ462)</f>
        <v>0.760759296609675-0.105678868712205i</v>
      </c>
    </row>
    <row r="463" spans="7:44">
      <c r="G463" s="688">
        <v>51883.5</v>
      </c>
      <c r="H463" s="676">
        <f t="shared" si="250"/>
        <v>51.883499999999998</v>
      </c>
      <c r="I463" s="677">
        <f t="shared" si="230"/>
        <v>17.770821070486065</v>
      </c>
      <c r="J463" s="678">
        <f t="shared" si="231"/>
        <v>1.5144945663876259</v>
      </c>
      <c r="K463" s="678">
        <f t="shared" si="232"/>
        <v>1.0021231831718609</v>
      </c>
      <c r="L463" s="679">
        <f t="shared" si="233"/>
        <v>6.5106579950788626E-2</v>
      </c>
      <c r="M463" s="678">
        <f t="shared" si="234"/>
        <v>1.0909218064862494</v>
      </c>
      <c r="N463" s="679">
        <f t="shared" si="235"/>
        <v>-0.41116459595074445</v>
      </c>
      <c r="O463" s="677">
        <f t="shared" si="236"/>
        <v>391192.37341633817</v>
      </c>
      <c r="P463" s="680">
        <f t="shared" si="237"/>
        <v>1.5707937705078421</v>
      </c>
      <c r="Q463" s="689">
        <f t="shared" si="227"/>
        <v>8.793673751170882</v>
      </c>
      <c r="R463" s="690">
        <f t="shared" si="228"/>
        <v>1.4568316779190431</v>
      </c>
      <c r="S463" s="677">
        <f t="shared" si="238"/>
        <v>1.0235748317911446</v>
      </c>
      <c r="T463" s="680">
        <f t="shared" si="239"/>
        <v>0.21503868362395054</v>
      </c>
      <c r="U463" s="681">
        <f t="shared" si="251"/>
        <v>0.64019896738319115</v>
      </c>
      <c r="V463" s="682">
        <f t="shared" si="252"/>
        <v>-1.1590826170809942</v>
      </c>
      <c r="W463" s="683">
        <f t="shared" si="240"/>
        <v>-17.406538012273156</v>
      </c>
      <c r="X463" s="684">
        <f t="shared" si="241"/>
        <v>-191.86270875144763</v>
      </c>
      <c r="Y463" s="687">
        <f t="shared" si="242"/>
        <v>-11.862708751447627</v>
      </c>
      <c r="AA463" s="170">
        <f t="shared" si="243"/>
        <v>51883.5</v>
      </c>
      <c r="AB463" s="170">
        <f t="shared" si="244"/>
        <v>2691897572.25</v>
      </c>
      <c r="AD463" s="686">
        <f t="shared" si="245"/>
        <v>11.938657523981654</v>
      </c>
      <c r="AE463" s="687">
        <f t="shared" si="246"/>
        <v>-18.850355955058312</v>
      </c>
      <c r="AG463" s="686">
        <f t="shared" si="247"/>
        <v>20.363537495583351</v>
      </c>
      <c r="AH463" s="687">
        <f t="shared" si="248"/>
        <v>-40.191268513180958</v>
      </c>
      <c r="AJ463" s="170">
        <f t="shared" si="249"/>
        <v>0</v>
      </c>
      <c r="AK463" s="170">
        <f t="shared" si="229"/>
        <v>0</v>
      </c>
      <c r="AM463" s="170" t="str">
        <f t="shared" si="253"/>
        <v>1.45588547513568+0.890038444990054i</v>
      </c>
      <c r="AN463" s="170" t="str">
        <f t="shared" si="254"/>
        <v>2.04416316063945i</v>
      </c>
      <c r="AO463" s="170" t="str">
        <f t="shared" si="255"/>
        <v>0.435404796509313-0.712215885291785i</v>
      </c>
      <c r="AP463" s="170" t="str">
        <f t="shared" si="256"/>
        <v>-0.0759809125226137-0.148339740831676i</v>
      </c>
      <c r="AQ463" s="170" t="str">
        <f t="shared" si="257"/>
        <v>1.07598091252261+0.148339740831676i</v>
      </c>
      <c r="AR463" s="170" t="str">
        <f t="shared" si="258"/>
        <v>0.759737231832006-0.10474091385684i</v>
      </c>
    </row>
    <row r="464" spans="7:44">
      <c r="G464" s="688">
        <v>52182.25</v>
      </c>
      <c r="H464" s="676">
        <f t="shared" si="250"/>
        <v>52.182250000000003</v>
      </c>
      <c r="I464" s="677">
        <f t="shared" si="230"/>
        <v>17.87282400977524</v>
      </c>
      <c r="J464" s="678">
        <f t="shared" si="231"/>
        <v>1.514816226182482</v>
      </c>
      <c r="K464" s="678">
        <f t="shared" si="232"/>
        <v>1.0021476782622787</v>
      </c>
      <c r="L464" s="679">
        <f t="shared" si="233"/>
        <v>6.5480402034291021E-2</v>
      </c>
      <c r="M464" s="678">
        <f t="shared" si="234"/>
        <v>1.091927670476013</v>
      </c>
      <c r="N464" s="679">
        <f t="shared" si="235"/>
        <v>-0.41327222608573572</v>
      </c>
      <c r="O464" s="677">
        <f t="shared" si="236"/>
        <v>393444.89534638094</v>
      </c>
      <c r="P464" s="680">
        <f t="shared" si="237"/>
        <v>1.5707937851429097</v>
      </c>
      <c r="Q464" s="689">
        <f t="shared" si="227"/>
        <v>8.8436555902249712</v>
      </c>
      <c r="R464" s="690">
        <f t="shared" si="228"/>
        <v>1.4574785530217638</v>
      </c>
      <c r="S464" s="677">
        <f t="shared" si="238"/>
        <v>1.0238439347010233</v>
      </c>
      <c r="T464" s="680">
        <f t="shared" si="239"/>
        <v>0.21623876122040214</v>
      </c>
      <c r="U464" s="681">
        <f t="shared" si="251"/>
        <v>0.63787237910017136</v>
      </c>
      <c r="V464" s="682">
        <f t="shared" si="252"/>
        <v>-1.1639254882981651</v>
      </c>
      <c r="W464" s="683">
        <f t="shared" si="240"/>
        <v>-17.482582418202856</v>
      </c>
      <c r="X464" s="684">
        <f t="shared" si="241"/>
        <v>-192.28965147255965</v>
      </c>
      <c r="Y464" s="687">
        <f t="shared" si="242"/>
        <v>-12.289651472559655</v>
      </c>
      <c r="AA464" s="170">
        <f t="shared" si="243"/>
        <v>52182.25</v>
      </c>
      <c r="AB464" s="170">
        <f t="shared" si="244"/>
        <v>2722987215.0625</v>
      </c>
      <c r="AD464" s="686">
        <f t="shared" si="245"/>
        <v>11.935732983348386</v>
      </c>
      <c r="AE464" s="687">
        <f t="shared" si="246"/>
        <v>-18.88205296172903</v>
      </c>
      <c r="AG464" s="686">
        <f t="shared" si="247"/>
        <v>20.353664526284089</v>
      </c>
      <c r="AH464" s="687">
        <f t="shared" si="248"/>
        <v>-40.031562064049609</v>
      </c>
      <c r="AJ464" s="170">
        <f t="shared" si="249"/>
        <v>0</v>
      </c>
      <c r="AK464" s="170">
        <f t="shared" si="229"/>
        <v>0</v>
      </c>
      <c r="AM464" s="170" t="str">
        <f t="shared" si="253"/>
        <v>1.46632983394152+0.88461092350031i</v>
      </c>
      <c r="AN464" s="170" t="str">
        <f t="shared" si="254"/>
        <v>2.05593364150988i</v>
      </c>
      <c r="AO464" s="170" t="str">
        <f t="shared" si="255"/>
        <v>0.430272118535232-0.713218464028171i</v>
      </c>
      <c r="AP464" s="170" t="str">
        <f t="shared" si="256"/>
        <v>-0.077721638990254-0.147435153916718i</v>
      </c>
      <c r="AQ464" s="170" t="str">
        <f t="shared" si="257"/>
        <v>1.07772163899025+0.147435153916718i</v>
      </c>
      <c r="AR464" s="170" t="str">
        <f t="shared" si="258"/>
        <v>0.758727307048768-0.10379589056072i</v>
      </c>
    </row>
    <row r="465" spans="7:44">
      <c r="G465" s="688">
        <v>52481</v>
      </c>
      <c r="H465" s="676">
        <f t="shared" si="250"/>
        <v>52.481000000000002</v>
      </c>
      <c r="I465" s="677">
        <f t="shared" si="230"/>
        <v>17.974828777288767</v>
      </c>
      <c r="J465" s="678">
        <f t="shared" si="231"/>
        <v>1.5151342352566466</v>
      </c>
      <c r="K465" s="678">
        <f t="shared" si="232"/>
        <v>1.0021723133889122</v>
      </c>
      <c r="L465" s="679">
        <f t="shared" si="233"/>
        <v>6.5854205791642584E-2</v>
      </c>
      <c r="M465" s="678">
        <f t="shared" si="234"/>
        <v>1.0929383759823095</v>
      </c>
      <c r="N465" s="679">
        <f t="shared" si="235"/>
        <v>-0.41537596744803085</v>
      </c>
      <c r="O465" s="677">
        <f t="shared" si="236"/>
        <v>395697.41727642366</v>
      </c>
      <c r="P465" s="680">
        <f t="shared" si="237"/>
        <v>1.5707937996113561</v>
      </c>
      <c r="Q465" s="689">
        <f t="shared" si="227"/>
        <v>8.8936410882883941</v>
      </c>
      <c r="R465" s="690">
        <f t="shared" si="228"/>
        <v>1.4581181570428554</v>
      </c>
      <c r="S465" s="677">
        <f t="shared" si="238"/>
        <v>1.024114511360696</v>
      </c>
      <c r="T465" s="680">
        <f t="shared" si="239"/>
        <v>0.21743820640937961</v>
      </c>
      <c r="U465" s="681">
        <f t="shared" si="251"/>
        <v>0.63555357087885822</v>
      </c>
      <c r="V465" s="682">
        <f t="shared" si="252"/>
        <v>-1.1687541746887689</v>
      </c>
      <c r="W465" s="683">
        <f t="shared" si="240"/>
        <v>-17.558322773168701</v>
      </c>
      <c r="X465" s="684">
        <f t="shared" si="241"/>
        <v>-192.71573089029957</v>
      </c>
      <c r="Y465" s="687">
        <f t="shared" si="242"/>
        <v>-12.715730890299568</v>
      </c>
      <c r="AA465" s="170">
        <f t="shared" si="243"/>
        <v>52481</v>
      </c>
      <c r="AB465" s="170">
        <f t="shared" si="244"/>
        <v>2754255361</v>
      </c>
      <c r="AD465" s="686">
        <f t="shared" si="245"/>
        <v>11.932807371321566</v>
      </c>
      <c r="AE465" s="687">
        <f t="shared" si="246"/>
        <v>-18.914130326864132</v>
      </c>
      <c r="AG465" s="686">
        <f t="shared" si="247"/>
        <v>20.344115133209527</v>
      </c>
      <c r="AH465" s="687">
        <f t="shared" si="248"/>
        <v>-39.872237414474426</v>
      </c>
      <c r="AJ465" s="170">
        <f t="shared" si="249"/>
        <v>0</v>
      </c>
      <c r="AK465" s="170">
        <f t="shared" si="229"/>
        <v>0</v>
      </c>
      <c r="AM465" s="170" t="str">
        <f t="shared" si="253"/>
        <v>1.47670958619022+0.879060845695196i</v>
      </c>
      <c r="AN465" s="170" t="str">
        <f t="shared" si="254"/>
        <v>2.06770412238032i</v>
      </c>
      <c r="AO465" s="170" t="str">
        <f t="shared" si="255"/>
        <v>0.425138604784146-0.714178382780534i</v>
      </c>
      <c r="AP465" s="170" t="str">
        <f t="shared" si="256"/>
        <v>-0.0794515976983693-0.146510140949199i</v>
      </c>
      <c r="AQ465" s="170" t="str">
        <f t="shared" si="257"/>
        <v>1.07945159769837+0.146510140949199i</v>
      </c>
      <c r="AR465" s="170" t="str">
        <f t="shared" si="258"/>
        <v>0.757729500353677-0.102843940510989i</v>
      </c>
    </row>
    <row r="466" spans="7:44">
      <c r="G466" s="688">
        <v>52786.5</v>
      </c>
      <c r="H466" s="676">
        <f t="shared" si="250"/>
        <v>52.786499999999997</v>
      </c>
      <c r="I466" s="677">
        <f t="shared" si="230"/>
        <v>18.079140113439486</v>
      </c>
      <c r="J466" s="678">
        <f t="shared" si="231"/>
        <v>1.5154557184115347</v>
      </c>
      <c r="K466" s="678">
        <f t="shared" si="232"/>
        <v>1.0021976499322984</v>
      </c>
      <c r="L466" s="679">
        <f t="shared" si="233"/>
        <v>6.6236436264909881E-2</v>
      </c>
      <c r="M466" s="678">
        <f t="shared" si="234"/>
        <v>1.0939769103677144</v>
      </c>
      <c r="N466" s="679">
        <f t="shared" si="235"/>
        <v>-0.41752321133781994</v>
      </c>
      <c r="O466" s="677">
        <f t="shared" si="236"/>
        <v>398000.83300739632</v>
      </c>
      <c r="P466" s="680">
        <f t="shared" si="237"/>
        <v>1.5707938142373412</v>
      </c>
      <c r="Q466" s="689">
        <f t="shared" si="227"/>
        <v>8.9447596858427971</v>
      </c>
      <c r="R466" s="690">
        <f t="shared" si="228"/>
        <v>1.4587648194738327</v>
      </c>
      <c r="S466" s="677">
        <f t="shared" si="238"/>
        <v>1.024392724324233</v>
      </c>
      <c r="T466" s="680">
        <f t="shared" si="239"/>
        <v>0.21866409495933262</v>
      </c>
      <c r="U466" s="681">
        <f t="shared" si="251"/>
        <v>0.63319043004657327</v>
      </c>
      <c r="V466" s="682">
        <f t="shared" si="252"/>
        <v>-1.1736774701615609</v>
      </c>
      <c r="W466" s="683">
        <f t="shared" si="240"/>
        <v>-17.635463213651256</v>
      </c>
      <c r="X466" s="684">
        <f t="shared" si="241"/>
        <v>-193.15055044020181</v>
      </c>
      <c r="Y466" s="687">
        <f t="shared" si="242"/>
        <v>-13.150550440201812</v>
      </c>
      <c r="AA466" s="170">
        <f t="shared" si="243"/>
        <v>52786.5</v>
      </c>
      <c r="AB466" s="170">
        <f t="shared" si="244"/>
        <v>2786414582.25</v>
      </c>
      <c r="AD466" s="686">
        <f t="shared" si="245"/>
        <v>11.929814317919892</v>
      </c>
      <c r="AE466" s="687">
        <f t="shared" si="246"/>
        <v>-18.947318376910317</v>
      </c>
      <c r="AG466" s="686">
        <f t="shared" si="247"/>
        <v>20.334680577684438</v>
      </c>
      <c r="AH466" s="687">
        <f t="shared" si="248"/>
        <v>-39.709700809912157</v>
      </c>
      <c r="AJ466" s="170">
        <f t="shared" si="249"/>
        <v>0</v>
      </c>
      <c r="AK466" s="170">
        <f t="shared" si="229"/>
        <v>0</v>
      </c>
      <c r="AM466" s="170" t="str">
        <f t="shared" si="253"/>
        <v>1.48725554910678+0.873259428729313i</v>
      </c>
      <c r="AN466" s="170" t="str">
        <f t="shared" si="254"/>
        <v>2.07974054717i</v>
      </c>
      <c r="AO466" s="170" t="str">
        <f t="shared" si="255"/>
        <v>0.419888639435144-0.715115907669617i</v>
      </c>
      <c r="AP466" s="170" t="str">
        <f t="shared" si="256"/>
        <v>-0.0812092581844642-0.145543238121552i</v>
      </c>
      <c r="AQ466" s="170" t="str">
        <f t="shared" si="257"/>
        <v>1.08120925818446+0.145543238121552i</v>
      </c>
      <c r="AR466" s="170" t="str">
        <f t="shared" si="258"/>
        <v>0.756721657172835-0.101863463994545i</v>
      </c>
    </row>
    <row r="467" spans="7:44">
      <c r="G467" s="688">
        <v>53092</v>
      </c>
      <c r="H467" s="676">
        <f t="shared" si="250"/>
        <v>53.091999999999999</v>
      </c>
      <c r="I467" s="677">
        <f t="shared" si="230"/>
        <v>18.183453296657117</v>
      </c>
      <c r="J467" s="678">
        <f t="shared" si="231"/>
        <v>1.5157735130882304</v>
      </c>
      <c r="K467" s="678">
        <f t="shared" si="232"/>
        <v>1.0022231328894804</v>
      </c>
      <c r="L467" s="679">
        <f t="shared" si="233"/>
        <v>6.6618647356502539E-2</v>
      </c>
      <c r="M467" s="678">
        <f t="shared" si="234"/>
        <v>1.0950204791236027</v>
      </c>
      <c r="N467" s="679">
        <f t="shared" si="235"/>
        <v>-0.41966637239063487</v>
      </c>
      <c r="O467" s="677">
        <f t="shared" si="236"/>
        <v>400304.24873836909</v>
      </c>
      <c r="P467" s="680">
        <f t="shared" si="237"/>
        <v>1.5707938286950061</v>
      </c>
      <c r="Q467" s="689">
        <f t="shared" si="227"/>
        <v>8.9958819813372166</v>
      </c>
      <c r="R467" s="690">
        <f t="shared" si="228"/>
        <v>1.4594041323915949</v>
      </c>
      <c r="S467" s="677">
        <f t="shared" si="238"/>
        <v>1.0246724759106405</v>
      </c>
      <c r="T467" s="680">
        <f t="shared" si="239"/>
        <v>0.21988931597628214</v>
      </c>
      <c r="U467" s="681">
        <f t="shared" si="251"/>
        <v>0.63083544941128533</v>
      </c>
      <c r="V467" s="682">
        <f t="shared" si="252"/>
        <v>-1.1785862940415572</v>
      </c>
      <c r="W467" s="683">
        <f t="shared" si="240"/>
        <v>-17.712292223426928</v>
      </c>
      <c r="X467" s="684">
        <f t="shared" si="241"/>
        <v>-193.58447951546179</v>
      </c>
      <c r="Y467" s="687">
        <f t="shared" si="242"/>
        <v>-13.584479515461794</v>
      </c>
      <c r="AA467" s="170">
        <f t="shared" si="243"/>
        <v>53092</v>
      </c>
      <c r="AB467" s="170">
        <f t="shared" si="244"/>
        <v>2818760464</v>
      </c>
      <c r="AD467" s="686">
        <f t="shared" si="245"/>
        <v>11.926819681105368</v>
      </c>
      <c r="AE467" s="687">
        <f t="shared" si="246"/>
        <v>-18.980889266577829</v>
      </c>
      <c r="AG467" s="686">
        <f t="shared" si="247"/>
        <v>20.325576289438672</v>
      </c>
      <c r="AH467" s="687">
        <f t="shared" si="248"/>
        <v>-39.547549213468201</v>
      </c>
      <c r="AJ467" s="170">
        <f t="shared" si="249"/>
        <v>0</v>
      </c>
      <c r="AK467" s="170">
        <f t="shared" si="229"/>
        <v>0</v>
      </c>
      <c r="AM467" s="170" t="str">
        <f t="shared" si="253"/>
        <v>1.4977309214737+0.867331499375493i</v>
      </c>
      <c r="AN467" s="170" t="str">
        <f t="shared" si="254"/>
        <v>2.09177697195967i</v>
      </c>
      <c r="AO467" s="170" t="str">
        <f t="shared" si="255"/>
        <v>0.414638611573842-0.716008896527128i</v>
      </c>
      <c r="AP467" s="170" t="str">
        <f t="shared" si="256"/>
        <v>-0.0829551535789502-0.144555249895916i</v>
      </c>
      <c r="AQ467" s="170" t="str">
        <f t="shared" si="257"/>
        <v>1.08295515357895+0.144555249895916i</v>
      </c>
      <c r="AR467" s="170" t="str">
        <f t="shared" si="258"/>
        <v>0.75572643667619-0.100876036782914i</v>
      </c>
    </row>
    <row r="468" spans="7:44">
      <c r="G468" s="688">
        <v>53397.5</v>
      </c>
      <c r="H468" s="676">
        <f t="shared" si="250"/>
        <v>53.397500000000001</v>
      </c>
      <c r="I468" s="677">
        <f t="shared" si="230"/>
        <v>18.287768295334725</v>
      </c>
      <c r="J468" s="678">
        <f t="shared" si="231"/>
        <v>1.5160876823401757</v>
      </c>
      <c r="K468" s="678">
        <f t="shared" si="232"/>
        <v>1.0022487622492906</v>
      </c>
      <c r="L468" s="679">
        <f t="shared" si="233"/>
        <v>6.7000838956232323E-2</v>
      </c>
      <c r="M468" s="678">
        <f t="shared" si="234"/>
        <v>1.0960690678702829</v>
      </c>
      <c r="N468" s="679">
        <f t="shared" si="235"/>
        <v>-0.42180544260880026</v>
      </c>
      <c r="O468" s="677">
        <f t="shared" si="236"/>
        <v>402607.66446934198</v>
      </c>
      <c r="P468" s="680">
        <f t="shared" si="237"/>
        <v>1.570793842987239</v>
      </c>
      <c r="Q468" s="689">
        <f t="shared" si="227"/>
        <v>9.0470079120833518</v>
      </c>
      <c r="R468" s="690">
        <f t="shared" si="228"/>
        <v>1.4600362198684995</v>
      </c>
      <c r="S468" s="677">
        <f t="shared" si="238"/>
        <v>1.0249537648600604</v>
      </c>
      <c r="T468" s="680">
        <f t="shared" si="239"/>
        <v>0.22111386632980948</v>
      </c>
      <c r="U468" s="681">
        <f t="shared" si="251"/>
        <v>0.62848863828882873</v>
      </c>
      <c r="V468" s="682">
        <f t="shared" si="252"/>
        <v>-1.1834808285317993</v>
      </c>
      <c r="W468" s="683">
        <f t="shared" si="240"/>
        <v>-17.788813033496346</v>
      </c>
      <c r="X468" s="684">
        <f t="shared" si="241"/>
        <v>-194.01752442830434</v>
      </c>
      <c r="Y468" s="687">
        <f t="shared" si="242"/>
        <v>-14.017524428304341</v>
      </c>
      <c r="AA468" s="170">
        <f t="shared" si="243"/>
        <v>53397.5</v>
      </c>
      <c r="AB468" s="170">
        <f t="shared" si="244"/>
        <v>2851293006.25</v>
      </c>
      <c r="AD468" s="686">
        <f t="shared" si="245"/>
        <v>11.923823237539757</v>
      </c>
      <c r="AE468" s="687">
        <f t="shared" si="246"/>
        <v>-19.014835707849908</v>
      </c>
      <c r="AG468" s="686">
        <f t="shared" si="247"/>
        <v>20.316798293490145</v>
      </c>
      <c r="AH468" s="687">
        <f t="shared" si="248"/>
        <v>-39.385775346453642</v>
      </c>
      <c r="AJ468" s="170">
        <f t="shared" si="249"/>
        <v>0</v>
      </c>
      <c r="AK468" s="170">
        <f t="shared" si="229"/>
        <v>0</v>
      </c>
      <c r="AM468" s="170" t="str">
        <f t="shared" si="253"/>
        <v>1.50813418568427+0.861277916435216i</v>
      </c>
      <c r="AN468" s="170" t="str">
        <f t="shared" si="254"/>
        <v>2.10381339674935i</v>
      </c>
      <c r="AO468" s="170" t="str">
        <f t="shared" si="255"/>
        <v>0.409388930484993-0.716857392397312i</v>
      </c>
      <c r="AP468" s="170" t="str">
        <f t="shared" si="256"/>
        <v>-0.0846890309473778-0.143546319405869i</v>
      </c>
      <c r="AQ468" s="170" t="str">
        <f t="shared" si="257"/>
        <v>1.08468903094738+0.143546319405869i</v>
      </c>
      <c r="AR468" s="170" t="str">
        <f t="shared" si="258"/>
        <v>0.754743812657104-0.0998818032728273i</v>
      </c>
    </row>
    <row r="469" spans="7:44">
      <c r="G469" s="688">
        <v>53703</v>
      </c>
      <c r="H469" s="676">
        <f t="shared" si="250"/>
        <v>53.703000000000003</v>
      </c>
      <c r="I469" s="677">
        <f t="shared" si="230"/>
        <v>18.3920850785819</v>
      </c>
      <c r="J469" s="678">
        <f t="shared" si="231"/>
        <v>1.5163982877931987</v>
      </c>
      <c r="K469" s="678">
        <f t="shared" si="232"/>
        <v>1.0022745380004974</v>
      </c>
      <c r="L469" s="679">
        <f t="shared" si="233"/>
        <v>6.7383010953945069E-2</v>
      </c>
      <c r="M469" s="678">
        <f t="shared" si="234"/>
        <v>1.0971226622139978</v>
      </c>
      <c r="N469" s="679">
        <f t="shared" si="235"/>
        <v>-0.42394041417488654</v>
      </c>
      <c r="O469" s="677">
        <f t="shared" si="236"/>
        <v>404911.08020031487</v>
      </c>
      <c r="P469" s="680">
        <f t="shared" si="237"/>
        <v>1.5707938571168638</v>
      </c>
      <c r="Q469" s="689">
        <f t="shared" si="227"/>
        <v>9.0981374167975755</v>
      </c>
      <c r="R469" s="690">
        <f t="shared" si="228"/>
        <v>1.4606612032112607</v>
      </c>
      <c r="S469" s="677">
        <f t="shared" si="238"/>
        <v>1.0252365899070968</v>
      </c>
      <c r="T469" s="680">
        <f t="shared" si="239"/>
        <v>0.22233774290096736</v>
      </c>
      <c r="U469" s="681">
        <f t="shared" si="251"/>
        <v>0.62615000396765275</v>
      </c>
      <c r="V469" s="682">
        <f t="shared" si="252"/>
        <v>-1.1883612554505998</v>
      </c>
      <c r="W469" s="683">
        <f t="shared" si="240"/>
        <v>-17.865028834225612</v>
      </c>
      <c r="X469" s="684">
        <f t="shared" si="241"/>
        <v>-194.4496915565536</v>
      </c>
      <c r="Y469" s="687">
        <f t="shared" si="242"/>
        <v>-14.449691556553603</v>
      </c>
      <c r="AA469" s="170">
        <f t="shared" si="243"/>
        <v>53703</v>
      </c>
      <c r="AB469" s="170">
        <f t="shared" si="244"/>
        <v>2884012209</v>
      </c>
      <c r="AD469" s="686">
        <f t="shared" si="245"/>
        <v>11.920824770813326</v>
      </c>
      <c r="AE469" s="687">
        <f t="shared" si="246"/>
        <v>-19.04915057182308</v>
      </c>
      <c r="AG469" s="686">
        <f t="shared" si="247"/>
        <v>20.30834269233733</v>
      </c>
      <c r="AH469" s="687">
        <f t="shared" si="248"/>
        <v>-39.224371880752038</v>
      </c>
      <c r="AJ469" s="170">
        <f t="shared" si="249"/>
        <v>0</v>
      </c>
      <c r="AK469" s="170">
        <f t="shared" si="229"/>
        <v>0</v>
      </c>
      <c r="AM469" s="170" t="str">
        <f t="shared" si="253"/>
        <v>1.51846383457834+0.855099556913885i</v>
      </c>
      <c r="AN469" s="170" t="str">
        <f t="shared" si="254"/>
        <v>2.11584982153903i</v>
      </c>
      <c r="AO469" s="170" t="str">
        <f t="shared" si="255"/>
        <v>0.404140004743768-0.717661442282249i</v>
      </c>
      <c r="AP469" s="170" t="str">
        <f t="shared" si="256"/>
        <v>-0.0864106390963903-0.142516592818981i</v>
      </c>
      <c r="AQ469" s="170" t="str">
        <f t="shared" si="257"/>
        <v>1.08641063909639+0.142516592818981i</v>
      </c>
      <c r="AR469" s="170" t="str">
        <f t="shared" si="258"/>
        <v>0.753773758080887-0.0988809055178221i</v>
      </c>
    </row>
    <row r="470" spans="7:44">
      <c r="G470" s="688">
        <v>54015.75</v>
      </c>
      <c r="H470" s="676">
        <f t="shared" si="250"/>
        <v>54.015749999999997</v>
      </c>
      <c r="I470" s="677">
        <f t="shared" si="230"/>
        <v>18.498879281782315</v>
      </c>
      <c r="J470" s="678">
        <f t="shared" si="231"/>
        <v>1.5167126356272074</v>
      </c>
      <c r="K470" s="678">
        <f t="shared" si="232"/>
        <v>1.0023010770831793</v>
      </c>
      <c r="L470" s="679">
        <f t="shared" si="233"/>
        <v>6.7774232079594598E-2</v>
      </c>
      <c r="M470" s="678">
        <f t="shared" si="234"/>
        <v>1.0982064301747152</v>
      </c>
      <c r="N470" s="679">
        <f t="shared" si="235"/>
        <v>-0.42612179832454544</v>
      </c>
      <c r="O470" s="677">
        <f t="shared" si="236"/>
        <v>407269.15964339772</v>
      </c>
      <c r="P470" s="680">
        <f t="shared" si="237"/>
        <v>1.570793871416245</v>
      </c>
      <c r="Q470" s="689">
        <f t="shared" si="227"/>
        <v>9.1504839454778146</v>
      </c>
      <c r="R470" s="690">
        <f t="shared" si="228"/>
        <v>1.4612937832067068</v>
      </c>
      <c r="S470" s="677">
        <f t="shared" si="238"/>
        <v>1.0255277167257741</v>
      </c>
      <c r="T470" s="680">
        <f t="shared" si="239"/>
        <v>0.22358996280482155</v>
      </c>
      <c r="U470" s="681">
        <f t="shared" si="251"/>
        <v>0.62376434585293417</v>
      </c>
      <c r="V470" s="682">
        <f t="shared" si="252"/>
        <v>-1.1933430783268899</v>
      </c>
      <c r="W470" s="683">
        <f t="shared" si="240"/>
        <v>-17.942740693708657</v>
      </c>
      <c r="X470" s="684">
        <f t="shared" si="241"/>
        <v>-194.89121214311899</v>
      </c>
      <c r="Y470" s="687">
        <f t="shared" si="242"/>
        <v>-14.891212143118992</v>
      </c>
      <c r="AA470" s="170">
        <f t="shared" si="243"/>
        <v>54015.75</v>
      </c>
      <c r="AB470" s="170">
        <f t="shared" si="244"/>
        <v>2917701248.0625</v>
      </c>
      <c r="AD470" s="686">
        <f t="shared" si="245"/>
        <v>11.917752831048954</v>
      </c>
      <c r="AE470" s="687">
        <f t="shared" si="246"/>
        <v>-19.084654142727494</v>
      </c>
      <c r="AG470" s="686">
        <f t="shared" si="247"/>
        <v>20.300016398874167</v>
      </c>
      <c r="AH470" s="687">
        <f t="shared" si="248"/>
        <v>-39.059514045574396</v>
      </c>
      <c r="AJ470" s="170">
        <f t="shared" si="249"/>
        <v>0</v>
      </c>
      <c r="AK470" s="170">
        <f t="shared" si="229"/>
        <v>0</v>
      </c>
      <c r="AM470" s="170" t="str">
        <f t="shared" si="253"/>
        <v>1.52896080349742+0.848646256318475i</v>
      </c>
      <c r="AN470" s="170" t="str">
        <f t="shared" si="254"/>
        <v>2.12817188979754i</v>
      </c>
      <c r="AO470" s="170" t="str">
        <f t="shared" si="255"/>
        <v>0.398767721905776-0.718438586106348i</v>
      </c>
      <c r="AP470" s="170" t="str">
        <f t="shared" si="256"/>
        <v>-0.0881601339162368-0.141441042719746i</v>
      </c>
      <c r="AQ470" s="170" t="str">
        <f t="shared" si="257"/>
        <v>1.08816013391624+0.141441042719746i</v>
      </c>
      <c r="AR470" s="170" t="str">
        <f t="shared" si="258"/>
        <v>0.752793673951052-0.0978494974018789i</v>
      </c>
    </row>
    <row r="471" spans="7:44">
      <c r="G471" s="688">
        <v>54328.5</v>
      </c>
      <c r="H471" s="676">
        <f t="shared" si="250"/>
        <v>54.328499999999998</v>
      </c>
      <c r="I471" s="677">
        <f t="shared" si="230"/>
        <v>18.605675291956754</v>
      </c>
      <c r="J471" s="678">
        <f t="shared" si="231"/>
        <v>1.5170233747976194</v>
      </c>
      <c r="K471" s="678">
        <f t="shared" si="232"/>
        <v>1.0023277695638817</v>
      </c>
      <c r="L471" s="679">
        <f t="shared" si="233"/>
        <v>6.816543242829487E-2</v>
      </c>
      <c r="M471" s="678">
        <f t="shared" si="234"/>
        <v>1.0992954135629789</v>
      </c>
      <c r="N471" s="679">
        <f t="shared" si="235"/>
        <v>-0.42829887097359148</v>
      </c>
      <c r="O471" s="677">
        <f t="shared" si="236"/>
        <v>409627.23908648069</v>
      </c>
      <c r="P471" s="680">
        <f t="shared" si="237"/>
        <v>1.5707938855509935</v>
      </c>
      <c r="Q471" s="689">
        <f t="shared" ref="Q471:Q534" si="259">SQRT(1+(G471/Zero2)^2)</f>
        <v>9.20283409413614</v>
      </c>
      <c r="R471" s="690">
        <f t="shared" ref="R471:R534" si="260">ATAN(G471/Zero2)</f>
        <v>1.4619191666112246</v>
      </c>
      <c r="S471" s="677">
        <f t="shared" si="238"/>
        <v>1.0258204507137796</v>
      </c>
      <c r="T471" s="680">
        <f t="shared" si="239"/>
        <v>0.2248414699889161</v>
      </c>
      <c r="U471" s="681">
        <f t="shared" si="251"/>
        <v>0.6213872664128719</v>
      </c>
      <c r="V471" s="682">
        <f t="shared" si="252"/>
        <v>-1.1983105004348764</v>
      </c>
      <c r="W471" s="683">
        <f t="shared" si="240"/>
        <v>-18.020139536563711</v>
      </c>
      <c r="X471" s="684">
        <f t="shared" si="241"/>
        <v>-195.33182651390717</v>
      </c>
      <c r="Y471" s="687">
        <f t="shared" si="242"/>
        <v>-15.331826513907174</v>
      </c>
      <c r="AA471" s="170">
        <f t="shared" si="243"/>
        <v>54328.5</v>
      </c>
      <c r="AB471" s="170">
        <f t="shared" si="244"/>
        <v>2951585912.25</v>
      </c>
      <c r="AD471" s="686">
        <f t="shared" si="245"/>
        <v>11.914678333237674</v>
      </c>
      <c r="AE471" s="687">
        <f t="shared" si="246"/>
        <v>-19.120529202652452</v>
      </c>
      <c r="AG471" s="686">
        <f t="shared" si="247"/>
        <v>20.292019959788092</v>
      </c>
      <c r="AH471" s="687">
        <f t="shared" si="248"/>
        <v>-38.895028712091971</v>
      </c>
      <c r="AJ471" s="170">
        <f t="shared" si="249"/>
        <v>0</v>
      </c>
      <c r="AK471" s="170">
        <f t="shared" ref="AK471:AK534" si="261">IF(AJ471&gt;0,Y471,0)</f>
        <v>0</v>
      </c>
      <c r="AM471" s="170" t="str">
        <f t="shared" si="253"/>
        <v>1.53937745953332+0.842064104535626i</v>
      </c>
      <c r="AN471" s="170" t="str">
        <f t="shared" si="254"/>
        <v>2.14049395805604i</v>
      </c>
      <c r="AO471" s="170" t="str">
        <f t="shared" si="255"/>
        <v>0.393397094799732-0.719169261720952i</v>
      </c>
      <c r="AP471" s="170" t="str">
        <f t="shared" si="256"/>
        <v>-0.0898962432555527-0.140344017422604i</v>
      </c>
      <c r="AQ471" s="170" t="str">
        <f t="shared" si="257"/>
        <v>1.08989624325555+0.140344017422604i</v>
      </c>
      <c r="AR471" s="170" t="str">
        <f t="shared" si="258"/>
        <v>0.751826703157944-0.0968113988645406i</v>
      </c>
    </row>
    <row r="472" spans="7:44">
      <c r="G472" s="688">
        <v>54641.25</v>
      </c>
      <c r="H472" s="676">
        <f t="shared" si="250"/>
        <v>54.641249999999999</v>
      </c>
      <c r="I472" s="677">
        <f t="shared" si="230"/>
        <v>18.712473078166884</v>
      </c>
      <c r="J472" s="678">
        <f t="shared" si="231"/>
        <v>1.5173305670311346</v>
      </c>
      <c r="K472" s="678">
        <f t="shared" si="232"/>
        <v>1.0023546154303502</v>
      </c>
      <c r="L472" s="679">
        <f t="shared" si="233"/>
        <v>6.855661188197372E-2</v>
      </c>
      <c r="M472" s="678">
        <f t="shared" si="234"/>
        <v>1.1003895968946895</v>
      </c>
      <c r="N472" s="679">
        <f t="shared" si="235"/>
        <v>-0.43047162431604419</v>
      </c>
      <c r="O472" s="677">
        <f t="shared" si="236"/>
        <v>411985.31852956372</v>
      </c>
      <c r="P472" s="680">
        <f t="shared" si="237"/>
        <v>1.5707938995239357</v>
      </c>
      <c r="Q472" s="689">
        <f t="shared" si="259"/>
        <v>9.2551878013454676</v>
      </c>
      <c r="R472" s="690">
        <f t="shared" si="260"/>
        <v>1.462537475058038</v>
      </c>
      <c r="S472" s="677">
        <f t="shared" si="238"/>
        <v>1.0261147904956145</v>
      </c>
      <c r="T472" s="680">
        <f t="shared" si="239"/>
        <v>0.22609226114452088</v>
      </c>
      <c r="U472" s="681">
        <f t="shared" si="251"/>
        <v>0.61901876720073512</v>
      </c>
      <c r="V472" s="682">
        <f t="shared" si="252"/>
        <v>-1.2032637155211856</v>
      </c>
      <c r="W472" s="683">
        <f t="shared" si="240"/>
        <v>-18.097228661125307</v>
      </c>
      <c r="X472" s="684">
        <f t="shared" si="241"/>
        <v>-195.7715417074921</v>
      </c>
      <c r="Y472" s="687">
        <f t="shared" si="242"/>
        <v>-15.771541707492105</v>
      </c>
      <c r="AA472" s="170">
        <f t="shared" si="243"/>
        <v>54641.25</v>
      </c>
      <c r="AB472" s="170">
        <f t="shared" si="244"/>
        <v>2985666201.5625</v>
      </c>
      <c r="AD472" s="686">
        <f t="shared" si="245"/>
        <v>11.911601066291837</v>
      </c>
      <c r="AE472" s="687">
        <f t="shared" si="246"/>
        <v>-19.156768593113217</v>
      </c>
      <c r="AG472" s="686">
        <f t="shared" si="247"/>
        <v>20.28434943625043</v>
      </c>
      <c r="AH472" s="687">
        <f t="shared" si="248"/>
        <v>-38.730907875635459</v>
      </c>
      <c r="AJ472" s="170">
        <f t="shared" si="249"/>
        <v>0</v>
      </c>
      <c r="AK472" s="170">
        <f t="shared" si="261"/>
        <v>0</v>
      </c>
      <c r="AM472" s="170" t="str">
        <f t="shared" si="253"/>
        <v>1.5497122211101+0.835354100942951i</v>
      </c>
      <c r="AN472" s="170" t="str">
        <f t="shared" si="254"/>
        <v>2.15281602631454i</v>
      </c>
      <c r="AO472" s="170" t="str">
        <f t="shared" si="255"/>
        <v>0.38802855921368-0.719853532381534i</v>
      </c>
      <c r="AP472" s="170" t="str">
        <f t="shared" si="256"/>
        <v>-0.0916187035183493-0.139225683490492i</v>
      </c>
      <c r="AQ472" s="170" t="str">
        <f t="shared" si="257"/>
        <v>1.09161870351835+0.139225683490492i</v>
      </c>
      <c r="AR472" s="170" t="str">
        <f t="shared" si="258"/>
        <v>0.750872814340548-0.095766754869673i</v>
      </c>
    </row>
    <row r="473" spans="7:44">
      <c r="G473" s="688">
        <v>54954</v>
      </c>
      <c r="H473" s="676">
        <f t="shared" si="250"/>
        <v>54.954000000000001</v>
      </c>
      <c r="I473" s="677">
        <f t="shared" si="230"/>
        <v>18.819272610176142</v>
      </c>
      <c r="J473" s="678">
        <f t="shared" si="231"/>
        <v>1.5176342726559668</v>
      </c>
      <c r="K473" s="678">
        <f t="shared" si="232"/>
        <v>1.0023816146702607</v>
      </c>
      <c r="L473" s="679">
        <f t="shared" si="233"/>
        <v>6.8947770322597218E-2</v>
      </c>
      <c r="M473" s="678">
        <f t="shared" si="234"/>
        <v>1.1014889646734829</v>
      </c>
      <c r="N473" s="679">
        <f t="shared" si="235"/>
        <v>-0.43264005073999151</v>
      </c>
      <c r="O473" s="677">
        <f t="shared" si="236"/>
        <v>414343.39797264681</v>
      </c>
      <c r="P473" s="680">
        <f t="shared" si="237"/>
        <v>1.5707939133378344</v>
      </c>
      <c r="Q473" s="689">
        <f t="shared" si="259"/>
        <v>9.3075450070566603</v>
      </c>
      <c r="R473" s="690">
        <f t="shared" si="260"/>
        <v>1.4631488274654236</v>
      </c>
      <c r="S473" s="677">
        <f t="shared" si="238"/>
        <v>1.0264107346898175</v>
      </c>
      <c r="T473" s="680">
        <f t="shared" si="239"/>
        <v>0.22734233297565223</v>
      </c>
      <c r="U473" s="681">
        <f t="shared" si="251"/>
        <v>0.61665884776660829</v>
      </c>
      <c r="V473" s="682">
        <f t="shared" si="252"/>
        <v>-1.2082029168634234</v>
      </c>
      <c r="W473" s="683">
        <f t="shared" si="240"/>
        <v>-18.17401132618722</v>
      </c>
      <c r="X473" s="684">
        <f t="shared" si="241"/>
        <v>-196.21036482284629</v>
      </c>
      <c r="Y473" s="687">
        <f t="shared" si="242"/>
        <v>-16.210364822846287</v>
      </c>
      <c r="AA473" s="170">
        <f t="shared" si="243"/>
        <v>54954</v>
      </c>
      <c r="AB473" s="170">
        <f t="shared" si="244"/>
        <v>3019942116</v>
      </c>
      <c r="AD473" s="686">
        <f t="shared" si="245"/>
        <v>11.908520825773747</v>
      </c>
      <c r="AE473" s="687">
        <f t="shared" si="246"/>
        <v>-19.193365311906796</v>
      </c>
      <c r="AG473" s="686">
        <f t="shared" si="247"/>
        <v>20.277000968217017</v>
      </c>
      <c r="AH473" s="687">
        <f t="shared" si="248"/>
        <v>-38.567143489398212</v>
      </c>
      <c r="AJ473" s="170">
        <f t="shared" si="249"/>
        <v>0</v>
      </c>
      <c r="AK473" s="170">
        <f t="shared" si="261"/>
        <v>0</v>
      </c>
      <c r="AM473" s="170" t="str">
        <f t="shared" si="253"/>
        <v>1.55996351908598+0.82851726432999i</v>
      </c>
      <c r="AN473" s="170" t="str">
        <f t="shared" si="254"/>
        <v>2.16513809457304i</v>
      </c>
      <c r="AO473" s="170" t="str">
        <f t="shared" si="255"/>
        <v>0.382662549980846-0.720491465646491i</v>
      </c>
      <c r="AP473" s="170" t="str">
        <f t="shared" si="256"/>
        <v>-0.093327253180996-0.138086210721665i</v>
      </c>
      <c r="AQ473" s="170" t="str">
        <f t="shared" si="257"/>
        <v>1.093327253181+0.138086210721665i</v>
      </c>
      <c r="AR473" s="170" t="str">
        <f t="shared" si="258"/>
        <v>0.749931975453766-0.0947157079347766i</v>
      </c>
    </row>
    <row r="474" spans="7:44">
      <c r="G474" s="688">
        <v>55274</v>
      </c>
      <c r="H474" s="676">
        <f t="shared" si="250"/>
        <v>55.274000000000001</v>
      </c>
      <c r="I474" s="677">
        <f t="shared" si="230"/>
        <v>18.92854968686413</v>
      </c>
      <c r="J474" s="678">
        <f t="shared" si="231"/>
        <v>1.5179414713355346</v>
      </c>
      <c r="K474" s="678">
        <f t="shared" si="232"/>
        <v>1.002409398526686</v>
      </c>
      <c r="L474" s="679">
        <f t="shared" si="233"/>
        <v>6.9347974512500909E-2</v>
      </c>
      <c r="M474" s="678">
        <f t="shared" si="234"/>
        <v>1.1026191673360759</v>
      </c>
      <c r="N474" s="679">
        <f t="shared" si="235"/>
        <v>-0.43485425816864787</v>
      </c>
      <c r="O474" s="677">
        <f t="shared" si="236"/>
        <v>416756.1411278398</v>
      </c>
      <c r="P474" s="680">
        <f t="shared" si="237"/>
        <v>1.5707939273101588</v>
      </c>
      <c r="Q474" s="689">
        <f t="shared" si="259"/>
        <v>9.3611194888314575</v>
      </c>
      <c r="R474" s="690">
        <f t="shared" si="260"/>
        <v>1.463767273393151</v>
      </c>
      <c r="S474" s="677">
        <f t="shared" si="238"/>
        <v>1.0267151984862271</v>
      </c>
      <c r="T474" s="680">
        <f t="shared" si="239"/>
        <v>0.22862063533581986</v>
      </c>
      <c r="U474" s="681">
        <f t="shared" si="251"/>
        <v>0.6142530998733744</v>
      </c>
      <c r="V474" s="682">
        <f t="shared" si="252"/>
        <v>-1.2132423123743536</v>
      </c>
      <c r="W474" s="683">
        <f t="shared" si="240"/>
        <v>-18.252260085840568</v>
      </c>
      <c r="X474" s="684">
        <f t="shared" si="241"/>
        <v>-196.65844462406517</v>
      </c>
      <c r="Y474" s="687">
        <f t="shared" si="242"/>
        <v>-16.658444624065169</v>
      </c>
      <c r="AA474" s="170">
        <f t="shared" si="243"/>
        <v>55274</v>
      </c>
      <c r="AB474" s="170">
        <f t="shared" si="244"/>
        <v>3055215076</v>
      </c>
      <c r="AD474" s="686">
        <f t="shared" si="245"/>
        <v>11.905365896538635</v>
      </c>
      <c r="AE474" s="687">
        <f t="shared" si="246"/>
        <v>-19.231173101168586</v>
      </c>
      <c r="AG474" s="686">
        <f t="shared" si="247"/>
        <v>20.269811547515051</v>
      </c>
      <c r="AH474" s="687">
        <f t="shared" si="248"/>
        <v>-38.399943312548494</v>
      </c>
      <c r="AJ474" s="170">
        <f t="shared" si="249"/>
        <v>0</v>
      </c>
      <c r="AK474" s="170">
        <f t="shared" si="261"/>
        <v>0</v>
      </c>
      <c r="AM474" s="170" t="str">
        <f t="shared" si="253"/>
        <v>1.57036444544444+0.821391745376624i</v>
      </c>
      <c r="AN474" s="170" t="str">
        <f t="shared" si="254"/>
        <v>2.17774580630037i</v>
      </c>
      <c r="AO474" s="170" t="str">
        <f t="shared" si="255"/>
        <v>0.377175216226008-0.721096301001369i</v>
      </c>
      <c r="AP474" s="170" t="str">
        <f t="shared" si="256"/>
        <v>-0.0950607409074067-0.136898624229437i</v>
      </c>
      <c r="AQ474" s="170" t="str">
        <f t="shared" si="257"/>
        <v>1.09506074090741+0.136898624229437i</v>
      </c>
      <c r="AR474" s="170" t="str">
        <f t="shared" si="258"/>
        <v>0.748982799678365-0.093633815017892i</v>
      </c>
    </row>
    <row r="475" spans="7:44">
      <c r="G475" s="688">
        <v>55594</v>
      </c>
      <c r="H475" s="676">
        <f t="shared" si="250"/>
        <v>55.594000000000001</v>
      </c>
      <c r="I475" s="677">
        <f t="shared" si="230"/>
        <v>19.037828529351941</v>
      </c>
      <c r="J475" s="678">
        <f t="shared" si="231"/>
        <v>1.518245143347565</v>
      </c>
      <c r="K475" s="678">
        <f t="shared" si="232"/>
        <v>1.0024373429234879</v>
      </c>
      <c r="L475" s="679">
        <f t="shared" si="233"/>
        <v>6.9748156453950119E-2</v>
      </c>
      <c r="M475" s="678">
        <f t="shared" si="234"/>
        <v>1.1037547647395276</v>
      </c>
      <c r="N475" s="679">
        <f t="shared" si="235"/>
        <v>-0.43706392024024482</v>
      </c>
      <c r="O475" s="677">
        <f t="shared" si="236"/>
        <v>419168.88428303291</v>
      </c>
      <c r="P475" s="680">
        <f t="shared" si="237"/>
        <v>1.5707939411216334</v>
      </c>
      <c r="Q475" s="689">
        <f t="shared" si="259"/>
        <v>9.4146975102544435</v>
      </c>
      <c r="R475" s="690">
        <f t="shared" si="260"/>
        <v>1.4643786805352477</v>
      </c>
      <c r="S475" s="677">
        <f t="shared" si="238"/>
        <v>1.0270213389973912</v>
      </c>
      <c r="T475" s="680">
        <f t="shared" si="239"/>
        <v>0.22989817769488274</v>
      </c>
      <c r="U475" s="681">
        <f t="shared" si="251"/>
        <v>0.61185632700740589</v>
      </c>
      <c r="V475" s="682">
        <f t="shared" si="252"/>
        <v>-1.2182674447232902</v>
      </c>
      <c r="W475" s="683">
        <f t="shared" si="240"/>
        <v>-18.330194793614009</v>
      </c>
      <c r="X475" s="684">
        <f t="shared" si="241"/>
        <v>-197.10560572673711</v>
      </c>
      <c r="Y475" s="687">
        <f t="shared" si="242"/>
        <v>-17.10560572673711</v>
      </c>
      <c r="AA475" s="170">
        <f t="shared" si="243"/>
        <v>55594</v>
      </c>
      <c r="AB475" s="170">
        <f t="shared" si="244"/>
        <v>3090692836</v>
      </c>
      <c r="AD475" s="686">
        <f t="shared" si="245"/>
        <v>11.902207441637513</v>
      </c>
      <c r="AE475" s="687">
        <f t="shared" si="246"/>
        <v>-19.269340629068608</v>
      </c>
      <c r="AG475" s="686">
        <f t="shared" si="247"/>
        <v>20.262951357145486</v>
      </c>
      <c r="AH475" s="687">
        <f t="shared" si="248"/>
        <v>-38.23309913648496</v>
      </c>
      <c r="AJ475" s="170">
        <f t="shared" si="249"/>
        <v>0</v>
      </c>
      <c r="AK475" s="170">
        <f t="shared" si="261"/>
        <v>0</v>
      </c>
      <c r="AM475" s="170" t="str">
        <f t="shared" si="253"/>
        <v>1.58067471106846+0.814135664324785i</v>
      </c>
      <c r="AN475" s="170" t="str">
        <f t="shared" si="254"/>
        <v>2.19035351802769i</v>
      </c>
      <c r="AO475" s="170" t="str">
        <f t="shared" si="255"/>
        <v>0.371691445067678-0.72165278255712i</v>
      </c>
      <c r="AP475" s="170" t="str">
        <f t="shared" si="256"/>
        <v>-0.0967791185114102-0.135689277387464i</v>
      </c>
      <c r="AQ475" s="170" t="str">
        <f t="shared" si="257"/>
        <v>1.09677911851141+0.135689277387464i</v>
      </c>
      <c r="AR475" s="170" t="str">
        <f t="shared" si="258"/>
        <v>0.748047216039205-0.0925455130234666i</v>
      </c>
    </row>
    <row r="476" spans="7:44">
      <c r="G476" s="688">
        <v>55914</v>
      </c>
      <c r="H476" s="676">
        <f t="shared" si="250"/>
        <v>55.914000000000001</v>
      </c>
      <c r="I476" s="677">
        <f t="shared" si="230"/>
        <v>19.147109107405569</v>
      </c>
      <c r="J476" s="678">
        <f t="shared" si="231"/>
        <v>1.5185453490200755</v>
      </c>
      <c r="K476" s="678">
        <f t="shared" si="232"/>
        <v>1.0024654478472406</v>
      </c>
      <c r="L476" s="679">
        <f t="shared" si="233"/>
        <v>7.0148316020635995E-2</v>
      </c>
      <c r="M476" s="678">
        <f t="shared" si="234"/>
        <v>1.1048957402499053</v>
      </c>
      <c r="N476" s="679">
        <f t="shared" si="235"/>
        <v>-0.43926902942526647</v>
      </c>
      <c r="O476" s="677">
        <f t="shared" si="236"/>
        <v>421581.62743822613</v>
      </c>
      <c r="P476" s="680">
        <f t="shared" si="237"/>
        <v>1.5707939547750198</v>
      </c>
      <c r="Q476" s="689">
        <f t="shared" si="259"/>
        <v>9.4682790112363406</v>
      </c>
      <c r="R476" s="690">
        <f t="shared" si="260"/>
        <v>1.4649831679292791</v>
      </c>
      <c r="S476" s="677">
        <f t="shared" si="238"/>
        <v>1.0273291547243446</v>
      </c>
      <c r="T476" s="680">
        <f t="shared" si="239"/>
        <v>0.23117495656395454</v>
      </c>
      <c r="U476" s="681">
        <f t="shared" si="251"/>
        <v>0.60946852252220451</v>
      </c>
      <c r="V476" s="682">
        <f t="shared" si="252"/>
        <v>-1.2232785193580937</v>
      </c>
      <c r="W476" s="683">
        <f t="shared" si="240"/>
        <v>-18.407818819307813</v>
      </c>
      <c r="X476" s="684">
        <f t="shared" si="241"/>
        <v>-197.55185591443535</v>
      </c>
      <c r="Y476" s="687">
        <f t="shared" si="242"/>
        <v>-17.55185591443535</v>
      </c>
      <c r="AA476" s="170">
        <f t="shared" si="243"/>
        <v>55914</v>
      </c>
      <c r="AB476" s="170">
        <f t="shared" si="244"/>
        <v>3126375396</v>
      </c>
      <c r="AD476" s="686">
        <f t="shared" si="245"/>
        <v>11.899045262294747</v>
      </c>
      <c r="AE476" s="687">
        <f t="shared" si="246"/>
        <v>-19.307860875516479</v>
      </c>
      <c r="AG476" s="686">
        <f t="shared" si="247"/>
        <v>20.256416508822895</v>
      </c>
      <c r="AH476" s="687">
        <f t="shared" si="248"/>
        <v>-38.066602222280537</v>
      </c>
      <c r="AJ476" s="170">
        <f t="shared" si="249"/>
        <v>0</v>
      </c>
      <c r="AK476" s="170">
        <f t="shared" si="261"/>
        <v>0</v>
      </c>
      <c r="AM476" s="170" t="str">
        <f t="shared" si="253"/>
        <v>1.59089267711772+0.806750174545164i</v>
      </c>
      <c r="AN476" s="170" t="str">
        <f t="shared" si="254"/>
        <v>2.20296122975501i</v>
      </c>
      <c r="AO476" s="170" t="str">
        <f t="shared" si="255"/>
        <v>0.366211698893531-0.722160996584875i</v>
      </c>
      <c r="AP476" s="170" t="str">
        <f t="shared" si="256"/>
        <v>-0.0984821128529535-0.134458362424194i</v>
      </c>
      <c r="AQ476" s="170" t="str">
        <f t="shared" si="257"/>
        <v>1.09848211285295+0.134458362424194i</v>
      </c>
      <c r="AR476" s="170" t="str">
        <f t="shared" si="258"/>
        <v>0.747125188328452-0.091450946877602i</v>
      </c>
    </row>
    <row r="477" spans="7:44">
      <c r="G477" s="688">
        <v>56234</v>
      </c>
      <c r="H477" s="676">
        <f t="shared" si="250"/>
        <v>56.234000000000002</v>
      </c>
      <c r="I477" s="677">
        <f t="shared" si="230"/>
        <v>19.256391391476861</v>
      </c>
      <c r="J477" s="678">
        <f t="shared" si="231"/>
        <v>1.5188421473141416</v>
      </c>
      <c r="K477" s="678">
        <f t="shared" si="232"/>
        <v>1.0024937132844429</v>
      </c>
      <c r="L477" s="679">
        <f t="shared" si="233"/>
        <v>7.0548453086292595E-2</v>
      </c>
      <c r="M477" s="678">
        <f t="shared" si="234"/>
        <v>1.1060420772232991</v>
      </c>
      <c r="N477" s="679">
        <f t="shared" si="235"/>
        <v>-0.44146957840229906</v>
      </c>
      <c r="O477" s="677">
        <f t="shared" si="236"/>
        <v>423994.37059341936</v>
      </c>
      <c r="P477" s="680">
        <f t="shared" si="237"/>
        <v>1.5707939682730168</v>
      </c>
      <c r="Q477" s="689">
        <f t="shared" si="259"/>
        <v>9.5218639330365544</v>
      </c>
      <c r="R477" s="690">
        <f t="shared" si="260"/>
        <v>1.4655808519537341</v>
      </c>
      <c r="S477" s="677">
        <f t="shared" si="238"/>
        <v>1.0276386441617205</v>
      </c>
      <c r="T477" s="680">
        <f t="shared" si="239"/>
        <v>0.23245096846827476</v>
      </c>
      <c r="U477" s="681">
        <f t="shared" si="251"/>
        <v>0.60708967780623724</v>
      </c>
      <c r="V477" s="682">
        <f t="shared" si="252"/>
        <v>-1.2282757411745704</v>
      </c>
      <c r="W477" s="683">
        <f t="shared" si="240"/>
        <v>-18.48513549439685</v>
      </c>
      <c r="X477" s="684">
        <f t="shared" si="241"/>
        <v>-197.9972030258632</v>
      </c>
      <c r="Y477" s="687">
        <f t="shared" si="242"/>
        <v>-17.9972030258632</v>
      </c>
      <c r="AA477" s="170">
        <f t="shared" si="243"/>
        <v>56234</v>
      </c>
      <c r="AB477" s="170">
        <f t="shared" si="244"/>
        <v>3162262756</v>
      </c>
      <c r="AD477" s="686">
        <f t="shared" si="245"/>
        <v>11.895879166103732</v>
      </c>
      <c r="AE477" s="687">
        <f t="shared" si="246"/>
        <v>-19.346726973581479</v>
      </c>
      <c r="AG477" s="686">
        <f t="shared" si="247"/>
        <v>20.250203194243173</v>
      </c>
      <c r="AH477" s="687">
        <f t="shared" si="248"/>
        <v>-37.900443796239458</v>
      </c>
      <c r="AJ477" s="170">
        <f t="shared" si="249"/>
        <v>0</v>
      </c>
      <c r="AK477" s="170">
        <f t="shared" si="261"/>
        <v>0</v>
      </c>
      <c r="AM477" s="170" t="str">
        <f t="shared" si="253"/>
        <v>1.60101671942313+0.799236449978264i</v>
      </c>
      <c r="AN477" s="170" t="str">
        <f t="shared" si="254"/>
        <v>2.21556894148234i</v>
      </c>
      <c r="AO477" s="170" t="str">
        <f t="shared" si="255"/>
        <v>0.360736438850569-0.722621034013936i</v>
      </c>
      <c r="AP477" s="170" t="str">
        <f t="shared" si="256"/>
        <v>-0.100169453237188-0.133206074996377i</v>
      </c>
      <c r="AQ477" s="170" t="str">
        <f t="shared" si="257"/>
        <v>1.10016945323719+0.133206074996377i</v>
      </c>
      <c r="AR477" s="170" t="str">
        <f t="shared" si="258"/>
        <v>0.746216679813801-0.0903502589736005i</v>
      </c>
    </row>
    <row r="478" spans="7:44">
      <c r="G478" s="688">
        <v>56561.5</v>
      </c>
      <c r="H478" s="676">
        <f t="shared" si="250"/>
        <v>56.561500000000002</v>
      </c>
      <c r="I478" s="677">
        <f t="shared" si="230"/>
        <v>19.368236715409889</v>
      </c>
      <c r="J478" s="678">
        <f t="shared" si="231"/>
        <v>1.5191424338461073</v>
      </c>
      <c r="K478" s="678">
        <f t="shared" si="232"/>
        <v>1.0025228073792487</v>
      </c>
      <c r="L478" s="679">
        <f t="shared" si="233"/>
        <v>7.0957944934448333E-2</v>
      </c>
      <c r="M478" s="678">
        <f t="shared" si="234"/>
        <v>1.1072208155162029</v>
      </c>
      <c r="N478" s="679">
        <f t="shared" si="235"/>
        <v>-0.44371697354280981</v>
      </c>
      <c r="O478" s="677">
        <f t="shared" si="236"/>
        <v>426463.66241631249</v>
      </c>
      <c r="P478" s="680">
        <f t="shared" si="237"/>
        <v>1.57079398192923</v>
      </c>
      <c r="Q478" s="689">
        <f t="shared" si="259"/>
        <v>9.576708233541531</v>
      </c>
      <c r="R478" s="690">
        <f t="shared" si="260"/>
        <v>1.466185618508179</v>
      </c>
      <c r="S478" s="677">
        <f t="shared" si="238"/>
        <v>1.0279571186917229</v>
      </c>
      <c r="T478" s="680">
        <f t="shared" si="239"/>
        <v>0.23375608915147689</v>
      </c>
      <c r="U478" s="681">
        <f t="shared" si="251"/>
        <v>0.60466434514852518</v>
      </c>
      <c r="V478" s="682">
        <f t="shared" si="252"/>
        <v>-1.2333759549666232</v>
      </c>
      <c r="W478" s="683">
        <f t="shared" si="240"/>
        <v>-18.563949476207643</v>
      </c>
      <c r="X478" s="684">
        <f t="shared" si="241"/>
        <v>-198.45206112219913</v>
      </c>
      <c r="Y478" s="687">
        <f t="shared" si="242"/>
        <v>-18.452061122199126</v>
      </c>
      <c r="AA478" s="170">
        <f t="shared" si="243"/>
        <v>56561.5</v>
      </c>
      <c r="AB478" s="170">
        <f t="shared" si="244"/>
        <v>3199203282.25</v>
      </c>
      <c r="AD478" s="686">
        <f t="shared" si="245"/>
        <v>11.892634614590555</v>
      </c>
      <c r="AE478" s="687">
        <f t="shared" si="246"/>
        <v>-19.386855091813075</v>
      </c>
      <c r="AG478" s="686">
        <f t="shared" si="247"/>
        <v>20.244173289400464</v>
      </c>
      <c r="AH478" s="687">
        <f t="shared" si="248"/>
        <v>-37.730732323877888</v>
      </c>
      <c r="AJ478" s="170">
        <f t="shared" si="249"/>
        <v>0</v>
      </c>
      <c r="AK478" s="170">
        <f t="shared" si="261"/>
        <v>0</v>
      </c>
      <c r="AM478" s="170" t="str">
        <f t="shared" si="253"/>
        <v>1.61127911324105+0.791415090654226i</v>
      </c>
      <c r="AN478" s="170" t="str">
        <f t="shared" si="254"/>
        <v>2.22847214645327i</v>
      </c>
      <c r="AO478" s="170" t="str">
        <f t="shared" si="255"/>
        <v>0.355137977341922-0.723042069790051i</v>
      </c>
      <c r="AP478" s="170" t="str">
        <f t="shared" si="256"/>
        <v>-0.101879852206841-0.131902515109038i</v>
      </c>
      <c r="AQ478" s="170" t="str">
        <f t="shared" si="257"/>
        <v>1.10187985220684+0.131902515109038i</v>
      </c>
      <c r="AR478" s="170" t="str">
        <f t="shared" si="258"/>
        <v>0.745300837498671-0.0892175810112674i</v>
      </c>
    </row>
    <row r="479" spans="7:44">
      <c r="G479" s="688">
        <v>56889</v>
      </c>
      <c r="H479" s="676">
        <f t="shared" si="250"/>
        <v>56.889000000000003</v>
      </c>
      <c r="I479" s="677">
        <f t="shared" si="230"/>
        <v>19.480083765760675</v>
      </c>
      <c r="J479" s="678">
        <f t="shared" si="231"/>
        <v>1.519439272148071</v>
      </c>
      <c r="K479" s="678">
        <f t="shared" si="232"/>
        <v>1.0025520695708885</v>
      </c>
      <c r="L479" s="679">
        <f t="shared" si="233"/>
        <v>7.136741294700924E-2</v>
      </c>
      <c r="M479" s="678">
        <f t="shared" si="234"/>
        <v>1.108405134232461</v>
      </c>
      <c r="N479" s="679">
        <f t="shared" si="235"/>
        <v>-0.44595957735604536</v>
      </c>
      <c r="O479" s="677">
        <f t="shared" si="236"/>
        <v>428932.95423920575</v>
      </c>
      <c r="P479" s="680">
        <f t="shared" si="237"/>
        <v>1.5707939954282106</v>
      </c>
      <c r="Q479" s="689">
        <f t="shared" si="259"/>
        <v>9.6315559967664601</v>
      </c>
      <c r="R479" s="690">
        <f t="shared" si="260"/>
        <v>1.4667834974839808</v>
      </c>
      <c r="S479" s="677">
        <f t="shared" si="238"/>
        <v>1.0282773430958596</v>
      </c>
      <c r="T479" s="680">
        <f t="shared" si="239"/>
        <v>0.23506039917822752</v>
      </c>
      <c r="U479" s="681">
        <f t="shared" si="251"/>
        <v>0.60224837285199306</v>
      </c>
      <c r="V479" s="682">
        <f t="shared" si="252"/>
        <v>-1.2384620914329649</v>
      </c>
      <c r="W479" s="683">
        <f t="shared" si="240"/>
        <v>-18.64244847428456</v>
      </c>
      <c r="X479" s="684">
        <f t="shared" si="241"/>
        <v>-198.90599009399111</v>
      </c>
      <c r="Y479" s="687">
        <f t="shared" si="242"/>
        <v>-18.905990093991107</v>
      </c>
      <c r="AA479" s="170">
        <f t="shared" si="243"/>
        <v>56889</v>
      </c>
      <c r="AB479" s="170">
        <f t="shared" si="244"/>
        <v>3236358321</v>
      </c>
      <c r="AD479" s="686">
        <f t="shared" si="245"/>
        <v>11.88938557222351</v>
      </c>
      <c r="AE479" s="687">
        <f t="shared" si="246"/>
        <v>-19.4273313830303</v>
      </c>
      <c r="AG479" s="686">
        <f t="shared" si="247"/>
        <v>20.238472345654781</v>
      </c>
      <c r="AH479" s="687">
        <f t="shared" si="248"/>
        <v>-37.561356696688719</v>
      </c>
      <c r="AJ479" s="170">
        <f t="shared" si="249"/>
        <v>0</v>
      </c>
      <c r="AK479" s="170">
        <f t="shared" si="261"/>
        <v>0</v>
      </c>
      <c r="AM479" s="170" t="str">
        <f t="shared" si="253"/>
        <v>1.6214397349619+0.783461968324235i</v>
      </c>
      <c r="AN479" s="170" t="str">
        <f t="shared" si="254"/>
        <v>2.24137535142421i</v>
      </c>
      <c r="AO479" s="170" t="str">
        <f t="shared" si="255"/>
        <v>0.349545187880472-0.723412851815118i</v>
      </c>
      <c r="AP479" s="170" t="str">
        <f t="shared" si="256"/>
        <v>-0.103573289160316-0.130576994720706i</v>
      </c>
      <c r="AQ479" s="170" t="str">
        <f t="shared" si="257"/>
        <v>1.10357328916032+0.130576994720706i</v>
      </c>
      <c r="AR479" s="170" t="str">
        <f t="shared" si="258"/>
        <v>0.74439907621134-0.0880787847977949i</v>
      </c>
    </row>
    <row r="480" spans="7:44">
      <c r="G480" s="688">
        <v>57216.5</v>
      </c>
      <c r="H480" s="676">
        <f t="shared" si="250"/>
        <v>57.216500000000003</v>
      </c>
      <c r="I480" s="677">
        <f t="shared" si="230"/>
        <v>19.591932512961726</v>
      </c>
      <c r="J480" s="678">
        <f t="shared" si="231"/>
        <v>1.5197327212242615</v>
      </c>
      <c r="K480" s="678">
        <f t="shared" si="232"/>
        <v>1.002581499844643</v>
      </c>
      <c r="L480" s="679">
        <f t="shared" si="233"/>
        <v>7.1776856988762294E-2</v>
      </c>
      <c r="M480" s="678">
        <f t="shared" si="234"/>
        <v>1.1095950155033929</v>
      </c>
      <c r="N480" s="679">
        <f t="shared" si="235"/>
        <v>-0.44819738266282799</v>
      </c>
      <c r="O480" s="677">
        <f t="shared" si="236"/>
        <v>431402.24606209906</v>
      </c>
      <c r="P480" s="680">
        <f t="shared" si="237"/>
        <v>1.5707940087726584</v>
      </c>
      <c r="Q480" s="689">
        <f t="shared" si="259"/>
        <v>9.6864071638900064</v>
      </c>
      <c r="R480" s="690">
        <f t="shared" si="260"/>
        <v>1.4673746054567991</v>
      </c>
      <c r="S480" s="677">
        <f t="shared" si="238"/>
        <v>1.0285993157398134</v>
      </c>
      <c r="T480" s="680">
        <f t="shared" si="239"/>
        <v>0.23636389486988119</v>
      </c>
      <c r="U480" s="681">
        <f t="shared" si="251"/>
        <v>0.59984174564861892</v>
      </c>
      <c r="V480" s="682">
        <f t="shared" si="252"/>
        <v>-1.2435343683742435</v>
      </c>
      <c r="W480" s="683">
        <f t="shared" si="240"/>
        <v>-18.720635942699058</v>
      </c>
      <c r="X480" s="684">
        <f t="shared" si="241"/>
        <v>-199.35899850749141</v>
      </c>
      <c r="Y480" s="687">
        <f t="shared" si="242"/>
        <v>-19.358998507491407</v>
      </c>
      <c r="AA480" s="170">
        <f t="shared" si="243"/>
        <v>57216.5</v>
      </c>
      <c r="AB480" s="170">
        <f t="shared" si="244"/>
        <v>3273727872.25</v>
      </c>
      <c r="AD480" s="686">
        <f t="shared" si="245"/>
        <v>11.886131852123121</v>
      </c>
      <c r="AE480" s="687">
        <f t="shared" si="246"/>
        <v>-19.468148957323695</v>
      </c>
      <c r="AG480" s="686">
        <f t="shared" si="247"/>
        <v>20.233096531126783</v>
      </c>
      <c r="AH480" s="687">
        <f t="shared" si="248"/>
        <v>-37.392307412717898</v>
      </c>
      <c r="AJ480" s="170">
        <f t="shared" si="249"/>
        <v>0</v>
      </c>
      <c r="AK480" s="170">
        <f t="shared" si="261"/>
        <v>0</v>
      </c>
      <c r="AM480" s="170" t="str">
        <f t="shared" si="253"/>
        <v>1.63149689293981+0.775378407106729i</v>
      </c>
      <c r="AN480" s="170" t="str">
        <f t="shared" si="254"/>
        <v>2.25427855639514i</v>
      </c>
      <c r="AO480" s="170" t="str">
        <f t="shared" si="255"/>
        <v>0.343958560448116-0.723733492611831i</v>
      </c>
      <c r="AP480" s="170" t="str">
        <f t="shared" si="256"/>
        <v>-0.105249482156635-0.129229734517788i</v>
      </c>
      <c r="AQ480" s="170" t="str">
        <f t="shared" si="257"/>
        <v>1.10524948215663+0.129229734517788i</v>
      </c>
      <c r="AR480" s="170" t="str">
        <f t="shared" si="258"/>
        <v>0.743511355209469-0.0869340149856446i</v>
      </c>
    </row>
    <row r="481" spans="7:44">
      <c r="G481" s="688">
        <v>57544</v>
      </c>
      <c r="H481" s="676">
        <f t="shared" si="250"/>
        <v>57.543999999999997</v>
      </c>
      <c r="I481" s="677">
        <f t="shared" si="230"/>
        <v>19.703782928116475</v>
      </c>
      <c r="J481" s="678">
        <f t="shared" si="231"/>
        <v>1.5200228387415007</v>
      </c>
      <c r="K481" s="678">
        <f t="shared" si="232"/>
        <v>1.0026110981857113</v>
      </c>
      <c r="L481" s="679">
        <f t="shared" si="233"/>
        <v>7.2186276924542436E-2</v>
      </c>
      <c r="M481" s="678">
        <f t="shared" si="234"/>
        <v>1.1107904414531342</v>
      </c>
      <c r="N481" s="679">
        <f t="shared" si="235"/>
        <v>-0.45043038250690665</v>
      </c>
      <c r="O481" s="677">
        <f t="shared" si="236"/>
        <v>433871.53788499249</v>
      </c>
      <c r="P481" s="680">
        <f t="shared" si="237"/>
        <v>1.5707940219652117</v>
      </c>
      <c r="Q481" s="689">
        <f t="shared" si="259"/>
        <v>9.7412616774120835</v>
      </c>
      <c r="R481" s="690">
        <f t="shared" si="260"/>
        <v>1.4679590563956453</v>
      </c>
      <c r="S481" s="677">
        <f t="shared" si="238"/>
        <v>1.0289230349823963</v>
      </c>
      <c r="T481" s="680">
        <f t="shared" si="239"/>
        <v>0.23766657256345353</v>
      </c>
      <c r="U481" s="681">
        <f t="shared" si="251"/>
        <v>0.59744444635094207</v>
      </c>
      <c r="V481" s="682">
        <f t="shared" si="252"/>
        <v>-1.2485930029572163</v>
      </c>
      <c r="W481" s="683">
        <f t="shared" si="240"/>
        <v>-18.798515298423414</v>
      </c>
      <c r="X481" s="684">
        <f t="shared" si="241"/>
        <v>-199.81109497901903</v>
      </c>
      <c r="Y481" s="687">
        <f t="shared" si="242"/>
        <v>-19.811094979019032</v>
      </c>
      <c r="AA481" s="170">
        <f t="shared" si="243"/>
        <v>57544</v>
      </c>
      <c r="AB481" s="170">
        <f t="shared" si="244"/>
        <v>3311311936</v>
      </c>
      <c r="AD481" s="686">
        <f t="shared" si="245"/>
        <v>11.882873273516291</v>
      </c>
      <c r="AE481" s="687">
        <f t="shared" si="246"/>
        <v>-19.509301075027523</v>
      </c>
      <c r="AG481" s="686">
        <f t="shared" si="247"/>
        <v>20.228042095273622</v>
      </c>
      <c r="AH481" s="687">
        <f t="shared" si="248"/>
        <v>-37.223574942472801</v>
      </c>
      <c r="AJ481" s="170">
        <f t="shared" si="249"/>
        <v>0</v>
      </c>
      <c r="AK481" s="170">
        <f t="shared" si="261"/>
        <v>0</v>
      </c>
      <c r="AM481" s="170" t="str">
        <f t="shared" si="253"/>
        <v>1.64144891275464+0.767165752836952i</v>
      </c>
      <c r="AN481" s="170" t="str">
        <f t="shared" si="254"/>
        <v>2.26718176136607i</v>
      </c>
      <c r="AO481" s="170" t="str">
        <f t="shared" si="255"/>
        <v>0.338378583450981-0.724004109739133i</v>
      </c>
      <c r="AP481" s="170" t="str">
        <f t="shared" si="256"/>
        <v>-0.106908152125774-0.127860958806159i</v>
      </c>
      <c r="AQ481" s="170" t="str">
        <f t="shared" si="257"/>
        <v>1.10690815212577+0.127860958806159i</v>
      </c>
      <c r="AR481" s="170" t="str">
        <f t="shared" si="258"/>
        <v>0.74263763339925-0.085783413618925i</v>
      </c>
    </row>
    <row r="482" spans="7:44">
      <c r="G482" s="688">
        <v>57879</v>
      </c>
      <c r="H482" s="676">
        <f t="shared" si="250"/>
        <v>57.878999999999998</v>
      </c>
      <c r="I482" s="677">
        <f t="shared" si="230"/>
        <v>19.818196499405985</v>
      </c>
      <c r="J482" s="678">
        <f t="shared" si="231"/>
        <v>1.5203162120516323</v>
      </c>
      <c r="K482" s="678">
        <f t="shared" si="232"/>
        <v>1.002641548220556</v>
      </c>
      <c r="L482" s="679">
        <f t="shared" si="233"/>
        <v>7.2605047808163903E-2</v>
      </c>
      <c r="M482" s="678">
        <f t="shared" si="234"/>
        <v>1.1120189615261402</v>
      </c>
      <c r="N482" s="679">
        <f t="shared" si="235"/>
        <v>-0.45270954093634092</v>
      </c>
      <c r="O482" s="677">
        <f t="shared" si="236"/>
        <v>436397.37837558583</v>
      </c>
      <c r="P482" s="680">
        <f t="shared" si="237"/>
        <v>1.5707940353054204</v>
      </c>
      <c r="Q482" s="689">
        <f t="shared" si="259"/>
        <v>9.7973758047981967</v>
      </c>
      <c r="R482" s="690">
        <f t="shared" si="260"/>
        <v>1.4685501204077784</v>
      </c>
      <c r="S482" s="677">
        <f t="shared" si="238"/>
        <v>1.0292559729789175</v>
      </c>
      <c r="T482" s="680">
        <f t="shared" si="239"/>
        <v>0.23899823245662949</v>
      </c>
      <c r="U482" s="681">
        <f t="shared" si="251"/>
        <v>0.59500187797405746</v>
      </c>
      <c r="V482" s="682">
        <f t="shared" si="252"/>
        <v>-1.2537535952962802</v>
      </c>
      <c r="W482" s="683">
        <f t="shared" si="240"/>
        <v>-18.877862897886342</v>
      </c>
      <c r="X482" s="684">
        <f t="shared" si="241"/>
        <v>-200.27261033013457</v>
      </c>
      <c r="Y482" s="687">
        <f t="shared" si="242"/>
        <v>-20.272610330134569</v>
      </c>
      <c r="AA482" s="170">
        <f t="shared" si="243"/>
        <v>57879</v>
      </c>
      <c r="AB482" s="170">
        <f t="shared" si="244"/>
        <v>3349978641</v>
      </c>
      <c r="AD482" s="686">
        <f t="shared" si="245"/>
        <v>11.879534862028155</v>
      </c>
      <c r="AE482" s="687">
        <f t="shared" si="246"/>
        <v>-19.551734857722202</v>
      </c>
      <c r="AG482" s="686">
        <f t="shared" si="247"/>
        <v>20.223200585356725</v>
      </c>
      <c r="AH482" s="687">
        <f t="shared" si="248"/>
        <v>-37.051296188586136</v>
      </c>
      <c r="AJ482" s="170">
        <f t="shared" si="249"/>
        <v>0</v>
      </c>
      <c r="AK482" s="170">
        <f t="shared" si="261"/>
        <v>0</v>
      </c>
      <c r="AM482" s="170" t="str">
        <f t="shared" si="253"/>
        <v>1.65151833682397+0.75863288669957i</v>
      </c>
      <c r="AN482" s="170" t="str">
        <f t="shared" si="254"/>
        <v>2.28038045958062i</v>
      </c>
      <c r="AO482" s="170" t="str">
        <f t="shared" si="255"/>
        <v>0.332678208810423-0.724229296863777i</v>
      </c>
      <c r="AP482" s="170" t="str">
        <f t="shared" si="256"/>
        <v>-0.108586389470662-0.126438814449928i</v>
      </c>
      <c r="AQ482" s="170" t="str">
        <f t="shared" si="257"/>
        <v>1.10858638947066+0.126438814449928i</v>
      </c>
      <c r="AR482" s="170" t="str">
        <f t="shared" si="258"/>
        <v>0.741758343289308-0.0846005745917784i</v>
      </c>
    </row>
    <row r="483" spans="7:44">
      <c r="G483" s="688">
        <v>58214</v>
      </c>
      <c r="H483" s="676">
        <f t="shared" si="250"/>
        <v>58.213999999999999</v>
      </c>
      <c r="I483" s="677">
        <f t="shared" si="230"/>
        <v>19.932611756824329</v>
      </c>
      <c r="J483" s="678">
        <f t="shared" si="231"/>
        <v>1.5206062174000714</v>
      </c>
      <c r="K483" s="678">
        <f t="shared" si="232"/>
        <v>1.0026721740770017</v>
      </c>
      <c r="L483" s="679">
        <f t="shared" si="233"/>
        <v>7.3023793183142449E-2</v>
      </c>
      <c r="M483" s="678">
        <f t="shared" si="234"/>
        <v>1.1132532452852812</v>
      </c>
      <c r="N483" s="679">
        <f t="shared" si="235"/>
        <v>-0.45498365726971585</v>
      </c>
      <c r="O483" s="677">
        <f t="shared" si="236"/>
        <v>438923.21886617923</v>
      </c>
      <c r="P483" s="680">
        <f t="shared" si="237"/>
        <v>1.5707940484920933</v>
      </c>
      <c r="Q483" s="689">
        <f t="shared" si="259"/>
        <v>9.853493315977774</v>
      </c>
      <c r="R483" s="690">
        <f t="shared" si="260"/>
        <v>1.4691344521790661</v>
      </c>
      <c r="S483" s="677">
        <f t="shared" si="238"/>
        <v>1.029590734991342</v>
      </c>
      <c r="T483" s="680">
        <f t="shared" si="239"/>
        <v>0.24032902875438114</v>
      </c>
      <c r="U483" s="681">
        <f t="shared" si="251"/>
        <v>0.59256902734065664</v>
      </c>
      <c r="V483" s="682">
        <f t="shared" si="252"/>
        <v>-1.2589003708883906</v>
      </c>
      <c r="W483" s="683">
        <f t="shared" si="240"/>
        <v>-18.956895229544756</v>
      </c>
      <c r="X483" s="684">
        <f t="shared" si="241"/>
        <v>-200.7331898805021</v>
      </c>
      <c r="Y483" s="687">
        <f t="shared" si="242"/>
        <v>-20.733189880502096</v>
      </c>
      <c r="AA483" s="170">
        <f t="shared" si="243"/>
        <v>58214</v>
      </c>
      <c r="AB483" s="170">
        <f t="shared" si="244"/>
        <v>3388869796</v>
      </c>
      <c r="AD483" s="686">
        <f t="shared" si="245"/>
        <v>11.876191003032357</v>
      </c>
      <c r="AE483" s="687">
        <f t="shared" si="246"/>
        <v>-19.594504880234386</v>
      </c>
      <c r="AG483" s="686">
        <f t="shared" si="247"/>
        <v>20.218687657915705</v>
      </c>
      <c r="AH483" s="687">
        <f t="shared" si="248"/>
        <v>-36.879328676709804</v>
      </c>
      <c r="AJ483" s="170">
        <f t="shared" si="249"/>
        <v>0</v>
      </c>
      <c r="AK483" s="170">
        <f t="shared" si="261"/>
        <v>0</v>
      </c>
      <c r="AM483" s="170" t="str">
        <f t="shared" si="253"/>
        <v>1.66147426437567+0.749967864357316i</v>
      </c>
      <c r="AN483" s="170" t="str">
        <f t="shared" si="254"/>
        <v>2.29357915779516i</v>
      </c>
      <c r="AO483" s="170" t="str">
        <f t="shared" si="255"/>
        <v>0.326985821181889-0.724402407795186i</v>
      </c>
      <c r="AP483" s="170" t="str">
        <f t="shared" si="256"/>
        <v>-0.110245710729278-0.124994644059553i</v>
      </c>
      <c r="AQ483" s="170" t="str">
        <f t="shared" si="257"/>
        <v>1.11024571072928+0.124994644059553i</v>
      </c>
      <c r="AR483" s="170" t="str">
        <f t="shared" si="258"/>
        <v>0.740893613014951-0.083411926341935i</v>
      </c>
    </row>
    <row r="484" spans="7:44">
      <c r="G484" s="688">
        <v>58549</v>
      </c>
      <c r="H484" s="676">
        <f t="shared" si="250"/>
        <v>58.548999999999999</v>
      </c>
      <c r="I484" s="677">
        <f t="shared" si="230"/>
        <v>20.047028671501554</v>
      </c>
      <c r="J484" s="678">
        <f t="shared" si="231"/>
        <v>1.5208929124047825</v>
      </c>
      <c r="K484" s="678">
        <f t="shared" si="232"/>
        <v>1.0027029757389383</v>
      </c>
      <c r="L484" s="679">
        <f t="shared" si="233"/>
        <v>7.3442512904970128E-2</v>
      </c>
      <c r="M484" s="678">
        <f t="shared" si="234"/>
        <v>1.1144932735809825</v>
      </c>
      <c r="N484" s="679">
        <f t="shared" si="235"/>
        <v>-0.45725272477663403</v>
      </c>
      <c r="O484" s="677">
        <f t="shared" si="236"/>
        <v>441449.05935677269</v>
      </c>
      <c r="P484" s="680">
        <f t="shared" si="237"/>
        <v>1.5707940615278657</v>
      </c>
      <c r="Q484" s="689">
        <f t="shared" si="259"/>
        <v>9.9096141534641973</v>
      </c>
      <c r="R484" s="690">
        <f t="shared" si="260"/>
        <v>1.4697121656865744</v>
      </c>
      <c r="S484" s="677">
        <f t="shared" si="238"/>
        <v>1.0299273192410647</v>
      </c>
      <c r="T484" s="680">
        <f t="shared" si="239"/>
        <v>0.24165895758738029</v>
      </c>
      <c r="U484" s="681">
        <f t="shared" si="251"/>
        <v>0.59014587018513709</v>
      </c>
      <c r="V484" s="682">
        <f t="shared" si="252"/>
        <v>-1.2640335600762969</v>
      </c>
      <c r="W484" s="683">
        <f t="shared" si="240"/>
        <v>-19.035615837479213</v>
      </c>
      <c r="X484" s="684">
        <f t="shared" si="241"/>
        <v>-201.1928429997615</v>
      </c>
      <c r="Y484" s="687">
        <f t="shared" si="242"/>
        <v>-21.192842999761496</v>
      </c>
      <c r="AA484" s="170">
        <f t="shared" si="243"/>
        <v>58549</v>
      </c>
      <c r="AB484" s="170">
        <f t="shared" si="244"/>
        <v>3427985401</v>
      </c>
      <c r="AD484" s="686">
        <f t="shared" si="245"/>
        <v>11.872841521592402</v>
      </c>
      <c r="AE484" s="687">
        <f t="shared" si="246"/>
        <v>-19.637604390614065</v>
      </c>
      <c r="AG484" s="686">
        <f t="shared" si="247"/>
        <v>20.21449955320309</v>
      </c>
      <c r="AH484" s="687">
        <f t="shared" si="248"/>
        <v>-36.707662133098928</v>
      </c>
      <c r="AJ484" s="170">
        <f t="shared" si="249"/>
        <v>0</v>
      </c>
      <c r="AK484" s="170">
        <f t="shared" si="261"/>
        <v>0</v>
      </c>
      <c r="AM484" s="170" t="str">
        <f t="shared" si="253"/>
        <v>1.67131496105622+0.741172195283986i</v>
      </c>
      <c r="AN484" s="170" t="str">
        <f t="shared" si="254"/>
        <v>2.3067778560097i</v>
      </c>
      <c r="AO484" s="170" t="str">
        <f t="shared" si="255"/>
        <v>0.321301937832053-0.724523584575797i</v>
      </c>
      <c r="AP484" s="170" t="str">
        <f t="shared" si="256"/>
        <v>-0.111885826842704-0.123528699213998i</v>
      </c>
      <c r="AQ484" s="170" t="str">
        <f t="shared" si="257"/>
        <v>1.1118858268427+0.123528699213998i</v>
      </c>
      <c r="AR484" s="170" t="str">
        <f t="shared" si="258"/>
        <v>0.740043397788256-0.0822176127114383i</v>
      </c>
    </row>
    <row r="485" spans="7:44">
      <c r="G485" s="688">
        <v>58884</v>
      </c>
      <c r="H485" s="676">
        <f t="shared" si="250"/>
        <v>58.884</v>
      </c>
      <c r="I485" s="677">
        <f t="shared" si="230"/>
        <v>20.161447215222665</v>
      </c>
      <c r="J485" s="678">
        <f t="shared" si="231"/>
        <v>1.5211763533779803</v>
      </c>
      <c r="K485" s="678">
        <f t="shared" si="232"/>
        <v>1.0027339531901642</v>
      </c>
      <c r="L485" s="679">
        <f t="shared" si="233"/>
        <v>7.3861206829192658E-2</v>
      </c>
      <c r="M485" s="678">
        <f t="shared" si="234"/>
        <v>1.1157390272598728</v>
      </c>
      <c r="N485" s="679">
        <f t="shared" si="235"/>
        <v>-0.45951673696450546</v>
      </c>
      <c r="O485" s="677">
        <f t="shared" si="236"/>
        <v>443974.89984736627</v>
      </c>
      <c r="P485" s="680">
        <f t="shared" si="237"/>
        <v>1.570794074415313</v>
      </c>
      <c r="Q485" s="689">
        <f t="shared" si="259"/>
        <v>9.9657382610623966</v>
      </c>
      <c r="R485" s="690">
        <f t="shared" si="260"/>
        <v>1.470283372357728</v>
      </c>
      <c r="S485" s="677">
        <f t="shared" si="238"/>
        <v>1.0302657239421302</v>
      </c>
      <c r="T485" s="680">
        <f t="shared" si="239"/>
        <v>0.24298801510361576</v>
      </c>
      <c r="U485" s="681">
        <f t="shared" si="251"/>
        <v>0.58773238038103282</v>
      </c>
      <c r="V485" s="682">
        <f t="shared" si="252"/>
        <v>-1.2691533924917335</v>
      </c>
      <c r="W485" s="683">
        <f t="shared" si="240"/>
        <v>-19.114028230042003</v>
      </c>
      <c r="X485" s="684">
        <f t="shared" si="241"/>
        <v>-201.65157910269519</v>
      </c>
      <c r="Y485" s="687">
        <f t="shared" si="242"/>
        <v>-21.651579102695194</v>
      </c>
      <c r="AA485" s="170">
        <f t="shared" si="243"/>
        <v>58884</v>
      </c>
      <c r="AB485" s="170">
        <f t="shared" si="244"/>
        <v>3467325456</v>
      </c>
      <c r="AD485" s="686">
        <f t="shared" si="245"/>
        <v>11.869486248614489</v>
      </c>
      <c r="AE485" s="687">
        <f t="shared" si="246"/>
        <v>-19.681026783983633</v>
      </c>
      <c r="AG485" s="686">
        <f t="shared" si="247"/>
        <v>20.210632594091649</v>
      </c>
      <c r="AH485" s="687">
        <f t="shared" si="248"/>
        <v>-36.536286263555112</v>
      </c>
      <c r="AJ485" s="170">
        <f t="shared" si="249"/>
        <v>0</v>
      </c>
      <c r="AK485" s="170">
        <f t="shared" si="261"/>
        <v>0</v>
      </c>
      <c r="AM485" s="170" t="str">
        <f t="shared" si="253"/>
        <v>1.68103871258572+0.732247411712449i</v>
      </c>
      <c r="AN485" s="170" t="str">
        <f t="shared" si="254"/>
        <v>2.31997655422424i</v>
      </c>
      <c r="AO485" s="170" t="str">
        <f t="shared" si="255"/>
        <v>0.315627074066401-0.724592974668156i</v>
      </c>
      <c r="AP485" s="170" t="str">
        <f t="shared" si="256"/>
        <v>-0.113506452097621-0.122041235285408i</v>
      </c>
      <c r="AQ485" s="170" t="str">
        <f t="shared" si="257"/>
        <v>1.11350645209762+0.122041235285408i</v>
      </c>
      <c r="AR485" s="170" t="str">
        <f t="shared" si="258"/>
        <v>0.739207652657133-0.0810177748793093i</v>
      </c>
    </row>
    <row r="486" spans="7:44">
      <c r="G486" s="688">
        <v>59227</v>
      </c>
      <c r="H486" s="676">
        <f t="shared" si="250"/>
        <v>59.226999999999997</v>
      </c>
      <c r="I486" s="677">
        <f t="shared" si="230"/>
        <v>20.278599801141752</v>
      </c>
      <c r="J486" s="678">
        <f t="shared" si="231"/>
        <v>1.5214632490459918</v>
      </c>
      <c r="K486" s="678">
        <f t="shared" si="232"/>
        <v>1.002765852520749</v>
      </c>
      <c r="L486" s="679">
        <f t="shared" si="233"/>
        <v>7.4289872534433074E-2</v>
      </c>
      <c r="M486" s="678">
        <f t="shared" si="234"/>
        <v>1.1170204423786143</v>
      </c>
      <c r="N486" s="679">
        <f t="shared" si="235"/>
        <v>-0.46182957073606407</v>
      </c>
      <c r="O486" s="677">
        <f t="shared" si="236"/>
        <v>446561.05891683977</v>
      </c>
      <c r="P486" s="680">
        <f t="shared" si="237"/>
        <v>1.5707940874594686</v>
      </c>
      <c r="Q486" s="689">
        <f t="shared" si="259"/>
        <v>10.023205976670905</v>
      </c>
      <c r="R486" s="690">
        <f t="shared" si="260"/>
        <v>1.470861591778365</v>
      </c>
      <c r="S486" s="677">
        <f t="shared" si="238"/>
        <v>1.0306140942572695</v>
      </c>
      <c r="T486" s="680">
        <f t="shared" si="239"/>
        <v>0.24434790452562183</v>
      </c>
      <c r="U486" s="681">
        <f t="shared" si="251"/>
        <v>0.58527124222066373</v>
      </c>
      <c r="V486" s="682">
        <f t="shared" si="252"/>
        <v>-1.2743818895967107</v>
      </c>
      <c r="W486" s="683">
        <f t="shared" si="240"/>
        <v>-19.193997441177761</v>
      </c>
      <c r="X486" s="684">
        <f t="shared" si="241"/>
        <v>-202.12032984899889</v>
      </c>
      <c r="Y486" s="687">
        <f t="shared" si="242"/>
        <v>-22.120329848998892</v>
      </c>
      <c r="AA486" s="170">
        <f t="shared" si="243"/>
        <v>59227</v>
      </c>
      <c r="AB486" s="170">
        <f t="shared" si="244"/>
        <v>3507837529</v>
      </c>
      <c r="AD486" s="686">
        <f t="shared" si="245"/>
        <v>11.866044678408262</v>
      </c>
      <c r="AE486" s="687">
        <f t="shared" si="246"/>
        <v>-19.725813923460311</v>
      </c>
      <c r="AG486" s="686">
        <f t="shared" si="247"/>
        <v>20.207002275565216</v>
      </c>
      <c r="AH486" s="687">
        <f t="shared" si="248"/>
        <v>-36.36110823507439</v>
      </c>
      <c r="AJ486" s="170">
        <f t="shared" si="249"/>
        <v>0</v>
      </c>
      <c r="AK486" s="170">
        <f t="shared" si="261"/>
        <v>0</v>
      </c>
      <c r="AM486" s="170" t="str">
        <f t="shared" si="253"/>
        <v>1.69087173661978+0.722977346491557i</v>
      </c>
      <c r="AN486" s="170" t="str">
        <f t="shared" si="254"/>
        <v>2.33349044523197i</v>
      </c>
      <c r="AO486" s="170" t="str">
        <f t="shared" si="255"/>
        <v>0.309826572450219-0.72461052500761i</v>
      </c>
      <c r="AP486" s="170" t="str">
        <f t="shared" si="256"/>
        <v>-0.11514528943663-0.120496224415259i</v>
      </c>
      <c r="AQ486" s="170" t="str">
        <f t="shared" si="257"/>
        <v>1.11514528943663+0.120496224415259i</v>
      </c>
      <c r="AR486" s="170" t="str">
        <f t="shared" si="258"/>
        <v>0.738366894922527-0.0797837052392792i</v>
      </c>
    </row>
    <row r="487" spans="7:44">
      <c r="G487" s="688">
        <v>59570</v>
      </c>
      <c r="H487" s="676">
        <f t="shared" si="250"/>
        <v>59.57</v>
      </c>
      <c r="I487" s="677">
        <f t="shared" si="230"/>
        <v>20.395754036999882</v>
      </c>
      <c r="J487" s="678">
        <f t="shared" si="231"/>
        <v>1.5217468488508623</v>
      </c>
      <c r="K487" s="678">
        <f t="shared" si="232"/>
        <v>1.0027979361021155</v>
      </c>
      <c r="L487" s="679">
        <f t="shared" si="233"/>
        <v>7.4718510888917414E-2</v>
      </c>
      <c r="M487" s="678">
        <f t="shared" si="234"/>
        <v>1.1183078189512374</v>
      </c>
      <c r="N487" s="679">
        <f t="shared" si="235"/>
        <v>-0.46413709183911378</v>
      </c>
      <c r="O487" s="677">
        <f t="shared" si="236"/>
        <v>449147.21798631334</v>
      </c>
      <c r="P487" s="680">
        <f t="shared" si="237"/>
        <v>1.5707941003534094</v>
      </c>
      <c r="Q487" s="689">
        <f t="shared" si="259"/>
        <v>10.08067700520621</v>
      </c>
      <c r="R487" s="690">
        <f t="shared" si="260"/>
        <v>1.4714332184055523</v>
      </c>
      <c r="S487" s="677">
        <f t="shared" si="238"/>
        <v>1.0309643691961707</v>
      </c>
      <c r="T487" s="680">
        <f t="shared" si="239"/>
        <v>0.24570687240183625</v>
      </c>
      <c r="U487" s="681">
        <f t="shared" si="251"/>
        <v>0.58282017748404247</v>
      </c>
      <c r="V487" s="682">
        <f t="shared" si="252"/>
        <v>-1.2795968692933408</v>
      </c>
      <c r="W487" s="683">
        <f t="shared" si="240"/>
        <v>-19.273650874238601</v>
      </c>
      <c r="X487" s="684">
        <f t="shared" si="241"/>
        <v>-202.58813936935348</v>
      </c>
      <c r="Y487" s="687">
        <f t="shared" si="242"/>
        <v>-22.588139369353485</v>
      </c>
      <c r="AA487" s="170">
        <f t="shared" si="243"/>
        <v>59570</v>
      </c>
      <c r="AB487" s="170">
        <f t="shared" si="244"/>
        <v>3548584900</v>
      </c>
      <c r="AD487" s="686">
        <f t="shared" si="245"/>
        <v>11.862596695927898</v>
      </c>
      <c r="AE487" s="687">
        <f t="shared" si="246"/>
        <v>-19.77092599288606</v>
      </c>
      <c r="AG487" s="686">
        <f t="shared" si="247"/>
        <v>20.203701081229273</v>
      </c>
      <c r="AH487" s="687">
        <f t="shared" si="248"/>
        <v>-36.186213031593773</v>
      </c>
      <c r="AJ487" s="170">
        <f t="shared" si="249"/>
        <v>0</v>
      </c>
      <c r="AK487" s="170">
        <f t="shared" si="261"/>
        <v>0</v>
      </c>
      <c r="AM487" s="170" t="str">
        <f t="shared" si="253"/>
        <v>1.70057859195024+0.713575249361284i</v>
      </c>
      <c r="AN487" s="170" t="str">
        <f t="shared" si="254"/>
        <v>2.34700433623969i</v>
      </c>
      <c r="AO487" s="170" t="str">
        <f t="shared" si="255"/>
        <v>0.304036613117024-0.724574115902514i</v>
      </c>
      <c r="AP487" s="170" t="str">
        <f t="shared" si="256"/>
        <v>-0.116763098658373-0.118929208226881i</v>
      </c>
      <c r="AQ487" s="170" t="str">
        <f t="shared" si="257"/>
        <v>1.11676309865837+0.118929208226881i</v>
      </c>
      <c r="AR487" s="170" t="str">
        <f t="shared" si="258"/>
        <v>0.737541210962022-0.0785441356002768i</v>
      </c>
    </row>
    <row r="488" spans="7:44">
      <c r="G488" s="688">
        <v>59913</v>
      </c>
      <c r="H488" s="676">
        <f t="shared" si="250"/>
        <v>59.912999999999997</v>
      </c>
      <c r="I488" s="677">
        <f t="shared" si="230"/>
        <v>20.512909894527429</v>
      </c>
      <c r="J488" s="678">
        <f t="shared" si="231"/>
        <v>1.5220272092177956</v>
      </c>
      <c r="K488" s="678">
        <f t="shared" si="232"/>
        <v>1.0028302039165791</v>
      </c>
      <c r="L488" s="679">
        <f t="shared" si="233"/>
        <v>7.5147121737770189E-2</v>
      </c>
      <c r="M488" s="678">
        <f t="shared" si="234"/>
        <v>1.119601136413358</v>
      </c>
      <c r="N488" s="679">
        <f t="shared" si="235"/>
        <v>-0.46643929406896395</v>
      </c>
      <c r="O488" s="677">
        <f t="shared" si="236"/>
        <v>451733.37705578696</v>
      </c>
      <c r="P488" s="680">
        <f t="shared" si="237"/>
        <v>1.5707941130997154</v>
      </c>
      <c r="Q488" s="689">
        <f t="shared" si="259"/>
        <v>10.138151290327478</v>
      </c>
      <c r="R488" s="690">
        <f t="shared" si="260"/>
        <v>1.4719983639883054</v>
      </c>
      <c r="S488" s="677">
        <f t="shared" si="238"/>
        <v>1.0313165468181824</v>
      </c>
      <c r="T488" s="680">
        <f t="shared" si="239"/>
        <v>0.24706491465433714</v>
      </c>
      <c r="U488" s="681">
        <f t="shared" si="251"/>
        <v>0.58037915243335902</v>
      </c>
      <c r="V488" s="682">
        <f t="shared" si="252"/>
        <v>-1.284798575732796</v>
      </c>
      <c r="W488" s="683">
        <f t="shared" si="240"/>
        <v>-19.352992185931903</v>
      </c>
      <c r="X488" s="684">
        <f t="shared" si="241"/>
        <v>-203.05501790264114</v>
      </c>
      <c r="Y488" s="687">
        <f t="shared" si="242"/>
        <v>-23.05501790264114</v>
      </c>
      <c r="AA488" s="170">
        <f t="shared" si="243"/>
        <v>59913</v>
      </c>
      <c r="AB488" s="170">
        <f t="shared" si="244"/>
        <v>3589567569</v>
      </c>
      <c r="AD488" s="686">
        <f t="shared" si="245"/>
        <v>11.859142137476082</v>
      </c>
      <c r="AE488" s="687">
        <f t="shared" si="246"/>
        <v>-19.816356356014033</v>
      </c>
      <c r="AG488" s="686">
        <f t="shared" si="247"/>
        <v>20.200725323629474</v>
      </c>
      <c r="AH488" s="687">
        <f t="shared" si="248"/>
        <v>-36.011589550578677</v>
      </c>
      <c r="AJ488" s="170">
        <f t="shared" si="249"/>
        <v>0</v>
      </c>
      <c r="AK488" s="170">
        <f t="shared" si="261"/>
        <v>0</v>
      </c>
      <c r="AM488" s="170" t="str">
        <f t="shared" si="253"/>
        <v>1.71015750588722+0.704042837355825i</v>
      </c>
      <c r="AN488" s="170" t="str">
        <f t="shared" si="254"/>
        <v>2.36051822724742i</v>
      </c>
      <c r="AO488" s="170" t="str">
        <f t="shared" si="255"/>
        <v>0.298257742401254-0.724483923126245i</v>
      </c>
      <c r="AP488" s="170" t="str">
        <f t="shared" si="256"/>
        <v>-0.118359584314537-0.117340472892637i</v>
      </c>
      <c r="AQ488" s="170" t="str">
        <f t="shared" si="257"/>
        <v>1.11835958431454+0.117340472892637i</v>
      </c>
      <c r="AR488" s="170" t="str">
        <f t="shared" si="258"/>
        <v>0.73673055232058-0.0772992091418754i</v>
      </c>
    </row>
    <row r="489" spans="7:44">
      <c r="G489" s="688">
        <v>60256</v>
      </c>
      <c r="H489" s="676">
        <f t="shared" si="250"/>
        <v>60.256</v>
      </c>
      <c r="I489" s="677">
        <f t="shared" si="230"/>
        <v>20.63006734609656</v>
      </c>
      <c r="J489" s="678">
        <f t="shared" si="231"/>
        <v>1.5223043852923122</v>
      </c>
      <c r="K489" s="678">
        <f t="shared" si="232"/>
        <v>1.0028626559463563</v>
      </c>
      <c r="L489" s="679">
        <f t="shared" si="233"/>
        <v>7.557570492617624E-2</v>
      </c>
      <c r="M489" s="678">
        <f t="shared" si="234"/>
        <v>1.1209003742008214</v>
      </c>
      <c r="N489" s="679">
        <f t="shared" si="235"/>
        <v>-0.46873617147501867</v>
      </c>
      <c r="O489" s="677">
        <f t="shared" si="236"/>
        <v>454319.53612526064</v>
      </c>
      <c r="P489" s="680">
        <f t="shared" si="237"/>
        <v>1.5707941257009077</v>
      </c>
      <c r="Q489" s="689">
        <f t="shared" si="259"/>
        <v>10.195628776961119</v>
      </c>
      <c r="R489" s="690">
        <f t="shared" si="260"/>
        <v>1.4725571377724911</v>
      </c>
      <c r="S489" s="677">
        <f t="shared" si="238"/>
        <v>1.0316706251747689</v>
      </c>
      <c r="T489" s="680">
        <f t="shared" si="239"/>
        <v>0.24842202722441262</v>
      </c>
      <c r="U489" s="681">
        <f t="shared" si="251"/>
        <v>0.57794813152985469</v>
      </c>
      <c r="V489" s="682">
        <f t="shared" si="252"/>
        <v>-1.2899872522803733</v>
      </c>
      <c r="W489" s="683">
        <f t="shared" si="240"/>
        <v>-19.432024998567876</v>
      </c>
      <c r="X489" s="684">
        <f t="shared" si="241"/>
        <v>-203.52097572846822</v>
      </c>
      <c r="Y489" s="687">
        <f t="shared" si="242"/>
        <v>-23.520975728468215</v>
      </c>
      <c r="AA489" s="170">
        <f t="shared" si="243"/>
        <v>60256</v>
      </c>
      <c r="AB489" s="170">
        <f t="shared" si="244"/>
        <v>3630785536</v>
      </c>
      <c r="AD489" s="686">
        <f t="shared" si="245"/>
        <v>11.855680844967644</v>
      </c>
      <c r="AE489" s="687">
        <f t="shared" si="246"/>
        <v>-19.862098521114525</v>
      </c>
      <c r="AG489" s="686">
        <f t="shared" si="247"/>
        <v>20.198071399661778</v>
      </c>
      <c r="AH489" s="687">
        <f t="shared" si="248"/>
        <v>-35.837226675756519</v>
      </c>
      <c r="AJ489" s="170">
        <f t="shared" si="249"/>
        <v>0</v>
      </c>
      <c r="AK489" s="170">
        <f t="shared" si="261"/>
        <v>0</v>
      </c>
      <c r="AM489" s="170" t="str">
        <f t="shared" si="253"/>
        <v>1.71960672910578+0.694381851307822i</v>
      </c>
      <c r="AN489" s="170" t="str">
        <f t="shared" si="254"/>
        <v>2.37403211825515i</v>
      </c>
      <c r="AO489" s="170" t="str">
        <f t="shared" si="255"/>
        <v>0.292490504222063-0.724340128291796i</v>
      </c>
      <c r="AP489" s="170" t="str">
        <f t="shared" si="256"/>
        <v>-0.119934454850964-0.115730308551304i</v>
      </c>
      <c r="AQ489" s="170" t="str">
        <f t="shared" si="257"/>
        <v>1.11993445485096+0.115730308551304i</v>
      </c>
      <c r="AR489" s="170" t="str">
        <f t="shared" si="258"/>
        <v>0.735934870579458-0.0760490663332249i</v>
      </c>
    </row>
    <row r="490" spans="7:44">
      <c r="G490" s="688">
        <v>60607</v>
      </c>
      <c r="H490" s="676">
        <f t="shared" si="250"/>
        <v>60.606999999999999</v>
      </c>
      <c r="I490" s="677">
        <f t="shared" si="230"/>
        <v>20.749958955052723</v>
      </c>
      <c r="J490" s="678">
        <f t="shared" si="231"/>
        <v>1.5225847857813424</v>
      </c>
      <c r="K490" s="678">
        <f t="shared" si="232"/>
        <v>1.0028960555663997</v>
      </c>
      <c r="L490" s="679">
        <f t="shared" si="233"/>
        <v>7.60142554267942E-2</v>
      </c>
      <c r="M490" s="678">
        <f t="shared" si="234"/>
        <v>1.1222360225178503</v>
      </c>
      <c r="N490" s="679">
        <f t="shared" si="235"/>
        <v>-0.47108110185881091</v>
      </c>
      <c r="O490" s="677">
        <f t="shared" si="236"/>
        <v>456966.01377361425</v>
      </c>
      <c r="P490" s="680">
        <f t="shared" si="237"/>
        <v>1.5707941384483459</v>
      </c>
      <c r="Q490" s="689">
        <f t="shared" si="259"/>
        <v>10.254450104596796</v>
      </c>
      <c r="R490" s="690">
        <f t="shared" si="260"/>
        <v>1.473122459152973</v>
      </c>
      <c r="S490" s="677">
        <f t="shared" si="238"/>
        <v>1.0320349276271084</v>
      </c>
      <c r="T490" s="680">
        <f t="shared" si="239"/>
        <v>0.24980982589089967</v>
      </c>
      <c r="U490" s="681">
        <f t="shared" si="251"/>
        <v>0.57547072839104041</v>
      </c>
      <c r="V490" s="682">
        <f t="shared" si="252"/>
        <v>-1.2952837113115663</v>
      </c>
      <c r="W490" s="683">
        <f t="shared" si="240"/>
        <v>-19.512585510461612</v>
      </c>
      <c r="X490" s="684">
        <f t="shared" si="241"/>
        <v>-203.99685897152057</v>
      </c>
      <c r="Y490" s="687">
        <f t="shared" si="242"/>
        <v>-23.996858971520567</v>
      </c>
      <c r="AA490" s="170">
        <f t="shared" si="243"/>
        <v>60607</v>
      </c>
      <c r="AB490" s="170">
        <f t="shared" si="244"/>
        <v>3673208449</v>
      </c>
      <c r="AD490" s="686">
        <f t="shared" si="245"/>
        <v>11.852131691885559</v>
      </c>
      <c r="AE490" s="687">
        <f t="shared" si="246"/>
        <v>-19.909223728776244</v>
      </c>
      <c r="AG490" s="686">
        <f t="shared" si="247"/>
        <v>20.195685085026142</v>
      </c>
      <c r="AH490" s="687">
        <f t="shared" si="248"/>
        <v>-35.659055212750992</v>
      </c>
      <c r="AJ490" s="170">
        <f t="shared" si="249"/>
        <v>0</v>
      </c>
      <c r="AK490" s="170">
        <f t="shared" si="261"/>
        <v>0</v>
      </c>
      <c r="AM490" s="170" t="str">
        <f t="shared" si="253"/>
        <v>1.72914027886636+0.684364269767709i</v>
      </c>
      <c r="AN490" s="170" t="str">
        <f t="shared" si="254"/>
        <v>2.38786120205605i</v>
      </c>
      <c r="AO490" s="170" t="str">
        <f t="shared" si="255"/>
        <v>0.286601360740081-0.724137683286406i</v>
      </c>
      <c r="AP490" s="170" t="str">
        <f t="shared" si="256"/>
        <v>-0.12152337981106-0.114060711627952i</v>
      </c>
      <c r="AQ490" s="170" t="str">
        <f t="shared" si="257"/>
        <v>1.12152337981106+0.114060711627952i</v>
      </c>
      <c r="AR490" s="170" t="str">
        <f t="shared" si="258"/>
        <v>0.735136085186112-0.0747645091748696i</v>
      </c>
    </row>
    <row r="491" spans="7:44">
      <c r="G491" s="688">
        <v>60958</v>
      </c>
      <c r="H491" s="676">
        <f t="shared" si="250"/>
        <v>60.957999999999998</v>
      </c>
      <c r="I491" s="677">
        <f t="shared" si="230"/>
        <v>20.86985217671808</v>
      </c>
      <c r="J491" s="678">
        <f t="shared" si="231"/>
        <v>1.5228619645999493</v>
      </c>
      <c r="K491" s="678">
        <f t="shared" si="232"/>
        <v>1.0029296480571046</v>
      </c>
      <c r="L491" s="679">
        <f t="shared" si="233"/>
        <v>7.6452776633806535E-2</v>
      </c>
      <c r="M491" s="678">
        <f t="shared" si="234"/>
        <v>1.1235778269815386</v>
      </c>
      <c r="N491" s="679">
        <f t="shared" si="235"/>
        <v>-0.47342044433254243</v>
      </c>
      <c r="O491" s="677">
        <f t="shared" si="236"/>
        <v>459612.49142196792</v>
      </c>
      <c r="P491" s="680">
        <f t="shared" si="237"/>
        <v>1.5707941510489831</v>
      </c>
      <c r="Q491" s="689">
        <f t="shared" si="259"/>
        <v>10.313274672050996</v>
      </c>
      <c r="R491" s="690">
        <f t="shared" si="260"/>
        <v>1.4736813317818314</v>
      </c>
      <c r="S491" s="677">
        <f t="shared" si="238"/>
        <v>1.0324012163583645</v>
      </c>
      <c r="T491" s="680">
        <f t="shared" si="239"/>
        <v>0.25119664246427736</v>
      </c>
      <c r="U491" s="681">
        <f t="shared" si="251"/>
        <v>0.57300372067869565</v>
      </c>
      <c r="V491" s="682">
        <f t="shared" si="252"/>
        <v>-1.3005670386832728</v>
      </c>
      <c r="W491" s="683">
        <f t="shared" si="240"/>
        <v>-19.592830534405209</v>
      </c>
      <c r="X491" s="684">
        <f t="shared" si="241"/>
        <v>-204.47179996057403</v>
      </c>
      <c r="Y491" s="687">
        <f t="shared" si="242"/>
        <v>-24.471799960574032</v>
      </c>
      <c r="AA491" s="170">
        <f t="shared" si="243"/>
        <v>60958</v>
      </c>
      <c r="AB491" s="170">
        <f t="shared" si="244"/>
        <v>3715877764</v>
      </c>
      <c r="AD491" s="686">
        <f t="shared" si="245"/>
        <v>11.84857516921484</v>
      </c>
      <c r="AE491" s="687">
        <f t="shared" si="246"/>
        <v>-19.956662144488156</v>
      </c>
      <c r="AG491" s="686">
        <f t="shared" si="247"/>
        <v>20.193628421496662</v>
      </c>
      <c r="AH491" s="687">
        <f t="shared" si="248"/>
        <v>-35.481133065031273</v>
      </c>
      <c r="AJ491" s="170">
        <f t="shared" si="249"/>
        <v>0</v>
      </c>
      <c r="AK491" s="170">
        <f t="shared" si="261"/>
        <v>0</v>
      </c>
      <c r="AM491" s="170" t="str">
        <f t="shared" si="253"/>
        <v>1.73853438746746+0.674215810054963i</v>
      </c>
      <c r="AN491" s="170" t="str">
        <f t="shared" si="254"/>
        <v>2.40169028585696i</v>
      </c>
      <c r="AO491" s="170" t="str">
        <f t="shared" si="255"/>
        <v>0.28072554318318-0.723879510070602i</v>
      </c>
      <c r="AP491" s="170" t="str">
        <f t="shared" si="256"/>
        <v>-0.123089064577909-0.112369301675827i</v>
      </c>
      <c r="AQ491" s="170" t="str">
        <f t="shared" si="257"/>
        <v>1.12308906457791+0.112369301675827i</v>
      </c>
      <c r="AR491" s="170" t="str">
        <f t="shared" si="258"/>
        <v>0.734352881211737-0.0734747786689628i</v>
      </c>
    </row>
    <row r="492" spans="7:44">
      <c r="G492" s="688">
        <v>61309</v>
      </c>
      <c r="H492" s="676">
        <f t="shared" si="250"/>
        <v>61.308999999999997</v>
      </c>
      <c r="I492" s="677">
        <f t="shared" si="230"/>
        <v>20.989746983457302</v>
      </c>
      <c r="J492" s="678">
        <f t="shared" si="231"/>
        <v>1.5231359769123491</v>
      </c>
      <c r="K492" s="678">
        <f t="shared" si="232"/>
        <v>1.0029634333990911</v>
      </c>
      <c r="L492" s="679">
        <f t="shared" si="233"/>
        <v>7.6891268381509142E-2</v>
      </c>
      <c r="M492" s="678">
        <f t="shared" si="234"/>
        <v>1.1249257655628462</v>
      </c>
      <c r="N492" s="679">
        <f t="shared" si="235"/>
        <v>-0.47575419333355062</v>
      </c>
      <c r="O492" s="677">
        <f t="shared" si="236"/>
        <v>462258.96907032171</v>
      </c>
      <c r="P492" s="680">
        <f t="shared" si="237"/>
        <v>1.5707941635053406</v>
      </c>
      <c r="Q492" s="689">
        <f t="shared" si="259"/>
        <v>10.372102424200593</v>
      </c>
      <c r="R492" s="690">
        <f t="shared" si="260"/>
        <v>1.4742338650336582</v>
      </c>
      <c r="S492" s="677">
        <f t="shared" si="238"/>
        <v>1.0327694892551373</v>
      </c>
      <c r="T492" s="680">
        <f t="shared" si="239"/>
        <v>0.25258247265792289</v>
      </c>
      <c r="U492" s="681">
        <f t="shared" si="251"/>
        <v>0.57054706482372708</v>
      </c>
      <c r="V492" s="682">
        <f t="shared" si="252"/>
        <v>-1.3058374926436962</v>
      </c>
      <c r="W492" s="683">
        <f t="shared" si="240"/>
        <v>-19.672763847620903</v>
      </c>
      <c r="X492" s="684">
        <f t="shared" si="241"/>
        <v>-204.94580983145113</v>
      </c>
      <c r="Y492" s="687">
        <f t="shared" si="242"/>
        <v>-24.945809831451129</v>
      </c>
      <c r="AA492" s="170">
        <f t="shared" si="243"/>
        <v>61309</v>
      </c>
      <c r="AB492" s="170">
        <f t="shared" si="244"/>
        <v>3758793481</v>
      </c>
      <c r="AD492" s="686">
        <f t="shared" si="245"/>
        <v>11.8450111246164</v>
      </c>
      <c r="AE492" s="687">
        <f t="shared" si="246"/>
        <v>-20.0044072560868</v>
      </c>
      <c r="AG492" s="686">
        <f t="shared" si="247"/>
        <v>20.191897812504696</v>
      </c>
      <c r="AH492" s="687">
        <f t="shared" si="248"/>
        <v>-35.303448287519068</v>
      </c>
      <c r="AJ492" s="170">
        <f t="shared" si="249"/>
        <v>0</v>
      </c>
      <c r="AK492" s="170">
        <f t="shared" si="261"/>
        <v>0</v>
      </c>
      <c r="AM492" s="170" t="str">
        <f t="shared" si="253"/>
        <v>1.74778725837494+0.663938412966211i</v>
      </c>
      <c r="AN492" s="170" t="str">
        <f t="shared" si="254"/>
        <v>2.41551936965787i</v>
      </c>
      <c r="AO492" s="170" t="str">
        <f t="shared" si="255"/>
        <v>0.274863626144406-0.723565822046169i</v>
      </c>
      <c r="AP492" s="170" t="str">
        <f t="shared" si="256"/>
        <v>-0.124631209729157-0.110656402161035i</v>
      </c>
      <c r="AQ492" s="170" t="str">
        <f t="shared" si="257"/>
        <v>1.12463120972916+0.110656402161035i</v>
      </c>
      <c r="AR492" s="170" t="str">
        <f t="shared" si="258"/>
        <v>0.733585207209568-0.0721800168856396i</v>
      </c>
    </row>
    <row r="493" spans="7:44">
      <c r="G493" s="688">
        <v>61660</v>
      </c>
      <c r="H493" s="676">
        <f t="shared" si="250"/>
        <v>61.66</v>
      </c>
      <c r="I493" s="677">
        <f t="shared" si="230"/>
        <v>21.109643348262519</v>
      </c>
      <c r="J493" s="678">
        <f t="shared" si="231"/>
        <v>1.5234068766314222</v>
      </c>
      <c r="K493" s="678">
        <f t="shared" si="232"/>
        <v>1.0029974115728715</v>
      </c>
      <c r="L493" s="679">
        <f t="shared" si="233"/>
        <v>7.7329730504265559E-2</v>
      </c>
      <c r="M493" s="678">
        <f t="shared" si="234"/>
        <v>1.1262798162377248</v>
      </c>
      <c r="N493" s="679">
        <f t="shared" si="235"/>
        <v>-0.47808234356945323</v>
      </c>
      <c r="O493" s="677">
        <f t="shared" si="236"/>
        <v>464905.44671867561</v>
      </c>
      <c r="P493" s="680">
        <f t="shared" si="237"/>
        <v>1.570794175819882</v>
      </c>
      <c r="Q493" s="689">
        <f t="shared" si="259"/>
        <v>10.430933307163023</v>
      </c>
      <c r="R493" s="690">
        <f t="shared" si="260"/>
        <v>1.474780165831221</v>
      </c>
      <c r="S493" s="677">
        <f t="shared" si="238"/>
        <v>1.033139744195601</v>
      </c>
      <c r="T493" s="680">
        <f t="shared" si="239"/>
        <v>0.25396731220646351</v>
      </c>
      <c r="U493" s="681">
        <f t="shared" si="251"/>
        <v>0.56810071552777575</v>
      </c>
      <c r="V493" s="682">
        <f t="shared" si="252"/>
        <v>-1.3110953305889665</v>
      </c>
      <c r="W493" s="683">
        <f t="shared" si="240"/>
        <v>-19.752389194473722</v>
      </c>
      <c r="X493" s="684">
        <f t="shared" si="241"/>
        <v>-205.41889975663335</v>
      </c>
      <c r="Y493" s="687">
        <f t="shared" si="242"/>
        <v>-25.418899756633351</v>
      </c>
      <c r="AA493" s="170">
        <f t="shared" si="243"/>
        <v>61660</v>
      </c>
      <c r="AB493" s="170">
        <f t="shared" si="244"/>
        <v>3801955600</v>
      </c>
      <c r="AD493" s="686">
        <f t="shared" si="245"/>
        <v>11.84143941113031</v>
      </c>
      <c r="AE493" s="687">
        <f t="shared" si="246"/>
        <v>-20.052452693102154</v>
      </c>
      <c r="AG493" s="686">
        <f t="shared" si="247"/>
        <v>20.190489747545229</v>
      </c>
      <c r="AH493" s="687">
        <f t="shared" si="248"/>
        <v>-35.125988927742043</v>
      </c>
      <c r="AJ493" s="170">
        <f t="shared" si="249"/>
        <v>0</v>
      </c>
      <c r="AK493" s="170">
        <f t="shared" si="261"/>
        <v>0</v>
      </c>
      <c r="AM493" s="170" t="str">
        <f t="shared" si="253"/>
        <v>1.75689712206505+0.653534043956124i</v>
      </c>
      <c r="AN493" s="170" t="str">
        <f t="shared" si="254"/>
        <v>2.42934845345878i</v>
      </c>
      <c r="AO493" s="170" t="str">
        <f t="shared" si="255"/>
        <v>0.269016181283363-0.72319683887409i</v>
      </c>
      <c r="AP493" s="170" t="str">
        <f t="shared" si="256"/>
        <v>-0.126149520344175-0.108922340659354i</v>
      </c>
      <c r="AQ493" s="170" t="str">
        <f t="shared" si="257"/>
        <v>1.12614952034417+0.108922340659354i</v>
      </c>
      <c r="AR493" s="170" t="str">
        <f t="shared" si="258"/>
        <v>0.732833011983432-0.070880363162864i</v>
      </c>
    </row>
    <row r="494" spans="7:44">
      <c r="G494" s="688">
        <v>62019</v>
      </c>
      <c r="H494" s="676">
        <f t="shared" si="250"/>
        <v>62.018999999999998</v>
      </c>
      <c r="I494" s="677">
        <f t="shared" si="230"/>
        <v>21.232273977973584</v>
      </c>
      <c r="J494" s="678">
        <f t="shared" si="231"/>
        <v>1.5236807858070061</v>
      </c>
      <c r="K494" s="678">
        <f t="shared" si="232"/>
        <v>1.003032363631956</v>
      </c>
      <c r="L494" s="679">
        <f t="shared" si="233"/>
        <v>7.7778155247684833E-2</v>
      </c>
      <c r="M494" s="678">
        <f t="shared" si="234"/>
        <v>1.1276710281586699</v>
      </c>
      <c r="N494" s="679">
        <f t="shared" si="235"/>
        <v>-0.48045776019328085</v>
      </c>
      <c r="O494" s="677">
        <f t="shared" si="236"/>
        <v>467612.24294590938</v>
      </c>
      <c r="P494" s="680">
        <f t="shared" si="237"/>
        <v>1.5707941882709058</v>
      </c>
      <c r="Q494" s="689">
        <f t="shared" si="259"/>
        <v>10.491108248714969</v>
      </c>
      <c r="R494" s="690">
        <f t="shared" si="260"/>
        <v>1.4753325797285073</v>
      </c>
      <c r="S494" s="677">
        <f t="shared" si="238"/>
        <v>1.0335204860954181</v>
      </c>
      <c r="T494" s="680">
        <f t="shared" si="239"/>
        <v>0.25538268585543111</v>
      </c>
      <c r="U494" s="681">
        <f t="shared" si="251"/>
        <v>0.56560922161331773</v>
      </c>
      <c r="V494" s="682">
        <f t="shared" si="252"/>
        <v>-1.3164602220851005</v>
      </c>
      <c r="W494" s="683">
        <f t="shared" si="240"/>
        <v>-19.833514658470712</v>
      </c>
      <c r="X494" s="684">
        <f t="shared" si="241"/>
        <v>-205.90183240414561</v>
      </c>
      <c r="Y494" s="687">
        <f t="shared" si="242"/>
        <v>-25.901832404145608</v>
      </c>
      <c r="AA494" s="170">
        <f t="shared" si="243"/>
        <v>62019</v>
      </c>
      <c r="AB494" s="170">
        <f t="shared" si="244"/>
        <v>3846356361</v>
      </c>
      <c r="AD494" s="686">
        <f t="shared" si="245"/>
        <v>11.837778210279758</v>
      </c>
      <c r="AE494" s="687">
        <f t="shared" si="246"/>
        <v>-20.101897358210753</v>
      </c>
      <c r="AG494" s="686">
        <f t="shared" si="247"/>
        <v>20.189379674497197</v>
      </c>
      <c r="AH494" s="687">
        <f t="shared" si="248"/>
        <v>-34.944705628895036</v>
      </c>
      <c r="AJ494" s="170">
        <f t="shared" si="249"/>
        <v>0</v>
      </c>
      <c r="AK494" s="170">
        <f t="shared" si="261"/>
        <v>0</v>
      </c>
      <c r="AM494" s="170" t="str">
        <f t="shared" si="253"/>
        <v>1.76606486876172+0.642763266567942i</v>
      </c>
      <c r="AN494" s="170" t="str">
        <f t="shared" si="254"/>
        <v>2.44349273005287i</v>
      </c>
      <c r="AO494" s="170" t="str">
        <f t="shared" si="255"/>
        <v>0.263051024732959-0.722762481361468i</v>
      </c>
      <c r="AP494" s="170" t="str">
        <f t="shared" si="256"/>
        <v>-0.127677478126953-0.107127211094657i</v>
      </c>
      <c r="AQ494" s="170" t="str">
        <f t="shared" si="257"/>
        <v>1.12767747812695+0.107127211094657i</v>
      </c>
      <c r="AR494" s="170" t="str">
        <f t="shared" si="258"/>
        <v>0.732079631643595-0.0695461696791583i</v>
      </c>
    </row>
    <row r="495" spans="7:44">
      <c r="G495" s="688">
        <v>62378</v>
      </c>
      <c r="H495" s="676">
        <f t="shared" si="250"/>
        <v>62.378</v>
      </c>
      <c r="I495" s="677">
        <f t="shared" si="230"/>
        <v>21.354906182366825</v>
      </c>
      <c r="J495" s="678">
        <f t="shared" si="231"/>
        <v>1.5239515491133566</v>
      </c>
      <c r="K495" s="678">
        <f t="shared" si="232"/>
        <v>1.0030675173714731</v>
      </c>
      <c r="L495" s="679">
        <f t="shared" si="233"/>
        <v>7.8226548650066424E-2</v>
      </c>
      <c r="M495" s="678">
        <f t="shared" si="234"/>
        <v>1.1290685873792268</v>
      </c>
      <c r="N495" s="679">
        <f t="shared" si="235"/>
        <v>-0.48282730958652814</v>
      </c>
      <c r="O495" s="677">
        <f t="shared" si="236"/>
        <v>470319.03917314322</v>
      </c>
      <c r="P495" s="680">
        <f t="shared" si="237"/>
        <v>1.5707942005786122</v>
      </c>
      <c r="Q495" s="689">
        <f t="shared" si="259"/>
        <v>10.551286355227992</v>
      </c>
      <c r="R495" s="690">
        <f t="shared" si="260"/>
        <v>1.4758786925265017</v>
      </c>
      <c r="S495" s="677">
        <f t="shared" si="238"/>
        <v>1.0339032969014863</v>
      </c>
      <c r="T495" s="680">
        <f t="shared" si="239"/>
        <v>0.25679701422956158</v>
      </c>
      <c r="U495" s="681">
        <f t="shared" si="251"/>
        <v>0.56312840828232402</v>
      </c>
      <c r="V495" s="682">
        <f t="shared" si="252"/>
        <v>-1.3218124578783419</v>
      </c>
      <c r="W495" s="683">
        <f t="shared" si="240"/>
        <v>-19.914325780714243</v>
      </c>
      <c r="X495" s="684">
        <f t="shared" si="241"/>
        <v>-206.38382644477147</v>
      </c>
      <c r="Y495" s="687">
        <f t="shared" si="242"/>
        <v>-26.383826444771472</v>
      </c>
      <c r="AA495" s="170">
        <f t="shared" si="243"/>
        <v>62378</v>
      </c>
      <c r="AB495" s="170">
        <f t="shared" si="244"/>
        <v>3891014884</v>
      </c>
      <c r="AD495" s="686">
        <f t="shared" si="245"/>
        <v>11.83410869247375</v>
      </c>
      <c r="AE495" s="687">
        <f t="shared" si="246"/>
        <v>-20.151643151667351</v>
      </c>
      <c r="AG495" s="686">
        <f t="shared" si="247"/>
        <v>20.18859985664966</v>
      </c>
      <c r="AH495" s="687">
        <f t="shared" si="248"/>
        <v>-34.763632831540313</v>
      </c>
      <c r="AJ495" s="170">
        <f t="shared" si="249"/>
        <v>0</v>
      </c>
      <c r="AK495" s="170">
        <f t="shared" si="261"/>
        <v>0</v>
      </c>
      <c r="AM495" s="170" t="str">
        <f t="shared" si="253"/>
        <v>1.77507935864654+0.631863899744293i</v>
      </c>
      <c r="AN495" s="170" t="str">
        <f t="shared" si="254"/>
        <v>2.45763700664696i</v>
      </c>
      <c r="AO495" s="170" t="str">
        <f t="shared" si="255"/>
        <v>0.257102207541368-0.72227076408991i</v>
      </c>
      <c r="AP495" s="170" t="str">
        <f t="shared" si="256"/>
        <v>-0.129179893107757-0.105310649957382i</v>
      </c>
      <c r="AQ495" s="170" t="str">
        <f t="shared" si="257"/>
        <v>1.12917989310776+0.105310649957382i</v>
      </c>
      <c r="AR495" s="170" t="str">
        <f t="shared" si="258"/>
        <v>0.731342336381418-0.068207145075623i</v>
      </c>
    </row>
    <row r="496" spans="7:44">
      <c r="G496" s="688">
        <v>62737</v>
      </c>
      <c r="H496" s="676">
        <f t="shared" si="250"/>
        <v>62.737000000000002</v>
      </c>
      <c r="I496" s="677">
        <f t="shared" si="230"/>
        <v>21.477539934468943</v>
      </c>
      <c r="J496" s="678">
        <f t="shared" si="231"/>
        <v>1.5242192203978502</v>
      </c>
      <c r="K496" s="678">
        <f t="shared" si="232"/>
        <v>1.0031028727702196</v>
      </c>
      <c r="L496" s="679">
        <f t="shared" si="233"/>
        <v>7.8674910534409961E-2</v>
      </c>
      <c r="M496" s="678">
        <f t="shared" si="234"/>
        <v>1.1304724703586351</v>
      </c>
      <c r="N496" s="679">
        <f t="shared" si="235"/>
        <v>-0.48519098694996754</v>
      </c>
      <c r="O496" s="677">
        <f t="shared" si="236"/>
        <v>473025.83540037717</v>
      </c>
      <c r="P496" s="680">
        <f t="shared" si="237"/>
        <v>1.5707942127454617</v>
      </c>
      <c r="Q496" s="689">
        <f t="shared" si="259"/>
        <v>10.611467572856176</v>
      </c>
      <c r="R496" s="690">
        <f t="shared" si="260"/>
        <v>1.4764186111036457</v>
      </c>
      <c r="S496" s="677">
        <f t="shared" si="238"/>
        <v>1.0342881743165739</v>
      </c>
      <c r="T496" s="680">
        <f t="shared" si="239"/>
        <v>0.25821029283440733</v>
      </c>
      <c r="U496" s="681">
        <f t="shared" si="251"/>
        <v>0.56065822182570768</v>
      </c>
      <c r="V496" s="682">
        <f t="shared" si="252"/>
        <v>-1.3271523106359338</v>
      </c>
      <c r="W496" s="683">
        <f t="shared" si="240"/>
        <v>-19.994826468183444</v>
      </c>
      <c r="X496" s="684">
        <f t="shared" si="241"/>
        <v>-206.86489394053098</v>
      </c>
      <c r="Y496" s="687">
        <f t="shared" si="242"/>
        <v>-26.864893940530976</v>
      </c>
      <c r="AA496" s="170">
        <f t="shared" si="243"/>
        <v>62737</v>
      </c>
      <c r="AB496" s="170">
        <f t="shared" si="244"/>
        <v>3935931169</v>
      </c>
      <c r="AD496" s="686">
        <f t="shared" si="245"/>
        <v>11.830430716802878</v>
      </c>
      <c r="AE496" s="687">
        <f t="shared" si="246"/>
        <v>-20.201683692416385</v>
      </c>
      <c r="AG496" s="686">
        <f t="shared" si="247"/>
        <v>20.188146807661571</v>
      </c>
      <c r="AH496" s="687">
        <f t="shared" si="248"/>
        <v>-34.582757733388924</v>
      </c>
      <c r="AJ496" s="170">
        <f t="shared" si="249"/>
        <v>0</v>
      </c>
      <c r="AK496" s="170">
        <f t="shared" si="261"/>
        <v>0</v>
      </c>
      <c r="AM496" s="170" t="str">
        <f t="shared" si="253"/>
        <v>1.78393878830569+0.62083812398225i</v>
      </c>
      <c r="AN496" s="170" t="str">
        <f t="shared" si="254"/>
        <v>2.47178128324106i</v>
      </c>
      <c r="AO496" s="170" t="str">
        <f t="shared" si="255"/>
        <v>0.251170331368555-0.72172194214795i</v>
      </c>
      <c r="AP496" s="170" t="str">
        <f t="shared" si="256"/>
        <v>-0.130656464717616-0.103473020663708i</v>
      </c>
      <c r="AQ496" s="170" t="str">
        <f t="shared" si="257"/>
        <v>1.13065646471762+0.103473020663708i</v>
      </c>
      <c r="AR496" s="170" t="str">
        <f t="shared" si="258"/>
        <v>0.730621072543455-0.0668634299592585i</v>
      </c>
    </row>
    <row r="497" spans="7:44">
      <c r="G497" s="688">
        <v>63096</v>
      </c>
      <c r="H497" s="676">
        <f t="shared" si="250"/>
        <v>63.095999999999997</v>
      </c>
      <c r="I497" s="677">
        <f t="shared" si="230"/>
        <v>21.600175207918852</v>
      </c>
      <c r="J497" s="678">
        <f t="shared" si="231"/>
        <v>1.5244838522867821</v>
      </c>
      <c r="K497" s="678">
        <f t="shared" si="232"/>
        <v>1.0031384298068728</v>
      </c>
      <c r="L497" s="679">
        <f t="shared" si="233"/>
        <v>7.9123240723790622E-2</v>
      </c>
      <c r="M497" s="678">
        <f t="shared" si="234"/>
        <v>1.1318826535666713</v>
      </c>
      <c r="N497" s="679">
        <f t="shared" si="235"/>
        <v>-0.48754878777058092</v>
      </c>
      <c r="O497" s="677">
        <f t="shared" si="236"/>
        <v>475732.63162761112</v>
      </c>
      <c r="P497" s="680">
        <f t="shared" si="237"/>
        <v>1.5707942247738589</v>
      </c>
      <c r="Q497" s="689">
        <f t="shared" si="259"/>
        <v>10.671651848965494</v>
      </c>
      <c r="R497" s="690">
        <f t="shared" si="260"/>
        <v>1.4769524399419898</v>
      </c>
      <c r="S497" s="677">
        <f t="shared" si="238"/>
        <v>1.0346751160344756</v>
      </c>
      <c r="T497" s="680">
        <f t="shared" si="239"/>
        <v>0.25962251719896456</v>
      </c>
      <c r="U497" s="681">
        <f t="shared" si="251"/>
        <v>0.55819860688691803</v>
      </c>
      <c r="V497" s="682">
        <f t="shared" si="252"/>
        <v>-1.3324800521180562</v>
      </c>
      <c r="W497" s="683">
        <f t="shared" si="240"/>
        <v>-20.075020596774724</v>
      </c>
      <c r="X497" s="684">
        <f t="shared" si="241"/>
        <v>-207.34504698654777</v>
      </c>
      <c r="Y497" s="687">
        <f t="shared" si="242"/>
        <v>-27.345046986547771</v>
      </c>
      <c r="AA497" s="170">
        <f t="shared" si="243"/>
        <v>63096</v>
      </c>
      <c r="AB497" s="170">
        <f t="shared" si="244"/>
        <v>3981105216</v>
      </c>
      <c r="AD497" s="686">
        <f t="shared" si="245"/>
        <v>11.826744147503401</v>
      </c>
      <c r="AE497" s="687">
        <f t="shared" si="246"/>
        <v>-20.25201273804548</v>
      </c>
      <c r="AG497" s="686">
        <f t="shared" si="247"/>
        <v>20.188017128996218</v>
      </c>
      <c r="AH497" s="687">
        <f t="shared" si="248"/>
        <v>-34.402067530554255</v>
      </c>
      <c r="AJ497" s="170">
        <f t="shared" si="249"/>
        <v>0</v>
      </c>
      <c r="AK497" s="170">
        <f t="shared" si="261"/>
        <v>0</v>
      </c>
      <c r="AM497" s="170" t="str">
        <f t="shared" si="253"/>
        <v>1.79264138534625+0.609688145067932i</v>
      </c>
      <c r="AN497" s="170" t="str">
        <f t="shared" si="254"/>
        <v>2.48592555983515i</v>
      </c>
      <c r="AO497" s="170" t="str">
        <f t="shared" si="255"/>
        <v>0.245255994354216-0.721116277297187i</v>
      </c>
      <c r="AP497" s="170" t="str">
        <f t="shared" si="256"/>
        <v>-0.132106897557709-0.101614690844655i</v>
      </c>
      <c r="AQ497" s="170" t="str">
        <f t="shared" si="257"/>
        <v>1.13210689755771+0.101614690844655i</v>
      </c>
      <c r="AR497" s="170" t="str">
        <f t="shared" si="258"/>
        <v>0.729915786953456-0.0655151622111971i</v>
      </c>
    </row>
    <row r="498" spans="7:44">
      <c r="G498" s="688">
        <v>63463.25</v>
      </c>
      <c r="H498" s="676">
        <f t="shared" si="250"/>
        <v>63.463250000000002</v>
      </c>
      <c r="I498" s="677">
        <f t="shared" si="230"/>
        <v>21.725630248770727</v>
      </c>
      <c r="J498" s="678">
        <f t="shared" si="231"/>
        <v>1.5247514742079633</v>
      </c>
      <c r="K498" s="678">
        <f t="shared" si="232"/>
        <v>1.0031750125814598</v>
      </c>
      <c r="L498" s="679">
        <f t="shared" si="233"/>
        <v>7.9581840785438646E-2</v>
      </c>
      <c r="M498" s="678">
        <f t="shared" si="234"/>
        <v>1.1333317380360302</v>
      </c>
      <c r="N498" s="679">
        <f t="shared" si="235"/>
        <v>-0.48995468696485606</v>
      </c>
      <c r="O498" s="677">
        <f t="shared" si="236"/>
        <v>478501.63138931507</v>
      </c>
      <c r="P498" s="680">
        <f t="shared" si="237"/>
        <v>1.5707942369378629</v>
      </c>
      <c r="Q498" s="689">
        <f t="shared" si="259"/>
        <v>10.733222300988377</v>
      </c>
      <c r="R498" s="690">
        <f t="shared" si="260"/>
        <v>1.4774923416665422</v>
      </c>
      <c r="S498" s="677">
        <f t="shared" si="238"/>
        <v>1.0350730834590964</v>
      </c>
      <c r="T498" s="680">
        <f t="shared" si="239"/>
        <v>0.2610660996912697</v>
      </c>
      <c r="U498" s="681">
        <f t="shared" si="251"/>
        <v>0.55569334809571902</v>
      </c>
      <c r="V498" s="682">
        <f t="shared" si="252"/>
        <v>-1.3379179782240294</v>
      </c>
      <c r="W498" s="683">
        <f t="shared" si="240"/>
        <v>-20.156744429375987</v>
      </c>
      <c r="X498" s="684">
        <f t="shared" si="241"/>
        <v>-207.83530062158761</v>
      </c>
      <c r="Y498" s="687">
        <f t="shared" si="242"/>
        <v>-27.835300621587606</v>
      </c>
      <c r="AA498" s="170">
        <f t="shared" si="243"/>
        <v>63463.25</v>
      </c>
      <c r="AB498" s="170">
        <f t="shared" si="244"/>
        <v>4027584100.5625</v>
      </c>
      <c r="AD498" s="686">
        <f t="shared" si="245"/>
        <v>11.822963830528153</v>
      </c>
      <c r="AE498" s="687">
        <f t="shared" si="246"/>
        <v>-20.30379052907011</v>
      </c>
      <c r="AG498" s="686">
        <f t="shared" si="247"/>
        <v>20.188215619762669</v>
      </c>
      <c r="AH498" s="687">
        <f t="shared" si="248"/>
        <v>-34.217402943504858</v>
      </c>
      <c r="AJ498" s="170">
        <f t="shared" si="249"/>
        <v>0</v>
      </c>
      <c r="AK498" s="170">
        <f t="shared" si="261"/>
        <v>0</v>
      </c>
      <c r="AM498" s="170" t="str">
        <f t="shared" si="253"/>
        <v>1.80137987715998+0.598155742664942i</v>
      </c>
      <c r="AN498" s="170" t="str">
        <f t="shared" si="254"/>
        <v>2.50039487899721i</v>
      </c>
      <c r="AO498" s="170" t="str">
        <f t="shared" si="255"/>
        <v>0.239224511171945-0.720438156505275i</v>
      </c>
      <c r="AP498" s="170" t="str">
        <f t="shared" si="256"/>
        <v>-0.133563312859997-0.0996926237774903i</v>
      </c>
      <c r="AQ498" s="170" t="str">
        <f t="shared" si="257"/>
        <v>1.13356331286+0.0996926237774903i</v>
      </c>
      <c r="AR498" s="170" t="str">
        <f t="shared" si="258"/>
        <v>0.729210771900815-0.0641313408019404i</v>
      </c>
    </row>
    <row r="499" spans="7:44">
      <c r="G499" s="688">
        <v>63830.5</v>
      </c>
      <c r="H499" s="676">
        <f t="shared" si="250"/>
        <v>63.830500000000001</v>
      </c>
      <c r="I499" s="677">
        <f t="shared" si="230"/>
        <v>21.851086827777234</v>
      </c>
      <c r="J499" s="678">
        <f t="shared" si="231"/>
        <v>1.5250160230805652</v>
      </c>
      <c r="K499" s="678">
        <f t="shared" si="232"/>
        <v>1.0032118063224</v>
      </c>
      <c r="L499" s="679">
        <f t="shared" si="233"/>
        <v>8.0040407304342545E-2</v>
      </c>
      <c r="M499" s="678">
        <f t="shared" si="234"/>
        <v>1.1347873658509939</v>
      </c>
      <c r="N499" s="679">
        <f t="shared" si="235"/>
        <v>-0.49235442777335164</v>
      </c>
      <c r="O499" s="677">
        <f t="shared" si="236"/>
        <v>481270.63115101896</v>
      </c>
      <c r="P499" s="680">
        <f t="shared" si="237"/>
        <v>1.5707942489618953</v>
      </c>
      <c r="Q499" s="689">
        <f t="shared" si="259"/>
        <v>10.794795845989185</v>
      </c>
      <c r="R499" s="690">
        <f t="shared" si="260"/>
        <v>1.4780260843433777</v>
      </c>
      <c r="S499" s="677">
        <f t="shared" si="238"/>
        <v>1.0354732062433416</v>
      </c>
      <c r="T499" s="680">
        <f t="shared" si="239"/>
        <v>0.26250856954266322</v>
      </c>
      <c r="U499" s="681">
        <f t="shared" si="251"/>
        <v>0.55319903005806625</v>
      </c>
      <c r="V499" s="682">
        <f t="shared" si="252"/>
        <v>-1.3433438024671722</v>
      </c>
      <c r="W499" s="683">
        <f t="shared" si="240"/>
        <v>-20.238155562174462</v>
      </c>
      <c r="X499" s="684">
        <f t="shared" si="241"/>
        <v>-208.32462300038384</v>
      </c>
      <c r="Y499" s="687">
        <f t="shared" si="242"/>
        <v>-28.324623000383838</v>
      </c>
      <c r="AA499" s="170">
        <f t="shared" si="243"/>
        <v>63830.5</v>
      </c>
      <c r="AB499" s="170">
        <f t="shared" si="244"/>
        <v>4074332730.25</v>
      </c>
      <c r="AD499" s="686">
        <f t="shared" si="245"/>
        <v>11.819174248762279</v>
      </c>
      <c r="AE499" s="687">
        <f t="shared" si="246"/>
        <v>-20.35585744988694</v>
      </c>
      <c r="AG499" s="686">
        <f t="shared" si="247"/>
        <v>20.188745594213799</v>
      </c>
      <c r="AH499" s="687">
        <f t="shared" si="248"/>
        <v>-34.03290474175013</v>
      </c>
      <c r="AJ499" s="170">
        <f t="shared" si="249"/>
        <v>0</v>
      </c>
      <c r="AK499" s="170">
        <f t="shared" si="261"/>
        <v>0</v>
      </c>
      <c r="AM499" s="170" t="str">
        <f t="shared" si="253"/>
        <v>1.80995059405053+0.586498111844522i</v>
      </c>
      <c r="AN499" s="170" t="str">
        <f t="shared" si="254"/>
        <v>2.51486419815927i</v>
      </c>
      <c r="AO499" s="170" t="str">
        <f t="shared" si="255"/>
        <v>0.233212637196793-0.719701125561891i</v>
      </c>
      <c r="AP499" s="170" t="str">
        <f t="shared" si="256"/>
        <v>-0.134991765675089-0.0977496853074203i</v>
      </c>
      <c r="AQ499" s="170" t="str">
        <f t="shared" si="257"/>
        <v>1.13499176567509+0.0977496853074203i</v>
      </c>
      <c r="AR499" s="170" t="str">
        <f t="shared" si="258"/>
        <v>0.728522367061977-0.0627430385606084i</v>
      </c>
    </row>
    <row r="500" spans="7:44">
      <c r="G500" s="688">
        <v>64197.75</v>
      </c>
      <c r="H500" s="676">
        <f t="shared" si="250"/>
        <v>64.197749999999999</v>
      </c>
      <c r="I500" s="677">
        <f t="shared" si="230"/>
        <v>21.976544918595966</v>
      </c>
      <c r="J500" s="678">
        <f t="shared" si="231"/>
        <v>1.525277551496822</v>
      </c>
      <c r="K500" s="678">
        <f t="shared" si="232"/>
        <v>1.0032488110064821</v>
      </c>
      <c r="L500" s="679">
        <f t="shared" si="233"/>
        <v>8.0498940091345797E-2</v>
      </c>
      <c r="M500" s="678">
        <f t="shared" si="234"/>
        <v>1.1362495118638936</v>
      </c>
      <c r="N500" s="679">
        <f t="shared" si="235"/>
        <v>-0.49474800627837384</v>
      </c>
      <c r="O500" s="677">
        <f t="shared" si="236"/>
        <v>484039.63091272302</v>
      </c>
      <c r="P500" s="680">
        <f t="shared" si="237"/>
        <v>1.570794260848358</v>
      </c>
      <c r="Q500" s="689">
        <f t="shared" si="259"/>
        <v>10.856372431341056</v>
      </c>
      <c r="R500" s="690">
        <f t="shared" si="260"/>
        <v>1.4785537724668363</v>
      </c>
      <c r="S500" s="677">
        <f t="shared" si="238"/>
        <v>1.0358754818895892</v>
      </c>
      <c r="T500" s="680">
        <f t="shared" si="239"/>
        <v>0.26394992204321011</v>
      </c>
      <c r="U500" s="681">
        <f t="shared" si="251"/>
        <v>0.55071558852942748</v>
      </c>
      <c r="V500" s="682">
        <f t="shared" si="252"/>
        <v>-1.3487578128896949</v>
      </c>
      <c r="W500" s="683">
        <f t="shared" si="240"/>
        <v>-20.319258050931662</v>
      </c>
      <c r="X500" s="684">
        <f t="shared" si="241"/>
        <v>-208.81302716941664</v>
      </c>
      <c r="Y500" s="687">
        <f t="shared" si="242"/>
        <v>-28.813027169416642</v>
      </c>
      <c r="AA500" s="170">
        <f t="shared" si="243"/>
        <v>64197.75</v>
      </c>
      <c r="AB500" s="170">
        <f t="shared" si="244"/>
        <v>4121351105.0625</v>
      </c>
      <c r="AD500" s="686">
        <f t="shared" si="245"/>
        <v>11.815375272497569</v>
      </c>
      <c r="AE500" s="687">
        <f t="shared" si="246"/>
        <v>-20.408207243689517</v>
      </c>
      <c r="AG500" s="686">
        <f t="shared" si="247"/>
        <v>20.18960368975657</v>
      </c>
      <c r="AH500" s="687">
        <f t="shared" si="248"/>
        <v>-33.848559221370699</v>
      </c>
      <c r="AJ500" s="170">
        <f t="shared" si="249"/>
        <v>0</v>
      </c>
      <c r="AK500" s="170">
        <f t="shared" si="261"/>
        <v>0</v>
      </c>
      <c r="AM500" s="170" t="str">
        <f t="shared" si="253"/>
        <v>1.81835174167365+0.574717693219632i</v>
      </c>
      <c r="AN500" s="170" t="str">
        <f t="shared" si="254"/>
        <v>2.52933351732133i</v>
      </c>
      <c r="AO500" s="170" t="str">
        <f t="shared" si="255"/>
        <v>0.227221000822494-0.718905486058383i</v>
      </c>
      <c r="AP500" s="170" t="str">
        <f t="shared" si="256"/>
        <v>-0.136391956945609-0.095786282203272i</v>
      </c>
      <c r="AQ500" s="170" t="str">
        <f t="shared" si="257"/>
        <v>1.13639195694561+0.095786282203272i</v>
      </c>
      <c r="AR500" s="170" t="str">
        <f t="shared" si="258"/>
        <v>0.727850517356783-0.0613503946690386i</v>
      </c>
    </row>
    <row r="501" spans="7:44">
      <c r="G501" s="688">
        <v>64565</v>
      </c>
      <c r="H501" s="676">
        <f t="shared" si="250"/>
        <v>64.564999999999998</v>
      </c>
      <c r="I501" s="677">
        <f t="shared" si="230"/>
        <v>22.10200449548233</v>
      </c>
      <c r="J501" s="678">
        <f t="shared" si="231"/>
        <v>1.5255361108565062</v>
      </c>
      <c r="K501" s="678">
        <f t="shared" si="232"/>
        <v>1.0032860266103651</v>
      </c>
      <c r="L501" s="679">
        <f t="shared" si="233"/>
        <v>8.0957438957376379E-2</v>
      </c>
      <c r="M501" s="678">
        <f t="shared" si="234"/>
        <v>1.1377181509440131</v>
      </c>
      <c r="N501" s="679">
        <f t="shared" si="235"/>
        <v>-0.49713541886476226</v>
      </c>
      <c r="O501" s="677">
        <f t="shared" si="236"/>
        <v>486808.6306744272</v>
      </c>
      <c r="P501" s="680">
        <f t="shared" si="237"/>
        <v>1.5707942725995989</v>
      </c>
      <c r="Q501" s="689">
        <f t="shared" si="259"/>
        <v>10.917952005601803</v>
      </c>
      <c r="R501" s="690">
        <f t="shared" si="260"/>
        <v>1.47907550818744</v>
      </c>
      <c r="S501" s="677">
        <f t="shared" si="238"/>
        <v>1.0362799078906675</v>
      </c>
      <c r="T501" s="680">
        <f t="shared" si="239"/>
        <v>0.26539015250883963</v>
      </c>
      <c r="U501" s="681">
        <f t="shared" si="251"/>
        <v>0.54824295770362663</v>
      </c>
      <c r="V501" s="682">
        <f t="shared" si="252"/>
        <v>-1.3541602965832142</v>
      </c>
      <c r="W501" s="683">
        <f t="shared" si="240"/>
        <v>-20.400055922292882</v>
      </c>
      <c r="X501" s="684">
        <f t="shared" si="241"/>
        <v>-209.30052620547696</v>
      </c>
      <c r="Y501" s="687">
        <f t="shared" si="242"/>
        <v>-29.300526205476956</v>
      </c>
      <c r="AA501" s="170">
        <f t="shared" si="243"/>
        <v>64565</v>
      </c>
      <c r="AB501" s="170">
        <f t="shared" si="244"/>
        <v>4168639225</v>
      </c>
      <c r="AD501" s="686">
        <f t="shared" si="245"/>
        <v>11.811566776952329</v>
      </c>
      <c r="AE501" s="687">
        <f t="shared" si="246"/>
        <v>-20.460833789441068</v>
      </c>
      <c r="AG501" s="686">
        <f t="shared" si="247"/>
        <v>20.190786633666342</v>
      </c>
      <c r="AH501" s="687">
        <f t="shared" si="248"/>
        <v>-33.664352681918203</v>
      </c>
      <c r="AJ501" s="170">
        <f t="shared" si="249"/>
        <v>0</v>
      </c>
      <c r="AK501" s="170">
        <f t="shared" si="261"/>
        <v>0</v>
      </c>
      <c r="AM501" s="170" t="str">
        <f t="shared" si="253"/>
        <v>1.82658156118572+0.562816953109788i</v>
      </c>
      <c r="AN501" s="170" t="str">
        <f t="shared" si="254"/>
        <v>2.54380283648339i</v>
      </c>
      <c r="AO501" s="170" t="str">
        <f t="shared" si="255"/>
        <v>0.221250226250962-0.718051546679941i</v>
      </c>
      <c r="AP501" s="170" t="str">
        <f t="shared" si="256"/>
        <v>-0.137763593530952-0.093802825518298i</v>
      </c>
      <c r="AQ501" s="170" t="str">
        <f t="shared" si="257"/>
        <v>1.13776359353095+0.093802825518298i</v>
      </c>
      <c r="AR501" s="170" t="str">
        <f t="shared" si="258"/>
        <v>0.727195168421588-0.0599535456126757i</v>
      </c>
    </row>
    <row r="502" spans="7:44">
      <c r="G502" s="688">
        <v>64941</v>
      </c>
      <c r="H502" s="676">
        <f t="shared" si="250"/>
        <v>64.941000000000003</v>
      </c>
      <c r="I502" s="677">
        <f t="shared" si="230"/>
        <v>22.23045475192389</v>
      </c>
      <c r="J502" s="678">
        <f t="shared" si="231"/>
        <v>1.5257978070299703</v>
      </c>
      <c r="K502" s="678">
        <f t="shared" si="232"/>
        <v>1.0033243473963793</v>
      </c>
      <c r="L502" s="679">
        <f t="shared" si="233"/>
        <v>8.1426826554177448E-2</v>
      </c>
      <c r="M502" s="678">
        <f t="shared" si="234"/>
        <v>1.1392284821646843</v>
      </c>
      <c r="N502" s="679">
        <f t="shared" si="235"/>
        <v>-0.49957332181283276</v>
      </c>
      <c r="O502" s="677">
        <f t="shared" si="236"/>
        <v>489643.60388178122</v>
      </c>
      <c r="P502" s="680">
        <f t="shared" si="237"/>
        <v>1.5707942844931244</v>
      </c>
      <c r="Q502" s="689">
        <f t="shared" si="259"/>
        <v>10.981001802350324</v>
      </c>
      <c r="R502" s="690">
        <f t="shared" si="260"/>
        <v>1.4796036120978979</v>
      </c>
      <c r="S502" s="677">
        <f t="shared" si="238"/>
        <v>1.0366961948249416</v>
      </c>
      <c r="T502" s="680">
        <f t="shared" si="239"/>
        <v>0.26686353020179127</v>
      </c>
      <c r="U502" s="681">
        <f t="shared" si="251"/>
        <v>0.54572254447064683</v>
      </c>
      <c r="V502" s="682">
        <f t="shared" si="252"/>
        <v>-1.3596798552649505</v>
      </c>
      <c r="W502" s="683">
        <f t="shared" si="240"/>
        <v>-20.482467447088773</v>
      </c>
      <c r="X502" s="684">
        <f t="shared" si="241"/>
        <v>-209.79871621074324</v>
      </c>
      <c r="Y502" s="687">
        <f t="shared" si="242"/>
        <v>-29.798716210743237</v>
      </c>
      <c r="AA502" s="170">
        <f t="shared" si="243"/>
        <v>64941</v>
      </c>
      <c r="AB502" s="170">
        <f t="shared" si="244"/>
        <v>4217333481</v>
      </c>
      <c r="AD502" s="686">
        <f t="shared" si="245"/>
        <v>11.807657553726136</v>
      </c>
      <c r="AE502" s="687">
        <f t="shared" si="246"/>
        <v>-20.514994669173031</v>
      </c>
      <c r="AG502" s="686">
        <f t="shared" si="247"/>
        <v>20.192330987591248</v>
      </c>
      <c r="AH502" s="687">
        <f t="shared" si="248"/>
        <v>-33.475886972253228</v>
      </c>
      <c r="AJ502" s="170">
        <f t="shared" si="249"/>
        <v>0</v>
      </c>
      <c r="AK502" s="170">
        <f t="shared" si="261"/>
        <v>0</v>
      </c>
      <c r="AM502" s="170" t="str">
        <f t="shared" si="253"/>
        <v>1.83482816341187+0.550510615314873i</v>
      </c>
      <c r="AN502" s="170" t="str">
        <f t="shared" si="254"/>
        <v>2.558616897763i</v>
      </c>
      <c r="AO502" s="170" t="str">
        <f t="shared" si="255"/>
        <v>0.215159454233334-0.717117191329449i</v>
      </c>
      <c r="AP502" s="170" t="str">
        <f t="shared" si="256"/>
        <v>-0.139138027235312-0.0917517692191455i</v>
      </c>
      <c r="AQ502" s="170" t="str">
        <f t="shared" si="257"/>
        <v>1.13913802723531+0.0917517692191455i</v>
      </c>
      <c r="AR502" s="170" t="str">
        <f t="shared" si="258"/>
        <v>0.726541244516284-0.0585191987285653i</v>
      </c>
    </row>
    <row r="503" spans="7:44">
      <c r="G503" s="688">
        <v>65317</v>
      </c>
      <c r="H503" s="676">
        <f t="shared" si="250"/>
        <v>65.316999999999993</v>
      </c>
      <c r="I503" s="677">
        <f t="shared" si="230"/>
        <v>22.358906513322854</v>
      </c>
      <c r="J503" s="678">
        <f t="shared" si="231"/>
        <v>1.5260564963356122</v>
      </c>
      <c r="K503" s="678">
        <f t="shared" si="232"/>
        <v>1.0033628892226318</v>
      </c>
      <c r="L503" s="679">
        <f t="shared" si="233"/>
        <v>8.1896178193539892E-2</v>
      </c>
      <c r="M503" s="678">
        <f t="shared" si="234"/>
        <v>1.1407455662901529</v>
      </c>
      <c r="N503" s="679">
        <f t="shared" si="235"/>
        <v>-0.50200475481740381</v>
      </c>
      <c r="O503" s="677">
        <f t="shared" si="236"/>
        <v>492478.57708913536</v>
      </c>
      <c r="P503" s="680">
        <f t="shared" si="237"/>
        <v>1.5707942962497186</v>
      </c>
      <c r="Q503" s="689">
        <f t="shared" si="259"/>
        <v>11.04405462666341</v>
      </c>
      <c r="R503" s="690">
        <f t="shared" si="260"/>
        <v>1.4801256860405914</v>
      </c>
      <c r="S503" s="677">
        <f t="shared" si="238"/>
        <v>1.0371147304531709</v>
      </c>
      <c r="T503" s="680">
        <f t="shared" si="239"/>
        <v>0.26833572190268812</v>
      </c>
      <c r="U503" s="681">
        <f t="shared" si="251"/>
        <v>0.54321331884764112</v>
      </c>
      <c r="V503" s="682">
        <f t="shared" si="252"/>
        <v>-1.3651879374519789</v>
      </c>
      <c r="W503" s="683">
        <f t="shared" si="240"/>
        <v>-20.564568119796924</v>
      </c>
      <c r="X503" s="684">
        <f t="shared" si="241"/>
        <v>-210.29598527173425</v>
      </c>
      <c r="Y503" s="687">
        <f t="shared" si="242"/>
        <v>-30.295985271734253</v>
      </c>
      <c r="AA503" s="170">
        <f t="shared" si="243"/>
        <v>65317</v>
      </c>
      <c r="AB503" s="170">
        <f t="shared" si="244"/>
        <v>4266310489</v>
      </c>
      <c r="AD503" s="686">
        <f t="shared" si="245"/>
        <v>11.803738102623342</v>
      </c>
      <c r="AE503" s="687">
        <f t="shared" si="246"/>
        <v>-20.569433080423948</v>
      </c>
      <c r="AG503" s="686">
        <f t="shared" si="247"/>
        <v>20.194209193351199</v>
      </c>
      <c r="AH503" s="687">
        <f t="shared" si="248"/>
        <v>-33.287537896216271</v>
      </c>
      <c r="AJ503" s="170">
        <f t="shared" si="249"/>
        <v>0</v>
      </c>
      <c r="AK503" s="170">
        <f t="shared" si="261"/>
        <v>0</v>
      </c>
      <c r="AM503" s="170" t="str">
        <f t="shared" si="253"/>
        <v>1.84289156059548+0.538083466645193i</v>
      </c>
      <c r="AN503" s="170" t="str">
        <f t="shared" si="254"/>
        <v>2.57343095904261i</v>
      </c>
      <c r="AO503" s="170" t="str">
        <f t="shared" si="255"/>
        <v>0.209091860325398-0.716122402320476i</v>
      </c>
      <c r="AP503" s="170" t="str">
        <f t="shared" si="256"/>
        <v>-0.140481926765914-0.0896805777741988i</v>
      </c>
      <c r="AQ503" s="170" t="str">
        <f t="shared" si="257"/>
        <v>1.14048192676591+0.0896805777741988i</v>
      </c>
      <c r="AR503" s="170" t="str">
        <f t="shared" si="258"/>
        <v>0.725904504195653-0.0570807251016802i</v>
      </c>
    </row>
    <row r="504" spans="7:44">
      <c r="G504" s="688">
        <v>65693</v>
      </c>
      <c r="H504" s="676">
        <f t="shared" si="250"/>
        <v>65.692999999999998</v>
      </c>
      <c r="I504" s="677">
        <f t="shared" si="230"/>
        <v>22.487359753889471</v>
      </c>
      <c r="J504" s="678">
        <f t="shared" si="231"/>
        <v>1.5263122302663787</v>
      </c>
      <c r="K504" s="678">
        <f t="shared" si="232"/>
        <v>1.0034016520636511</v>
      </c>
      <c r="L504" s="679">
        <f t="shared" si="233"/>
        <v>8.2365493672831358E-2</v>
      </c>
      <c r="M504" s="678">
        <f t="shared" si="234"/>
        <v>1.1422693764141798</v>
      </c>
      <c r="N504" s="679">
        <f t="shared" si="235"/>
        <v>-0.50442971496600364</v>
      </c>
      <c r="O504" s="677">
        <f t="shared" si="236"/>
        <v>495313.55029648956</v>
      </c>
      <c r="P504" s="680">
        <f t="shared" si="237"/>
        <v>1.5707943078717328</v>
      </c>
      <c r="Q504" s="689">
        <f t="shared" si="259"/>
        <v>11.107110426980444</v>
      </c>
      <c r="R504" s="690">
        <f t="shared" si="260"/>
        <v>1.480641832426052</v>
      </c>
      <c r="S504" s="677">
        <f t="shared" si="238"/>
        <v>1.0375355120540266</v>
      </c>
      <c r="T504" s="680">
        <f t="shared" si="239"/>
        <v>0.2698067226691675</v>
      </c>
      <c r="U504" s="681">
        <f t="shared" si="251"/>
        <v>0.54071520548799967</v>
      </c>
      <c r="V504" s="682">
        <f t="shared" si="252"/>
        <v>-1.3706848482400253</v>
      </c>
      <c r="W504" s="683">
        <f t="shared" si="240"/>
        <v>-20.646362174522285</v>
      </c>
      <c r="X504" s="684">
        <f t="shared" si="241"/>
        <v>-210.79234751348059</v>
      </c>
      <c r="Y504" s="687">
        <f t="shared" si="242"/>
        <v>-30.792347513480593</v>
      </c>
      <c r="AA504" s="170">
        <f t="shared" si="243"/>
        <v>65693</v>
      </c>
      <c r="AB504" s="170">
        <f t="shared" si="244"/>
        <v>4315570249</v>
      </c>
      <c r="AD504" s="686">
        <f t="shared" si="245"/>
        <v>11.799808304739161</v>
      </c>
      <c r="AE504" s="687">
        <f t="shared" si="246"/>
        <v>-20.624142872460791</v>
      </c>
      <c r="AG504" s="686">
        <f t="shared" si="247"/>
        <v>20.196418022052491</v>
      </c>
      <c r="AH504" s="687">
        <f t="shared" si="248"/>
        <v>-33.099290768176004</v>
      </c>
      <c r="AJ504" s="170">
        <f t="shared" si="249"/>
        <v>0</v>
      </c>
      <c r="AK504" s="170">
        <f t="shared" si="261"/>
        <v>0</v>
      </c>
      <c r="AM504" s="170" t="str">
        <f t="shared" si="253"/>
        <v>1.8507699832047+0.525538234268335i</v>
      </c>
      <c r="AN504" s="170" t="str">
        <f t="shared" si="254"/>
        <v>2.58824502032221i</v>
      </c>
      <c r="AO504" s="170" t="str">
        <f t="shared" si="255"/>
        <v>0.203048100215377-0.715067533665842i</v>
      </c>
      <c r="AP504" s="170" t="str">
        <f t="shared" si="256"/>
        <v>-0.141794997200783-0.0875897057113892i</v>
      </c>
      <c r="AQ504" s="170" t="str">
        <f t="shared" si="257"/>
        <v>1.14179499720078+0.0875897057113892i</v>
      </c>
      <c r="AR504" s="170" t="str">
        <f t="shared" si="258"/>
        <v>0.725284891733773-0.0556382628927449i</v>
      </c>
    </row>
    <row r="505" spans="7:44">
      <c r="G505" s="688">
        <v>66069</v>
      </c>
      <c r="H505" s="676">
        <f t="shared" si="250"/>
        <v>66.069000000000003</v>
      </c>
      <c r="I505" s="677">
        <f t="shared" si="230"/>
        <v>22.61581444841962</v>
      </c>
      <c r="J505" s="678">
        <f t="shared" si="231"/>
        <v>1.526565059146892</v>
      </c>
      <c r="K505" s="678">
        <f t="shared" si="232"/>
        <v>1.0034406358938239</v>
      </c>
      <c r="L505" s="679">
        <f t="shared" si="233"/>
        <v>8.2834772789514372E-2</v>
      </c>
      <c r="M505" s="678">
        <f t="shared" si="234"/>
        <v>1.1437998856549347</v>
      </c>
      <c r="N505" s="679">
        <f t="shared" si="235"/>
        <v>-0.50684819966615013</v>
      </c>
      <c r="O505" s="677">
        <f t="shared" si="236"/>
        <v>498148.52350384375</v>
      </c>
      <c r="P505" s="680">
        <f t="shared" si="237"/>
        <v>1.5707943193614651</v>
      </c>
      <c r="Q505" s="689">
        <f t="shared" si="259"/>
        <v>11.170169152902641</v>
      </c>
      <c r="R505" s="690">
        <f t="shared" si="260"/>
        <v>1.4811521513650643</v>
      </c>
      <c r="S505" s="677">
        <f t="shared" si="238"/>
        <v>1.0379585368960005</v>
      </c>
      <c r="T505" s="680">
        <f t="shared" si="239"/>
        <v>0.27127652758747545</v>
      </c>
      <c r="U505" s="681">
        <f t="shared" si="251"/>
        <v>0.53822812756842353</v>
      </c>
      <c r="V505" s="682">
        <f t="shared" si="252"/>
        <v>-1.3761708917423661</v>
      </c>
      <c r="W505" s="683">
        <f t="shared" si="240"/>
        <v>-20.727853818415326</v>
      </c>
      <c r="X505" s="684">
        <f t="shared" si="241"/>
        <v>-211.28781708951303</v>
      </c>
      <c r="Y505" s="687">
        <f t="shared" si="242"/>
        <v>-31.287817089513027</v>
      </c>
      <c r="AA505" s="170">
        <f t="shared" si="243"/>
        <v>66069</v>
      </c>
      <c r="AB505" s="170">
        <f t="shared" si="244"/>
        <v>4365112761</v>
      </c>
      <c r="AD505" s="686">
        <f t="shared" si="245"/>
        <v>11.795868045901335</v>
      </c>
      <c r="AE505" s="687">
        <f t="shared" si="246"/>
        <v>-20.679118027952381</v>
      </c>
      <c r="AG505" s="686">
        <f t="shared" si="247"/>
        <v>20.198954337363546</v>
      </c>
      <c r="AH505" s="687">
        <f t="shared" si="248"/>
        <v>-32.911130910179935</v>
      </c>
      <c r="AJ505" s="170">
        <f t="shared" si="249"/>
        <v>0</v>
      </c>
      <c r="AK505" s="170">
        <f t="shared" si="261"/>
        <v>0</v>
      </c>
      <c r="AM505" s="170" t="str">
        <f t="shared" si="253"/>
        <v>1.85846170230079+0.512877671265613i</v>
      </c>
      <c r="AN505" s="170" t="str">
        <f t="shared" si="254"/>
        <v>2.60305908160182i</v>
      </c>
      <c r="AO505" s="170" t="str">
        <f t="shared" si="255"/>
        <v>0.197028824620457-0.713952946913969i</v>
      </c>
      <c r="AP505" s="170" t="str">
        <f t="shared" si="256"/>
        <v>-0.143076950383464-0.0854796118776022i</v>
      </c>
      <c r="AQ505" s="170" t="str">
        <f t="shared" si="257"/>
        <v>1.14307695038346+0.0854796118776022i</v>
      </c>
      <c r="AR505" s="170" t="str">
        <f t="shared" si="258"/>
        <v>0.724682352376232-0.0541919476155019i</v>
      </c>
    </row>
    <row r="506" spans="7:44">
      <c r="G506" s="688">
        <v>66453.75</v>
      </c>
      <c r="H506" s="676">
        <f t="shared" si="250"/>
        <v>66.453749999999999</v>
      </c>
      <c r="I506" s="677">
        <f t="shared" si="230"/>
        <v>22.747259927090766</v>
      </c>
      <c r="J506" s="678">
        <f t="shared" si="231"/>
        <v>1.5268208157428418</v>
      </c>
      <c r="K506" s="678">
        <f t="shared" si="232"/>
        <v>1.003480755663664</v>
      </c>
      <c r="L506" s="679">
        <f t="shared" si="233"/>
        <v>8.3314934777372826E-2</v>
      </c>
      <c r="M506" s="678">
        <f t="shared" si="234"/>
        <v>1.1453729185595225</v>
      </c>
      <c r="N506" s="679">
        <f t="shared" si="235"/>
        <v>-0.50931625998084473</v>
      </c>
      <c r="O506" s="677">
        <f t="shared" si="236"/>
        <v>501049.47015684802</v>
      </c>
      <c r="P506" s="680">
        <f t="shared" si="237"/>
        <v>1.5707943309839847</v>
      </c>
      <c r="Q506" s="689">
        <f t="shared" si="259"/>
        <v>11.234698313007209</v>
      </c>
      <c r="R506" s="690">
        <f t="shared" si="260"/>
        <v>1.4816684157254441</v>
      </c>
      <c r="S506" s="677">
        <f t="shared" si="238"/>
        <v>1.0383937253591142</v>
      </c>
      <c r="T506" s="680">
        <f t="shared" si="239"/>
        <v>0.27277929373122989</v>
      </c>
      <c r="U506" s="681">
        <f t="shared" si="251"/>
        <v>0.53569451417842207</v>
      </c>
      <c r="V506" s="682">
        <f t="shared" si="252"/>
        <v>-1.3817736691497777</v>
      </c>
      <c r="W506" s="683">
        <f t="shared" si="240"/>
        <v>-20.810933189867022</v>
      </c>
      <c r="X506" s="684">
        <f t="shared" si="241"/>
        <v>-211.7939076014375</v>
      </c>
      <c r="Y506" s="687">
        <f t="shared" si="242"/>
        <v>-31.793907601437496</v>
      </c>
      <c r="AA506" s="170">
        <f t="shared" si="243"/>
        <v>66453.75</v>
      </c>
      <c r="AB506" s="170">
        <f t="shared" si="244"/>
        <v>4416100889.0625</v>
      </c>
      <c r="AD506" s="686">
        <f t="shared" si="245"/>
        <v>11.79182514896044</v>
      </c>
      <c r="AE506" s="687">
        <f t="shared" si="246"/>
        <v>-20.735641082607792</v>
      </c>
      <c r="AG506" s="686">
        <f t="shared" si="247"/>
        <v>20.20188550657187</v>
      </c>
      <c r="AH506" s="687">
        <f t="shared" si="248"/>
        <v>-32.718667368723459</v>
      </c>
      <c r="AJ506" s="170">
        <f t="shared" si="249"/>
        <v>0</v>
      </c>
      <c r="AK506" s="170">
        <f t="shared" si="261"/>
        <v>0</v>
      </c>
      <c r="AM506" s="170" t="str">
        <f t="shared" si="253"/>
        <v>1.86613738555904+0.499805991697738i</v>
      </c>
      <c r="AN506" s="170" t="str">
        <f t="shared" si="254"/>
        <v>2.61821788499897i</v>
      </c>
      <c r="AO506" s="170" t="str">
        <f t="shared" si="255"/>
        <v>0.190895492144243-0.712750988468545i</v>
      </c>
      <c r="AP506" s="170" t="str">
        <f t="shared" si="256"/>
        <v>-0.144356230926506-0.0833009986162897i</v>
      </c>
      <c r="AQ506" s="170" t="str">
        <f t="shared" si="257"/>
        <v>1.14435623092651+0.0833009986162897i</v>
      </c>
      <c r="AR506" s="170" t="str">
        <f t="shared" si="258"/>
        <v>0.724083408798469-0.0527081247991851i</v>
      </c>
    </row>
    <row r="507" spans="7:44">
      <c r="G507" s="688">
        <v>66838.5</v>
      </c>
      <c r="H507" s="676">
        <f t="shared" si="250"/>
        <v>66.838499999999996</v>
      </c>
      <c r="I507" s="677">
        <f t="shared" si="230"/>
        <v>22.87870687659553</v>
      </c>
      <c r="J507" s="678">
        <f t="shared" si="231"/>
        <v>1.5270736335156172</v>
      </c>
      <c r="K507" s="678">
        <f t="shared" si="232"/>
        <v>1.0035211067730163</v>
      </c>
      <c r="L507" s="679">
        <f t="shared" si="233"/>
        <v>8.3795058261745867E-2</v>
      </c>
      <c r="M507" s="678">
        <f t="shared" si="234"/>
        <v>1.1469529091369917</v>
      </c>
      <c r="N507" s="679">
        <f t="shared" si="235"/>
        <v>-0.51177753547656291</v>
      </c>
      <c r="O507" s="677">
        <f t="shared" si="236"/>
        <v>503950.41680985224</v>
      </c>
      <c r="P507" s="680">
        <f t="shared" si="237"/>
        <v>1.5707943424726962</v>
      </c>
      <c r="Q507" s="689">
        <f t="shared" si="259"/>
        <v>11.299230433281664</v>
      </c>
      <c r="R507" s="690">
        <f t="shared" si="260"/>
        <v>1.4821787832466033</v>
      </c>
      <c r="S507" s="677">
        <f t="shared" si="238"/>
        <v>1.0388312568652567</v>
      </c>
      <c r="T507" s="680">
        <f t="shared" si="239"/>
        <v>0.27428079740333644</v>
      </c>
      <c r="U507" s="681">
        <f t="shared" si="251"/>
        <v>0.53317228857127086</v>
      </c>
      <c r="V507" s="682">
        <f t="shared" si="252"/>
        <v>-1.3873657087962579</v>
      </c>
      <c r="W507" s="683">
        <f t="shared" si="240"/>
        <v>-20.893704743477155</v>
      </c>
      <c r="X507" s="684">
        <f t="shared" si="241"/>
        <v>-212.29909348944449</v>
      </c>
      <c r="Y507" s="687">
        <f t="shared" si="242"/>
        <v>-32.299093489444488</v>
      </c>
      <c r="AA507" s="170">
        <f t="shared" si="243"/>
        <v>66838.5</v>
      </c>
      <c r="AB507" s="170">
        <f t="shared" si="244"/>
        <v>4467385082.25</v>
      </c>
      <c r="AD507" s="686">
        <f t="shared" si="245"/>
        <v>11.787771071153676</v>
      </c>
      <c r="AE507" s="687">
        <f t="shared" si="246"/>
        <v>-20.792429659299479</v>
      </c>
      <c r="AG507" s="686">
        <f t="shared" si="247"/>
        <v>20.205153228073272</v>
      </c>
      <c r="AH507" s="687">
        <f t="shared" si="248"/>
        <v>-32.526264138080329</v>
      </c>
      <c r="AJ507" s="170">
        <f t="shared" si="249"/>
        <v>0</v>
      </c>
      <c r="AK507" s="170">
        <f t="shared" si="261"/>
        <v>0</v>
      </c>
      <c r="AM507" s="170" t="str">
        <f t="shared" si="253"/>
        <v>1.87361404350726+0.486619464249943i</v>
      </c>
      <c r="AN507" s="170" t="str">
        <f t="shared" si="254"/>
        <v>2.63337668839612i</v>
      </c>
      <c r="AO507" s="170" t="str">
        <f t="shared" si="255"/>
        <v>0.184789159254813-0.711487289973847i</v>
      </c>
      <c r="AP507" s="170" t="str">
        <f t="shared" si="256"/>
        <v>-0.145602340584543-0.0811032440416572i</v>
      </c>
      <c r="AQ507" s="170" t="str">
        <f t="shared" si="257"/>
        <v>1.14560234058454+0.0811032440416572i</v>
      </c>
      <c r="AR507" s="170" t="str">
        <f t="shared" si="258"/>
        <v>0.723502229490507-0.0512205464359572i</v>
      </c>
    </row>
    <row r="508" spans="7:44">
      <c r="G508" s="688">
        <v>67223.25</v>
      </c>
      <c r="H508" s="676">
        <f t="shared" si="250"/>
        <v>67.223249999999993</v>
      </c>
      <c r="I508" s="677">
        <f t="shared" si="230"/>
        <v>23.010155271727211</v>
      </c>
      <c r="J508" s="678">
        <f t="shared" si="231"/>
        <v>1.5273235627978061</v>
      </c>
      <c r="K508" s="678">
        <f t="shared" si="232"/>
        <v>1.0035616891939756</v>
      </c>
      <c r="L508" s="679">
        <f t="shared" si="233"/>
        <v>8.4275143025936611E-2</v>
      </c>
      <c r="M508" s="678">
        <f t="shared" si="234"/>
        <v>1.1485398286733426</v>
      </c>
      <c r="N508" s="679">
        <f t="shared" si="235"/>
        <v>-0.51423202439532456</v>
      </c>
      <c r="O508" s="677">
        <f t="shared" si="236"/>
        <v>506851.36346285662</v>
      </c>
      <c r="P508" s="680">
        <f t="shared" si="237"/>
        <v>1.5707943538298972</v>
      </c>
      <c r="Q508" s="689">
        <f t="shared" si="259"/>
        <v>11.363765463295707</v>
      </c>
      <c r="R508" s="690">
        <f t="shared" si="260"/>
        <v>1.4826833541251452</v>
      </c>
      <c r="S508" s="677">
        <f t="shared" si="238"/>
        <v>1.0392711284551761</v>
      </c>
      <c r="T508" s="680">
        <f t="shared" si="239"/>
        <v>0.27578103343226168</v>
      </c>
      <c r="U508" s="681">
        <f t="shared" si="251"/>
        <v>0.53066136398858132</v>
      </c>
      <c r="V508" s="682">
        <f t="shared" si="252"/>
        <v>-1.3929473334487146</v>
      </c>
      <c r="W508" s="683">
        <f t="shared" si="240"/>
        <v>-20.976172907168099</v>
      </c>
      <c r="X508" s="684">
        <f t="shared" si="241"/>
        <v>-212.80339000523381</v>
      </c>
      <c r="Y508" s="687">
        <f t="shared" si="242"/>
        <v>-32.803390005233808</v>
      </c>
      <c r="AA508" s="170">
        <f t="shared" si="243"/>
        <v>67223.25</v>
      </c>
      <c r="AB508" s="170">
        <f t="shared" si="244"/>
        <v>4518965340.5625</v>
      </c>
      <c r="AD508" s="686">
        <f t="shared" si="245"/>
        <v>11.783705704542903</v>
      </c>
      <c r="AE508" s="687">
        <f t="shared" si="246"/>
        <v>-20.849477721009581</v>
      </c>
      <c r="AG508" s="686">
        <f t="shared" si="247"/>
        <v>20.208754433260246</v>
      </c>
      <c r="AH508" s="687">
        <f t="shared" si="248"/>
        <v>-32.333905520604745</v>
      </c>
      <c r="AJ508" s="170">
        <f t="shared" si="249"/>
        <v>0</v>
      </c>
      <c r="AK508" s="170">
        <f t="shared" si="261"/>
        <v>0</v>
      </c>
      <c r="AM508" s="170" t="str">
        <f t="shared" si="253"/>
        <v>1.8808899581222+0.473321118987384i</v>
      </c>
      <c r="AN508" s="170" t="str">
        <f t="shared" si="254"/>
        <v>2.64853549179327i</v>
      </c>
      <c r="AO508" s="170" t="str">
        <f t="shared" si="255"/>
        <v>0.178710506411567-0.710162262861989i</v>
      </c>
      <c r="AP508" s="170" t="str">
        <f t="shared" si="256"/>
        <v>-0.146814993020367-0.078886853164564i</v>
      </c>
      <c r="AQ508" s="170" t="str">
        <f t="shared" si="257"/>
        <v>1.14681499302037+0.078886853164564i</v>
      </c>
      <c r="AR508" s="170" t="str">
        <f t="shared" si="258"/>
        <v>0.722938759210414-0.0497293496264842i</v>
      </c>
    </row>
    <row r="509" spans="7:44">
      <c r="G509" s="688">
        <v>67608</v>
      </c>
      <c r="H509" s="676">
        <f t="shared" si="250"/>
        <v>67.608000000000004</v>
      </c>
      <c r="I509" s="677">
        <f t="shared" si="230"/>
        <v>23.14160508785157</v>
      </c>
      <c r="J509" s="678">
        <f t="shared" si="231"/>
        <v>1.5275706527798549</v>
      </c>
      <c r="K509" s="678">
        <f t="shared" si="232"/>
        <v>1.0036025028984812</v>
      </c>
      <c r="L509" s="679">
        <f t="shared" si="233"/>
        <v>8.4755188853354493E-2</v>
      </c>
      <c r="M509" s="678">
        <f t="shared" si="234"/>
        <v>1.1501336484874733</v>
      </c>
      <c r="N509" s="679">
        <f t="shared" si="235"/>
        <v>-0.51667972531591533</v>
      </c>
      <c r="O509" s="677">
        <f t="shared" si="236"/>
        <v>509752.31011586095</v>
      </c>
      <c r="P509" s="680">
        <f t="shared" si="237"/>
        <v>1.5707943650578331</v>
      </c>
      <c r="Q509" s="689">
        <f t="shared" si="259"/>
        <v>11.428303353755892</v>
      </c>
      <c r="R509" s="690">
        <f t="shared" si="260"/>
        <v>1.4831822263063128</v>
      </c>
      <c r="S509" s="677">
        <f t="shared" si="238"/>
        <v>1.0397133371588141</v>
      </c>
      <c r="T509" s="680">
        <f t="shared" si="239"/>
        <v>0.27727999667802539</v>
      </c>
      <c r="U509" s="681">
        <f t="shared" si="251"/>
        <v>0.52816165228635326</v>
      </c>
      <c r="V509" s="682">
        <f t="shared" si="252"/>
        <v>-1.3985188648799773</v>
      </c>
      <c r="W509" s="683">
        <f t="shared" si="240"/>
        <v>-21.058342084504268</v>
      </c>
      <c r="X509" s="684">
        <f t="shared" si="241"/>
        <v>-213.30681242819588</v>
      </c>
      <c r="Y509" s="687">
        <f t="shared" si="242"/>
        <v>-33.306812428195883</v>
      </c>
      <c r="AA509" s="170">
        <f t="shared" si="243"/>
        <v>67608</v>
      </c>
      <c r="AB509" s="170">
        <f t="shared" si="244"/>
        <v>4570841664</v>
      </c>
      <c r="AD509" s="686">
        <f t="shared" si="245"/>
        <v>11.779628945726406</v>
      </c>
      <c r="AE509" s="687">
        <f t="shared" si="246"/>
        <v>-20.906779361518506</v>
      </c>
      <c r="AG509" s="686">
        <f t="shared" si="247"/>
        <v>20.212686148999435</v>
      </c>
      <c r="AH509" s="687">
        <f t="shared" si="248"/>
        <v>-32.141575829456727</v>
      </c>
      <c r="AJ509" s="170">
        <f t="shared" si="249"/>
        <v>0</v>
      </c>
      <c r="AK509" s="170">
        <f t="shared" si="261"/>
        <v>0</v>
      </c>
      <c r="AM509" s="170" t="str">
        <f t="shared" si="253"/>
        <v>1.88796345750841+0.459914011669266i</v>
      </c>
      <c r="AN509" s="170" t="str">
        <f t="shared" si="254"/>
        <v>2.66369429519042i</v>
      </c>
      <c r="AO509" s="170" t="str">
        <f t="shared" si="255"/>
        <v>0.172660208230235-0.708776326516645i</v>
      </c>
      <c r="AP509" s="170" t="str">
        <f t="shared" si="256"/>
        <v>-0.147993909584734-0.076652335278211i</v>
      </c>
      <c r="AQ509" s="170" t="str">
        <f t="shared" si="257"/>
        <v>1.14799390958473+0.076652335278211i</v>
      </c>
      <c r="AR509" s="170" t="str">
        <f t="shared" si="258"/>
        <v>0.722392943954258-0.0482346689126827i</v>
      </c>
    </row>
    <row r="510" spans="7:44">
      <c r="G510" s="688">
        <v>68001.75</v>
      </c>
      <c r="H510" s="676">
        <f t="shared" si="250"/>
        <v>68.001750000000001</v>
      </c>
      <c r="I510" s="677">
        <f t="shared" si="230"/>
        <v>23.27613119959631</v>
      </c>
      <c r="J510" s="678">
        <f t="shared" si="231"/>
        <v>1.52782063310524</v>
      </c>
      <c r="K510" s="678">
        <f t="shared" si="232"/>
        <v>1.0036445107421181</v>
      </c>
      <c r="L510" s="679">
        <f t="shared" si="233"/>
        <v>8.5246423283420317E-2</v>
      </c>
      <c r="M510" s="678">
        <f t="shared" si="234"/>
        <v>1.1517718650263227</v>
      </c>
      <c r="N510" s="679">
        <f t="shared" si="235"/>
        <v>-0.51917765323446774</v>
      </c>
      <c r="O510" s="677">
        <f t="shared" si="236"/>
        <v>512721.1151701053</v>
      </c>
      <c r="P510" s="680">
        <f t="shared" si="237"/>
        <v>1.5707943764168637</v>
      </c>
      <c r="Q510" s="689">
        <f t="shared" si="259"/>
        <v>11.494353813792911</v>
      </c>
      <c r="R510" s="690">
        <f t="shared" si="260"/>
        <v>1.4836869677040858</v>
      </c>
      <c r="S510" s="677">
        <f t="shared" si="238"/>
        <v>1.0401683065725036</v>
      </c>
      <c r="T510" s="680">
        <f t="shared" si="239"/>
        <v>0.27881270027101729</v>
      </c>
      <c r="U510" s="681">
        <f t="shared" si="251"/>
        <v>0.52561498380827587</v>
      </c>
      <c r="V510" s="682">
        <f t="shared" si="252"/>
        <v>-1.4042106091307722</v>
      </c>
      <c r="W510" s="683">
        <f t="shared" si="240"/>
        <v>-21.142128359544479</v>
      </c>
      <c r="X510" s="684">
        <f t="shared" si="241"/>
        <v>-213.8211217838041</v>
      </c>
      <c r="Y510" s="687">
        <f t="shared" si="242"/>
        <v>-33.821121783804102</v>
      </c>
      <c r="AA510" s="170">
        <f t="shared" si="243"/>
        <v>68001.75</v>
      </c>
      <c r="AB510" s="170">
        <f t="shared" si="244"/>
        <v>4624238003.0625</v>
      </c>
      <c r="AD510" s="686">
        <f t="shared" si="245"/>
        <v>11.775444925792309</v>
      </c>
      <c r="AE510" s="687">
        <f t="shared" si="246"/>
        <v>-20.965677907695358</v>
      </c>
      <c r="AG510" s="686">
        <f t="shared" si="247"/>
        <v>20.217049029014667</v>
      </c>
      <c r="AH510" s="687">
        <f t="shared" si="248"/>
        <v>-31.944760790865967</v>
      </c>
      <c r="AJ510" s="170">
        <f t="shared" si="249"/>
        <v>0</v>
      </c>
      <c r="AK510" s="170">
        <f t="shared" si="261"/>
        <v>0</v>
      </c>
      <c r="AM510" s="170" t="str">
        <f t="shared" si="253"/>
        <v>1.89499115027739+0.446083894492001i</v>
      </c>
      <c r="AN510" s="170" t="str">
        <f t="shared" si="254"/>
        <v>2.6792076904799i</v>
      </c>
      <c r="AO510" s="170" t="str">
        <f t="shared" si="255"/>
        <v>0.16649843760791-0.707295353402766i</v>
      </c>
      <c r="AP510" s="170" t="str">
        <f t="shared" si="256"/>
        <v>-0.149165191712899-0.0743473157486668i</v>
      </c>
      <c r="AQ510" s="170" t="str">
        <f t="shared" si="257"/>
        <v>1.1491651917129+0.0743473157486668i</v>
      </c>
      <c r="AR510" s="170" t="str">
        <f t="shared" si="258"/>
        <v>0.721852585409051-0.0467015555974186i</v>
      </c>
    </row>
    <row r="511" spans="7:44">
      <c r="G511" s="688">
        <v>68395.5</v>
      </c>
      <c r="H511" s="676">
        <f t="shared" si="250"/>
        <v>68.395499999999998</v>
      </c>
      <c r="I511" s="677">
        <f t="shared" si="230"/>
        <v>23.410658749153725</v>
      </c>
      <c r="J511" s="678">
        <f t="shared" si="231"/>
        <v>1.528067740460501</v>
      </c>
      <c r="K511" s="678">
        <f t="shared" si="232"/>
        <v>1.0036867607561744</v>
      </c>
      <c r="L511" s="679">
        <f t="shared" si="233"/>
        <v>8.5737616475157957E-2</v>
      </c>
      <c r="M511" s="678">
        <f t="shared" si="234"/>
        <v>1.1534172477707207</v>
      </c>
      <c r="N511" s="679">
        <f t="shared" si="235"/>
        <v>-0.52166846992650995</v>
      </c>
      <c r="O511" s="677">
        <f t="shared" si="236"/>
        <v>515689.92022434965</v>
      </c>
      <c r="P511" s="680">
        <f t="shared" si="237"/>
        <v>1.5707943876451076</v>
      </c>
      <c r="Q511" s="689">
        <f t="shared" si="259"/>
        <v>11.560407168713404</v>
      </c>
      <c r="R511" s="690">
        <f t="shared" si="260"/>
        <v>1.4841859412885969</v>
      </c>
      <c r="S511" s="677">
        <f t="shared" si="238"/>
        <v>1.0406257173890741</v>
      </c>
      <c r="T511" s="680">
        <f t="shared" si="239"/>
        <v>0.28034406004794993</v>
      </c>
      <c r="U511" s="681">
        <f t="shared" si="251"/>
        <v>0.52307986791889183</v>
      </c>
      <c r="V511" s="682">
        <f t="shared" si="252"/>
        <v>-1.4098924612391044</v>
      </c>
      <c r="W511" s="683">
        <f t="shared" si="240"/>
        <v>-21.225610756070779</v>
      </c>
      <c r="X511" s="684">
        <f t="shared" si="241"/>
        <v>-214.33454814072576</v>
      </c>
      <c r="Y511" s="687">
        <f t="shared" si="242"/>
        <v>-34.334548140725758</v>
      </c>
      <c r="AA511" s="170">
        <f t="shared" si="243"/>
        <v>68395.5</v>
      </c>
      <c r="AB511" s="170">
        <f t="shared" si="244"/>
        <v>4677944420.25</v>
      </c>
      <c r="AD511" s="686">
        <f t="shared" si="245"/>
        <v>11.771248769239389</v>
      </c>
      <c r="AE511" s="687">
        <f t="shared" si="246"/>
        <v>-21.024829922747269</v>
      </c>
      <c r="AG511" s="686">
        <f t="shared" si="247"/>
        <v>20.221752062725457</v>
      </c>
      <c r="AH511" s="687">
        <f t="shared" si="248"/>
        <v>-31.747942840741853</v>
      </c>
      <c r="AJ511" s="170">
        <f t="shared" si="249"/>
        <v>0</v>
      </c>
      <c r="AK511" s="170">
        <f t="shared" si="261"/>
        <v>0</v>
      </c>
      <c r="AM511" s="170" t="str">
        <f t="shared" si="253"/>
        <v>1.90180345393308+0.432146422494008i</v>
      </c>
      <c r="AN511" s="170" t="str">
        <f t="shared" si="254"/>
        <v>2.69472108576938i</v>
      </c>
      <c r="AO511" s="170" t="str">
        <f t="shared" si="255"/>
        <v>0.160367774155233-0.705751502066897i</v>
      </c>
      <c r="AP511" s="170" t="str">
        <f t="shared" si="256"/>
        <v>-0.150300575655513-0.0720244037490013i</v>
      </c>
      <c r="AQ511" s="170" t="str">
        <f t="shared" si="257"/>
        <v>1.15030057565551+0.0720244037490013i</v>
      </c>
      <c r="AR511" s="170" t="str">
        <f t="shared" si="258"/>
        <v>0.721330607207326-0.0451650707558819i</v>
      </c>
    </row>
    <row r="512" spans="7:44">
      <c r="G512" s="688">
        <v>68789.25</v>
      </c>
      <c r="H512" s="676">
        <f t="shared" si="250"/>
        <v>68.789249999999996</v>
      </c>
      <c r="I512" s="677">
        <f t="shared" si="230"/>
        <v>23.545187711878601</v>
      </c>
      <c r="J512" s="678">
        <f t="shared" si="231"/>
        <v>1.5283120240606358</v>
      </c>
      <c r="K512" s="678">
        <f t="shared" si="232"/>
        <v>1.0037292529100694</v>
      </c>
      <c r="L512" s="679">
        <f t="shared" si="233"/>
        <v>8.622876819676889E-2</v>
      </c>
      <c r="M512" s="678">
        <f t="shared" si="234"/>
        <v>1.155069766096152</v>
      </c>
      <c r="N512" s="679">
        <f t="shared" si="235"/>
        <v>-0.52415217494080768</v>
      </c>
      <c r="O512" s="677">
        <f t="shared" si="236"/>
        <v>518658.72527859412</v>
      </c>
      <c r="P512" s="680">
        <f t="shared" si="237"/>
        <v>1.5707943987448103</v>
      </c>
      <c r="Q512" s="689">
        <f t="shared" si="259"/>
        <v>11.626463369177328</v>
      </c>
      <c r="R512" s="690">
        <f t="shared" si="260"/>
        <v>1.4846792451194022</v>
      </c>
      <c r="S512" s="677">
        <f t="shared" si="238"/>
        <v>1.0410855663905652</v>
      </c>
      <c r="T512" s="680">
        <f t="shared" si="239"/>
        <v>0.28187407060255898</v>
      </c>
      <c r="U512" s="681">
        <f t="shared" si="251"/>
        <v>0.52055620597974384</v>
      </c>
      <c r="V512" s="682">
        <f t="shared" si="252"/>
        <v>-1.4155647630102146</v>
      </c>
      <c r="W512" s="683">
        <f t="shared" si="240"/>
        <v>-21.308793922854434</v>
      </c>
      <c r="X512" s="684">
        <f t="shared" si="241"/>
        <v>-214.84710796217135</v>
      </c>
      <c r="Y512" s="687">
        <f t="shared" si="242"/>
        <v>-34.84710796217135</v>
      </c>
      <c r="AA512" s="170">
        <f t="shared" si="243"/>
        <v>68789.25</v>
      </c>
      <c r="AB512" s="170">
        <f t="shared" si="244"/>
        <v>4731960915.5625</v>
      </c>
      <c r="AD512" s="686">
        <f t="shared" si="245"/>
        <v>11.767040379039987</v>
      </c>
      <c r="AE512" s="687">
        <f t="shared" si="246"/>
        <v>-21.084229478648062</v>
      </c>
      <c r="AG512" s="686">
        <f t="shared" si="247"/>
        <v>20.226792365195013</v>
      </c>
      <c r="AH512" s="687">
        <f t="shared" si="248"/>
        <v>-31.551105202325573</v>
      </c>
      <c r="AJ512" s="170">
        <f t="shared" si="249"/>
        <v>0</v>
      </c>
      <c r="AK512" s="170">
        <f t="shared" si="261"/>
        <v>0</v>
      </c>
      <c r="AM512" s="170" t="str">
        <f t="shared" si="253"/>
        <v>1.90839872902233+0.418104949875753i</v>
      </c>
      <c r="AN512" s="170" t="str">
        <f t="shared" si="254"/>
        <v>2.71023448105886i</v>
      </c>
      <c r="AO512" s="170" t="str">
        <f t="shared" si="255"/>
        <v>0.1542689213047-0.704145247342857i</v>
      </c>
      <c r="AP512" s="170" t="str">
        <f t="shared" si="256"/>
        <v>-0.151399788170389-0.0696841583126255i</v>
      </c>
      <c r="AQ512" s="170" t="str">
        <f t="shared" si="257"/>
        <v>1.15139978817039+0.0696841583126255i</v>
      </c>
      <c r="AR512" s="170" t="str">
        <f t="shared" si="258"/>
        <v>0.720826955740053-0.0436253508258979i</v>
      </c>
    </row>
    <row r="513" spans="7:44">
      <c r="G513" s="688">
        <v>69183</v>
      </c>
      <c r="H513" s="676">
        <f t="shared" si="250"/>
        <v>69.183000000000007</v>
      </c>
      <c r="I513" s="677">
        <f t="shared" si="230"/>
        <v>23.679718063685527</v>
      </c>
      <c r="J513" s="678">
        <f t="shared" si="231"/>
        <v>1.5285535320035979</v>
      </c>
      <c r="K513" s="678">
        <f t="shared" si="232"/>
        <v>1.0037719871730517</v>
      </c>
      <c r="L513" s="679">
        <f t="shared" si="233"/>
        <v>8.6719878216573759E-2</v>
      </c>
      <c r="M513" s="678">
        <f t="shared" si="234"/>
        <v>1.1567293894206709</v>
      </c>
      <c r="N513" s="679">
        <f t="shared" si="235"/>
        <v>-0.52662876817966142</v>
      </c>
      <c r="O513" s="677">
        <f t="shared" si="236"/>
        <v>521627.53033283859</v>
      </c>
      <c r="P513" s="680">
        <f t="shared" si="237"/>
        <v>1.570794409718167</v>
      </c>
      <c r="Q513" s="689">
        <f t="shared" si="259"/>
        <v>11.692522366957498</v>
      </c>
      <c r="R513" s="690">
        <f t="shared" si="260"/>
        <v>1.4851669750512184</v>
      </c>
      <c r="S513" s="677">
        <f t="shared" si="238"/>
        <v>1.0415478503475613</v>
      </c>
      <c r="T513" s="680">
        <f t="shared" si="239"/>
        <v>0.28340272656336973</v>
      </c>
      <c r="U513" s="681">
        <f t="shared" si="251"/>
        <v>0.51804389805799012</v>
      </c>
      <c r="V513" s="682">
        <f t="shared" si="252"/>
        <v>-1.4212278552650341</v>
      </c>
      <c r="W513" s="683">
        <f t="shared" si="240"/>
        <v>-21.391682487371181</v>
      </c>
      <c r="X513" s="684">
        <f t="shared" si="241"/>
        <v>-215.35881773952033</v>
      </c>
      <c r="Y513" s="687">
        <f t="shared" si="242"/>
        <v>-35.358817739520333</v>
      </c>
      <c r="AA513" s="170">
        <f t="shared" si="243"/>
        <v>69183</v>
      </c>
      <c r="AB513" s="170">
        <f t="shared" si="244"/>
        <v>4786287489</v>
      </c>
      <c r="AD513" s="686">
        <f t="shared" si="245"/>
        <v>11.762819662517025</v>
      </c>
      <c r="AE513" s="687">
        <f t="shared" si="246"/>
        <v>-21.143870775689937</v>
      </c>
      <c r="AG513" s="686">
        <f t="shared" si="247"/>
        <v>20.232167150441136</v>
      </c>
      <c r="AH513" s="687">
        <f t="shared" si="248"/>
        <v>-31.35423111150239</v>
      </c>
      <c r="AJ513" s="170">
        <f t="shared" si="249"/>
        <v>0</v>
      </c>
      <c r="AK513" s="170">
        <f t="shared" si="261"/>
        <v>0</v>
      </c>
      <c r="AM513" s="170" t="str">
        <f t="shared" si="253"/>
        <v>1.91477538832225+0.40396285586656i</v>
      </c>
      <c r="AN513" s="170" t="str">
        <f t="shared" si="254"/>
        <v>2.72574787634834i</v>
      </c>
      <c r="AO513" s="170" t="str">
        <f t="shared" si="255"/>
        <v>0.148202575657051-0.702477072416344i</v>
      </c>
      <c r="AP513" s="170" t="str">
        <f t="shared" si="256"/>
        <v>-0.152462564720376-0.0673271426444267i</v>
      </c>
      <c r="AQ513" s="170" t="str">
        <f t="shared" si="257"/>
        <v>1.15246256472038+0.0673271426444267i</v>
      </c>
      <c r="AR513" s="170" t="str">
        <f t="shared" si="258"/>
        <v>0.720341578916248-0.0420825298114329i</v>
      </c>
    </row>
    <row r="514" spans="7:44">
      <c r="G514" s="688">
        <v>69586</v>
      </c>
      <c r="H514" s="676">
        <f t="shared" si="250"/>
        <v>69.585999999999999</v>
      </c>
      <c r="I514" s="677">
        <f t="shared" si="230"/>
        <v>23.817410224907565</v>
      </c>
      <c r="J514" s="678">
        <f t="shared" si="231"/>
        <v>1.5287978882912496</v>
      </c>
      <c r="K514" s="678">
        <f t="shared" si="232"/>
        <v>1.0038159760271401</v>
      </c>
      <c r="L514" s="679">
        <f t="shared" si="233"/>
        <v>8.7222481999679968E-2</v>
      </c>
      <c r="M514" s="678">
        <f t="shared" si="234"/>
        <v>1.1584353261783029</v>
      </c>
      <c r="N514" s="679">
        <f t="shared" si="235"/>
        <v>-0.52915617762577483</v>
      </c>
      <c r="O514" s="677">
        <f t="shared" si="236"/>
        <v>524666.07874391309</v>
      </c>
      <c r="P514" s="680">
        <f t="shared" si="237"/>
        <v>1.5707944208207152</v>
      </c>
      <c r="Q514" s="689">
        <f t="shared" si="259"/>
        <v>11.760136074372392</v>
      </c>
      <c r="R514" s="690">
        <f t="shared" si="260"/>
        <v>1.485660488701394</v>
      </c>
      <c r="S514" s="677">
        <f t="shared" si="238"/>
        <v>1.0420235123570134</v>
      </c>
      <c r="T514" s="680">
        <f t="shared" si="239"/>
        <v>0.28496588553695079</v>
      </c>
      <c r="U514" s="681">
        <f t="shared" si="251"/>
        <v>0.5154842224868359</v>
      </c>
      <c r="V514" s="682">
        <f t="shared" si="252"/>
        <v>-1.4270148033446994</v>
      </c>
      <c r="W514" s="683">
        <f t="shared" si="240"/>
        <v>-21.476218018901374</v>
      </c>
      <c r="X514" s="684">
        <f t="shared" si="241"/>
        <v>-215.88168564288461</v>
      </c>
      <c r="Y514" s="687">
        <f t="shared" si="242"/>
        <v>-35.881685642884605</v>
      </c>
      <c r="AA514" s="170">
        <f t="shared" si="243"/>
        <v>69586</v>
      </c>
      <c r="AB514" s="170">
        <f t="shared" si="244"/>
        <v>4842211396</v>
      </c>
      <c r="AD514" s="686">
        <f t="shared" si="245"/>
        <v>11.758486936268547</v>
      </c>
      <c r="AE514" s="687">
        <f t="shared" si="246"/>
        <v>-21.205157574496155</v>
      </c>
      <c r="AG514" s="686">
        <f t="shared" si="247"/>
        <v>20.238011757071167</v>
      </c>
      <c r="AH514" s="687">
        <f t="shared" si="248"/>
        <v>-31.152676812850356</v>
      </c>
      <c r="AJ514" s="170">
        <f t="shared" si="249"/>
        <v>0</v>
      </c>
      <c r="AK514" s="170">
        <f t="shared" si="261"/>
        <v>0</v>
      </c>
      <c r="AM514" s="170" t="str">
        <f t="shared" si="253"/>
        <v>1.92107386755902+0.389387892081755i</v>
      </c>
      <c r="AN514" s="170" t="str">
        <f t="shared" si="254"/>
        <v>2.74162571330494i</v>
      </c>
      <c r="AO514" s="170" t="str">
        <f t="shared" si="255"/>
        <v>0.142028100404836-0.700706102308629i</v>
      </c>
      <c r="AP514" s="170" t="str">
        <f t="shared" si="256"/>
        <v>-0.153512311259836-0.0648979820136258i</v>
      </c>
      <c r="AQ514" s="170" t="str">
        <f t="shared" si="257"/>
        <v>1.15351231125984+0.0648979820136258i</v>
      </c>
      <c r="AR514" s="170" t="str">
        <f t="shared" si="258"/>
        <v>0.719863670506823-0.0405003909232581i</v>
      </c>
    </row>
    <row r="515" spans="7:44">
      <c r="G515" s="688">
        <v>69989</v>
      </c>
      <c r="H515" s="676">
        <f t="shared" si="250"/>
        <v>69.989000000000004</v>
      </c>
      <c r="I515" s="677">
        <f t="shared" si="230"/>
        <v>23.955103791918329</v>
      </c>
      <c r="J515" s="678">
        <f t="shared" si="231"/>
        <v>1.5290394354808434</v>
      </c>
      <c r="K515" s="678">
        <f t="shared" si="232"/>
        <v>1.0038602184334866</v>
      </c>
      <c r="L515" s="679">
        <f t="shared" si="233"/>
        <v>8.7725041607941701E-2</v>
      </c>
      <c r="M515" s="678">
        <f t="shared" si="234"/>
        <v>1.160148640997682</v>
      </c>
      <c r="N515" s="679">
        <f t="shared" si="235"/>
        <v>-0.53167613814099379</v>
      </c>
      <c r="O515" s="677">
        <f t="shared" si="236"/>
        <v>527704.62715498765</v>
      </c>
      <c r="P515" s="680">
        <f t="shared" si="237"/>
        <v>1.5707944317954055</v>
      </c>
      <c r="Q515" s="689">
        <f t="shared" si="259"/>
        <v>11.827752613288197</v>
      </c>
      <c r="R515" s="690">
        <f t="shared" si="260"/>
        <v>1.4861483598614034</v>
      </c>
      <c r="S515" s="677">
        <f t="shared" si="238"/>
        <v>1.042501718188376</v>
      </c>
      <c r="T515" s="680">
        <f t="shared" si="239"/>
        <v>0.28652761425074252</v>
      </c>
      <c r="U515" s="681">
        <f t="shared" si="251"/>
        <v>0.51293622489906066</v>
      </c>
      <c r="V515" s="682">
        <f t="shared" si="252"/>
        <v>-1.4327928235218388</v>
      </c>
      <c r="W515" s="683">
        <f t="shared" si="240"/>
        <v>-21.560454690055927</v>
      </c>
      <c r="X515" s="684">
        <f t="shared" si="241"/>
        <v>-216.40369814007749</v>
      </c>
      <c r="Y515" s="687">
        <f t="shared" si="242"/>
        <v>-36.403698140077495</v>
      </c>
      <c r="AA515" s="170">
        <f t="shared" si="243"/>
        <v>69989</v>
      </c>
      <c r="AB515" s="170">
        <f t="shared" si="244"/>
        <v>4898460121</v>
      </c>
      <c r="AD515" s="686">
        <f t="shared" si="245"/>
        <v>11.754141114654287</v>
      </c>
      <c r="AE515" s="687">
        <f t="shared" si="246"/>
        <v>-21.266685708999866</v>
      </c>
      <c r="AG515" s="686">
        <f t="shared" si="247"/>
        <v>20.244201152964727</v>
      </c>
      <c r="AH515" s="687">
        <f t="shared" si="248"/>
        <v>-30.951048834599927</v>
      </c>
      <c r="AJ515" s="170">
        <f t="shared" si="249"/>
        <v>0</v>
      </c>
      <c r="AK515" s="170">
        <f t="shared" si="261"/>
        <v>0</v>
      </c>
      <c r="AM515" s="170" t="str">
        <f t="shared" si="253"/>
        <v>1.92714014369611+0.374714763449699i</v>
      </c>
      <c r="AN515" s="170" t="str">
        <f t="shared" si="254"/>
        <v>2.75750355026154i</v>
      </c>
      <c r="AO515" s="170" t="str">
        <f t="shared" si="255"/>
        <v>0.13588913182511-0.698871319136952i</v>
      </c>
      <c r="AP515" s="170" t="str">
        <f t="shared" si="256"/>
        <v>-0.154523357282684-0.0624524605749498i</v>
      </c>
      <c r="AQ515" s="170" t="str">
        <f t="shared" si="257"/>
        <v>1.15452335728268+0.0624524605749498i</v>
      </c>
      <c r="AR515" s="170" t="str">
        <f t="shared" si="258"/>
        <v>0.719404800050311-0.038915280170959i</v>
      </c>
    </row>
    <row r="516" spans="7:44">
      <c r="G516" s="688">
        <v>70392</v>
      </c>
      <c r="H516" s="676">
        <f t="shared" si="250"/>
        <v>70.391999999999996</v>
      </c>
      <c r="I516" s="677">
        <f t="shared" si="230"/>
        <v>24.092798740615002</v>
      </c>
      <c r="J516" s="678">
        <f t="shared" si="231"/>
        <v>1.5292782217075449</v>
      </c>
      <c r="K516" s="678">
        <f t="shared" si="232"/>
        <v>1.0039047143585689</v>
      </c>
      <c r="L516" s="679">
        <f t="shared" si="233"/>
        <v>8.8227556793357143E-2</v>
      </c>
      <c r="M516" s="678">
        <f t="shared" si="234"/>
        <v>1.1618693012393138</v>
      </c>
      <c r="N516" s="679">
        <f t="shared" si="235"/>
        <v>-0.53418865074465272</v>
      </c>
      <c r="O516" s="677">
        <f t="shared" si="236"/>
        <v>530743.1755660621</v>
      </c>
      <c r="P516" s="680">
        <f t="shared" si="237"/>
        <v>1.5707944426444336</v>
      </c>
      <c r="Q516" s="689">
        <f t="shared" si="259"/>
        <v>11.895371935419847</v>
      </c>
      <c r="R516" s="690">
        <f t="shared" si="260"/>
        <v>1.4866306845213197</v>
      </c>
      <c r="S516" s="677">
        <f t="shared" si="238"/>
        <v>1.042982464342634</v>
      </c>
      <c r="T516" s="680">
        <f t="shared" si="239"/>
        <v>0.28808790705921644</v>
      </c>
      <c r="U516" s="681">
        <f t="shared" si="251"/>
        <v>0.51039979427011906</v>
      </c>
      <c r="V516" s="682">
        <f t="shared" si="252"/>
        <v>-1.4385622781935328</v>
      </c>
      <c r="W516" s="683">
        <f t="shared" si="240"/>
        <v>-21.644397401443317</v>
      </c>
      <c r="X516" s="684">
        <f t="shared" si="241"/>
        <v>-216.92487300231193</v>
      </c>
      <c r="Y516" s="687">
        <f t="shared" si="242"/>
        <v>-36.924873002311926</v>
      </c>
      <c r="AA516" s="170">
        <f t="shared" si="243"/>
        <v>70392</v>
      </c>
      <c r="AB516" s="170">
        <f t="shared" si="244"/>
        <v>4955033664</v>
      </c>
      <c r="AD516" s="686">
        <f t="shared" si="245"/>
        <v>11.749782111551486</v>
      </c>
      <c r="AE516" s="687">
        <f t="shared" si="246"/>
        <v>-21.32844935603584</v>
      </c>
      <c r="AG516" s="686">
        <f t="shared" si="247"/>
        <v>20.250732664785925</v>
      </c>
      <c r="AH516" s="687">
        <f t="shared" si="248"/>
        <v>-30.74932924348272</v>
      </c>
      <c r="AJ516" s="170">
        <f t="shared" si="249"/>
        <v>0</v>
      </c>
      <c r="AK516" s="170">
        <f t="shared" si="261"/>
        <v>0</v>
      </c>
      <c r="AM516" s="170" t="str">
        <f t="shared" si="253"/>
        <v>1.93297268742282+0.359947169072135i</v>
      </c>
      <c r="AN516" s="170" t="str">
        <f t="shared" si="254"/>
        <v>2.77338138721814i</v>
      </c>
      <c r="AO516" s="170" t="str">
        <f t="shared" si="255"/>
        <v>0.129786393869609-0.696973267481867i</v>
      </c>
      <c r="AP516" s="170" t="str">
        <f t="shared" si="256"/>
        <v>-0.155495447903803-0.0599911948453558i</v>
      </c>
      <c r="AQ516" s="170" t="str">
        <f t="shared" si="257"/>
        <v>1.1554954479038+0.0599911948453558i</v>
      </c>
      <c r="AR516" s="170" t="str">
        <f t="shared" si="258"/>
        <v>0.718964916863572-0.0373273339092622i</v>
      </c>
    </row>
    <row r="517" spans="7:44">
      <c r="G517" s="688">
        <v>70795</v>
      </c>
      <c r="H517" s="676">
        <f t="shared" si="250"/>
        <v>70.795000000000002</v>
      </c>
      <c r="I517" s="677">
        <f t="shared" si="230"/>
        <v>24.23049504744241</v>
      </c>
      <c r="J517" s="678">
        <f t="shared" si="231"/>
        <v>1.5295142940136326</v>
      </c>
      <c r="K517" s="678">
        <f t="shared" si="232"/>
        <v>1.0039494637686783</v>
      </c>
      <c r="L517" s="679">
        <f t="shared" si="233"/>
        <v>8.8730027308058013E-2</v>
      </c>
      <c r="M517" s="678">
        <f t="shared" si="234"/>
        <v>1.1635972743172436</v>
      </c>
      <c r="N517" s="679">
        <f t="shared" si="235"/>
        <v>-0.53669371682619971</v>
      </c>
      <c r="O517" s="677">
        <f t="shared" si="236"/>
        <v>533781.72397713677</v>
      </c>
      <c r="P517" s="680">
        <f t="shared" si="237"/>
        <v>1.5707944533699458</v>
      </c>
      <c r="Q517" s="689">
        <f t="shared" si="259"/>
        <v>11.962993993572001</v>
      </c>
      <c r="R517" s="690">
        <f t="shared" si="260"/>
        <v>1.4871075565112972</v>
      </c>
      <c r="S517" s="677">
        <f t="shared" si="238"/>
        <v>1.0434657473086502</v>
      </c>
      <c r="T517" s="680">
        <f t="shared" si="239"/>
        <v>0.28964675835518616</v>
      </c>
      <c r="U517" s="681">
        <f t="shared" si="251"/>
        <v>0.50787481837068815</v>
      </c>
      <c r="V517" s="682">
        <f t="shared" si="252"/>
        <v>-1.4443235288080072</v>
      </c>
      <c r="W517" s="683">
        <f t="shared" si="240"/>
        <v>-21.72805103604081</v>
      </c>
      <c r="X517" s="684">
        <f t="shared" si="241"/>
        <v>-217.44522803096407</v>
      </c>
      <c r="Y517" s="687">
        <f t="shared" si="242"/>
        <v>-37.445228030964074</v>
      </c>
      <c r="AA517" s="170">
        <f t="shared" si="243"/>
        <v>70795</v>
      </c>
      <c r="AB517" s="170">
        <f t="shared" si="244"/>
        <v>5011932025</v>
      </c>
      <c r="AD517" s="686">
        <f t="shared" si="245"/>
        <v>11.745409845011288</v>
      </c>
      <c r="AE517" s="687">
        <f t="shared" si="246"/>
        <v>-21.390442818387111</v>
      </c>
      <c r="AG517" s="686">
        <f t="shared" si="247"/>
        <v>20.257603722330444</v>
      </c>
      <c r="AH517" s="687">
        <f t="shared" si="248"/>
        <v>-30.547500119176199</v>
      </c>
      <c r="AJ517" s="170">
        <f t="shared" si="249"/>
        <v>0</v>
      </c>
      <c r="AK517" s="170">
        <f t="shared" si="261"/>
        <v>0</v>
      </c>
      <c r="AM517" s="170" t="str">
        <f t="shared" si="253"/>
        <v>1.93857002835249+0.34508883186566i</v>
      </c>
      <c r="AN517" s="170" t="str">
        <f t="shared" si="254"/>
        <v>2.78925922417474i</v>
      </c>
      <c r="AO517" s="170" t="str">
        <f t="shared" si="255"/>
        <v>0.123720602543767-0.695012500649184i</v>
      </c>
      <c r="AP517" s="170" t="str">
        <f t="shared" si="256"/>
        <v>-0.156428338058748-0.0575148053109433i</v>
      </c>
      <c r="AQ517" s="170" t="str">
        <f t="shared" si="257"/>
        <v>1.15642833805875+0.0575148053109433i</v>
      </c>
      <c r="AR517" s="170" t="str">
        <f t="shared" si="258"/>
        <v>0.718543972075319-0.0357366862270408i</v>
      </c>
    </row>
    <row r="518" spans="7:44">
      <c r="G518" s="688">
        <v>71207.25</v>
      </c>
      <c r="H518" s="676">
        <f t="shared" si="250"/>
        <v>71.207250000000002</v>
      </c>
      <c r="I518" s="677">
        <f t="shared" si="230"/>
        <v>24.371353258688504</v>
      </c>
      <c r="J518" s="678">
        <f t="shared" si="231"/>
        <v>1.5297530247121389</v>
      </c>
      <c r="K518" s="678">
        <f t="shared" si="232"/>
        <v>1.0039955025492133</v>
      </c>
      <c r="L518" s="679">
        <f t="shared" si="233"/>
        <v>8.9243984476169103E-2</v>
      </c>
      <c r="M518" s="678">
        <f t="shared" si="234"/>
        <v>1.1653724419300384</v>
      </c>
      <c r="N518" s="679">
        <f t="shared" si="235"/>
        <v>-0.53924857829272776</v>
      </c>
      <c r="O518" s="677">
        <f t="shared" si="236"/>
        <v>536890.01574504143</v>
      </c>
      <c r="P518" s="680">
        <f t="shared" si="237"/>
        <v>1.5707944642160245</v>
      </c>
      <c r="Q518" s="689">
        <f t="shared" si="259"/>
        <v>12.032170953769619</v>
      </c>
      <c r="R518" s="690">
        <f t="shared" si="260"/>
        <v>1.4875898278632591</v>
      </c>
      <c r="S518" s="677">
        <f t="shared" si="238"/>
        <v>1.0439627441450969</v>
      </c>
      <c r="T518" s="680">
        <f t="shared" si="239"/>
        <v>0.29123989240841286</v>
      </c>
      <c r="U518" s="681">
        <f t="shared" si="251"/>
        <v>0.50530362097100501</v>
      </c>
      <c r="V518" s="682">
        <f t="shared" si="252"/>
        <v>-1.4502089037772219</v>
      </c>
      <c r="W518" s="683">
        <f t="shared" si="240"/>
        <v>-21.813330728653753</v>
      </c>
      <c r="X518" s="684">
        <f t="shared" si="241"/>
        <v>-217.97669700814888</v>
      </c>
      <c r="Y518" s="687">
        <f t="shared" si="242"/>
        <v>-37.976697008148875</v>
      </c>
      <c r="AA518" s="170">
        <f t="shared" si="243"/>
        <v>71207.25</v>
      </c>
      <c r="AB518" s="170">
        <f t="shared" si="244"/>
        <v>5070472452.5625</v>
      </c>
      <c r="AD518" s="686">
        <f t="shared" si="245"/>
        <v>11.740923417686792</v>
      </c>
      <c r="AE518" s="687">
        <f t="shared" si="246"/>
        <v>-21.454091184295361</v>
      </c>
      <c r="AG518" s="686">
        <f t="shared" si="247"/>
        <v>20.264981242868313</v>
      </c>
      <c r="AH518" s="687">
        <f t="shared" si="248"/>
        <v>-30.340906436506213</v>
      </c>
      <c r="AJ518" s="170">
        <f t="shared" si="249"/>
        <v>0</v>
      </c>
      <c r="AK518" s="170">
        <f t="shared" si="261"/>
        <v>0</v>
      </c>
      <c r="AM518" s="170" t="str">
        <f t="shared" si="253"/>
        <v>1.9440510107518+0.329799468008206i</v>
      </c>
      <c r="AN518" s="170" t="str">
        <f t="shared" si="254"/>
        <v>2.80550150279845i</v>
      </c>
      <c r="AO518" s="170" t="str">
        <f t="shared" si="255"/>
        <v>0.117554550471363-0.69294242359615i</v>
      </c>
      <c r="AP518" s="170" t="str">
        <f t="shared" si="256"/>
        <v>-0.157341835125301-0.0549665780013677i</v>
      </c>
      <c r="AQ518" s="170" t="str">
        <f t="shared" si="257"/>
        <v>1.1573418351253+0.0549665780013677i</v>
      </c>
      <c r="AR518" s="170" t="str">
        <f t="shared" si="258"/>
        <v>0.718132911805596-0.0341068710333434i</v>
      </c>
    </row>
    <row r="519" spans="7:44">
      <c r="G519" s="688">
        <v>71619.5</v>
      </c>
      <c r="H519" s="676">
        <f t="shared" si="250"/>
        <v>71.619500000000002</v>
      </c>
      <c r="I519" s="677">
        <f t="shared" si="230"/>
        <v>24.512212842951744</v>
      </c>
      <c r="J519" s="678">
        <f t="shared" si="231"/>
        <v>1.5299890116890649</v>
      </c>
      <c r="K519" s="678">
        <f t="shared" si="232"/>
        <v>1.0040418065127767</v>
      </c>
      <c r="L519" s="679">
        <f t="shared" si="233"/>
        <v>8.9757894375113598E-2</v>
      </c>
      <c r="M519" s="678">
        <f t="shared" si="234"/>
        <v>1.167155193130637</v>
      </c>
      <c r="N519" s="679">
        <f t="shared" si="235"/>
        <v>-0.54179565158385423</v>
      </c>
      <c r="O519" s="677">
        <f t="shared" si="236"/>
        <v>539998.30751294608</v>
      </c>
      <c r="P519" s="680">
        <f t="shared" si="237"/>
        <v>1.5707944749372407</v>
      </c>
      <c r="Q519" s="689">
        <f t="shared" si="259"/>
        <v>12.101350680482064</v>
      </c>
      <c r="R519" s="690">
        <f t="shared" si="260"/>
        <v>1.4880665853289372</v>
      </c>
      <c r="S519" s="677">
        <f t="shared" si="238"/>
        <v>1.0444623881129</v>
      </c>
      <c r="T519" s="680">
        <f t="shared" si="239"/>
        <v>0.29283150626927695</v>
      </c>
      <c r="U519" s="681">
        <f t="shared" si="251"/>
        <v>0.50274416894521612</v>
      </c>
      <c r="V519" s="682">
        <f t="shared" si="252"/>
        <v>-1.456086456008612</v>
      </c>
      <c r="W519" s="683">
        <f t="shared" si="240"/>
        <v>-21.898318208157104</v>
      </c>
      <c r="X519" s="684">
        <f t="shared" si="241"/>
        <v>-218.50734586519977</v>
      </c>
      <c r="Y519" s="687">
        <f t="shared" si="242"/>
        <v>-38.507345865199767</v>
      </c>
      <c r="AA519" s="170">
        <f t="shared" si="243"/>
        <v>71619.5</v>
      </c>
      <c r="AB519" s="170">
        <f t="shared" si="244"/>
        <v>5129352780.25</v>
      </c>
      <c r="AD519" s="686">
        <f t="shared" si="245"/>
        <v>11.736422950379682</v>
      </c>
      <c r="AE519" s="687">
        <f t="shared" si="246"/>
        <v>-21.51796836485611</v>
      </c>
      <c r="AG519" s="686">
        <f t="shared" si="247"/>
        <v>20.272708959474866</v>
      </c>
      <c r="AH519" s="687">
        <f t="shared" si="248"/>
        <v>-30.134160238774058</v>
      </c>
      <c r="AJ519" s="170">
        <f t="shared" si="249"/>
        <v>0</v>
      </c>
      <c r="AK519" s="170">
        <f t="shared" si="261"/>
        <v>0</v>
      </c>
      <c r="AM519" s="170" t="str">
        <f t="shared" si="253"/>
        <v>1.94928294700461+0.314423101133223i</v>
      </c>
      <c r="AN519" s="170" t="str">
        <f t="shared" si="254"/>
        <v>2.82174378142217i</v>
      </c>
      <c r="AO519" s="170" t="str">
        <f t="shared" si="255"/>
        <v>0.111428650327264-0.690807918081834i</v>
      </c>
      <c r="AP519" s="170" t="str">
        <f t="shared" si="256"/>
        <v>-0.158213824500769-0.0524038501888705i</v>
      </c>
      <c r="AQ519" s="170" t="str">
        <f t="shared" si="257"/>
        <v>1.15821382450077+0.0524038501888705i</v>
      </c>
      <c r="AR519" s="170" t="str">
        <f t="shared" si="258"/>
        <v>0.717741571778027-0.0324745060075521i</v>
      </c>
    </row>
    <row r="520" spans="7:44">
      <c r="G520" s="688">
        <v>72031.75</v>
      </c>
      <c r="H520" s="676">
        <f t="shared" si="250"/>
        <v>72.031750000000002</v>
      </c>
      <c r="I520" s="677">
        <f t="shared" si="230"/>
        <v>24.653073776697216</v>
      </c>
      <c r="J520" s="678">
        <f t="shared" si="231"/>
        <v>1.5302223019485268</v>
      </c>
      <c r="K520" s="678">
        <f t="shared" si="232"/>
        <v>1.0040883756226813</v>
      </c>
      <c r="L520" s="679">
        <f t="shared" si="233"/>
        <v>9.0271756739999182E-2</v>
      </c>
      <c r="M520" s="678">
        <f t="shared" si="234"/>
        <v>1.1689454932219978</v>
      </c>
      <c r="N520" s="679">
        <f t="shared" si="235"/>
        <v>-0.54433493935961064</v>
      </c>
      <c r="O520" s="677">
        <f t="shared" si="236"/>
        <v>543106.59928085073</v>
      </c>
      <c r="P520" s="680">
        <f t="shared" si="237"/>
        <v>1.5707944855357381</v>
      </c>
      <c r="Q520" s="689">
        <f t="shared" si="259"/>
        <v>12.170533126533082</v>
      </c>
      <c r="R520" s="690">
        <f t="shared" si="260"/>
        <v>1.4885379227194993</v>
      </c>
      <c r="S520" s="677">
        <f t="shared" si="238"/>
        <v>1.0449646754149273</v>
      </c>
      <c r="T520" s="680">
        <f t="shared" si="239"/>
        <v>0.29442159406033325</v>
      </c>
      <c r="U520" s="681">
        <f t="shared" si="251"/>
        <v>0.50019633855571</v>
      </c>
      <c r="V520" s="682">
        <f t="shared" si="252"/>
        <v>-1.4619565695638927</v>
      </c>
      <c r="W520" s="683">
        <f t="shared" si="240"/>
        <v>-21.983018653436531</v>
      </c>
      <c r="X520" s="684">
        <f t="shared" si="241"/>
        <v>-219.03719375634157</v>
      </c>
      <c r="Y520" s="687">
        <f t="shared" si="242"/>
        <v>-39.037193756341566</v>
      </c>
      <c r="AA520" s="170">
        <f t="shared" si="243"/>
        <v>72031.75</v>
      </c>
      <c r="AB520" s="170">
        <f t="shared" si="244"/>
        <v>5188573008.0625</v>
      </c>
      <c r="AD520" s="686">
        <f t="shared" si="245"/>
        <v>11.731908368046904</v>
      </c>
      <c r="AE520" s="687">
        <f t="shared" si="246"/>
        <v>-21.582068648455412</v>
      </c>
      <c r="AG520" s="686">
        <f t="shared" si="247"/>
        <v>20.280784448102381</v>
      </c>
      <c r="AH520" s="687">
        <f t="shared" si="248"/>
        <v>-29.927242381587625</v>
      </c>
      <c r="AJ520" s="170">
        <f t="shared" si="249"/>
        <v>0</v>
      </c>
      <c r="AK520" s="170">
        <f t="shared" si="261"/>
        <v>0</v>
      </c>
      <c r="AM520" s="170" t="str">
        <f t="shared" si="253"/>
        <v>1.95426445689571+0.29896378761572i</v>
      </c>
      <c r="AN520" s="170" t="str">
        <f t="shared" si="254"/>
        <v>2.83798606004589i</v>
      </c>
      <c r="AO520" s="170" t="str">
        <f t="shared" si="255"/>
        <v>0.105343642037088-0.688609603975331i</v>
      </c>
      <c r="AP520" s="170" t="str">
        <f t="shared" si="256"/>
        <v>-0.159044076149285-0.0498272979359533i</v>
      </c>
      <c r="AQ520" s="170" t="str">
        <f t="shared" si="257"/>
        <v>1.15904407614929+0.0498272979359533i</v>
      </c>
      <c r="AR520" s="170" t="str">
        <f t="shared" si="258"/>
        <v>0.717369905765859-0.0308397279796615i</v>
      </c>
    </row>
    <row r="521" spans="7:44">
      <c r="G521" s="688">
        <v>72444</v>
      </c>
      <c r="H521" s="676">
        <f t="shared" si="250"/>
        <v>72.444000000000003</v>
      </c>
      <c r="I521" s="677">
        <f t="shared" si="230"/>
        <v>24.793936036924624</v>
      </c>
      <c r="J521" s="678">
        <f t="shared" si="231"/>
        <v>1.5304529414276491</v>
      </c>
      <c r="K521" s="678">
        <f t="shared" si="232"/>
        <v>1.0041352098420366</v>
      </c>
      <c r="L521" s="679">
        <f t="shared" si="233"/>
        <v>9.0785571306082932E-2</v>
      </c>
      <c r="M521" s="678">
        <f t="shared" si="234"/>
        <v>1.1707433075728415</v>
      </c>
      <c r="N521" s="679">
        <f t="shared" si="235"/>
        <v>-0.54686644466539669</v>
      </c>
      <c r="O521" s="677">
        <f t="shared" si="236"/>
        <v>546214.8910487555</v>
      </c>
      <c r="P521" s="680">
        <f t="shared" si="237"/>
        <v>1.5707944960136118</v>
      </c>
      <c r="Q521" s="689">
        <f t="shared" si="259"/>
        <v>12.239718245811192</v>
      </c>
      <c r="R521" s="690">
        <f t="shared" si="260"/>
        <v>1.4890039317347983</v>
      </c>
      <c r="S521" s="677">
        <f t="shared" si="238"/>
        <v>1.0454696022412737</v>
      </c>
      <c r="T521" s="680">
        <f t="shared" si="239"/>
        <v>0.29601014994626973</v>
      </c>
      <c r="U521" s="681">
        <f t="shared" si="251"/>
        <v>0.49766000494854606</v>
      </c>
      <c r="V521" s="682">
        <f t="shared" si="252"/>
        <v>-1.4678196276239941</v>
      </c>
      <c r="W521" s="683">
        <f t="shared" si="240"/>
        <v>-22.06743723021464</v>
      </c>
      <c r="X521" s="684">
        <f t="shared" si="241"/>
        <v>-219.56625986965147</v>
      </c>
      <c r="Y521" s="687">
        <f t="shared" si="242"/>
        <v>-39.566259869651475</v>
      </c>
      <c r="AA521" s="170">
        <f t="shared" si="243"/>
        <v>72444</v>
      </c>
      <c r="AB521" s="170">
        <f t="shared" si="244"/>
        <v>5248133136</v>
      </c>
      <c r="AD521" s="686">
        <f t="shared" si="245"/>
        <v>11.727379599641271</v>
      </c>
      <c r="AE521" s="687">
        <f t="shared" si="246"/>
        <v>-21.646386446859992</v>
      </c>
      <c r="AG521" s="686">
        <f t="shared" si="247"/>
        <v>20.289205392612011</v>
      </c>
      <c r="AH521" s="687">
        <f t="shared" si="248"/>
        <v>-29.720133731957379</v>
      </c>
      <c r="AJ521" s="170">
        <f t="shared" si="249"/>
        <v>0</v>
      </c>
      <c r="AK521" s="170">
        <f t="shared" si="261"/>
        <v>0</v>
      </c>
      <c r="AM521" s="170" t="str">
        <f t="shared" si="253"/>
        <v>1.95899422627381+0.2834256057125i</v>
      </c>
      <c r="AN521" s="170" t="str">
        <f t="shared" si="254"/>
        <v>2.85422833866961i</v>
      </c>
      <c r="AO521" s="170" t="str">
        <f t="shared" si="255"/>
        <v>0.099300256350411-0.686348110182005i</v>
      </c>
      <c r="AP521" s="170" t="str">
        <f t="shared" si="256"/>
        <v>-0.159832371045635-0.0472376009520833i</v>
      </c>
      <c r="AQ521" s="170" t="str">
        <f t="shared" si="257"/>
        <v>1.15983237104564+0.0472376009520833i</v>
      </c>
      <c r="AR521" s="170" t="str">
        <f t="shared" si="258"/>
        <v>0.71701786965644-0.029202671737648i</v>
      </c>
    </row>
    <row r="522" spans="7:44">
      <c r="G522" s="688">
        <v>72865.75</v>
      </c>
      <c r="H522" s="676">
        <f t="shared" si="250"/>
        <v>72.865750000000006</v>
      </c>
      <c r="I522" s="677">
        <f t="shared" si="230"/>
        <v>24.938045714250826</v>
      </c>
      <c r="J522" s="678">
        <f t="shared" si="231"/>
        <v>1.5306861995279177</v>
      </c>
      <c r="K522" s="678">
        <f t="shared" si="232"/>
        <v>1.0041833976267946</v>
      </c>
      <c r="L522" s="679">
        <f t="shared" si="233"/>
        <v>9.1311176613736916E-2</v>
      </c>
      <c r="M522" s="678">
        <f t="shared" si="234"/>
        <v>1.1725902911951935</v>
      </c>
      <c r="N522" s="679">
        <f t="shared" si="235"/>
        <v>-0.54944823668727127</v>
      </c>
      <c r="O522" s="677">
        <f t="shared" si="236"/>
        <v>549394.81112908025</v>
      </c>
      <c r="P522" s="680">
        <f t="shared" si="237"/>
        <v>1.5707945066102502</v>
      </c>
      <c r="Q522" s="689">
        <f t="shared" si="259"/>
        <v>12.310500404948206</v>
      </c>
      <c r="R522" s="690">
        <f t="shared" si="260"/>
        <v>1.4894752590851161</v>
      </c>
      <c r="S522" s="677">
        <f t="shared" si="238"/>
        <v>1.0459888922152298</v>
      </c>
      <c r="T522" s="680">
        <f t="shared" si="239"/>
        <v>0.29763372163671509</v>
      </c>
      <c r="U522" s="681">
        <f t="shared" si="251"/>
        <v>0.49507698930618921</v>
      </c>
      <c r="V522" s="682">
        <f t="shared" si="252"/>
        <v>-1.473810893014756</v>
      </c>
      <c r="W522" s="683">
        <f t="shared" si="240"/>
        <v>-22.153514859396672</v>
      </c>
      <c r="X522" s="684">
        <f t="shared" si="241"/>
        <v>-220.1067289612007</v>
      </c>
      <c r="Y522" s="687">
        <f t="shared" si="242"/>
        <v>-40.106728961200702</v>
      </c>
      <c r="AA522" s="170">
        <f t="shared" si="243"/>
        <v>72865.75</v>
      </c>
      <c r="AB522" s="170">
        <f t="shared" si="244"/>
        <v>5309417523.0625</v>
      </c>
      <c r="AD522" s="686">
        <f t="shared" si="245"/>
        <v>11.722731718841535</v>
      </c>
      <c r="AE522" s="687">
        <f t="shared" si="246"/>
        <v>-21.712405791735236</v>
      </c>
      <c r="AG522" s="686">
        <f t="shared" si="247"/>
        <v>20.298175577193636</v>
      </c>
      <c r="AH522" s="687">
        <f t="shared" si="248"/>
        <v>-29.508035036179912</v>
      </c>
      <c r="AJ522" s="170">
        <f t="shared" si="249"/>
        <v>0</v>
      </c>
      <c r="AK522" s="170">
        <f t="shared" si="261"/>
        <v>0</v>
      </c>
      <c r="AM522" s="170" t="str">
        <f t="shared" si="253"/>
        <v>1.96357117989222+0.267452016782658i</v>
      </c>
      <c r="AN522" s="170" t="str">
        <f t="shared" si="254"/>
        <v>2.87084490873523i</v>
      </c>
      <c r="AO522" s="170" t="str">
        <f t="shared" si="255"/>
        <v>0.0931614299222056-0.683969786705505i</v>
      </c>
      <c r="AP522" s="170" t="str">
        <f t="shared" si="256"/>
        <v>-0.160595196648704-0.044575336130443i</v>
      </c>
      <c r="AQ522" s="170" t="str">
        <f t="shared" si="257"/>
        <v>1.1605951966487+0.044575336130443i</v>
      </c>
      <c r="AR522" s="170" t="str">
        <f t="shared" si="258"/>
        <v>0.716677991029108-0.0275256716895433i</v>
      </c>
    </row>
    <row r="523" spans="7:44">
      <c r="G523" s="688">
        <v>73287.5</v>
      </c>
      <c r="H523" s="676">
        <f t="shared" si="250"/>
        <v>73.287499999999994</v>
      </c>
      <c r="I523" s="677">
        <f t="shared" si="230"/>
        <v>25.082156732847903</v>
      </c>
      <c r="J523" s="678">
        <f t="shared" si="231"/>
        <v>1.5309167772441228</v>
      </c>
      <c r="K523" s="678">
        <f t="shared" si="232"/>
        <v>1.0042318628015332</v>
      </c>
      <c r="L523" s="679">
        <f t="shared" si="233"/>
        <v>9.1836731334155944E-2</v>
      </c>
      <c r="M523" s="678">
        <f t="shared" si="234"/>
        <v>1.1744450662799291</v>
      </c>
      <c r="N523" s="679">
        <f t="shared" si="235"/>
        <v>-0.55202189108525357</v>
      </c>
      <c r="O523" s="677">
        <f t="shared" si="236"/>
        <v>552574.73120940488</v>
      </c>
      <c r="P523" s="680">
        <f t="shared" si="237"/>
        <v>1.5707945170849271</v>
      </c>
      <c r="Q523" s="689">
        <f t="shared" si="259"/>
        <v>12.381285267587378</v>
      </c>
      <c r="R523" s="690">
        <f t="shared" si="260"/>
        <v>1.489941197300729</v>
      </c>
      <c r="S523" s="677">
        <f t="shared" si="238"/>
        <v>1.0465109366596987</v>
      </c>
      <c r="T523" s="680">
        <f t="shared" si="239"/>
        <v>0.29925567778497536</v>
      </c>
      <c r="U523" s="681">
        <f t="shared" si="251"/>
        <v>0.49250573867764491</v>
      </c>
      <c r="V523" s="682">
        <f t="shared" si="252"/>
        <v>-1.4797955826739528</v>
      </c>
      <c r="W523" s="683">
        <f t="shared" si="240"/>
        <v>-22.239308381523543</v>
      </c>
      <c r="X523" s="684">
        <f t="shared" si="241"/>
        <v>-220.64642056725665</v>
      </c>
      <c r="Y523" s="687">
        <f t="shared" si="242"/>
        <v>-40.646420567256655</v>
      </c>
      <c r="AA523" s="170">
        <f t="shared" si="243"/>
        <v>73287.5</v>
      </c>
      <c r="AB523" s="170">
        <f t="shared" si="244"/>
        <v>5371057656.25</v>
      </c>
      <c r="AD523" s="686">
        <f t="shared" si="245"/>
        <v>11.718068852431591</v>
      </c>
      <c r="AE523" s="687">
        <f t="shared" si="246"/>
        <v>-21.778641340547829</v>
      </c>
      <c r="AG523" s="686">
        <f t="shared" si="247"/>
        <v>20.307502759680766</v>
      </c>
      <c r="AH523" s="687">
        <f t="shared" si="248"/>
        <v>-29.295696174304506</v>
      </c>
      <c r="AJ523" s="170">
        <f t="shared" si="249"/>
        <v>0</v>
      </c>
      <c r="AK523" s="170">
        <f t="shared" si="261"/>
        <v>0</v>
      </c>
      <c r="AM523" s="170" t="str">
        <f t="shared" si="253"/>
        <v>1.9678820876076+0.25140458326841i</v>
      </c>
      <c r="AN523" s="170" t="str">
        <f t="shared" si="254"/>
        <v>2.88746147880085i</v>
      </c>
      <c r="AO523" s="170" t="str">
        <f t="shared" si="255"/>
        <v>0.0870676838857144-0.681526698124074i</v>
      </c>
      <c r="AP523" s="170" t="str">
        <f t="shared" si="256"/>
        <v>-0.161313681267933-0.0419007638780683i</v>
      </c>
      <c r="AQ523" s="170" t="str">
        <f t="shared" si="257"/>
        <v>1.16131368126793+0.0419007638780683i</v>
      </c>
      <c r="AR523" s="170" t="str">
        <f t="shared" si="258"/>
        <v>0.716358570933393-0.0258465665365614i</v>
      </c>
    </row>
    <row r="524" spans="7:44">
      <c r="G524" s="688">
        <v>73709.25</v>
      </c>
      <c r="H524" s="676">
        <f t="shared" si="250"/>
        <v>73.709249999999997</v>
      </c>
      <c r="I524" s="677">
        <f t="shared" si="230"/>
        <v>25.226269069728875</v>
      </c>
      <c r="J524" s="678">
        <f t="shared" si="231"/>
        <v>1.5311447204889346</v>
      </c>
      <c r="K524" s="678">
        <f t="shared" si="232"/>
        <v>1.0042806053260929</v>
      </c>
      <c r="L524" s="679">
        <f t="shared" si="233"/>
        <v>9.2362235184360347E-2</v>
      </c>
      <c r="M524" s="678">
        <f t="shared" si="234"/>
        <v>1.1763075959708458</v>
      </c>
      <c r="N524" s="679">
        <f t="shared" si="235"/>
        <v>-0.55458741233945585</v>
      </c>
      <c r="O524" s="677">
        <f t="shared" si="236"/>
        <v>555754.65128972975</v>
      </c>
      <c r="P524" s="680">
        <f t="shared" si="237"/>
        <v>1.5707945274397357</v>
      </c>
      <c r="Q524" s="689">
        <f t="shared" si="259"/>
        <v>12.452072787623843</v>
      </c>
      <c r="R524" s="690">
        <f t="shared" si="260"/>
        <v>1.4904018380860122</v>
      </c>
      <c r="S524" s="677">
        <f t="shared" si="238"/>
        <v>1.0470357314546035</v>
      </c>
      <c r="T524" s="680">
        <f t="shared" si="239"/>
        <v>0.30087601228005201</v>
      </c>
      <c r="U524" s="681">
        <f t="shared" si="251"/>
        <v>0.489946116039778</v>
      </c>
      <c r="V524" s="682">
        <f t="shared" si="252"/>
        <v>-1.4857741043007273</v>
      </c>
      <c r="W524" s="683">
        <f t="shared" si="240"/>
        <v>-22.324823294897161</v>
      </c>
      <c r="X524" s="684">
        <f t="shared" si="241"/>
        <v>-221.18535534647879</v>
      </c>
      <c r="Y524" s="687">
        <f t="shared" si="242"/>
        <v>-41.185355346478786</v>
      </c>
      <c r="AA524" s="170">
        <f t="shared" si="243"/>
        <v>73709.25</v>
      </c>
      <c r="AB524" s="170">
        <f t="shared" si="244"/>
        <v>5433053535.5625</v>
      </c>
      <c r="AD524" s="686">
        <f t="shared" si="245"/>
        <v>11.713390936480366</v>
      </c>
      <c r="AE524" s="687">
        <f t="shared" si="246"/>
        <v>-21.845087489009618</v>
      </c>
      <c r="AG524" s="686">
        <f t="shared" si="247"/>
        <v>20.317184803754689</v>
      </c>
      <c r="AH524" s="687">
        <f t="shared" si="248"/>
        <v>-29.083096690398254</v>
      </c>
      <c r="AJ524" s="170">
        <f t="shared" si="249"/>
        <v>0</v>
      </c>
      <c r="AK524" s="170">
        <f t="shared" si="261"/>
        <v>0</v>
      </c>
      <c r="AM524" s="170" t="str">
        <f t="shared" si="253"/>
        <v>1.97192575916086+0.235287735931105i</v>
      </c>
      <c r="AN524" s="170" t="str">
        <f t="shared" si="254"/>
        <v>2.90407804886647i</v>
      </c>
      <c r="AO524" s="170" t="str">
        <f t="shared" si="255"/>
        <v>0.081019770120484-0.679019546299917i</v>
      </c>
      <c r="AP524" s="170" t="str">
        <f t="shared" si="256"/>
        <v>-0.16198762652681-0.0392146226551842i</v>
      </c>
      <c r="AQ524" s="170" t="str">
        <f t="shared" si="257"/>
        <v>1.16198762652681+0.0392146226551842i</v>
      </c>
      <c r="AR524" s="170" t="str">
        <f t="shared" si="258"/>
        <v>0.716059569181437-0.0241654946774392i</v>
      </c>
    </row>
    <row r="525" spans="7:44">
      <c r="G525" s="688">
        <v>74131</v>
      </c>
      <c r="H525" s="676">
        <f t="shared" si="250"/>
        <v>74.131</v>
      </c>
      <c r="I525" s="677">
        <f t="shared" ref="I525:I588" si="262">SQRT(1+(G525/pole1)^2)</f>
        <v>25.370382702428849</v>
      </c>
      <c r="J525" s="678">
        <f t="shared" ref="J525:J588" si="263">ATAN(G525/pole1)</f>
        <v>1.5313700741329259</v>
      </c>
      <c r="K525" s="678">
        <f t="shared" ref="K525:K588" si="264">SQRT(1+(G525/Zero1)^2)</f>
        <v>1.0043296251600924</v>
      </c>
      <c r="L525" s="679">
        <f t="shared" ref="L525:L588" si="265">ATAN(G525/Zero1)</f>
        <v>9.2887687881537645E-2</v>
      </c>
      <c r="M525" s="678">
        <f t="shared" ref="M525:M588" si="266">SQRT(1+(G525/z_RHP)^2)</f>
        <v>1.178177843491194</v>
      </c>
      <c r="N525" s="679">
        <f t="shared" ref="N525:N588" si="267">-ATAN(G525/z_RHP)</f>
        <v>-0.55714480532996979</v>
      </c>
      <c r="O525" s="677">
        <f t="shared" ref="O525:O588" si="268">SQRT(1+(G525/Pole2)^2)</f>
        <v>558934.57137005462</v>
      </c>
      <c r="P525" s="680">
        <f t="shared" ref="P525:P588" si="269">ATAN(G525/Pole2)</f>
        <v>1.5707945376767221</v>
      </c>
      <c r="Q525" s="689">
        <f t="shared" si="259"/>
        <v>12.522862919993496</v>
      </c>
      <c r="R525" s="690">
        <f t="shared" si="260"/>
        <v>1.4908572710808776</v>
      </c>
      <c r="S525" s="677">
        <f t="shared" ref="S525:S588" si="270">SQRT(1+(G525/pole4)^2)</f>
        <v>1.0475632724664381</v>
      </c>
      <c r="T525" s="680">
        <f t="shared" ref="T525:T588" si="271">ATAN(G525/pole4)</f>
        <v>0.30249471905722092</v>
      </c>
      <c r="U525" s="681">
        <f t="shared" si="251"/>
        <v>0.48739798333467904</v>
      </c>
      <c r="V525" s="682">
        <f t="shared" si="252"/>
        <v>-1.4917468648167402</v>
      </c>
      <c r="W525" s="683">
        <f t="shared" ref="W525:W588" si="272">20*LOG10(((K525*Q525*M525*U525)/(I525*O525*S525))*Adc)</f>
        <v>-22.410065090081265</v>
      </c>
      <c r="X525" s="684">
        <f t="shared" ref="X525:X588" si="273">((L525+R525+N525+V525)-(J525+P525+T525))*radconv</f>
        <v>-221.7235539971133</v>
      </c>
      <c r="Y525" s="687">
        <f t="shared" ref="Y525:Y588" si="274">IF(X525&gt;0,X525,X525+180)</f>
        <v>-41.723553997113299</v>
      </c>
      <c r="AA525" s="170">
        <f t="shared" ref="AA525:AA588" si="275">IF(W525&lt;0,G525,1000000000)</f>
        <v>74131</v>
      </c>
      <c r="AB525" s="170">
        <f t="shared" ref="AB525:AB588" si="276">G525^2</f>
        <v>5495405161</v>
      </c>
      <c r="AD525" s="686">
        <f t="shared" ref="AD525:AD588" si="277">20*LOG10((Q525/(O525*S525))*Aea)</f>
        <v>11.70869791088337</v>
      </c>
      <c r="AE525" s="687">
        <f t="shared" ref="AE525:AE588" si="278">(R525-(P525+T525))*radconv</f>
        <v>-21.911738753766105</v>
      </c>
      <c r="AG525" s="686">
        <f t="shared" ref="AG525:AG588" si="279">20*LOG10((K525*M525/(I525*U525))*Acs*Am)</f>
        <v>20.327219686836997</v>
      </c>
      <c r="AH525" s="687">
        <f t="shared" ref="AH525:AH588" si="280">(L525+N525-(J525+V525))*radconv</f>
        <v>-28.870216136274443</v>
      </c>
      <c r="AJ525" s="170">
        <f t="shared" ref="AJ525:AJ588" si="281">SUM((W526&lt;0)*(W525&gt;0))*G525</f>
        <v>0</v>
      </c>
      <c r="AK525" s="170">
        <f t="shared" si="261"/>
        <v>0</v>
      </c>
      <c r="AM525" s="170" t="str">
        <f t="shared" si="253"/>
        <v>1.97570107807793+0.219105924697529i</v>
      </c>
      <c r="AN525" s="170" t="str">
        <f t="shared" si="254"/>
        <v>2.92069461893209i</v>
      </c>
      <c r="AO525" s="170" t="str">
        <f t="shared" si="255"/>
        <v>0.0750184299574743-0.676449042385786i</v>
      </c>
      <c r="AP525" s="170" t="str">
        <f t="shared" si="256"/>
        <v>-0.162616846346322-0.0365176541162548i</v>
      </c>
      <c r="AQ525" s="170" t="str">
        <f t="shared" si="257"/>
        <v>1.16261684634632+0.0365176541162548i</v>
      </c>
      <c r="AR525" s="170" t="str">
        <f t="shared" si="258"/>
        <v>0.715780948013522-0.0224825927516077i</v>
      </c>
    </row>
    <row r="526" spans="7:44">
      <c r="G526" s="688">
        <v>74562.75</v>
      </c>
      <c r="H526" s="676">
        <f t="shared" ref="H526:H589" si="282">G526/1000</f>
        <v>74.562749999999994</v>
      </c>
      <c r="I526" s="677">
        <f t="shared" si="262"/>
        <v>25.517914693783226</v>
      </c>
      <c r="J526" s="678">
        <f t="shared" si="263"/>
        <v>1.5315981344283565</v>
      </c>
      <c r="K526" s="678">
        <f t="shared" si="264"/>
        <v>1.0043800944979091</v>
      </c>
      <c r="L526" s="679">
        <f t="shared" si="265"/>
        <v>9.3425546163466169E-2</v>
      </c>
      <c r="M526" s="678">
        <f t="shared" si="266"/>
        <v>1.1801003921249527</v>
      </c>
      <c r="N526" s="679">
        <f t="shared" si="267"/>
        <v>-0.55975442184294633</v>
      </c>
      <c r="O526" s="677">
        <f t="shared" si="268"/>
        <v>562189.88967397949</v>
      </c>
      <c r="P526" s="680">
        <f t="shared" si="269"/>
        <v>1.5707945480364764</v>
      </c>
      <c r="Q526" s="689">
        <f t="shared" si="259"/>
        <v>12.595334198006851</v>
      </c>
      <c r="R526" s="690">
        <f t="shared" si="260"/>
        <v>1.4913181997288216</v>
      </c>
      <c r="S526" s="677">
        <f t="shared" si="270"/>
        <v>1.0481061621919201</v>
      </c>
      <c r="T526" s="680">
        <f t="shared" si="271"/>
        <v>0.30415011420210247</v>
      </c>
      <c r="U526" s="681">
        <f t="shared" ref="U526:U589" si="283">IMABS(IMPRODUCT(AO526, AR526))</f>
        <v>0.48480118918007048</v>
      </c>
      <c r="V526" s="682">
        <f t="shared" ref="V526:V589" si="284">IMARGUMENT(IMPRODUCT(AO526, AR526))</f>
        <v>-1.4978557002838608</v>
      </c>
      <c r="W526" s="683">
        <f t="shared" si="272"/>
        <v>-22.497050847641358</v>
      </c>
      <c r="X526" s="684">
        <f t="shared" si="273"/>
        <v>-222.27377286557561</v>
      </c>
      <c r="Y526" s="687">
        <f t="shared" si="274"/>
        <v>-42.273772865575609</v>
      </c>
      <c r="AA526" s="170">
        <f t="shared" si="275"/>
        <v>74562.75</v>
      </c>
      <c r="AB526" s="170">
        <f t="shared" si="276"/>
        <v>5559603687.5625</v>
      </c>
      <c r="AD526" s="686">
        <f t="shared" si="277"/>
        <v>11.703877900078075</v>
      </c>
      <c r="AE526" s="687">
        <f t="shared" si="278"/>
        <v>-21.9801772364588</v>
      </c>
      <c r="AG526" s="686">
        <f t="shared" si="279"/>
        <v>20.337855998419172</v>
      </c>
      <c r="AH526" s="687">
        <f t="shared" si="280"/>
        <v>-28.651975541232446</v>
      </c>
      <c r="AJ526" s="170">
        <f t="shared" si="281"/>
        <v>0</v>
      </c>
      <c r="AK526" s="170">
        <f t="shared" si="261"/>
        <v>0</v>
      </c>
      <c r="AM526" s="170" t="str">
        <f t="shared" ref="AM526:AM589" si="285">IMSUB(1,IMEXP(COMPLEX(0,-2*Pi*G526*Tsw)))</f>
        <v>1.97928685241307+0.202477802958524i</v>
      </c>
      <c r="AN526" s="170" t="str">
        <f t="shared" ref="AN526:AN589" si="286">COMPLEX(0, 2*Pi*G526*Tsw)</f>
        <v>2.93770517998919i</v>
      </c>
      <c r="AO526" s="170" t="str">
        <f t="shared" ref="AO526:AO589" si="287">IMDIV(AM526, AN526)</f>
        <v>0.0689237995486222-0.673752718923399i</v>
      </c>
      <c r="AP526" s="170" t="str">
        <f t="shared" ref="AP526:AP589" si="288">IMDIV(IMEXP(COMPLEX(0,-2*Pi*G526*Tsw)),6)</f>
        <v>-0.163214475402178-0.0337463004930873i</v>
      </c>
      <c r="AQ526" s="170" t="str">
        <f t="shared" ref="AQ526:AQ589" si="289">IMSUB(1, AP526)</f>
        <v>1.16321447540218+0.0337463004930873i</v>
      </c>
      <c r="AR526" s="170" t="str">
        <f t="shared" ref="AR526:AR589" si="290">IMDIV(0.833, AQ526)</f>
        <v>0.715516794857842-0.0207580332584625i</v>
      </c>
    </row>
    <row r="527" spans="7:44">
      <c r="G527" s="688">
        <v>74994.5</v>
      </c>
      <c r="H527" s="676">
        <f t="shared" si="282"/>
        <v>74.994500000000002</v>
      </c>
      <c r="I527" s="677">
        <f t="shared" si="262"/>
        <v>25.665447997104039</v>
      </c>
      <c r="J527" s="678">
        <f t="shared" si="263"/>
        <v>1.5318235728065921</v>
      </c>
      <c r="K527" s="678">
        <f t="shared" si="264"/>
        <v>1.0044308543651332</v>
      </c>
      <c r="L527" s="679">
        <f t="shared" si="265"/>
        <v>9.3963350238605553E-2</v>
      </c>
      <c r="M527" s="678">
        <f t="shared" si="266"/>
        <v>1.1820309511838494</v>
      </c>
      <c r="N527" s="679">
        <f t="shared" si="267"/>
        <v>-0.56235553167835661</v>
      </c>
      <c r="O527" s="677">
        <f t="shared" si="268"/>
        <v>565445.20797790436</v>
      </c>
      <c r="P527" s="680">
        <f t="shared" si="269"/>
        <v>1.5707945582769467</v>
      </c>
      <c r="Q527" s="689">
        <f t="shared" si="259"/>
        <v>12.667808121346733</v>
      </c>
      <c r="R527" s="690">
        <f t="shared" si="260"/>
        <v>1.4917738544256847</v>
      </c>
      <c r="S527" s="677">
        <f t="shared" si="270"/>
        <v>1.0486519210989584</v>
      </c>
      <c r="T527" s="680">
        <f t="shared" si="271"/>
        <v>0.30580379081172165</v>
      </c>
      <c r="U527" s="681">
        <f t="shared" si="283"/>
        <v>0.48221614034748544</v>
      </c>
      <c r="V527" s="682">
        <f t="shared" si="284"/>
        <v>-1.5039593589212128</v>
      </c>
      <c r="W527" s="683">
        <f t="shared" si="272"/>
        <v>-22.583762008633819</v>
      </c>
      <c r="X527" s="684">
        <f t="shared" si="273"/>
        <v>-222.82326431133492</v>
      </c>
      <c r="Y527" s="687">
        <f t="shared" si="274"/>
        <v>-42.823264311334924</v>
      </c>
      <c r="AA527" s="170">
        <f t="shared" si="275"/>
        <v>74994.5</v>
      </c>
      <c r="AB527" s="170">
        <f t="shared" si="276"/>
        <v>5624175030.25</v>
      </c>
      <c r="AD527" s="686">
        <f t="shared" si="277"/>
        <v>11.699041938886909</v>
      </c>
      <c r="AE527" s="687">
        <f t="shared" si="278"/>
        <v>-22.04881942263809</v>
      </c>
      <c r="AG527" s="686">
        <f t="shared" si="279"/>
        <v>20.348858151146366</v>
      </c>
      <c r="AH527" s="687">
        <f t="shared" si="280"/>
        <v>-28.433397040995576</v>
      </c>
      <c r="AJ527" s="170">
        <f t="shared" si="281"/>
        <v>0</v>
      </c>
      <c r="AK527" s="170">
        <f t="shared" si="261"/>
        <v>0</v>
      </c>
      <c r="AM527" s="170" t="str">
        <f t="shared" si="285"/>
        <v>1.98258926793308+0.185791093819726i</v>
      </c>
      <c r="AN527" s="170" t="str">
        <f t="shared" si="286"/>
        <v>2.95471574104629i</v>
      </c>
      <c r="AO527" s="170" t="str">
        <f t="shared" si="287"/>
        <v>0.0628795153587045-0.670991540875275i</v>
      </c>
      <c r="AP527" s="170" t="str">
        <f t="shared" si="288"/>
        <v>-0.163764877988847-0.0309651823032877i</v>
      </c>
      <c r="AQ527" s="170" t="str">
        <f t="shared" si="289"/>
        <v>1.16376487798885+0.0309651823032877i</v>
      </c>
      <c r="AR527" s="170" t="str">
        <f t="shared" si="290"/>
        <v>0.715273928035002-0.0190318405352363i</v>
      </c>
    </row>
    <row r="528" spans="7:44">
      <c r="G528" s="688">
        <v>75426.25</v>
      </c>
      <c r="H528" s="676">
        <f t="shared" si="282"/>
        <v>75.426249999999996</v>
      </c>
      <c r="I528" s="677">
        <f t="shared" si="262"/>
        <v>25.812982589895775</v>
      </c>
      <c r="J528" s="678">
        <f t="shared" si="263"/>
        <v>1.532046434201372</v>
      </c>
      <c r="K528" s="678">
        <f t="shared" si="264"/>
        <v>1.0044819047177205</v>
      </c>
      <c r="L528" s="679">
        <f t="shared" si="265"/>
        <v>9.4501099804095601E-2</v>
      </c>
      <c r="M528" s="678">
        <f t="shared" si="266"/>
        <v>1.1839694814829251</v>
      </c>
      <c r="N528" s="679">
        <f t="shared" si="267"/>
        <v>-0.56494814133776894</v>
      </c>
      <c r="O528" s="677">
        <f t="shared" si="268"/>
        <v>568700.52628182922</v>
      </c>
      <c r="P528" s="680">
        <f t="shared" si="269"/>
        <v>1.5707945684001814</v>
      </c>
      <c r="Q528" s="689">
        <f t="shared" si="259"/>
        <v>12.740284644868805</v>
      </c>
      <c r="R528" s="690">
        <f t="shared" si="260"/>
        <v>1.4922243249874785</v>
      </c>
      <c r="S528" s="677">
        <f t="shared" si="270"/>
        <v>1.0492005447101975</v>
      </c>
      <c r="T528" s="680">
        <f t="shared" si="271"/>
        <v>0.30745574253049074</v>
      </c>
      <c r="U528" s="681">
        <f t="shared" si="283"/>
        <v>0.47964268561936219</v>
      </c>
      <c r="V528" s="682">
        <f t="shared" si="284"/>
        <v>-1.5100582750775653</v>
      </c>
      <c r="W528" s="683">
        <f t="shared" si="272"/>
        <v>-22.670204449282675</v>
      </c>
      <c r="X528" s="684">
        <f t="shared" si="273"/>
        <v>-223.37205067501182</v>
      </c>
      <c r="Y528" s="687">
        <f t="shared" si="274"/>
        <v>-43.37205067501182</v>
      </c>
      <c r="AA528" s="170">
        <f t="shared" si="275"/>
        <v>75426.25</v>
      </c>
      <c r="AB528" s="170">
        <f t="shared" si="276"/>
        <v>5689119189.0625</v>
      </c>
      <c r="AD528" s="686">
        <f t="shared" si="277"/>
        <v>11.694189974480945</v>
      </c>
      <c r="AE528" s="687">
        <f t="shared" si="278"/>
        <v>-22.117659802194545</v>
      </c>
      <c r="AG528" s="686">
        <f t="shared" si="279"/>
        <v>20.360224339602112</v>
      </c>
      <c r="AH528" s="687">
        <f t="shared" si="280"/>
        <v>-28.214458713591146</v>
      </c>
      <c r="AJ528" s="170">
        <f t="shared" si="281"/>
        <v>0</v>
      </c>
      <c r="AK528" s="170">
        <f t="shared" si="261"/>
        <v>0</v>
      </c>
      <c r="AM528" s="170" t="str">
        <f t="shared" si="285"/>
        <v>1.98560736907675+0.169050625617306i</v>
      </c>
      <c r="AN528" s="170" t="str">
        <f t="shared" si="286"/>
        <v>2.97172630210339i</v>
      </c>
      <c r="AO528" s="170" t="str">
        <f t="shared" si="287"/>
        <v>0.056886337580164-0.668166300399648i</v>
      </c>
      <c r="AP528" s="170" t="str">
        <f t="shared" si="288"/>
        <v>-0.164267894846125-0.028175104269551i</v>
      </c>
      <c r="AQ528" s="170" t="str">
        <f t="shared" si="289"/>
        <v>1.16426789484612+0.028175104269551i</v>
      </c>
      <c r="AR528" s="170" t="str">
        <f t="shared" si="290"/>
        <v>0.715052315089562-0.017304156221275i</v>
      </c>
    </row>
    <row r="529" spans="7:44">
      <c r="G529" s="688">
        <v>75858</v>
      </c>
      <c r="H529" s="676">
        <f t="shared" si="282"/>
        <v>75.858000000000004</v>
      </c>
      <c r="I529" s="677">
        <f t="shared" si="262"/>
        <v>25.960518450174106</v>
      </c>
      <c r="J529" s="678">
        <f t="shared" si="263"/>
        <v>1.5322667625260236</v>
      </c>
      <c r="K529" s="678">
        <f t="shared" si="264"/>
        <v>1.0045332455113833</v>
      </c>
      <c r="L529" s="679">
        <f t="shared" si="265"/>
        <v>9.5038794557263634E-2</v>
      </c>
      <c r="M529" s="678">
        <f t="shared" si="266"/>
        <v>1.1859159439321658</v>
      </c>
      <c r="N529" s="679">
        <f t="shared" si="267"/>
        <v>-0.56753225773740668</v>
      </c>
      <c r="O529" s="677">
        <f t="shared" si="268"/>
        <v>571955.84458575433</v>
      </c>
      <c r="P529" s="680">
        <f t="shared" si="269"/>
        <v>1.570794578408182</v>
      </c>
      <c r="Q529" s="689">
        <f t="shared" si="259"/>
        <v>12.812763724448597</v>
      </c>
      <c r="R529" s="690">
        <f t="shared" si="260"/>
        <v>1.4926696992064608</v>
      </c>
      <c r="S529" s="677">
        <f t="shared" si="270"/>
        <v>1.0497520285341635</v>
      </c>
      <c r="T529" s="680">
        <f t="shared" si="271"/>
        <v>0.30910596305373017</v>
      </c>
      <c r="U529" s="681">
        <f t="shared" si="283"/>
        <v>0.47708067281304323</v>
      </c>
      <c r="V529" s="682">
        <f t="shared" si="284"/>
        <v>-1.5161528824670636</v>
      </c>
      <c r="W529" s="683">
        <f t="shared" si="272"/>
        <v>-22.756384044718931</v>
      </c>
      <c r="X529" s="684">
        <f t="shared" si="273"/>
        <v>-223.92015434501434</v>
      </c>
      <c r="Y529" s="687">
        <f t="shared" si="274"/>
        <v>-43.920154345014339</v>
      </c>
      <c r="AA529" s="170">
        <f t="shared" si="275"/>
        <v>75858</v>
      </c>
      <c r="AB529" s="170">
        <f t="shared" si="276"/>
        <v>5754436164</v>
      </c>
      <c r="AD529" s="686">
        <f t="shared" si="277"/>
        <v>11.689321957704612</v>
      </c>
      <c r="AE529" s="687">
        <f t="shared" si="278"/>
        <v>-22.186692983885507</v>
      </c>
      <c r="AG529" s="686">
        <f t="shared" si="279"/>
        <v>20.371952879531442</v>
      </c>
      <c r="AH529" s="687">
        <f t="shared" si="280"/>
        <v>-27.995138638689692</v>
      </c>
      <c r="AJ529" s="170">
        <f t="shared" si="281"/>
        <v>0</v>
      </c>
      <c r="AK529" s="170">
        <f t="shared" si="261"/>
        <v>0</v>
      </c>
      <c r="AM529" s="170" t="str">
        <f t="shared" si="285"/>
        <v>1.98834028254984+0.152261242242726i</v>
      </c>
      <c r="AN529" s="170" t="str">
        <f t="shared" si="286"/>
        <v>2.9887368631605i</v>
      </c>
      <c r="AO529" s="170" t="str">
        <f t="shared" si="287"/>
        <v>0.0509450143033717-0.665277799145968i</v>
      </c>
      <c r="AP529" s="170" t="str">
        <f t="shared" si="288"/>
        <v>-0.164723380424974-0.025376873707121i</v>
      </c>
      <c r="AQ529" s="170" t="str">
        <f t="shared" si="289"/>
        <v>1.16472338042497+0.025376873707121i</v>
      </c>
      <c r="AR529" s="170" t="str">
        <f t="shared" si="290"/>
        <v>0.714851926325308-0.0155751205466748i</v>
      </c>
    </row>
    <row r="530" spans="7:44">
      <c r="G530" s="688">
        <v>76299.75</v>
      </c>
      <c r="H530" s="676">
        <f t="shared" si="282"/>
        <v>76.299750000000003</v>
      </c>
      <c r="I530" s="677">
        <f t="shared" si="262"/>
        <v>26.111472759379513</v>
      </c>
      <c r="J530" s="678">
        <f t="shared" si="263"/>
        <v>1.5324896170038051</v>
      </c>
      <c r="K530" s="678">
        <f t="shared" si="264"/>
        <v>1.0045860760006324</v>
      </c>
      <c r="L530" s="679">
        <f t="shared" si="265"/>
        <v>9.5588886108500484E-2</v>
      </c>
      <c r="M530" s="678">
        <f t="shared" si="266"/>
        <v>1.1879156586620581</v>
      </c>
      <c r="N530" s="679">
        <f t="shared" si="267"/>
        <v>-0.57016744331154001</v>
      </c>
      <c r="O530" s="677">
        <f t="shared" si="268"/>
        <v>575286.56111327931</v>
      </c>
      <c r="P530" s="680">
        <f t="shared" si="269"/>
        <v>1.5707945885307555</v>
      </c>
      <c r="Q530" s="689">
        <f t="shared" si="259"/>
        <v>12.886924132550794</v>
      </c>
      <c r="R530" s="690">
        <f t="shared" si="260"/>
        <v>1.4931202037189362</v>
      </c>
      <c r="S530" s="677">
        <f t="shared" si="270"/>
        <v>1.0503192412304103</v>
      </c>
      <c r="T530" s="680">
        <f t="shared" si="271"/>
        <v>0.31079260691712179</v>
      </c>
      <c r="U530" s="681">
        <f t="shared" si="283"/>
        <v>0.47447100262462222</v>
      </c>
      <c r="V530" s="682">
        <f t="shared" si="284"/>
        <v>-1.5223846425605509</v>
      </c>
      <c r="W530" s="683">
        <f t="shared" si="272"/>
        <v>-22.8442937743458</v>
      </c>
      <c r="X530" s="684">
        <f t="shared" si="273"/>
        <v>-224.48026975404989</v>
      </c>
      <c r="Y530" s="687">
        <f t="shared" si="274"/>
        <v>-44.480269754049885</v>
      </c>
      <c r="AA530" s="170">
        <f t="shared" si="275"/>
        <v>76299.75</v>
      </c>
      <c r="AB530" s="170">
        <f t="shared" si="276"/>
        <v>5821651850.0625</v>
      </c>
      <c r="AD530" s="686">
        <f t="shared" si="277"/>
        <v>11.684324528188906</v>
      </c>
      <c r="AE530" s="687">
        <f t="shared" si="278"/>
        <v>-22.25751913164471</v>
      </c>
      <c r="AG530" s="686">
        <f t="shared" si="279"/>
        <v>20.384326477873191</v>
      </c>
      <c r="AH530" s="687">
        <f t="shared" si="280"/>
        <v>-27.77032079456032</v>
      </c>
      <c r="AJ530" s="170">
        <f t="shared" si="281"/>
        <v>0</v>
      </c>
      <c r="AK530" s="170">
        <f t="shared" si="261"/>
        <v>0</v>
      </c>
      <c r="AM530" s="170" t="str">
        <f t="shared" si="285"/>
        <v>1.99084049801089+0.135037430001948i</v>
      </c>
      <c r="AN530" s="170" t="str">
        <f t="shared" si="286"/>
        <v>3.00614141520907i</v>
      </c>
      <c r="AO530" s="170" t="str">
        <f t="shared" si="287"/>
        <v>0.0449205181495284-0.66225776603142i</v>
      </c>
      <c r="AP530" s="170" t="str">
        <f t="shared" si="288"/>
        <v>-0.165140083001815-0.022506238333658i</v>
      </c>
      <c r="AQ530" s="170" t="str">
        <f t="shared" si="289"/>
        <v>1.16514008300182+0.022506238333658i</v>
      </c>
      <c r="AR530" s="170" t="str">
        <f t="shared" si="290"/>
        <v>0.714668835438681-0.0138047839694788i</v>
      </c>
    </row>
    <row r="531" spans="7:44">
      <c r="G531" s="688">
        <v>76741.5</v>
      </c>
      <c r="H531" s="676">
        <f t="shared" si="282"/>
        <v>76.741500000000002</v>
      </c>
      <c r="I531" s="677">
        <f t="shared" si="262"/>
        <v>26.26242835048032</v>
      </c>
      <c r="J531" s="678">
        <f t="shared" si="263"/>
        <v>1.5327099095717218</v>
      </c>
      <c r="K531" s="678">
        <f t="shared" si="264"/>
        <v>1.0046392104463209</v>
      </c>
      <c r="L531" s="679">
        <f t="shared" si="265"/>
        <v>9.6138919638488793E-2</v>
      </c>
      <c r="M531" s="678">
        <f t="shared" si="266"/>
        <v>1.1899235947601075</v>
      </c>
      <c r="N531" s="679">
        <f t="shared" si="267"/>
        <v>-0.57279375358643825</v>
      </c>
      <c r="O531" s="677">
        <f t="shared" si="268"/>
        <v>578617.2776408043</v>
      </c>
      <c r="P531" s="680">
        <f t="shared" si="269"/>
        <v>1.5707945985367913</v>
      </c>
      <c r="Q531" s="689">
        <f t="shared" si="259"/>
        <v>12.961087126179448</v>
      </c>
      <c r="R531" s="690">
        <f t="shared" si="260"/>
        <v>1.4935655527714122</v>
      </c>
      <c r="S531" s="677">
        <f t="shared" si="270"/>
        <v>1.0508894386103418</v>
      </c>
      <c r="T531" s="680">
        <f t="shared" si="271"/>
        <v>0.31247742527207184</v>
      </c>
      <c r="U531" s="681">
        <f t="shared" si="283"/>
        <v>0.47187298526932631</v>
      </c>
      <c r="V531" s="682">
        <f t="shared" si="284"/>
        <v>-1.5286128087815611</v>
      </c>
      <c r="W531" s="683">
        <f t="shared" si="272"/>
        <v>-22.931940789830961</v>
      </c>
      <c r="X531" s="684">
        <f t="shared" si="273"/>
        <v>-225.03971805541462</v>
      </c>
      <c r="Y531" s="687">
        <f t="shared" si="274"/>
        <v>-45.039718055414625</v>
      </c>
      <c r="AA531" s="170">
        <f t="shared" si="275"/>
        <v>76741.5</v>
      </c>
      <c r="AB531" s="170">
        <f t="shared" si="276"/>
        <v>5889257822.25</v>
      </c>
      <c r="AD531" s="686">
        <f t="shared" si="277"/>
        <v>11.679310201243648</v>
      </c>
      <c r="AE531" s="687">
        <f t="shared" si="278"/>
        <v>-22.328536064897261</v>
      </c>
      <c r="AG531" s="686">
        <f t="shared" si="279"/>
        <v>20.39707622534694</v>
      </c>
      <c r="AH531" s="687">
        <f t="shared" si="280"/>
        <v>-27.545056884717315</v>
      </c>
      <c r="AJ531" s="170">
        <f t="shared" si="281"/>
        <v>0</v>
      </c>
      <c r="AK531" s="170">
        <f t="shared" si="261"/>
        <v>0</v>
      </c>
      <c r="AM531" s="170" t="str">
        <f t="shared" si="285"/>
        <v>1.99304057719842+0.117772713467173i</v>
      </c>
      <c r="AN531" s="170" t="str">
        <f t="shared" si="286"/>
        <v>3.02354596725765i</v>
      </c>
      <c r="AO531" s="170" t="str">
        <f t="shared" si="287"/>
        <v>0.0389518514825136-0.65917323526128i</v>
      </c>
      <c r="AP531" s="170" t="str">
        <f t="shared" si="288"/>
        <v>-0.165506762866404-0.0196287855778622i</v>
      </c>
      <c r="AQ531" s="170" t="str">
        <f t="shared" si="289"/>
        <v>1.1655067628664+0.0196287855778622i</v>
      </c>
      <c r="AR531" s="170" t="str">
        <f t="shared" si="290"/>
        <v>0.714507909315711-0.0120333257536424i</v>
      </c>
    </row>
    <row r="532" spans="7:44">
      <c r="G532" s="688">
        <v>77183.25</v>
      </c>
      <c r="H532" s="676">
        <f t="shared" si="282"/>
        <v>77.183250000000001</v>
      </c>
      <c r="I532" s="677">
        <f t="shared" si="262"/>
        <v>26.413385201497967</v>
      </c>
      <c r="J532" s="678">
        <f t="shared" si="263"/>
        <v>1.5329276841334192</v>
      </c>
      <c r="K532" s="678">
        <f t="shared" si="264"/>
        <v>1.0046926488002237</v>
      </c>
      <c r="L532" s="679">
        <f t="shared" si="265"/>
        <v>9.6688894823649799E-2</v>
      </c>
      <c r="M532" s="678">
        <f t="shared" si="266"/>
        <v>1.1919397106772789</v>
      </c>
      <c r="N532" s="679">
        <f t="shared" si="267"/>
        <v>-0.57541119727753598</v>
      </c>
      <c r="O532" s="677">
        <f t="shared" si="268"/>
        <v>581947.99416832929</v>
      </c>
      <c r="P532" s="680">
        <f t="shared" si="269"/>
        <v>1.57079460842829</v>
      </c>
      <c r="Q532" s="689">
        <f t="shared" si="259"/>
        <v>13.035252661204142</v>
      </c>
      <c r="R532" s="690">
        <f t="shared" si="260"/>
        <v>1.4940058341834137</v>
      </c>
      <c r="S532" s="677">
        <f t="shared" si="270"/>
        <v>1.0514626158182674</v>
      </c>
      <c r="T532" s="680">
        <f t="shared" si="271"/>
        <v>0.31416041153115565</v>
      </c>
      <c r="U532" s="681">
        <f t="shared" si="283"/>
        <v>0.46928645484296821</v>
      </c>
      <c r="V532" s="682">
        <f t="shared" si="284"/>
        <v>-1.5348378439938801</v>
      </c>
      <c r="W532" s="683">
        <f t="shared" si="272"/>
        <v>-23.019331392808073</v>
      </c>
      <c r="X532" s="684">
        <f t="shared" si="273"/>
        <v>-225.59852339363576</v>
      </c>
      <c r="Y532" s="687">
        <f t="shared" si="274"/>
        <v>-45.598523393635759</v>
      </c>
      <c r="AA532" s="170">
        <f t="shared" si="275"/>
        <v>77183.25</v>
      </c>
      <c r="AB532" s="170">
        <f t="shared" si="276"/>
        <v>5957254080.5625</v>
      </c>
      <c r="AD532" s="686">
        <f t="shared" si="277"/>
        <v>11.674278935382045</v>
      </c>
      <c r="AE532" s="687">
        <f t="shared" si="278"/>
        <v>-22.399738374638012</v>
      </c>
      <c r="AG532" s="686">
        <f t="shared" si="279"/>
        <v>20.410200707158968</v>
      </c>
      <c r="AH532" s="687">
        <f t="shared" si="280"/>
        <v>-27.319323422410136</v>
      </c>
      <c r="AJ532" s="170">
        <f t="shared" si="281"/>
        <v>0</v>
      </c>
      <c r="AK532" s="170">
        <f t="shared" si="261"/>
        <v>0</v>
      </c>
      <c r="AM532" s="170" t="str">
        <f t="shared" si="285"/>
        <v>1.99493985368473+0.100472322307256i</v>
      </c>
      <c r="AN532" s="170" t="str">
        <f t="shared" si="286"/>
        <v>3.04095051930623i</v>
      </c>
      <c r="AO532" s="170" t="str">
        <f t="shared" si="287"/>
        <v>0.0330397754482957-0.656025095120542i</v>
      </c>
      <c r="AP532" s="170" t="str">
        <f t="shared" si="288"/>
        <v>-0.165823308947455-0.0167453870512093i</v>
      </c>
      <c r="AQ532" s="170" t="str">
        <f t="shared" si="289"/>
        <v>1.16582330894746+0.0167453870512093i</v>
      </c>
      <c r="AR532" s="170" t="str">
        <f t="shared" si="290"/>
        <v>0.714369125230152-0.0102608923733157i</v>
      </c>
    </row>
    <row r="533" spans="7:44">
      <c r="G533" s="688">
        <v>77625</v>
      </c>
      <c r="H533" s="676">
        <f t="shared" si="282"/>
        <v>77.625</v>
      </c>
      <c r="I533" s="677">
        <f t="shared" si="262"/>
        <v>26.564343290953325</v>
      </c>
      <c r="J533" s="678">
        <f t="shared" si="263"/>
        <v>1.5331429835955388</v>
      </c>
      <c r="K533" s="678">
        <f t="shared" si="264"/>
        <v>1.0047463910138497</v>
      </c>
      <c r="L533" s="679">
        <f t="shared" si="265"/>
        <v>9.72388113406146E-2</v>
      </c>
      <c r="M533" s="678">
        <f t="shared" si="266"/>
        <v>1.1939639649764846</v>
      </c>
      <c r="N533" s="679">
        <f t="shared" si="267"/>
        <v>-0.57801978352747851</v>
      </c>
      <c r="O533" s="677">
        <f t="shared" si="268"/>
        <v>585278.71069585439</v>
      </c>
      <c r="P533" s="680">
        <f t="shared" si="269"/>
        <v>1.5707946182072072</v>
      </c>
      <c r="Q533" s="689">
        <f t="shared" si="259"/>
        <v>13.109420694491622</v>
      </c>
      <c r="R533" s="690">
        <f t="shared" si="260"/>
        <v>1.4944411337950307</v>
      </c>
      <c r="S533" s="677">
        <f t="shared" si="270"/>
        <v>1.0520387679837317</v>
      </c>
      <c r="T533" s="680">
        <f t="shared" si="271"/>
        <v>0.31584155916278123</v>
      </c>
      <c r="U533" s="681">
        <f t="shared" si="283"/>
        <v>0.46671124453567814</v>
      </c>
      <c r="V533" s="682">
        <f t="shared" si="284"/>
        <v>-1.5410602106187494</v>
      </c>
      <c r="W533" s="683">
        <f t="shared" si="272"/>
        <v>-23.106471892038201</v>
      </c>
      <c r="X533" s="684">
        <f t="shared" si="273"/>
        <v>-226.15670997183534</v>
      </c>
      <c r="Y533" s="687">
        <f t="shared" si="274"/>
        <v>-46.15670997183534</v>
      </c>
      <c r="AA533" s="170">
        <f t="shared" si="275"/>
        <v>77625</v>
      </c>
      <c r="AB533" s="170">
        <f t="shared" si="276"/>
        <v>6025640625</v>
      </c>
      <c r="AD533" s="686">
        <f t="shared" si="277"/>
        <v>11.66923069263504</v>
      </c>
      <c r="AE533" s="687">
        <f t="shared" si="278"/>
        <v>-22.47112076847149</v>
      </c>
      <c r="AG533" s="686">
        <f t="shared" si="279"/>
        <v>20.423698638465119</v>
      </c>
      <c r="AH533" s="687">
        <f t="shared" si="280"/>
        <v>-27.093096913585399</v>
      </c>
      <c r="AJ533" s="170">
        <f t="shared" si="281"/>
        <v>0</v>
      </c>
      <c r="AK533" s="170">
        <f t="shared" si="261"/>
        <v>0</v>
      </c>
      <c r="AM533" s="170" t="str">
        <f t="shared" si="285"/>
        <v>1.99653775215847+0.0831414969972713i</v>
      </c>
      <c r="AN533" s="170" t="str">
        <f t="shared" si="286"/>
        <v>3.05835507135481i</v>
      </c>
      <c r="AO533" s="170" t="str">
        <f t="shared" si="287"/>
        <v>0.0271850374000036-0.652814243466515i</v>
      </c>
      <c r="AP533" s="170" t="str">
        <f t="shared" si="288"/>
        <v>-0.166089625359745-0.0138569161662119i</v>
      </c>
      <c r="AQ533" s="170" t="str">
        <f t="shared" si="289"/>
        <v>1.16608962535975+0.0138569161662119i</v>
      </c>
      <c r="AR533" s="170" t="str">
        <f t="shared" si="290"/>
        <v>0.714252463548788-0.00848762933282462i</v>
      </c>
    </row>
    <row r="534" spans="7:44">
      <c r="G534" s="688">
        <v>78077</v>
      </c>
      <c r="H534" s="676">
        <f t="shared" si="282"/>
        <v>78.076999999999998</v>
      </c>
      <c r="I534" s="677">
        <f t="shared" si="262"/>
        <v>26.718805346481677</v>
      </c>
      <c r="J534" s="678">
        <f t="shared" si="263"/>
        <v>1.5333607605151209</v>
      </c>
      <c r="K534" s="678">
        <f t="shared" si="264"/>
        <v>1.0048016946835774</v>
      </c>
      <c r="L534" s="679">
        <f t="shared" si="265"/>
        <v>9.7801426600576086E-2</v>
      </c>
      <c r="M534" s="678">
        <f t="shared" si="266"/>
        <v>1.1960435691151932</v>
      </c>
      <c r="N534" s="679">
        <f t="shared" si="267"/>
        <v>-0.58067973911654103</v>
      </c>
      <c r="O534" s="677">
        <f t="shared" si="268"/>
        <v>588686.7104025695</v>
      </c>
      <c r="P534" s="680">
        <f t="shared" si="269"/>
        <v>1.5707946280984892</v>
      </c>
      <c r="Q534" s="689">
        <f t="shared" si="259"/>
        <v>13.185312203117673</v>
      </c>
      <c r="R534" s="690">
        <f t="shared" si="260"/>
        <v>1.4948814647251003</v>
      </c>
      <c r="S534" s="677">
        <f t="shared" si="270"/>
        <v>1.0526313629108495</v>
      </c>
      <c r="T534" s="680">
        <f t="shared" si="271"/>
        <v>0.31755980487760271</v>
      </c>
      <c r="U534" s="681">
        <f t="shared" si="283"/>
        <v>0.46408782343636734</v>
      </c>
      <c r="V534" s="682">
        <f t="shared" si="284"/>
        <v>-1.5474246756301093</v>
      </c>
      <c r="W534" s="683">
        <f t="shared" si="272"/>
        <v>-23.19538204140223</v>
      </c>
      <c r="X534" s="684">
        <f t="shared" si="273"/>
        <v>-226.72723309439675</v>
      </c>
      <c r="Y534" s="687">
        <f t="shared" si="274"/>
        <v>-46.727233094396752</v>
      </c>
      <c r="AA534" s="170">
        <f t="shared" si="275"/>
        <v>78077</v>
      </c>
      <c r="AB534" s="170">
        <f t="shared" si="276"/>
        <v>6096017929</v>
      </c>
      <c r="AD534" s="686">
        <f t="shared" si="277"/>
        <v>11.664047706288613</v>
      </c>
      <c r="AE534" s="687">
        <f t="shared" si="278"/>
        <v>-22.54434045902752</v>
      </c>
      <c r="AG534" s="686">
        <f t="shared" si="279"/>
        <v>20.437895108009478</v>
      </c>
      <c r="AH534" s="687">
        <f t="shared" si="280"/>
        <v>-26.861086376738168</v>
      </c>
      <c r="AJ534" s="170">
        <f t="shared" si="281"/>
        <v>0</v>
      </c>
      <c r="AK534" s="170">
        <f t="shared" si="261"/>
        <v>0</v>
      </c>
      <c r="AM534" s="170" t="str">
        <f t="shared" si="285"/>
        <v>1.99786027409277+0.0653825159158924i</v>
      </c>
      <c r="AN534" s="170" t="str">
        <f t="shared" si="286"/>
        <v>3.07616346416966i</v>
      </c>
      <c r="AO534" s="170" t="str">
        <f t="shared" si="287"/>
        <v>0.021254564875193-0.649464925178171i</v>
      </c>
      <c r="AP534" s="170" t="str">
        <f t="shared" si="288"/>
        <v>-0.166310045682129-0.0108970859859821i</v>
      </c>
      <c r="AQ534" s="170" t="str">
        <f t="shared" si="289"/>
        <v>1.16631004568213+0.0108970859859821i</v>
      </c>
      <c r="AR534" s="170" t="str">
        <f t="shared" si="290"/>
        <v>0.71415597604981-0.00667251311709849i</v>
      </c>
    </row>
    <row r="535" spans="7:44">
      <c r="G535" s="688">
        <v>78529</v>
      </c>
      <c r="H535" s="676">
        <f t="shared" si="282"/>
        <v>78.528999999999996</v>
      </c>
      <c r="I535" s="677">
        <f t="shared" si="262"/>
        <v>26.87326865463001</v>
      </c>
      <c r="J535" s="678">
        <f t="shared" si="263"/>
        <v>1.5335760339500695</v>
      </c>
      <c r="K535" s="678">
        <f t="shared" si="264"/>
        <v>1.0048573163740766</v>
      </c>
      <c r="L535" s="679">
        <f t="shared" si="265"/>
        <v>9.8363979753902167E-2</v>
      </c>
      <c r="M535" s="678">
        <f t="shared" si="266"/>
        <v>1.1981316062857139</v>
      </c>
      <c r="N535" s="679">
        <f t="shared" si="267"/>
        <v>-0.58333044216043695</v>
      </c>
      <c r="O535" s="677">
        <f t="shared" si="268"/>
        <v>592094.71010928461</v>
      </c>
      <c r="P535" s="680">
        <f t="shared" si="269"/>
        <v>1.5707946378759063</v>
      </c>
      <c r="Q535" s="689">
        <f t="shared" ref="Q535:Q598" si="291">SQRT(1+(G535/Zero2)^2)</f>
        <v>13.261206239000144</v>
      </c>
      <c r="R535" s="690">
        <f t="shared" ref="R535:R598" si="292">ATAN(G535/Zero2)</f>
        <v>1.495316755700808</v>
      </c>
      <c r="S535" s="677">
        <f t="shared" si="270"/>
        <v>1.0532270620909863</v>
      </c>
      <c r="T535" s="680">
        <f t="shared" si="271"/>
        <v>0.31927611199500561</v>
      </c>
      <c r="U535" s="681">
        <f t="shared" si="283"/>
        <v>0.46147589777668779</v>
      </c>
      <c r="V535" s="682">
        <f t="shared" si="284"/>
        <v>-1.5537873251305416</v>
      </c>
      <c r="W535" s="683">
        <f t="shared" si="272"/>
        <v>-23.284043741084929</v>
      </c>
      <c r="X535" s="684">
        <f t="shared" si="273"/>
        <v>-227.29715987153998</v>
      </c>
      <c r="Y535" s="687">
        <f t="shared" si="274"/>
        <v>-47.297159871539975</v>
      </c>
      <c r="AA535" s="170">
        <f t="shared" si="275"/>
        <v>78529</v>
      </c>
      <c r="AB535" s="170">
        <f t="shared" si="276"/>
        <v>6166803841</v>
      </c>
      <c r="AD535" s="686">
        <f t="shared" si="277"/>
        <v>11.65884687643716</v>
      </c>
      <c r="AE535" s="687">
        <f t="shared" si="278"/>
        <v>-22.617737837723393</v>
      </c>
      <c r="AG535" s="686">
        <f t="shared" si="279"/>
        <v>20.452480251548003</v>
      </c>
      <c r="AH535" s="687">
        <f t="shared" si="280"/>
        <v>-26.628509848560814</v>
      </c>
      <c r="AJ535" s="170">
        <f t="shared" si="281"/>
        <v>0</v>
      </c>
      <c r="AK535" s="170">
        <f t="shared" ref="AK535:AK598" si="293">IF(AJ535&gt;0,Y535,0)</f>
        <v>0</v>
      </c>
      <c r="AM535" s="170" t="str">
        <f t="shared" si="285"/>
        <v>1.99886634412606+0.0476028000463039i</v>
      </c>
      <c r="AN535" s="170" t="str">
        <f t="shared" si="286"/>
        <v>3.0939718569845i</v>
      </c>
      <c r="AO535" s="170" t="str">
        <f t="shared" si="287"/>
        <v>0.0153856603248807-0.64605188299102i</v>
      </c>
      <c r="AP535" s="170" t="str">
        <f t="shared" si="288"/>
        <v>-0.166477724021009-0.00793380000771732i</v>
      </c>
      <c r="AQ535" s="170" t="str">
        <f t="shared" si="289"/>
        <v>1.16647772402101+0.00793380000771732i</v>
      </c>
      <c r="AR535" s="170" t="str">
        <f t="shared" si="290"/>
        <v>0.714082617865157-0.00485683400759683i</v>
      </c>
    </row>
    <row r="536" spans="7:44">
      <c r="G536" s="688">
        <v>78981</v>
      </c>
      <c r="H536" s="676">
        <f t="shared" si="282"/>
        <v>78.980999999999995</v>
      </c>
      <c r="I536" s="677">
        <f t="shared" si="262"/>
        <v>27.027733193922185</v>
      </c>
      <c r="J536" s="678">
        <f t="shared" si="263"/>
        <v>1.5337888468027929</v>
      </c>
      <c r="K536" s="678">
        <f t="shared" si="264"/>
        <v>1.0049132560325404</v>
      </c>
      <c r="L536" s="679">
        <f t="shared" si="265"/>
        <v>9.8926470454877374E-2</v>
      </c>
      <c r="M536" s="678">
        <f t="shared" si="266"/>
        <v>1.2002280324752015</v>
      </c>
      <c r="N536" s="679">
        <f t="shared" si="267"/>
        <v>-0.58597190379744402</v>
      </c>
      <c r="O536" s="677">
        <f t="shared" si="268"/>
        <v>595502.70981599984</v>
      </c>
      <c r="P536" s="680">
        <f t="shared" si="269"/>
        <v>1.570794647541413</v>
      </c>
      <c r="Q536" s="689">
        <f t="shared" si="291"/>
        <v>13.337102758995403</v>
      </c>
      <c r="R536" s="690">
        <f t="shared" si="292"/>
        <v>1.4957470925973224</v>
      </c>
      <c r="S536" s="677">
        <f t="shared" si="270"/>
        <v>1.0538258602598922</v>
      </c>
      <c r="T536" s="680">
        <f t="shared" si="271"/>
        <v>0.32099047369961431</v>
      </c>
      <c r="U536" s="681">
        <f t="shared" si="283"/>
        <v>0.4588752861236039</v>
      </c>
      <c r="V536" s="682">
        <f t="shared" si="284"/>
        <v>-1.5601486534702687</v>
      </c>
      <c r="W536" s="683">
        <f t="shared" si="272"/>
        <v>-23.3724637864422</v>
      </c>
      <c r="X536" s="684">
        <f t="shared" si="273"/>
        <v>-227.86651643289269</v>
      </c>
      <c r="Y536" s="687">
        <f t="shared" si="274"/>
        <v>-47.866516432892695</v>
      </c>
      <c r="AA536" s="170">
        <f t="shared" si="275"/>
        <v>78981</v>
      </c>
      <c r="AB536" s="170">
        <f t="shared" si="276"/>
        <v>6237998361</v>
      </c>
      <c r="AD536" s="686">
        <f t="shared" si="277"/>
        <v>11.653628173097758</v>
      </c>
      <c r="AE536" s="687">
        <f t="shared" si="278"/>
        <v>-22.691307593894091</v>
      </c>
      <c r="AG536" s="686">
        <f t="shared" si="279"/>
        <v>20.467453112267858</v>
      </c>
      <c r="AH536" s="687">
        <f t="shared" si="280"/>
        <v>-26.395342120983241</v>
      </c>
      <c r="AJ536" s="170">
        <f t="shared" si="281"/>
        <v>0</v>
      </c>
      <c r="AK536" s="170">
        <f t="shared" si="293"/>
        <v>0</v>
      </c>
      <c r="AM536" s="170" t="str">
        <f t="shared" si="285"/>
        <v>1.99955564320284+0.0298079878781959i</v>
      </c>
      <c r="AN536" s="170" t="str">
        <f t="shared" si="286"/>
        <v>3.11178024979935i</v>
      </c>
      <c r="AO536" s="170" t="str">
        <f t="shared" si="287"/>
        <v>0.00957907868980078-0.642576108429177i</v>
      </c>
      <c r="AP536" s="170" t="str">
        <f t="shared" si="288"/>
        <v>-0.166592607200474-0.00496799797969932i</v>
      </c>
      <c r="AQ536" s="170" t="str">
        <f t="shared" si="289"/>
        <v>1.16659260720047+0.00496799797969932i</v>
      </c>
      <c r="AR536" s="170" t="str">
        <f t="shared" si="290"/>
        <v>0.714032378090103-0.00304074566382192i</v>
      </c>
    </row>
    <row r="537" spans="7:44">
      <c r="G537" s="688">
        <v>79433</v>
      </c>
      <c r="H537" s="676">
        <f t="shared" si="282"/>
        <v>79.433000000000007</v>
      </c>
      <c r="I537" s="677">
        <f t="shared" si="262"/>
        <v>27.182198943370043</v>
      </c>
      <c r="J537" s="678">
        <f t="shared" si="263"/>
        <v>1.5339992410014129</v>
      </c>
      <c r="K537" s="678">
        <f t="shared" si="264"/>
        <v>1.0049695136058716</v>
      </c>
      <c r="L537" s="679">
        <f t="shared" si="265"/>
        <v>9.9488898358021036E-2</v>
      </c>
      <c r="M537" s="678">
        <f t="shared" si="266"/>
        <v>1.2023328038015659</v>
      </c>
      <c r="N537" s="679">
        <f t="shared" si="267"/>
        <v>-0.5886041356041517</v>
      </c>
      <c r="O537" s="677">
        <f t="shared" si="268"/>
        <v>598910.70952271495</v>
      </c>
      <c r="P537" s="680">
        <f t="shared" si="269"/>
        <v>1.5707946570969198</v>
      </c>
      <c r="Q537" s="689">
        <f t="shared" si="291"/>
        <v>13.413001720934922</v>
      </c>
      <c r="R537" s="690">
        <f t="shared" si="292"/>
        <v>1.4961725593535118</v>
      </c>
      <c r="S537" s="677">
        <f t="shared" si="270"/>
        <v>1.0544277521379202</v>
      </c>
      <c r="T537" s="680">
        <f t="shared" si="271"/>
        <v>0.32270288323723512</v>
      </c>
      <c r="U537" s="681">
        <f t="shared" si="283"/>
        <v>0.45628580618150566</v>
      </c>
      <c r="V537" s="682">
        <f t="shared" si="284"/>
        <v>-1.5665091548030423</v>
      </c>
      <c r="W537" s="683">
        <f t="shared" si="272"/>
        <v>-23.460648990156862</v>
      </c>
      <c r="X537" s="684">
        <f t="shared" si="273"/>
        <v>-228.43532898054784</v>
      </c>
      <c r="Y537" s="687">
        <f t="shared" si="274"/>
        <v>-48.435328980547837</v>
      </c>
      <c r="AA537" s="170">
        <f t="shared" si="275"/>
        <v>79433</v>
      </c>
      <c r="AB537" s="170">
        <f t="shared" si="276"/>
        <v>6309601489</v>
      </c>
      <c r="AD537" s="686">
        <f t="shared" si="277"/>
        <v>11.648391569655594</v>
      </c>
      <c r="AE537" s="687">
        <f t="shared" si="278"/>
        <v>-22.765044531319411</v>
      </c>
      <c r="AG537" s="686">
        <f t="shared" si="279"/>
        <v>20.482812874148998</v>
      </c>
      <c r="AH537" s="687">
        <f t="shared" si="280"/>
        <v>-26.161557966469719</v>
      </c>
      <c r="AJ537" s="170">
        <f t="shared" si="281"/>
        <v>0</v>
      </c>
      <c r="AK537" s="170">
        <f t="shared" si="293"/>
        <v>0</v>
      </c>
      <c r="AM537" s="170" t="str">
        <f t="shared" si="285"/>
        <v>1.9999279527254+0.0120037226887834i</v>
      </c>
      <c r="AN537" s="170" t="str">
        <f t="shared" si="286"/>
        <v>3.1295886426142i</v>
      </c>
      <c r="AO537" s="170" t="str">
        <f t="shared" si="287"/>
        <v>0.00383555925700078-0.639038602547722i</v>
      </c>
      <c r="AP537" s="170" t="str">
        <f t="shared" si="288"/>
        <v>-0.166654658787567-0.00200062044813057i</v>
      </c>
      <c r="AQ537" s="170" t="str">
        <f t="shared" si="289"/>
        <v>1.16665465878757+0.00200062044813057i</v>
      </c>
      <c r="AR537" s="170" t="str">
        <f t="shared" si="290"/>
        <v>0.714005249251195-0.001224401317875i</v>
      </c>
    </row>
    <row r="538" spans="7:44">
      <c r="G538" s="688">
        <v>79895.5</v>
      </c>
      <c r="H538" s="676">
        <f t="shared" si="282"/>
        <v>79.895499999999998</v>
      </c>
      <c r="I538" s="677">
        <f t="shared" si="262"/>
        <v>27.340254177101446</v>
      </c>
      <c r="J538" s="678">
        <f t="shared" si="263"/>
        <v>1.5342120618341126</v>
      </c>
      <c r="K538" s="678">
        <f t="shared" si="264"/>
        <v>1.0050274070703509</v>
      </c>
      <c r="L538" s="679">
        <f t="shared" si="265"/>
        <v>0.10006432614801915</v>
      </c>
      <c r="M538" s="678">
        <f t="shared" si="266"/>
        <v>1.2044950616925227</v>
      </c>
      <c r="N538" s="679">
        <f t="shared" si="267"/>
        <v>-0.59128797298121683</v>
      </c>
      <c r="O538" s="677">
        <f t="shared" si="268"/>
        <v>602397.8773642102</v>
      </c>
      <c r="P538" s="680">
        <f t="shared" si="269"/>
        <v>1.5707946667624868</v>
      </c>
      <c r="Q538" s="689">
        <f t="shared" si="291"/>
        <v>13.490666307176998</v>
      </c>
      <c r="R538" s="690">
        <f t="shared" si="292"/>
        <v>1.4966029541697468</v>
      </c>
      <c r="S538" s="677">
        <f t="shared" si="270"/>
        <v>1.0550468228388019</v>
      </c>
      <c r="T538" s="680">
        <f t="shared" si="271"/>
        <v>0.32445304450139301</v>
      </c>
      <c r="U538" s="681">
        <f t="shared" si="283"/>
        <v>0.45364750395719039</v>
      </c>
      <c r="V538" s="682">
        <f t="shared" si="284"/>
        <v>-1.5730170704353583</v>
      </c>
      <c r="W538" s="683">
        <f t="shared" si="272"/>
        <v>-23.550646783142035</v>
      </c>
      <c r="X538" s="684">
        <f t="shared" si="273"/>
        <v>-229.01681938790639</v>
      </c>
      <c r="Y538" s="687">
        <f t="shared" si="274"/>
        <v>-49.016819387906395</v>
      </c>
      <c r="AA538" s="170">
        <f t="shared" si="275"/>
        <v>79895.5</v>
      </c>
      <c r="AB538" s="170">
        <f t="shared" si="276"/>
        <v>6383290920.25</v>
      </c>
      <c r="AD538" s="686">
        <f t="shared" si="277"/>
        <v>11.643014766441169</v>
      </c>
      <c r="AE538" s="687">
        <f t="shared" si="278"/>
        <v>-22.840662132610962</v>
      </c>
      <c r="AG538" s="686">
        <f t="shared" si="279"/>
        <v>20.498929228154495</v>
      </c>
      <c r="AH538" s="687">
        <f t="shared" si="280"/>
        <v>-25.921678573366712</v>
      </c>
      <c r="AJ538" s="170">
        <f t="shared" si="281"/>
        <v>0</v>
      </c>
      <c r="AK538" s="170">
        <f t="shared" si="293"/>
        <v>0</v>
      </c>
      <c r="AM538" s="170" t="str">
        <f t="shared" si="285"/>
        <v>1.99998066785023-0.00621803231067631i</v>
      </c>
      <c r="AN538" s="170" t="str">
        <f t="shared" si="286"/>
        <v>3.14781072597009i</v>
      </c>
      <c r="AO538" s="170" t="str">
        <f t="shared" si="287"/>
        <v>-0.00197535139561482-0.635356075049232i</v>
      </c>
      <c r="AP538" s="170" t="str">
        <f t="shared" si="288"/>
        <v>-0.166663444641704+0.00103633871844605i</v>
      </c>
      <c r="AQ538" s="170" t="str">
        <f t="shared" si="289"/>
        <v>1.1666634446417-0.00103633871844605i</v>
      </c>
      <c r="AR538" s="170" t="str">
        <f t="shared" si="290"/>
        <v>0.714001408491869+0.000634242298448279i</v>
      </c>
    </row>
    <row r="539" spans="7:44">
      <c r="G539" s="688">
        <v>80358</v>
      </c>
      <c r="H539" s="676">
        <f t="shared" si="282"/>
        <v>80.358000000000004</v>
      </c>
      <c r="I539" s="677">
        <f t="shared" si="262"/>
        <v>27.498310634911729</v>
      </c>
      <c r="J539" s="678">
        <f t="shared" si="263"/>
        <v>1.5344224361472676</v>
      </c>
      <c r="K539" s="678">
        <f t="shared" si="264"/>
        <v>1.0050856332782314</v>
      </c>
      <c r="L539" s="679">
        <f t="shared" si="265"/>
        <v>0.10063968745761835</v>
      </c>
      <c r="M539" s="678">
        <f t="shared" si="266"/>
        <v>1.2066659644112605</v>
      </c>
      <c r="N539" s="679">
        <f t="shared" si="267"/>
        <v>-0.59396217262379669</v>
      </c>
      <c r="O539" s="677">
        <f t="shared" si="268"/>
        <v>605885.04520570533</v>
      </c>
      <c r="P539" s="680">
        <f t="shared" si="269"/>
        <v>1.5707946763167937</v>
      </c>
      <c r="Q539" s="689">
        <f t="shared" si="291"/>
        <v>13.568333363817327</v>
      </c>
      <c r="R539" s="690">
        <f t="shared" si="292"/>
        <v>1.4970284217826062</v>
      </c>
      <c r="S539" s="677">
        <f t="shared" si="270"/>
        <v>1.0556691214200589</v>
      </c>
      <c r="T539" s="680">
        <f t="shared" si="271"/>
        <v>0.32620114773562237</v>
      </c>
      <c r="U539" s="681">
        <f t="shared" si="283"/>
        <v>0.45102046782031707</v>
      </c>
      <c r="V539" s="682">
        <f t="shared" si="284"/>
        <v>-1.5795251666544436</v>
      </c>
      <c r="W539" s="683">
        <f t="shared" si="272"/>
        <v>-23.640413194565568</v>
      </c>
      <c r="X539" s="684">
        <f t="shared" si="273"/>
        <v>-229.59779595957031</v>
      </c>
      <c r="Y539" s="687">
        <f t="shared" si="274"/>
        <v>-49.597795959570306</v>
      </c>
      <c r="AA539" s="170">
        <f t="shared" si="275"/>
        <v>80358</v>
      </c>
      <c r="AB539" s="170">
        <f t="shared" si="276"/>
        <v>6457408164</v>
      </c>
      <c r="AD539" s="686">
        <f t="shared" si="277"/>
        <v>11.637619175765304</v>
      </c>
      <c r="AE539" s="687">
        <f t="shared" si="278"/>
        <v>-22.916444119057182</v>
      </c>
      <c r="AG539" s="686">
        <f t="shared" si="279"/>
        <v>20.5154493897777</v>
      </c>
      <c r="AH539" s="687">
        <f t="shared" si="280"/>
        <v>-25.68110026569498</v>
      </c>
      <c r="AJ539" s="170">
        <f t="shared" si="281"/>
        <v>0</v>
      </c>
      <c r="AK539" s="170">
        <f t="shared" si="293"/>
        <v>0</v>
      </c>
      <c r="AM539" s="170" t="str">
        <f t="shared" si="285"/>
        <v>1.99970135425986-0.0244377227049538i</v>
      </c>
      <c r="AN539" s="170" t="str">
        <f t="shared" si="286"/>
        <v>3.16603280932599i</v>
      </c>
      <c r="AO539" s="170" t="str">
        <f t="shared" si="287"/>
        <v>-0.00771872061242356-0.631611064916782i</v>
      </c>
      <c r="AP539" s="170" t="str">
        <f t="shared" si="288"/>
        <v>-0.166616892376643+0.00407295378415897i</v>
      </c>
      <c r="AQ539" s="170" t="str">
        <f t="shared" si="289"/>
        <v>1.16661689237664-0.00407295378415897i</v>
      </c>
      <c r="AR539" s="170" t="str">
        <f t="shared" si="290"/>
        <v>0.714021760066837+0.00249283003584108i</v>
      </c>
    </row>
    <row r="540" spans="7:44">
      <c r="G540" s="688">
        <v>80820.5</v>
      </c>
      <c r="H540" s="676">
        <f t="shared" si="282"/>
        <v>80.820499999999996</v>
      </c>
      <c r="I540" s="677">
        <f t="shared" si="262"/>
        <v>27.656368295814016</v>
      </c>
      <c r="J540" s="678">
        <f t="shared" si="263"/>
        <v>1.5346304058680749</v>
      </c>
      <c r="K540" s="678">
        <f t="shared" si="264"/>
        <v>1.005144192171687</v>
      </c>
      <c r="L540" s="679">
        <f t="shared" si="265"/>
        <v>0.10121498191746926</v>
      </c>
      <c r="M540" s="678">
        <f t="shared" si="266"/>
        <v>1.20884546538339</v>
      </c>
      <c r="N540" s="679">
        <f t="shared" si="267"/>
        <v>-0.59662674831036944</v>
      </c>
      <c r="O540" s="677">
        <f t="shared" si="268"/>
        <v>609372.21304720058</v>
      </c>
      <c r="P540" s="680">
        <f t="shared" si="269"/>
        <v>1.5707946857617503</v>
      </c>
      <c r="Q540" s="689">
        <f t="shared" si="291"/>
        <v>13.646002848674648</v>
      </c>
      <c r="R540" s="690">
        <f t="shared" si="292"/>
        <v>1.4974490461697862</v>
      </c>
      <c r="S540" s="677">
        <f t="shared" si="270"/>
        <v>1.0562946421767332</v>
      </c>
      <c r="T540" s="680">
        <f t="shared" si="271"/>
        <v>0.3279471859028229</v>
      </c>
      <c r="U540" s="681">
        <f t="shared" si="283"/>
        <v>0.44840449983769348</v>
      </c>
      <c r="V540" s="682">
        <f t="shared" si="284"/>
        <v>-1.5860339727014743</v>
      </c>
      <c r="W540" s="683">
        <f t="shared" si="272"/>
        <v>-23.729955595547409</v>
      </c>
      <c r="X540" s="684">
        <f t="shared" si="273"/>
        <v>-230.17828701703334</v>
      </c>
      <c r="Y540" s="687">
        <f t="shared" si="274"/>
        <v>-50.178287017033341</v>
      </c>
      <c r="AA540" s="170">
        <f t="shared" si="275"/>
        <v>80820.5</v>
      </c>
      <c r="AB540" s="170">
        <f t="shared" si="276"/>
        <v>6531953220.25</v>
      </c>
      <c r="AD540" s="686">
        <f t="shared" si="277"/>
        <v>11.632204779349708</v>
      </c>
      <c r="AE540" s="687">
        <f t="shared" si="278"/>
        <v>-22.992385276003763</v>
      </c>
      <c r="AG540" s="686">
        <f t="shared" si="279"/>
        <v>20.532372941848198</v>
      </c>
      <c r="AH540" s="687">
        <f t="shared" si="280"/>
        <v>-25.439795933031014</v>
      </c>
      <c r="AJ540" s="170">
        <f t="shared" si="281"/>
        <v>0</v>
      </c>
      <c r="AK540" s="170">
        <f t="shared" si="293"/>
        <v>0</v>
      </c>
      <c r="AM540" s="170" t="str">
        <f t="shared" si="285"/>
        <v>1.99909010469622-0.0426492989166944i</v>
      </c>
      <c r="AN540" s="170" t="str">
        <f t="shared" si="286"/>
        <v>3.18425489268189i</v>
      </c>
      <c r="AO540" s="170" t="str">
        <f t="shared" si="287"/>
        <v>-0.0133938080819823-0.627804673957026i</v>
      </c>
      <c r="AP540" s="170" t="str">
        <f t="shared" si="288"/>
        <v>-0.166515017449371+0.00710821648611573i</v>
      </c>
      <c r="AQ540" s="170" t="str">
        <f t="shared" si="289"/>
        <v>1.16651501744937-0.00710821648611573i</v>
      </c>
      <c r="AR540" s="170" t="str">
        <f t="shared" si="290"/>
        <v>0.714066307147454+0.00435119807350925i</v>
      </c>
    </row>
    <row r="541" spans="7:44">
      <c r="G541" s="688">
        <v>81283</v>
      </c>
      <c r="H541" s="676">
        <f t="shared" si="282"/>
        <v>81.283000000000001</v>
      </c>
      <c r="I541" s="677">
        <f t="shared" si="262"/>
        <v>27.814427139298324</v>
      </c>
      <c r="J541" s="678">
        <f t="shared" si="263"/>
        <v>1.5348360119715492</v>
      </c>
      <c r="K541" s="678">
        <f t="shared" si="264"/>
        <v>1.0052030836925756</v>
      </c>
      <c r="L541" s="679">
        <f t="shared" si="265"/>
        <v>0.10179020915848526</v>
      </c>
      <c r="M541" s="678">
        <f t="shared" si="266"/>
        <v>1.2110335181859979</v>
      </c>
      <c r="N541" s="679">
        <f t="shared" si="267"/>
        <v>-0.59928171426705712</v>
      </c>
      <c r="O541" s="677">
        <f t="shared" si="268"/>
        <v>612859.38088869595</v>
      </c>
      <c r="P541" s="680">
        <f t="shared" si="269"/>
        <v>1.5707946950992235</v>
      </c>
      <c r="Q541" s="689">
        <f t="shared" si="291"/>
        <v>13.723674720521288</v>
      </c>
      <c r="R541" s="690">
        <f t="shared" si="292"/>
        <v>1.4978649094147729</v>
      </c>
      <c r="S541" s="677">
        <f t="shared" si="270"/>
        <v>1.0569233793878683</v>
      </c>
      <c r="T541" s="680">
        <f t="shared" si="271"/>
        <v>0.32969115203287525</v>
      </c>
      <c r="U541" s="681">
        <f t="shared" si="283"/>
        <v>0.44579940123665479</v>
      </c>
      <c r="V541" s="682">
        <f t="shared" si="284"/>
        <v>-1.5925440179282209</v>
      </c>
      <c r="W541" s="683">
        <f t="shared" si="272"/>
        <v>-23.819281387250989</v>
      </c>
      <c r="X541" s="684">
        <f t="shared" si="273"/>
        <v>-230.75832097156834</v>
      </c>
      <c r="Y541" s="687">
        <f t="shared" si="274"/>
        <v>-50.758320971568338</v>
      </c>
      <c r="AA541" s="170">
        <f t="shared" si="275"/>
        <v>81283</v>
      </c>
      <c r="AB541" s="170">
        <f t="shared" si="276"/>
        <v>6606926089</v>
      </c>
      <c r="AD541" s="686">
        <f t="shared" si="277"/>
        <v>11.626771562139627</v>
      </c>
      <c r="AE541" s="687">
        <f t="shared" si="278"/>
        <v>-23.06848050116194</v>
      </c>
      <c r="AG541" s="686">
        <f t="shared" si="279"/>
        <v>20.549699621417957</v>
      </c>
      <c r="AH541" s="687">
        <f t="shared" si="280"/>
        <v>-25.197738429691711</v>
      </c>
      <c r="AJ541" s="170">
        <f t="shared" si="281"/>
        <v>0</v>
      </c>
      <c r="AK541" s="170">
        <f t="shared" si="293"/>
        <v>0</v>
      </c>
      <c r="AM541" s="170" t="str">
        <f t="shared" si="285"/>
        <v>1.99814712211566-0.0608467140627484i</v>
      </c>
      <c r="AN541" s="170" t="str">
        <f t="shared" si="286"/>
        <v>3.20247697603779i</v>
      </c>
      <c r="AO541" s="170" t="str">
        <f t="shared" si="287"/>
        <v>-0.0189998911836144-0.623938013314879i</v>
      </c>
      <c r="AP541" s="170" t="str">
        <f t="shared" si="288"/>
        <v>-0.166357853685943+0.0101411190104581i</v>
      </c>
      <c r="AQ541" s="170" t="str">
        <f t="shared" si="289"/>
        <v>1.16635785368594-0.0101411190104581i</v>
      </c>
      <c r="AR541" s="170" t="str">
        <f t="shared" si="290"/>
        <v>0.714135056672846+0.00620918235031633i</v>
      </c>
    </row>
    <row r="542" spans="7:44">
      <c r="G542" s="688">
        <v>81756.25</v>
      </c>
      <c r="H542" s="676">
        <f t="shared" si="282"/>
        <v>81.756249999999994</v>
      </c>
      <c r="I542" s="677">
        <f t="shared" si="262"/>
        <v>27.976160986151555</v>
      </c>
      <c r="J542" s="678">
        <f t="shared" si="263"/>
        <v>1.5350439921372567</v>
      </c>
      <c r="K542" s="678">
        <f t="shared" si="264"/>
        <v>1.0052636882967192</v>
      </c>
      <c r="L542" s="679">
        <f t="shared" si="265"/>
        <v>0.10237873658087907</v>
      </c>
      <c r="M542" s="678">
        <f t="shared" si="266"/>
        <v>1.2132812324657385</v>
      </c>
      <c r="N542" s="679">
        <f t="shared" si="267"/>
        <v>-0.6019884581767514</v>
      </c>
      <c r="O542" s="677">
        <f t="shared" si="268"/>
        <v>616427.60182056134</v>
      </c>
      <c r="P542" s="680">
        <f t="shared" si="269"/>
        <v>1.5707947045443726</v>
      </c>
      <c r="Q542" s="689">
        <f t="shared" si="291"/>
        <v>13.803154367400067</v>
      </c>
      <c r="R542" s="690">
        <f t="shared" si="292"/>
        <v>1.4982855939396806</v>
      </c>
      <c r="S542" s="677">
        <f t="shared" si="270"/>
        <v>1.0575700539710937</v>
      </c>
      <c r="T542" s="680">
        <f t="shared" si="271"/>
        <v>0.3314735015530742</v>
      </c>
      <c r="U542" s="681">
        <f t="shared" si="283"/>
        <v>0.44314479476313984</v>
      </c>
      <c r="V542" s="682">
        <f t="shared" si="284"/>
        <v>-1.5992072128367643</v>
      </c>
      <c r="W542" s="683">
        <f t="shared" si="272"/>
        <v>-23.910466935330135</v>
      </c>
      <c r="X542" s="684">
        <f t="shared" si="273"/>
        <v>-231.35139336762154</v>
      </c>
      <c r="Y542" s="687">
        <f t="shared" si="274"/>
        <v>-51.35139336762154</v>
      </c>
      <c r="AA542" s="170">
        <f t="shared" si="275"/>
        <v>81756.25</v>
      </c>
      <c r="AB542" s="170">
        <f t="shared" si="276"/>
        <v>6684084414.0625</v>
      </c>
      <c r="AD542" s="686">
        <f t="shared" si="277"/>
        <v>11.621192564841859</v>
      </c>
      <c r="AE542" s="687">
        <f t="shared" si="278"/>
        <v>-23.146498699759157</v>
      </c>
      <c r="AG542" s="686">
        <f t="shared" si="279"/>
        <v>20.56784620837292</v>
      </c>
      <c r="AH542" s="687">
        <f t="shared" si="280"/>
        <v>-24.949246733609993</v>
      </c>
      <c r="AJ542" s="170">
        <f t="shared" si="281"/>
        <v>0</v>
      </c>
      <c r="AK542" s="170">
        <f t="shared" si="293"/>
        <v>0</v>
      </c>
      <c r="AM542" s="170" t="str">
        <f t="shared" si="285"/>
        <v>1.99683916039124-0.0794461346479248i</v>
      </c>
      <c r="AN542" s="170" t="str">
        <f t="shared" si="286"/>
        <v>3.22112259970953i</v>
      </c>
      <c r="AO542" s="170" t="str">
        <f t="shared" si="287"/>
        <v>-0.0246641138884589-0.619920260275504i</v>
      </c>
      <c r="AP542" s="170" t="str">
        <f t="shared" si="288"/>
        <v>-0.166139860065206+0.0132410224413208i</v>
      </c>
      <c r="AQ542" s="170" t="str">
        <f t="shared" si="289"/>
        <v>1.16613986006521-0.0132410224413208i</v>
      </c>
      <c r="AR542" s="170" t="str">
        <f t="shared" si="290"/>
        <v>0.714230468144433+0.00810978338091167i</v>
      </c>
    </row>
    <row r="543" spans="7:44">
      <c r="G543" s="688">
        <v>82229.5</v>
      </c>
      <c r="H543" s="676">
        <f t="shared" si="282"/>
        <v>82.229500000000002</v>
      </c>
      <c r="I543" s="677">
        <f t="shared" si="262"/>
        <v>28.137896029223153</v>
      </c>
      <c r="J543" s="678">
        <f t="shared" si="263"/>
        <v>1.5352495813951932</v>
      </c>
      <c r="K543" s="678">
        <f t="shared" si="264"/>
        <v>1.0053246410464944</v>
      </c>
      <c r="L543" s="679">
        <f t="shared" si="265"/>
        <v>0.1029671928423349</v>
      </c>
      <c r="M543" s="678">
        <f t="shared" si="266"/>
        <v>1.2155378028926882</v>
      </c>
      <c r="N543" s="679">
        <f t="shared" si="267"/>
        <v>-0.60468517197896765</v>
      </c>
      <c r="O543" s="677">
        <f t="shared" si="268"/>
        <v>619995.82275242649</v>
      </c>
      <c r="P543" s="680">
        <f t="shared" si="269"/>
        <v>1.5707947138808038</v>
      </c>
      <c r="Q543" s="689">
        <f t="shared" si="291"/>
        <v>13.882636429127487</v>
      </c>
      <c r="R543" s="690">
        <f t="shared" si="292"/>
        <v>1.4987014614591816</v>
      </c>
      <c r="S543" s="677">
        <f t="shared" si="270"/>
        <v>1.0582200840985707</v>
      </c>
      <c r="T543" s="680">
        <f t="shared" si="271"/>
        <v>0.33325366704416942</v>
      </c>
      <c r="U543" s="681">
        <f t="shared" si="283"/>
        <v>0.44050114514189675</v>
      </c>
      <c r="V543" s="682">
        <f t="shared" si="284"/>
        <v>-1.6058728272821854</v>
      </c>
      <c r="W543" s="683">
        <f t="shared" si="272"/>
        <v>-24.001441475009155</v>
      </c>
      <c r="X543" s="684">
        <f t="shared" si="273"/>
        <v>-231.94404765059673</v>
      </c>
      <c r="Y543" s="687">
        <f t="shared" si="274"/>
        <v>-51.94404765059673</v>
      </c>
      <c r="AA543" s="170">
        <f t="shared" si="275"/>
        <v>82229.5</v>
      </c>
      <c r="AB543" s="170">
        <f t="shared" si="276"/>
        <v>6761690670.25</v>
      </c>
      <c r="AD543" s="686">
        <f t="shared" si="277"/>
        <v>11.615593839654268</v>
      </c>
      <c r="AE543" s="687">
        <f t="shared" si="278"/>
        <v>-23.224667750557188</v>
      </c>
      <c r="AG543" s="686">
        <f t="shared" si="279"/>
        <v>20.586414819241501</v>
      </c>
      <c r="AH543" s="687">
        <f t="shared" si="280"/>
        <v>-24.699908813746202</v>
      </c>
      <c r="AJ543" s="170">
        <f t="shared" si="281"/>
        <v>0</v>
      </c>
      <c r="AK543" s="170">
        <f t="shared" si="293"/>
        <v>0</v>
      </c>
      <c r="AM543" s="170" t="str">
        <f t="shared" si="285"/>
        <v>1.99518464832023-0.0980179358471454i</v>
      </c>
      <c r="AN543" s="170" t="str">
        <f t="shared" si="286"/>
        <v>3.23976822338126i</v>
      </c>
      <c r="AO543" s="170" t="str">
        <f t="shared" si="287"/>
        <v>-0.0302546136293808-0.615841785816983i</v>
      </c>
      <c r="AP543" s="170" t="str">
        <f t="shared" si="288"/>
        <v>-0.165864108053372+0.0163363226411909i</v>
      </c>
      <c r="AQ543" s="170" t="str">
        <f t="shared" si="289"/>
        <v>1.16586410805337-0.0163363226411909i</v>
      </c>
      <c r="AR543" s="170" t="str">
        <f t="shared" si="290"/>
        <v>0.714351246980197+0.0100096335149133i</v>
      </c>
    </row>
    <row r="544" spans="7:44">
      <c r="G544" s="688">
        <v>82702.75</v>
      </c>
      <c r="H544" s="676">
        <f t="shared" si="282"/>
        <v>82.702749999999995</v>
      </c>
      <c r="I544" s="677">
        <f t="shared" si="262"/>
        <v>28.299632248003611</v>
      </c>
      <c r="J544" s="678">
        <f t="shared" si="263"/>
        <v>1.5354528207209106</v>
      </c>
      <c r="K544" s="678">
        <f t="shared" si="264"/>
        <v>1.0053859418785807</v>
      </c>
      <c r="L544" s="679">
        <f t="shared" si="265"/>
        <v>0.10355557754829045</v>
      </c>
      <c r="M544" s="678">
        <f t="shared" si="266"/>
        <v>1.217803180235937</v>
      </c>
      <c r="N544" s="679">
        <f t="shared" si="267"/>
        <v>-0.60737187231713763</v>
      </c>
      <c r="O544" s="677">
        <f t="shared" si="268"/>
        <v>623564.043684292</v>
      </c>
      <c r="P544" s="680">
        <f t="shared" si="269"/>
        <v>1.5707947231103832</v>
      </c>
      <c r="Q544" s="689">
        <f t="shared" si="291"/>
        <v>13.962120864462577</v>
      </c>
      <c r="R544" s="690">
        <f t="shared" si="292"/>
        <v>1.4991125940958372</v>
      </c>
      <c r="S544" s="677">
        <f t="shared" si="270"/>
        <v>1.0588734635905099</v>
      </c>
      <c r="T544" s="680">
        <f t="shared" si="271"/>
        <v>0.33503164125618218</v>
      </c>
      <c r="U544" s="681">
        <f t="shared" si="283"/>
        <v>0.43786823681530124</v>
      </c>
      <c r="V544" s="682">
        <f t="shared" si="284"/>
        <v>-1.6125414292922005</v>
      </c>
      <c r="W544" s="683">
        <f t="shared" si="272"/>
        <v>-24.092213052362624</v>
      </c>
      <c r="X544" s="684">
        <f t="shared" si="273"/>
        <v>-232.53631456945365</v>
      </c>
      <c r="Y544" s="687">
        <f t="shared" si="274"/>
        <v>-52.536314569453651</v>
      </c>
      <c r="AA544" s="170">
        <f t="shared" si="275"/>
        <v>82702.75</v>
      </c>
      <c r="AB544" s="170">
        <f t="shared" si="276"/>
        <v>6839744857.5625</v>
      </c>
      <c r="AD544" s="686">
        <f t="shared" si="277"/>
        <v>11.609975380240629</v>
      </c>
      <c r="AE544" s="687">
        <f t="shared" si="278"/>
        <v>-23.302982532993596</v>
      </c>
      <c r="AG544" s="686">
        <f t="shared" si="279"/>
        <v>20.605405675875627</v>
      </c>
      <c r="AH544" s="687">
        <f t="shared" si="280"/>
        <v>-24.449695448440874</v>
      </c>
      <c r="AJ544" s="170">
        <f t="shared" si="281"/>
        <v>0</v>
      </c>
      <c r="AK544" s="170">
        <f t="shared" si="293"/>
        <v>0</v>
      </c>
      <c r="AM544" s="170" t="str">
        <f t="shared" si="285"/>
        <v>1.99318416109246-0.116555661188415i</v>
      </c>
      <c r="AN544" s="170" t="str">
        <f t="shared" si="286"/>
        <v>3.258413847053i</v>
      </c>
      <c r="AO544" s="170" t="str">
        <f t="shared" si="287"/>
        <v>-0.035770674524303-0.611703808862447i</v>
      </c>
      <c r="AP544" s="170" t="str">
        <f t="shared" si="288"/>
        <v>-0.16553069351541+0.0194259435314025i</v>
      </c>
      <c r="AQ544" s="170" t="str">
        <f t="shared" si="289"/>
        <v>1.16553069351541-0.0194259435314025i</v>
      </c>
      <c r="AR544" s="170" t="str">
        <f t="shared" si="290"/>
        <v>0.71449741282302+0.011908555023094i</v>
      </c>
    </row>
    <row r="545" spans="7:44">
      <c r="G545" s="688">
        <v>83176</v>
      </c>
      <c r="H545" s="676">
        <f t="shared" si="282"/>
        <v>83.176000000000002</v>
      </c>
      <c r="I545" s="677">
        <f t="shared" si="262"/>
        <v>28.461369622449485</v>
      </c>
      <c r="J545" s="678">
        <f t="shared" si="263"/>
        <v>1.5356537501593408</v>
      </c>
      <c r="K545" s="678">
        <f t="shared" si="264"/>
        <v>1.0054475907293117</v>
      </c>
      <c r="L545" s="679">
        <f t="shared" si="265"/>
        <v>0.10414389030447758</v>
      </c>
      <c r="M545" s="678">
        <f t="shared" si="266"/>
        <v>1.2200773154387865</v>
      </c>
      <c r="N545" s="679">
        <f t="shared" si="267"/>
        <v>-0.61004857628956843</v>
      </c>
      <c r="O545" s="677">
        <f t="shared" si="268"/>
        <v>627132.26461615739</v>
      </c>
      <c r="P545" s="680">
        <f t="shared" si="269"/>
        <v>1.5707947322349347</v>
      </c>
      <c r="Q545" s="689">
        <f t="shared" si="291"/>
        <v>14.041607633096945</v>
      </c>
      <c r="R545" s="690">
        <f t="shared" si="292"/>
        <v>1.4995190721191773</v>
      </c>
      <c r="S545" s="677">
        <f t="shared" si="270"/>
        <v>1.0595301862505635</v>
      </c>
      <c r="T545" s="680">
        <f t="shared" si="271"/>
        <v>0.33680741701238742</v>
      </c>
      <c r="U545" s="681">
        <f t="shared" si="283"/>
        <v>0.43524585338543187</v>
      </c>
      <c r="V545" s="682">
        <f t="shared" si="284"/>
        <v>-1.6192135873800269</v>
      </c>
      <c r="W545" s="683">
        <f t="shared" si="272"/>
        <v>-24.182789759432019</v>
      </c>
      <c r="X545" s="684">
        <f t="shared" si="273"/>
        <v>-233.12822498405978</v>
      </c>
      <c r="Y545" s="687">
        <f t="shared" si="274"/>
        <v>-53.128224984059784</v>
      </c>
      <c r="AA545" s="170">
        <f t="shared" si="275"/>
        <v>83176</v>
      </c>
      <c r="AB545" s="170">
        <f t="shared" si="276"/>
        <v>6918246976</v>
      </c>
      <c r="AD545" s="686">
        <f t="shared" si="277"/>
        <v>11.604337183348028</v>
      </c>
      <c r="AE545" s="687">
        <f t="shared" si="278"/>
        <v>-23.381438036871536</v>
      </c>
      <c r="AG545" s="686">
        <f t="shared" si="279"/>
        <v>20.6248191710485</v>
      </c>
      <c r="AH545" s="687">
        <f t="shared" si="280"/>
        <v>-24.198577360942341</v>
      </c>
      <c r="AJ545" s="170">
        <f t="shared" si="281"/>
        <v>0</v>
      </c>
      <c r="AK545" s="170">
        <f t="shared" si="293"/>
        <v>0</v>
      </c>
      <c r="AM545" s="170" t="str">
        <f t="shared" si="285"/>
        <v>1.99083839417572-0.135052866046154i</v>
      </c>
      <c r="AN545" s="170" t="str">
        <f t="shared" si="286"/>
        <v>3.27705947072474i</v>
      </c>
      <c r="AO545" s="170" t="str">
        <f t="shared" si="287"/>
        <v>-0.04121160059884-0.607507557296614i</v>
      </c>
      <c r="AP545" s="170" t="str">
        <f t="shared" si="288"/>
        <v>-0.16513973236262+0.0225088110076923i</v>
      </c>
      <c r="AQ545" s="170" t="str">
        <f t="shared" si="289"/>
        <v>1.16513973236262-0.0225088110076923i</v>
      </c>
      <c r="AR545" s="170" t="str">
        <f t="shared" si="290"/>
        <v>0.714668989408159+0.0138063691150824i</v>
      </c>
    </row>
    <row r="546" spans="7:44">
      <c r="G546" s="688">
        <v>83660.5</v>
      </c>
      <c r="H546" s="676">
        <f t="shared" si="282"/>
        <v>83.660499999999999</v>
      </c>
      <c r="I546" s="677">
        <f t="shared" si="262"/>
        <v>28.626952960674132</v>
      </c>
      <c r="J546" s="678">
        <f t="shared" si="263"/>
        <v>1.5358571040082718</v>
      </c>
      <c r="K546" s="678">
        <f t="shared" si="264"/>
        <v>1.0055110655433024</v>
      </c>
      <c r="L546" s="679">
        <f t="shared" si="265"/>
        <v>0.10474611336141045</v>
      </c>
      <c r="M546" s="678">
        <f t="shared" si="266"/>
        <v>1.2224145324895825</v>
      </c>
      <c r="N546" s="679">
        <f t="shared" si="267"/>
        <v>-0.61277857299297867</v>
      </c>
      <c r="O546" s="677">
        <f t="shared" si="268"/>
        <v>630785.30854957283</v>
      </c>
      <c r="P546" s="680">
        <f t="shared" si="269"/>
        <v>1.5707947414694516</v>
      </c>
      <c r="Q546" s="689">
        <f t="shared" si="291"/>
        <v>14.122986320589872</v>
      </c>
      <c r="R546" s="690">
        <f t="shared" si="292"/>
        <v>1.4999304728735967</v>
      </c>
      <c r="S546" s="677">
        <f t="shared" si="270"/>
        <v>1.0602059772196299</v>
      </c>
      <c r="T546" s="680">
        <f t="shared" si="271"/>
        <v>0.33862312125287747</v>
      </c>
      <c r="U546" s="681">
        <f t="shared" si="283"/>
        <v>0.43257180755048641</v>
      </c>
      <c r="V546" s="682">
        <f t="shared" si="284"/>
        <v>-1.6260486327171575</v>
      </c>
      <c r="W546" s="683">
        <f t="shared" si="272"/>
        <v>-24.275326264256783</v>
      </c>
      <c r="X546" s="684">
        <f t="shared" si="273"/>
        <v>-233.73386919434998</v>
      </c>
      <c r="Y546" s="687">
        <f t="shared" si="274"/>
        <v>-53.733869194349978</v>
      </c>
      <c r="AA546" s="170">
        <f t="shared" si="275"/>
        <v>83660.5</v>
      </c>
      <c r="AB546" s="170">
        <f t="shared" si="276"/>
        <v>6999079260.25</v>
      </c>
      <c r="AD546" s="686">
        <f t="shared" si="277"/>
        <v>11.598544509302615</v>
      </c>
      <c r="AE546" s="687">
        <f t="shared" si="278"/>
        <v>-23.461899228969681</v>
      </c>
      <c r="AG546" s="686">
        <f t="shared" si="279"/>
        <v>20.645132578510598</v>
      </c>
      <c r="AH546" s="687">
        <f t="shared" si="280"/>
        <v>-23.940521877043111</v>
      </c>
      <c r="AJ546" s="170">
        <f t="shared" si="281"/>
        <v>0</v>
      </c>
      <c r="AK546" s="170">
        <f t="shared" si="293"/>
        <v>0</v>
      </c>
      <c r="AM546" s="170" t="str">
        <f t="shared" si="285"/>
        <v>1.98808002730749-0.15394109144744i</v>
      </c>
      <c r="AN546" s="170" t="str">
        <f t="shared" si="286"/>
        <v>3.29614833426189i</v>
      </c>
      <c r="AO546" s="170" t="str">
        <f t="shared" si="287"/>
        <v>-0.0467033263786389-0.60315247546427i</v>
      </c>
      <c r="AP546" s="170" t="str">
        <f t="shared" si="288"/>
        <v>-0.164680004551248+0.0256568485745733i</v>
      </c>
      <c r="AQ546" s="170" t="str">
        <f t="shared" si="289"/>
        <v>1.16468000455125-0.0256568485745733i</v>
      </c>
      <c r="AR546" s="170" t="str">
        <f t="shared" si="290"/>
        <v>0.714870997749897+0.015747962417102i</v>
      </c>
    </row>
    <row r="547" spans="7:44">
      <c r="G547" s="688">
        <v>84145</v>
      </c>
      <c r="H547" s="676">
        <f t="shared" si="282"/>
        <v>84.144999999999996</v>
      </c>
      <c r="I547" s="677">
        <f t="shared" si="262"/>
        <v>28.792537469087158</v>
      </c>
      <c r="J547" s="678">
        <f t="shared" si="263"/>
        <v>1.5360581189088818</v>
      </c>
      <c r="K547" s="678">
        <f t="shared" si="264"/>
        <v>1.0055749049825005</v>
      </c>
      <c r="L547" s="679">
        <f t="shared" si="265"/>
        <v>0.10534826017182239</v>
      </c>
      <c r="M547" s="678">
        <f t="shared" si="266"/>
        <v>1.2247608252408582</v>
      </c>
      <c r="N547" s="679">
        <f t="shared" si="267"/>
        <v>-0.61549813010880672</v>
      </c>
      <c r="O547" s="677">
        <f t="shared" si="268"/>
        <v>634438.35248298827</v>
      </c>
      <c r="P547" s="680">
        <f t="shared" si="269"/>
        <v>1.5707947505976254</v>
      </c>
      <c r="Q547" s="689">
        <f t="shared" si="291"/>
        <v>14.204367371017245</v>
      </c>
      <c r="R547" s="690">
        <f t="shared" si="292"/>
        <v>1.5003371596213355</v>
      </c>
      <c r="S547" s="677">
        <f t="shared" si="270"/>
        <v>1.0608852589968258</v>
      </c>
      <c r="T547" s="680">
        <f t="shared" si="271"/>
        <v>0.34043650628494287</v>
      </c>
      <c r="U547" s="681">
        <f t="shared" si="283"/>
        <v>0.42990833130540451</v>
      </c>
      <c r="V547" s="682">
        <f t="shared" si="284"/>
        <v>-1.6328886130552729</v>
      </c>
      <c r="W547" s="683">
        <f t="shared" si="272"/>
        <v>-24.367675850575537</v>
      </c>
      <c r="X547" s="684">
        <f t="shared" si="273"/>
        <v>-234.33920557753623</v>
      </c>
      <c r="Y547" s="687">
        <f t="shared" si="274"/>
        <v>-54.339205577536234</v>
      </c>
      <c r="AA547" s="170">
        <f t="shared" si="275"/>
        <v>84145</v>
      </c>
      <c r="AB547" s="170">
        <f t="shared" si="276"/>
        <v>7080381025</v>
      </c>
      <c r="AD547" s="686">
        <f t="shared" si="277"/>
        <v>11.592731150793105</v>
      </c>
      <c r="AE547" s="687">
        <f t="shared" si="278"/>
        <v>-23.542497626807815</v>
      </c>
      <c r="AG547" s="686">
        <f t="shared" si="279"/>
        <v>20.665890342618653</v>
      </c>
      <c r="AH547" s="687">
        <f t="shared" si="280"/>
        <v>-23.681455850842649</v>
      </c>
      <c r="AJ547" s="170">
        <f t="shared" si="281"/>
        <v>0</v>
      </c>
      <c r="AK547" s="170">
        <f t="shared" si="293"/>
        <v>0</v>
      </c>
      <c r="AM547" s="170" t="str">
        <f t="shared" si="285"/>
        <v>1.98496163011659-0.172773224771875i</v>
      </c>
      <c r="AN547" s="170" t="str">
        <f t="shared" si="286"/>
        <v>3.31523719779904i</v>
      </c>
      <c r="AO547" s="170" t="str">
        <f t="shared" si="287"/>
        <v>-0.0521148908701247-0.598738947377397i</v>
      </c>
      <c r="AP547" s="170" t="str">
        <f t="shared" si="288"/>
        <v>-0.164160271686098+0.0287955374619792i</v>
      </c>
      <c r="AQ547" s="170" t="str">
        <f t="shared" si="289"/>
        <v>1.1641602716861-0.0287955374619792i</v>
      </c>
      <c r="AR547" s="170" t="str">
        <f t="shared" si="290"/>
        <v>0.715099702720797+0.0176880115045698i</v>
      </c>
    </row>
    <row r="548" spans="7:44">
      <c r="G548" s="688">
        <v>84629.5</v>
      </c>
      <c r="H548" s="676">
        <f t="shared" si="282"/>
        <v>84.629499999999993</v>
      </c>
      <c r="I548" s="677">
        <f t="shared" si="262"/>
        <v>28.958123127614911</v>
      </c>
      <c r="J548" s="678">
        <f t="shared" si="263"/>
        <v>1.5362568349678585</v>
      </c>
      <c r="K548" s="678">
        <f t="shared" si="264"/>
        <v>1.005639108977465</v>
      </c>
      <c r="L548" s="679">
        <f t="shared" si="265"/>
        <v>0.10595033031362221</v>
      </c>
      <c r="M548" s="678">
        <f t="shared" si="266"/>
        <v>1.2271161416333602</v>
      </c>
      <c r="N548" s="679">
        <f t="shared" si="267"/>
        <v>-0.61820726740738141</v>
      </c>
      <c r="O548" s="677">
        <f t="shared" si="268"/>
        <v>638091.3964164037</v>
      </c>
      <c r="P548" s="680">
        <f t="shared" si="269"/>
        <v>1.5707947596212823</v>
      </c>
      <c r="Q548" s="689">
        <f t="shared" si="291"/>
        <v>14.285750743996568</v>
      </c>
      <c r="R548" s="690">
        <f t="shared" si="292"/>
        <v>1.5007392127912682</v>
      </c>
      <c r="S548" s="677">
        <f t="shared" si="270"/>
        <v>1.0615680248810007</v>
      </c>
      <c r="T548" s="680">
        <f t="shared" si="271"/>
        <v>0.34224756464600248</v>
      </c>
      <c r="U548" s="681">
        <f t="shared" si="283"/>
        <v>0.42725518980082322</v>
      </c>
      <c r="V548" s="682">
        <f t="shared" si="284"/>
        <v>-1.6397341406037362</v>
      </c>
      <c r="W548" s="683">
        <f t="shared" si="272"/>
        <v>-24.459847373857965</v>
      </c>
      <c r="X548" s="684">
        <f t="shared" si="273"/>
        <v>-234.94426762981081</v>
      </c>
      <c r="Y548" s="687">
        <f t="shared" si="274"/>
        <v>-54.94426762981081</v>
      </c>
      <c r="AA548" s="170">
        <f t="shared" si="275"/>
        <v>84629.5</v>
      </c>
      <c r="AB548" s="170">
        <f t="shared" si="276"/>
        <v>7162152270.25</v>
      </c>
      <c r="AD548" s="686">
        <f t="shared" si="277"/>
        <v>11.586897113708796</v>
      </c>
      <c r="AE548" s="687">
        <f t="shared" si="278"/>
        <v>-23.623228194681129</v>
      </c>
      <c r="AG548" s="686">
        <f t="shared" si="279"/>
        <v>20.687093447361274</v>
      </c>
      <c r="AH548" s="687">
        <f t="shared" si="280"/>
        <v>-23.421347660212614</v>
      </c>
      <c r="AJ548" s="170">
        <f t="shared" si="281"/>
        <v>0</v>
      </c>
      <c r="AK548" s="170">
        <f t="shared" si="293"/>
        <v>0</v>
      </c>
      <c r="AM548" s="170" t="str">
        <f t="shared" si="285"/>
        <v>1.98148433886477-0.191542404086377i</v>
      </c>
      <c r="AN548" s="170" t="str">
        <f t="shared" si="286"/>
        <v>3.3343260613362i</v>
      </c>
      <c r="AO548" s="170" t="str">
        <f t="shared" si="287"/>
        <v>-0.0574456128653531-0.594268317619396i</v>
      </c>
      <c r="AP548" s="170" t="str">
        <f t="shared" si="288"/>
        <v>-0.163580723144128+0.0319237340143962i</v>
      </c>
      <c r="AQ548" s="170" t="str">
        <f t="shared" si="289"/>
        <v>1.16358072314413-0.0319237340143962i</v>
      </c>
      <c r="AR548" s="170" t="str">
        <f t="shared" si="290"/>
        <v>0.715355142993351+0.0196263197357227i</v>
      </c>
    </row>
    <row r="549" spans="7:44">
      <c r="G549" s="688">
        <v>85114</v>
      </c>
      <c r="H549" s="676">
        <f t="shared" si="282"/>
        <v>85.114000000000004</v>
      </c>
      <c r="I549" s="677">
        <f t="shared" si="262"/>
        <v>29.123709916640131</v>
      </c>
      <c r="J549" s="678">
        <f t="shared" si="263"/>
        <v>1.5364532913804967</v>
      </c>
      <c r="K549" s="678">
        <f t="shared" si="264"/>
        <v>1.0057036774583767</v>
      </c>
      <c r="L549" s="679">
        <f t="shared" si="265"/>
        <v>0.10655232336504847</v>
      </c>
      <c r="M549" s="678">
        <f t="shared" si="266"/>
        <v>1.2294804298073059</v>
      </c>
      <c r="N549" s="679">
        <f t="shared" si="267"/>
        <v>-0.62090600511962979</v>
      </c>
      <c r="O549" s="677">
        <f t="shared" si="268"/>
        <v>641744.44034981914</v>
      </c>
      <c r="P549" s="680">
        <f t="shared" si="269"/>
        <v>1.5707947685422075</v>
      </c>
      <c r="Q549" s="689">
        <f t="shared" si="291"/>
        <v>14.367136400059199</v>
      </c>
      <c r="R549" s="690">
        <f t="shared" si="292"/>
        <v>1.5011367109959148</v>
      </c>
      <c r="S549" s="677">
        <f t="shared" si="270"/>
        <v>1.0622542681539064</v>
      </c>
      <c r="T549" s="680">
        <f t="shared" si="271"/>
        <v>0.34405628895366253</v>
      </c>
      <c r="U549" s="681">
        <f t="shared" si="283"/>
        <v>0.42461214731653008</v>
      </c>
      <c r="V549" s="682">
        <f t="shared" si="284"/>
        <v>-1.6465858285085682</v>
      </c>
      <c r="W549" s="683">
        <f t="shared" si="272"/>
        <v>-24.551849755701447</v>
      </c>
      <c r="X549" s="684">
        <f t="shared" si="273"/>
        <v>-235.54908898384647</v>
      </c>
      <c r="Y549" s="687">
        <f t="shared" si="274"/>
        <v>-55.549088983846474</v>
      </c>
      <c r="AA549" s="170">
        <f t="shared" si="275"/>
        <v>85114</v>
      </c>
      <c r="AB549" s="170">
        <f t="shared" si="276"/>
        <v>7244392996</v>
      </c>
      <c r="AD549" s="686">
        <f t="shared" si="277"/>
        <v>11.581042406891498</v>
      </c>
      <c r="AE549" s="687">
        <f t="shared" si="278"/>
        <v>-23.704086005546234</v>
      </c>
      <c r="AG549" s="686">
        <f t="shared" si="279"/>
        <v>20.70874306889753</v>
      </c>
      <c r="AH549" s="687">
        <f t="shared" si="280"/>
        <v>-23.160165603510613</v>
      </c>
      <c r="AJ549" s="170">
        <f t="shared" si="281"/>
        <v>0</v>
      </c>
      <c r="AK549" s="170">
        <f t="shared" si="293"/>
        <v>0</v>
      </c>
      <c r="AM549" s="170" t="str">
        <f t="shared" si="285"/>
        <v>1.97764942058533-0.210241790396615i</v>
      </c>
      <c r="AN549" s="170" t="str">
        <f t="shared" si="286"/>
        <v>3.35341492487335i</v>
      </c>
      <c r="AO549" s="170" t="str">
        <f t="shared" si="287"/>
        <v>-0.0626948335075342-0.589741939154762i</v>
      </c>
      <c r="AP549" s="170" t="str">
        <f t="shared" si="288"/>
        <v>-0.162941570097555+0.0350402983994358i</v>
      </c>
      <c r="AQ549" s="170" t="str">
        <f t="shared" si="289"/>
        <v>1.16294157009755-0.0350402983994358i</v>
      </c>
      <c r="AR549" s="170" t="str">
        <f t="shared" si="290"/>
        <v>0.7156373616385+0.0215626883949935i</v>
      </c>
    </row>
    <row r="550" spans="7:44">
      <c r="G550" s="688">
        <v>85609.5</v>
      </c>
      <c r="H550" s="676">
        <f t="shared" si="282"/>
        <v>85.609499999999997</v>
      </c>
      <c r="I550" s="677">
        <f t="shared" si="262"/>
        <v>29.293057307357287</v>
      </c>
      <c r="J550" s="678">
        <f t="shared" si="263"/>
        <v>1.5366519108401488</v>
      </c>
      <c r="K550" s="678">
        <f t="shared" si="264"/>
        <v>1.0057700888099139</v>
      </c>
      <c r="L550" s="679">
        <f t="shared" si="265"/>
        <v>0.10716790378257557</v>
      </c>
      <c r="M550" s="678">
        <f t="shared" si="266"/>
        <v>1.23190762215065</v>
      </c>
      <c r="N550" s="679">
        <f t="shared" si="267"/>
        <v>-0.62365527960663503</v>
      </c>
      <c r="O550" s="677">
        <f t="shared" si="268"/>
        <v>645480.42232919473</v>
      </c>
      <c r="P550" s="680">
        <f t="shared" si="269"/>
        <v>1.5707947775612321</v>
      </c>
      <c r="Q550" s="689">
        <f t="shared" si="291"/>
        <v>14.450372142497608</v>
      </c>
      <c r="R550" s="690">
        <f t="shared" si="292"/>
        <v>1.5015386027409809</v>
      </c>
      <c r="S550" s="677">
        <f t="shared" si="270"/>
        <v>1.0629596814604114</v>
      </c>
      <c r="T550" s="680">
        <f t="shared" si="271"/>
        <v>0.34590365645709387</v>
      </c>
      <c r="U550" s="681">
        <f t="shared" si="283"/>
        <v>0.42191929667032108</v>
      </c>
      <c r="V550" s="682">
        <f t="shared" si="284"/>
        <v>-1.6536000877026877</v>
      </c>
      <c r="W550" s="683">
        <f t="shared" si="272"/>
        <v>-24.645775368875302</v>
      </c>
      <c r="X550" s="684">
        <f t="shared" si="273"/>
        <v>-236.16742833160217</v>
      </c>
      <c r="Y550" s="687">
        <f t="shared" si="274"/>
        <v>-56.167428331602167</v>
      </c>
      <c r="AA550" s="170">
        <f t="shared" si="275"/>
        <v>85609.5</v>
      </c>
      <c r="AB550" s="170">
        <f t="shared" si="276"/>
        <v>7328986490.25</v>
      </c>
      <c r="AD550" s="686">
        <f t="shared" si="277"/>
        <v>11.575033409094688</v>
      </c>
      <c r="AE550" s="687">
        <f t="shared" si="278"/>
        <v>-23.78690618273572</v>
      </c>
      <c r="AG550" s="686">
        <f t="shared" si="279"/>
        <v>20.7313474865445</v>
      </c>
      <c r="AH550" s="687">
        <f t="shared" si="280"/>
        <v>-22.891909876690633</v>
      </c>
      <c r="AJ550" s="170">
        <f t="shared" si="281"/>
        <v>0</v>
      </c>
      <c r="AK550" s="170">
        <f t="shared" si="293"/>
        <v>0</v>
      </c>
      <c r="AM550" s="170" t="str">
        <f t="shared" si="285"/>
        <v>1.97335899356687-0.229286435801341i</v>
      </c>
      <c r="AN550" s="170" t="str">
        <f t="shared" si="286"/>
        <v>3.37293717850113i</v>
      </c>
      <c r="AO550" s="170" t="str">
        <f t="shared" si="287"/>
        <v>-0.0679782704708516-0.585056551347865i</v>
      </c>
      <c r="AP550" s="170" t="str">
        <f t="shared" si="288"/>
        <v>-0.162226498927812+0.0382144059668902i</v>
      </c>
      <c r="AQ550" s="170" t="str">
        <f t="shared" si="289"/>
        <v>1.16222649892781-0.0382144059668902i</v>
      </c>
      <c r="AR550" s="170" t="str">
        <f t="shared" si="290"/>
        <v>0.715953734415919+0.0235408043834151i</v>
      </c>
    </row>
    <row r="551" spans="7:44">
      <c r="G551" s="688">
        <v>86105</v>
      </c>
      <c r="H551" s="676">
        <f t="shared" si="282"/>
        <v>86.105000000000004</v>
      </c>
      <c r="I551" s="677">
        <f t="shared" si="262"/>
        <v>29.462405840391835</v>
      </c>
      <c r="J551" s="678">
        <f t="shared" si="263"/>
        <v>1.5368482469967131</v>
      </c>
      <c r="K551" s="678">
        <f t="shared" si="264"/>
        <v>1.0058368812368019</v>
      </c>
      <c r="L551" s="679">
        <f t="shared" si="265"/>
        <v>0.10778340267828794</v>
      </c>
      <c r="M551" s="678">
        <f t="shared" si="266"/>
        <v>1.2343440892198754</v>
      </c>
      <c r="N551" s="679">
        <f t="shared" si="267"/>
        <v>-0.62639372115949798</v>
      </c>
      <c r="O551" s="677">
        <f t="shared" si="268"/>
        <v>649216.40430857032</v>
      </c>
      <c r="P551" s="680">
        <f t="shared" si="269"/>
        <v>1.5707947864764553</v>
      </c>
      <c r="Q551" s="689">
        <f t="shared" si="291"/>
        <v>14.533610192182215</v>
      </c>
      <c r="R551" s="690">
        <f t="shared" si="292"/>
        <v>1.5019358910567904</v>
      </c>
      <c r="S551" s="677">
        <f t="shared" si="270"/>
        <v>1.0636687175814843</v>
      </c>
      <c r="T551" s="680">
        <f t="shared" si="271"/>
        <v>0.34774856735836024</v>
      </c>
      <c r="U551" s="681">
        <f t="shared" si="283"/>
        <v>0.41923650737912466</v>
      </c>
      <c r="V551" s="682">
        <f t="shared" si="284"/>
        <v>-1.6606220907525491</v>
      </c>
      <c r="W551" s="683">
        <f t="shared" si="272"/>
        <v>-24.739543177181925</v>
      </c>
      <c r="X551" s="684">
        <f t="shared" si="273"/>
        <v>-236.78558753361278</v>
      </c>
      <c r="Y551" s="687">
        <f t="shared" si="274"/>
        <v>-56.785587533612784</v>
      </c>
      <c r="AA551" s="170">
        <f t="shared" si="275"/>
        <v>86105</v>
      </c>
      <c r="AB551" s="170">
        <f t="shared" si="276"/>
        <v>7414071025</v>
      </c>
      <c r="AD551" s="686">
        <f t="shared" si="277"/>
        <v>11.569002820079328</v>
      </c>
      <c r="AE551" s="687">
        <f t="shared" si="278"/>
        <v>-23.869849358109658</v>
      </c>
      <c r="AG551" s="686">
        <f t="shared" si="279"/>
        <v>20.754422036521444</v>
      </c>
      <c r="AH551" s="687">
        <f t="shared" si="280"/>
        <v>-22.622463625437668</v>
      </c>
      <c r="AJ551" s="170">
        <f t="shared" si="281"/>
        <v>0</v>
      </c>
      <c r="AK551" s="170">
        <f t="shared" si="293"/>
        <v>0</v>
      </c>
      <c r="AM551" s="170" t="str">
        <f t="shared" si="285"/>
        <v>1.96869761332076-0.248243698704859i</v>
      </c>
      <c r="AN551" s="170" t="str">
        <f t="shared" si="286"/>
        <v>3.3924594321289i</v>
      </c>
      <c r="AO551" s="170" t="str">
        <f t="shared" si="287"/>
        <v>-0.0731751414191787-0.58031574222402i</v>
      </c>
      <c r="AP551" s="170" t="str">
        <f t="shared" si="288"/>
        <v>-0.161449602220126+0.0413739497841432i</v>
      </c>
      <c r="AQ551" s="170" t="str">
        <f t="shared" si="289"/>
        <v>1.16144960222013-0.0413739497841432i</v>
      </c>
      <c r="AR551" s="170" t="str">
        <f t="shared" si="290"/>
        <v>0.716298220363977+0.0255164636874131i</v>
      </c>
    </row>
    <row r="552" spans="7:44">
      <c r="G552" s="688">
        <v>86600.5</v>
      </c>
      <c r="H552" s="676">
        <f t="shared" si="282"/>
        <v>86.600499999999997</v>
      </c>
      <c r="I552" s="677">
        <f t="shared" si="262"/>
        <v>29.631755496158394</v>
      </c>
      <c r="J552" s="678">
        <f t="shared" si="263"/>
        <v>1.5370423389831176</v>
      </c>
      <c r="K552" s="678">
        <f t="shared" si="264"/>
        <v>1.0059040546631302</v>
      </c>
      <c r="L552" s="679">
        <f t="shared" si="265"/>
        <v>0.10839881960212164</v>
      </c>
      <c r="M552" s="678">
        <f t="shared" si="266"/>
        <v>1.2367897762015509</v>
      </c>
      <c r="N552" s="679">
        <f t="shared" si="267"/>
        <v>-0.6291213528504106</v>
      </c>
      <c r="O552" s="677">
        <f t="shared" si="268"/>
        <v>652952.3862879459</v>
      </c>
      <c r="P552" s="680">
        <f t="shared" si="269"/>
        <v>1.5707947952896582</v>
      </c>
      <c r="Q552" s="689">
        <f t="shared" si="291"/>
        <v>14.616850509696045</v>
      </c>
      <c r="R552" s="690">
        <f t="shared" si="292"/>
        <v>1.5023286544639334</v>
      </c>
      <c r="S552" s="677">
        <f t="shared" si="270"/>
        <v>1.0643813692771265</v>
      </c>
      <c r="T552" s="680">
        <f t="shared" si="271"/>
        <v>0.3495910140204011</v>
      </c>
      <c r="U552" s="681">
        <f t="shared" si="283"/>
        <v>0.41656352451806006</v>
      </c>
      <c r="V552" s="682">
        <f t="shared" si="284"/>
        <v>-1.6676524972158813</v>
      </c>
      <c r="W552" s="683">
        <f t="shared" si="272"/>
        <v>-24.833162965919861</v>
      </c>
      <c r="X552" s="684">
        <f t="shared" si="273"/>
        <v>-237.40360303326224</v>
      </c>
      <c r="Y552" s="687">
        <f t="shared" si="274"/>
        <v>-57.403603033262243</v>
      </c>
      <c r="AA552" s="170">
        <f t="shared" si="275"/>
        <v>86600.5</v>
      </c>
      <c r="AB552" s="170">
        <f t="shared" si="276"/>
        <v>7499646600.25</v>
      </c>
      <c r="AD552" s="686">
        <f t="shared" si="277"/>
        <v>11.562950658247477</v>
      </c>
      <c r="AE552" s="687">
        <f t="shared" si="278"/>
        <v>-23.952910595300331</v>
      </c>
      <c r="AG552" s="686">
        <f t="shared" si="279"/>
        <v>20.777968611121906</v>
      </c>
      <c r="AH552" s="687">
        <f t="shared" si="280"/>
        <v>-22.351792649755069</v>
      </c>
      <c r="AJ552" s="170">
        <f t="shared" si="281"/>
        <v>0</v>
      </c>
      <c r="AK552" s="170">
        <f t="shared" si="293"/>
        <v>0</v>
      </c>
      <c r="AM552" s="170" t="str">
        <f t="shared" si="285"/>
        <v>1.96366705632827-0.267106354375198i</v>
      </c>
      <c r="AN552" s="170" t="str">
        <f t="shared" si="286"/>
        <v>3.41198168575668i</v>
      </c>
      <c r="AO552" s="170" t="str">
        <f t="shared" si="287"/>
        <v>-0.0782848148013905-0.575520983751349i</v>
      </c>
      <c r="AP552" s="170" t="str">
        <f t="shared" si="288"/>
        <v>-0.160611176054712+0.0445177257291997i</v>
      </c>
      <c r="AQ552" s="170" t="str">
        <f t="shared" si="289"/>
        <v>1.16061117605471-0.0445177257291997i</v>
      </c>
      <c r="AR552" s="170" t="str">
        <f t="shared" si="290"/>
        <v>0.716670879590216+0.0274894454869506i</v>
      </c>
    </row>
    <row r="553" spans="7:44">
      <c r="G553" s="688">
        <v>87096</v>
      </c>
      <c r="H553" s="676">
        <f t="shared" si="282"/>
        <v>87.096000000000004</v>
      </c>
      <c r="I553" s="677">
        <f t="shared" si="262"/>
        <v>29.801106255516636</v>
      </c>
      <c r="J553" s="678">
        <f t="shared" si="263"/>
        <v>1.537234225043453</v>
      </c>
      <c r="K553" s="678">
        <f t="shared" si="264"/>
        <v>1.0059716090125754</v>
      </c>
      <c r="L553" s="679">
        <f t="shared" si="265"/>
        <v>0.10901415410438095</v>
      </c>
      <c r="M553" s="678">
        <f t="shared" si="266"/>
        <v>1.2392446285083449</v>
      </c>
      <c r="N553" s="679">
        <f t="shared" si="267"/>
        <v>-0.63183819821317477</v>
      </c>
      <c r="O553" s="677">
        <f t="shared" si="268"/>
        <v>656688.36826732149</v>
      </c>
      <c r="P553" s="680">
        <f t="shared" si="269"/>
        <v>1.5707948040025825</v>
      </c>
      <c r="Q553" s="689">
        <f t="shared" si="291"/>
        <v>14.700093056513868</v>
      </c>
      <c r="R553" s="690">
        <f t="shared" si="292"/>
        <v>1.5027169697100968</v>
      </c>
      <c r="S553" s="677">
        <f t="shared" si="270"/>
        <v>1.065097629289848</v>
      </c>
      <c r="T553" s="680">
        <f t="shared" si="271"/>
        <v>0.35143098889346408</v>
      </c>
      <c r="U553" s="681">
        <f t="shared" si="283"/>
        <v>0.41390009223275875</v>
      </c>
      <c r="V553" s="682">
        <f t="shared" si="284"/>
        <v>-1.6746919681135053</v>
      </c>
      <c r="W553" s="683">
        <f t="shared" si="272"/>
        <v>-24.926644611653757</v>
      </c>
      <c r="X553" s="684">
        <f t="shared" si="273"/>
        <v>-238.02151143984446</v>
      </c>
      <c r="Y553" s="687">
        <f t="shared" si="274"/>
        <v>-58.02151143984446</v>
      </c>
      <c r="AA553" s="170">
        <f t="shared" si="275"/>
        <v>87096</v>
      </c>
      <c r="AB553" s="170">
        <f t="shared" si="276"/>
        <v>7585713216</v>
      </c>
      <c r="AD553" s="686">
        <f t="shared" si="277"/>
        <v>11.556876944813485</v>
      </c>
      <c r="AE553" s="687">
        <f t="shared" si="278"/>
        <v>-24.036085064520048</v>
      </c>
      <c r="AG553" s="686">
        <f t="shared" si="279"/>
        <v>20.801989320565571</v>
      </c>
      <c r="AH553" s="687">
        <f t="shared" si="280"/>
        <v>-22.07986264131776</v>
      </c>
      <c r="AJ553" s="170">
        <f t="shared" si="281"/>
        <v>0</v>
      </c>
      <c r="AK553" s="170">
        <f t="shared" si="293"/>
        <v>0</v>
      </c>
      <c r="AM553" s="170" t="str">
        <f t="shared" si="285"/>
        <v>1.95826923976629-0.285867214135764i</v>
      </c>
      <c r="AN553" s="170" t="str">
        <f t="shared" si="286"/>
        <v>3.43150393938446i</v>
      </c>
      <c r="AO553" s="170" t="str">
        <f t="shared" si="287"/>
        <v>-0.0833066839454197-0.570673755402292i</v>
      </c>
      <c r="AP553" s="170" t="str">
        <f t="shared" si="288"/>
        <v>-0.159711539961048+0.047644535689294i</v>
      </c>
      <c r="AQ553" s="170" t="str">
        <f t="shared" si="289"/>
        <v>1.15971153996105-0.047644535689294i</v>
      </c>
      <c r="AR553" s="170" t="str">
        <f t="shared" si="290"/>
        <v>0.717071776837276+0.0294595256545059i</v>
      </c>
    </row>
    <row r="554" spans="7:44">
      <c r="G554" s="688">
        <v>87603.25</v>
      </c>
      <c r="H554" s="676">
        <f t="shared" si="282"/>
        <v>87.603250000000003</v>
      </c>
      <c r="I554" s="677">
        <f t="shared" si="262"/>
        <v>29.974474024319939</v>
      </c>
      <c r="J554" s="678">
        <f t="shared" si="263"/>
        <v>1.5374284153886166</v>
      </c>
      <c r="K554" s="678">
        <f t="shared" si="264"/>
        <v>1.0060411598063213</v>
      </c>
      <c r="L554" s="679">
        <f t="shared" si="265"/>
        <v>0.10964399444701146</v>
      </c>
      <c r="M554" s="678">
        <f t="shared" si="266"/>
        <v>1.2417671309228051</v>
      </c>
      <c r="N554" s="679">
        <f t="shared" si="267"/>
        <v>-0.63460832128526334</v>
      </c>
      <c r="O554" s="677">
        <f t="shared" si="268"/>
        <v>660512.94315942703</v>
      </c>
      <c r="P554" s="680">
        <f t="shared" si="269"/>
        <v>1.5707948128200224</v>
      </c>
      <c r="Q554" s="689">
        <f t="shared" si="291"/>
        <v>14.785311838787459</v>
      </c>
      <c r="R554" s="690">
        <f t="shared" si="292"/>
        <v>1.5031099639238332</v>
      </c>
      <c r="S554" s="677">
        <f t="shared" si="270"/>
        <v>1.0658346043624065</v>
      </c>
      <c r="T554" s="680">
        <f t="shared" si="271"/>
        <v>0.35331202766844838</v>
      </c>
      <c r="U554" s="681">
        <f t="shared" si="283"/>
        <v>0.41118312573624594</v>
      </c>
      <c r="V554" s="682">
        <f t="shared" si="284"/>
        <v>-1.6819084501347858</v>
      </c>
      <c r="W554" s="683">
        <f t="shared" si="272"/>
        <v>-25.022210344081568</v>
      </c>
      <c r="X554" s="684">
        <f t="shared" si="273"/>
        <v>-238.65400003617034</v>
      </c>
      <c r="Y554" s="687">
        <f t="shared" si="274"/>
        <v>-58.654000036170345</v>
      </c>
      <c r="AA554" s="170">
        <f t="shared" si="275"/>
        <v>87603.25</v>
      </c>
      <c r="AB554" s="170">
        <f t="shared" si="276"/>
        <v>7674329410.5625</v>
      </c>
      <c r="AD554" s="686">
        <f t="shared" si="277"/>
        <v>11.55063690360301</v>
      </c>
      <c r="AE554" s="687">
        <f t="shared" si="278"/>
        <v>-24.121344242906467</v>
      </c>
      <c r="AG554" s="686">
        <f t="shared" si="279"/>
        <v>20.827073210955987</v>
      </c>
      <c r="AH554" s="687">
        <f t="shared" si="280"/>
        <v>-21.800144132809475</v>
      </c>
      <c r="AJ554" s="170">
        <f t="shared" si="281"/>
        <v>0</v>
      </c>
      <c r="AK554" s="170">
        <f t="shared" si="293"/>
        <v>0</v>
      </c>
      <c r="AM554" s="170" t="str">
        <f t="shared" si="285"/>
        <v>1.95236514480745-0.304960048130717i</v>
      </c>
      <c r="AN554" s="170" t="str">
        <f t="shared" si="286"/>
        <v>3.45148913242723i</v>
      </c>
      <c r="AO554" s="170" t="str">
        <f t="shared" si="287"/>
        <v>-0.0883560794862641-0.565658783759364i</v>
      </c>
      <c r="AP554" s="170" t="str">
        <f t="shared" si="288"/>
        <v>-0.158727524134575+0.0508266746884528i</v>
      </c>
      <c r="AQ554" s="170" t="str">
        <f t="shared" si="289"/>
        <v>1.15872752413457-0.0508266746884528i</v>
      </c>
      <c r="AR554" s="170" t="str">
        <f t="shared" si="290"/>
        <v>0.717511503522018+0.0314730797492482i</v>
      </c>
    </row>
    <row r="555" spans="7:44">
      <c r="G555" s="688">
        <v>88110.5</v>
      </c>
      <c r="H555" s="676">
        <f t="shared" si="282"/>
        <v>88.110500000000002</v>
      </c>
      <c r="I555" s="677">
        <f t="shared" si="262"/>
        <v>30.147842910457165</v>
      </c>
      <c r="J555" s="678">
        <f t="shared" si="263"/>
        <v>1.5376203723099251</v>
      </c>
      <c r="K555" s="678">
        <f t="shared" si="264"/>
        <v>1.0061111096401756</v>
      </c>
      <c r="L555" s="679">
        <f t="shared" si="265"/>
        <v>0.11027374746018714</v>
      </c>
      <c r="M555" s="678">
        <f t="shared" si="266"/>
        <v>1.2442991234619294</v>
      </c>
      <c r="N555" s="679">
        <f t="shared" si="267"/>
        <v>-0.6373671917506265</v>
      </c>
      <c r="O555" s="677">
        <f t="shared" si="268"/>
        <v>664337.5180515328</v>
      </c>
      <c r="P555" s="680">
        <f t="shared" si="269"/>
        <v>1.5707948215359389</v>
      </c>
      <c r="Q555" s="689">
        <f t="shared" si="291"/>
        <v>14.870532878397947</v>
      </c>
      <c r="R555" s="690">
        <f t="shared" si="292"/>
        <v>1.5034984538022018</v>
      </c>
      <c r="S555" s="677">
        <f t="shared" si="270"/>
        <v>1.0665753454654276</v>
      </c>
      <c r="T555" s="680">
        <f t="shared" si="271"/>
        <v>0.35519046030340884</v>
      </c>
      <c r="U555" s="681">
        <f t="shared" si="283"/>
        <v>0.4084756225349413</v>
      </c>
      <c r="V555" s="682">
        <f t="shared" si="284"/>
        <v>-1.6891358386592403</v>
      </c>
      <c r="W555" s="683">
        <f t="shared" si="272"/>
        <v>-25.117652565593012</v>
      </c>
      <c r="X555" s="684">
        <f t="shared" si="273"/>
        <v>-239.28645459283689</v>
      </c>
      <c r="Y555" s="687">
        <f t="shared" si="274"/>
        <v>-59.28645459283689</v>
      </c>
      <c r="AA555" s="170">
        <f t="shared" si="275"/>
        <v>88110.5</v>
      </c>
      <c r="AB555" s="170">
        <f t="shared" si="276"/>
        <v>7763460210.25</v>
      </c>
      <c r="AD555" s="686">
        <f t="shared" si="277"/>
        <v>11.544374330158</v>
      </c>
      <c r="AE555" s="687">
        <f t="shared" si="278"/>
        <v>-24.206712174058037</v>
      </c>
      <c r="AG555" s="686">
        <f t="shared" si="279"/>
        <v>20.852659175210178</v>
      </c>
      <c r="AH555" s="687">
        <f t="shared" si="280"/>
        <v>-21.519033038673022</v>
      </c>
      <c r="AJ555" s="170">
        <f t="shared" si="281"/>
        <v>0</v>
      </c>
      <c r="AK555" s="170">
        <f t="shared" si="293"/>
        <v>0</v>
      </c>
      <c r="AM555" s="170" t="str">
        <f t="shared" si="285"/>
        <v>1.94608068030756-0.323931082714814i</v>
      </c>
      <c r="AN555" s="170" t="str">
        <f t="shared" si="286"/>
        <v>3.47147432546999i</v>
      </c>
      <c r="AO555" s="170" t="str">
        <f t="shared" si="287"/>
        <v>-0.0933122507454979-0.560591984226785i</v>
      </c>
      <c r="AP555" s="170" t="str">
        <f t="shared" si="288"/>
        <v>-0.157680113384593+0.0539885137858023i</v>
      </c>
      <c r="AQ555" s="170" t="str">
        <f t="shared" si="289"/>
        <v>1.15768011338459-0.0539885137858023i</v>
      </c>
      <c r="AR555" s="170" t="str">
        <f t="shared" si="290"/>
        <v>0.71798097528678+0.0334831058545935i</v>
      </c>
    </row>
    <row r="556" spans="7:44">
      <c r="G556" s="688">
        <v>88617.75</v>
      </c>
      <c r="H556" s="676">
        <f t="shared" si="282"/>
        <v>88.617750000000001</v>
      </c>
      <c r="I556" s="677">
        <f t="shared" si="262"/>
        <v>30.321212894762443</v>
      </c>
      <c r="J556" s="678">
        <f t="shared" si="263"/>
        <v>1.5378101341037793</v>
      </c>
      <c r="K556" s="678">
        <f t="shared" si="264"/>
        <v>1.0061814584309143</v>
      </c>
      <c r="L556" s="679">
        <f t="shared" si="265"/>
        <v>0.11090341266266772</v>
      </c>
      <c r="M556" s="678">
        <f t="shared" si="266"/>
        <v>1.2468405483101672</v>
      </c>
      <c r="N556" s="679">
        <f t="shared" si="267"/>
        <v>-0.64011483629243204</v>
      </c>
      <c r="O556" s="677">
        <f t="shared" si="268"/>
        <v>668162.09294363845</v>
      </c>
      <c r="P556" s="680">
        <f t="shared" si="269"/>
        <v>1.5707948301520751</v>
      </c>
      <c r="Q556" s="689">
        <f t="shared" si="291"/>
        <v>14.955756136756998</v>
      </c>
      <c r="R556" s="690">
        <f t="shared" si="292"/>
        <v>1.5038825162288751</v>
      </c>
      <c r="S556" s="677">
        <f t="shared" si="270"/>
        <v>1.0673198447578123</v>
      </c>
      <c r="T556" s="680">
        <f t="shared" si="271"/>
        <v>0.35706627898218951</v>
      </c>
      <c r="U556" s="681">
        <f t="shared" si="283"/>
        <v>0.4057773051109167</v>
      </c>
      <c r="V556" s="682">
        <f t="shared" si="284"/>
        <v>-1.6963748483256047</v>
      </c>
      <c r="W556" s="683">
        <f t="shared" si="272"/>
        <v>-25.212982203170494</v>
      </c>
      <c r="X556" s="684">
        <f t="shared" si="273"/>
        <v>-239.91891495341281</v>
      </c>
      <c r="Y556" s="687">
        <f t="shared" si="274"/>
        <v>-59.918914953412809</v>
      </c>
      <c r="AA556" s="170">
        <f t="shared" si="275"/>
        <v>88617.75</v>
      </c>
      <c r="AB556" s="170">
        <f t="shared" si="276"/>
        <v>7853105615.0625</v>
      </c>
      <c r="AD556" s="686">
        <f t="shared" si="277"/>
        <v>11.53808925578117</v>
      </c>
      <c r="AE556" s="687">
        <f t="shared" si="278"/>
        <v>-24.292184005131947</v>
      </c>
      <c r="AG556" s="686">
        <f t="shared" si="279"/>
        <v>20.87875020367488</v>
      </c>
      <c r="AH556" s="687">
        <f t="shared" si="280"/>
        <v>-21.236492163752995</v>
      </c>
      <c r="AJ556" s="170">
        <f t="shared" si="281"/>
        <v>0</v>
      </c>
      <c r="AK556" s="170">
        <f t="shared" si="293"/>
        <v>0</v>
      </c>
      <c r="AM556" s="170" t="str">
        <f t="shared" si="285"/>
        <v>1.93941835624809-0.34277274095841i</v>
      </c>
      <c r="AN556" s="170" t="str">
        <f t="shared" si="286"/>
        <v>3.49145951851276i</v>
      </c>
      <c r="AO556" s="170" t="str">
        <f t="shared" si="287"/>
        <v>-0.0981746284443301-0.555474965688336i</v>
      </c>
      <c r="AP556" s="170" t="str">
        <f t="shared" si="288"/>
        <v>-0.156569726041348+0.057128790159735i</v>
      </c>
      <c r="AQ556" s="170" t="str">
        <f t="shared" si="289"/>
        <v>1.15656972604135-0.057128790159735i</v>
      </c>
      <c r="AR556" s="170" t="str">
        <f t="shared" si="290"/>
        <v>0.718480276290199+0.0354893509780695i</v>
      </c>
    </row>
    <row r="557" spans="7:44">
      <c r="G557" s="688">
        <v>89125</v>
      </c>
      <c r="H557" s="676">
        <f t="shared" si="282"/>
        <v>89.125</v>
      </c>
      <c r="I557" s="677">
        <f t="shared" si="262"/>
        <v>30.494583958505622</v>
      </c>
      <c r="J557" s="678">
        <f t="shared" si="263"/>
        <v>1.5379977381963137</v>
      </c>
      <c r="K557" s="678">
        <f t="shared" si="264"/>
        <v>1.0062522060948624</v>
      </c>
      <c r="L557" s="679">
        <f t="shared" si="265"/>
        <v>0.11153298957362566</v>
      </c>
      <c r="M557" s="678">
        <f t="shared" si="266"/>
        <v>1.2493913479078813</v>
      </c>
      <c r="N557" s="679">
        <f t="shared" si="267"/>
        <v>-0.64285128205514952</v>
      </c>
      <c r="O557" s="677">
        <f t="shared" si="268"/>
        <v>671986.66783574421</v>
      </c>
      <c r="P557" s="680">
        <f t="shared" si="269"/>
        <v>1.5707948386701349</v>
      </c>
      <c r="Q557" s="689">
        <f t="shared" si="291"/>
        <v>15.040981576149848</v>
      </c>
      <c r="R557" s="690">
        <f t="shared" si="292"/>
        <v>1.5042622263502607</v>
      </c>
      <c r="S557" s="677">
        <f t="shared" si="270"/>
        <v>1.0680680943805969</v>
      </c>
      <c r="T557" s="680">
        <f t="shared" si="271"/>
        <v>0.35893947598395354</v>
      </c>
      <c r="U557" s="681">
        <f t="shared" si="283"/>
        <v>0.40308789491964725</v>
      </c>
      <c r="V557" s="682">
        <f t="shared" si="284"/>
        <v>-1.7036261958495138</v>
      </c>
      <c r="W557" s="683">
        <f t="shared" si="272"/>
        <v>-25.308210307333017</v>
      </c>
      <c r="X557" s="684">
        <f t="shared" si="273"/>
        <v>-240.55142116200591</v>
      </c>
      <c r="Y557" s="687">
        <f t="shared" si="274"/>
        <v>-60.551421162005909</v>
      </c>
      <c r="AA557" s="170">
        <f t="shared" si="275"/>
        <v>89125</v>
      </c>
      <c r="AB557" s="170">
        <f t="shared" si="276"/>
        <v>7943265625</v>
      </c>
      <c r="AD557" s="686">
        <f t="shared" si="277"/>
        <v>11.531781714460587</v>
      </c>
      <c r="AE557" s="687">
        <f t="shared" si="278"/>
        <v>-24.377754988282447</v>
      </c>
      <c r="AG557" s="686">
        <f t="shared" si="279"/>
        <v>20.90534953806403</v>
      </c>
      <c r="AH557" s="687">
        <f t="shared" si="280"/>
        <v>-20.952484170440833</v>
      </c>
      <c r="AJ557" s="170">
        <f t="shared" si="281"/>
        <v>0</v>
      </c>
      <c r="AK557" s="170">
        <f t="shared" si="293"/>
        <v>0</v>
      </c>
      <c r="AM557" s="170" t="str">
        <f t="shared" si="285"/>
        <v>1.93238083352561-0.361477497604046i</v>
      </c>
      <c r="AN557" s="170" t="str">
        <f t="shared" si="286"/>
        <v>3.51144471155553i</v>
      </c>
      <c r="AO557" s="170" t="str">
        <f t="shared" si="287"/>
        <v>-0.102942670979409-0.55030934337838i</v>
      </c>
      <c r="AP557" s="170" t="str">
        <f t="shared" si="288"/>
        <v>-0.155396805587602+0.0602462496006743i</v>
      </c>
      <c r="AQ557" s="170" t="str">
        <f t="shared" si="289"/>
        <v>1.1553968055876-0.0602462496006743i</v>
      </c>
      <c r="AR557" s="170" t="str">
        <f t="shared" si="290"/>
        <v>0.719009495494514+0.0374915572912523i</v>
      </c>
    </row>
    <row r="558" spans="7:44">
      <c r="G558" s="688">
        <v>89644</v>
      </c>
      <c r="H558" s="676">
        <f t="shared" si="282"/>
        <v>89.644000000000005</v>
      </c>
      <c r="I558" s="677">
        <f t="shared" si="262"/>
        <v>30.67197210856061</v>
      </c>
      <c r="J558" s="678">
        <f t="shared" si="263"/>
        <v>1.5381874928691568</v>
      </c>
      <c r="K558" s="678">
        <f t="shared" si="264"/>
        <v>1.006325005318002</v>
      </c>
      <c r="L558" s="679">
        <f t="shared" si="265"/>
        <v>0.11217705819578523</v>
      </c>
      <c r="M558" s="678">
        <f t="shared" si="266"/>
        <v>1.2520108777707997</v>
      </c>
      <c r="N558" s="679">
        <f t="shared" si="267"/>
        <v>-0.64563955306212062</v>
      </c>
      <c r="O558" s="677">
        <f t="shared" si="268"/>
        <v>675899.83564057993</v>
      </c>
      <c r="P558" s="680">
        <f t="shared" si="269"/>
        <v>1.5707948472857338</v>
      </c>
      <c r="Q558" s="689">
        <f t="shared" si="291"/>
        <v>15.128183406825064</v>
      </c>
      <c r="R558" s="690">
        <f t="shared" si="292"/>
        <v>1.504646304030655</v>
      </c>
      <c r="S558" s="677">
        <f t="shared" si="270"/>
        <v>1.0688375499785203</v>
      </c>
      <c r="T558" s="680">
        <f t="shared" si="271"/>
        <v>0.36085334251963042</v>
      </c>
      <c r="U558" s="681">
        <f t="shared" si="283"/>
        <v>0.4003451144156116</v>
      </c>
      <c r="V558" s="682">
        <f t="shared" si="284"/>
        <v>-1.7110590341585357</v>
      </c>
      <c r="W558" s="683">
        <f t="shared" si="272"/>
        <v>-25.405550860164126</v>
      </c>
      <c r="X558" s="684">
        <f t="shared" si="273"/>
        <v>-241.19866825521524</v>
      </c>
      <c r="Y558" s="687">
        <f t="shared" si="274"/>
        <v>-61.198668255215239</v>
      </c>
      <c r="AA558" s="170">
        <f t="shared" si="275"/>
        <v>89644</v>
      </c>
      <c r="AB558" s="170">
        <f t="shared" si="276"/>
        <v>8036046736</v>
      </c>
      <c r="AD558" s="686">
        <f t="shared" si="277"/>
        <v>11.525304849051556</v>
      </c>
      <c r="AE558" s="687">
        <f t="shared" si="278"/>
        <v>-24.465405926973908</v>
      </c>
      <c r="AG558" s="686">
        <f t="shared" si="279"/>
        <v>20.933094775250677</v>
      </c>
      <c r="AH558" s="687">
        <f t="shared" si="280"/>
        <v>-20.660339794165282</v>
      </c>
      <c r="AJ558" s="170">
        <f t="shared" si="281"/>
        <v>0</v>
      </c>
      <c r="AK558" s="170">
        <f t="shared" si="293"/>
        <v>0</v>
      </c>
      <c r="AM558" s="170" t="str">
        <f t="shared" si="285"/>
        <v>1.92479488926393-0.380466046831152i</v>
      </c>
      <c r="AN558" s="170" t="str">
        <f t="shared" si="286"/>
        <v>3.53189284401328i</v>
      </c>
      <c r="AO558" s="170" t="str">
        <f t="shared" si="287"/>
        <v>-0.107722986974551-0.544975449220252i</v>
      </c>
      <c r="AP558" s="170" t="str">
        <f t="shared" si="288"/>
        <v>-0.154132481543987+0.063411007805192i</v>
      </c>
      <c r="AQ558" s="170" t="str">
        <f t="shared" si="289"/>
        <v>1.15413248154399-0.063411007805192i</v>
      </c>
      <c r="AR558" s="170" t="str">
        <f t="shared" si="290"/>
        <v>0.719582037100968+0.0395356884073159i</v>
      </c>
    </row>
    <row r="559" spans="7:44">
      <c r="G559" s="688">
        <v>90163</v>
      </c>
      <c r="H559" s="676">
        <f t="shared" si="282"/>
        <v>90.162999999999997</v>
      </c>
      <c r="I559" s="677">
        <f t="shared" si="262"/>
        <v>30.849361350315331</v>
      </c>
      <c r="J559" s="678">
        <f t="shared" si="263"/>
        <v>1.5383750653033483</v>
      </c>
      <c r="K559" s="678">
        <f t="shared" si="264"/>
        <v>1.0063982219288037</v>
      </c>
      <c r="L559" s="679">
        <f t="shared" si="265"/>
        <v>0.11282103337160523</v>
      </c>
      <c r="M559" s="678">
        <f t="shared" si="266"/>
        <v>1.2546401006466907</v>
      </c>
      <c r="N559" s="679">
        <f t="shared" si="267"/>
        <v>-0.6484161593831268</v>
      </c>
      <c r="O559" s="677">
        <f t="shared" si="268"/>
        <v>679813.00344541564</v>
      </c>
      <c r="P559" s="680">
        <f t="shared" si="269"/>
        <v>1.5707948558021458</v>
      </c>
      <c r="Q559" s="689">
        <f t="shared" si="291"/>
        <v>15.2153874435643</v>
      </c>
      <c r="R559" s="690">
        <f t="shared" si="292"/>
        <v>1.505025979233328</v>
      </c>
      <c r="S559" s="677">
        <f t="shared" si="270"/>
        <v>1.0696109149644597</v>
      </c>
      <c r="T559" s="680">
        <f t="shared" si="271"/>
        <v>0.36276444846616018</v>
      </c>
      <c r="U559" s="681">
        <f t="shared" si="283"/>
        <v>0.39761106531244733</v>
      </c>
      <c r="V559" s="682">
        <f t="shared" si="284"/>
        <v>-1.7185063136724443</v>
      </c>
      <c r="W559" s="683">
        <f t="shared" si="272"/>
        <v>-25.50280894920235</v>
      </c>
      <c r="X559" s="684">
        <f t="shared" si="273"/>
        <v>-241.84604881985973</v>
      </c>
      <c r="Y559" s="687">
        <f t="shared" si="274"/>
        <v>-61.846048819859732</v>
      </c>
      <c r="AA559" s="170">
        <f t="shared" si="275"/>
        <v>90163</v>
      </c>
      <c r="AB559" s="170">
        <f t="shared" si="276"/>
        <v>8129366569</v>
      </c>
      <c r="AD559" s="686">
        <f t="shared" si="277"/>
        <v>11.51880454398804</v>
      </c>
      <c r="AE559" s="687">
        <f t="shared" si="278"/>
        <v>-24.553150933268196</v>
      </c>
      <c r="AG559" s="686">
        <f t="shared" si="279"/>
        <v>20.961379827505127</v>
      </c>
      <c r="AH559" s="687">
        <f t="shared" si="280"/>
        <v>-20.3665799815379</v>
      </c>
      <c r="AJ559" s="170">
        <f t="shared" si="281"/>
        <v>0</v>
      </c>
      <c r="AK559" s="170">
        <f t="shared" si="293"/>
        <v>0</v>
      </c>
      <c r="AM559" s="170" t="str">
        <f t="shared" si="285"/>
        <v>1.91682227757572-0.399295518808899i</v>
      </c>
      <c r="AN559" s="170" t="str">
        <f t="shared" si="286"/>
        <v>3.55234097647103i</v>
      </c>
      <c r="AO559" s="170" t="str">
        <f t="shared" si="287"/>
        <v>-0.112403488700448-0.53959411280387i</v>
      </c>
      <c r="AP559" s="170" t="str">
        <f t="shared" si="288"/>
        <v>-0.152803712929287+0.0665492531348165i</v>
      </c>
      <c r="AQ559" s="170" t="str">
        <f t="shared" si="289"/>
        <v>1.15280371292929-0.0665492531348165i</v>
      </c>
      <c r="AR559" s="170" t="str">
        <f t="shared" si="290"/>
        <v>0.720186102449047+0.0415750285139811i</v>
      </c>
    </row>
    <row r="560" spans="7:44">
      <c r="G560" s="688">
        <v>90682</v>
      </c>
      <c r="H560" s="676">
        <f t="shared" si="282"/>
        <v>90.682000000000002</v>
      </c>
      <c r="I560" s="677">
        <f t="shared" si="262"/>
        <v>31.026751665045051</v>
      </c>
      <c r="J560" s="678">
        <f t="shared" si="263"/>
        <v>1.5385604929153396</v>
      </c>
      <c r="K560" s="678">
        <f t="shared" si="264"/>
        <v>1.006471855836178</v>
      </c>
      <c r="L560" s="679">
        <f t="shared" si="265"/>
        <v>0.11346491458741953</v>
      </c>
      <c r="M560" s="678">
        <f t="shared" si="266"/>
        <v>1.2572789557254442</v>
      </c>
      <c r="N560" s="679">
        <f t="shared" si="267"/>
        <v>-0.65118113151918466</v>
      </c>
      <c r="O560" s="677">
        <f t="shared" si="268"/>
        <v>683726.17125025147</v>
      </c>
      <c r="P560" s="680">
        <f t="shared" si="269"/>
        <v>1.5707948642210738</v>
      </c>
      <c r="Q560" s="689">
        <f t="shared" si="291"/>
        <v>15.302593648652829</v>
      </c>
      <c r="R560" s="690">
        <f t="shared" si="292"/>
        <v>1.5054013271142042</v>
      </c>
      <c r="S560" s="677">
        <f t="shared" si="270"/>
        <v>1.0703881808647127</v>
      </c>
      <c r="T560" s="680">
        <f t="shared" si="271"/>
        <v>0.36467278586240104</v>
      </c>
      <c r="U560" s="681">
        <f t="shared" si="283"/>
        <v>0.39488544587787777</v>
      </c>
      <c r="V560" s="682">
        <f t="shared" si="284"/>
        <v>-1.7259688095664352</v>
      </c>
      <c r="W560" s="683">
        <f t="shared" si="272"/>
        <v>-25.599996854303964</v>
      </c>
      <c r="X560" s="684">
        <f t="shared" si="273"/>
        <v>-242.49360642886208</v>
      </c>
      <c r="Y560" s="687">
        <f t="shared" si="274"/>
        <v>-62.49360642886208</v>
      </c>
      <c r="AA560" s="170">
        <f t="shared" si="275"/>
        <v>90682</v>
      </c>
      <c r="AB560" s="170">
        <f t="shared" si="276"/>
        <v>8223225124</v>
      </c>
      <c r="AD560" s="686">
        <f t="shared" si="277"/>
        <v>11.512280843810082</v>
      </c>
      <c r="AE560" s="687">
        <f t="shared" si="278"/>
        <v>-24.640985245005815</v>
      </c>
      <c r="AG560" s="686">
        <f t="shared" si="279"/>
        <v>20.990209008942351</v>
      </c>
      <c r="AH560" s="687">
        <f t="shared" si="280"/>
        <v>-20.071164239106714</v>
      </c>
      <c r="AJ560" s="170">
        <f t="shared" si="281"/>
        <v>0</v>
      </c>
      <c r="AK560" s="170">
        <f t="shared" si="293"/>
        <v>0</v>
      </c>
      <c r="AM560" s="170" t="str">
        <f t="shared" si="285"/>
        <v>1.90846633190204-0.417958040717543i</v>
      </c>
      <c r="AN560" s="170" t="str">
        <f t="shared" si="286"/>
        <v>3.57278910892879i</v>
      </c>
      <c r="AO560" s="170" t="str">
        <f t="shared" si="287"/>
        <v>-0.116983686407076-0.534167081715675i</v>
      </c>
      <c r="AP560" s="170" t="str">
        <f t="shared" si="288"/>
        <v>-0.151411055317007+0.0696596734529238i</v>
      </c>
      <c r="AQ560" s="170" t="str">
        <f t="shared" si="289"/>
        <v>1.15141105531701-0.0696596734529238i</v>
      </c>
      <c r="AR560" s="170" t="str">
        <f t="shared" si="290"/>
        <v>0.720821801829459+0.0436092836709507i</v>
      </c>
    </row>
    <row r="561" spans="7:44">
      <c r="G561" s="688">
        <v>91201</v>
      </c>
      <c r="H561" s="676">
        <f t="shared" si="282"/>
        <v>91.200999999999993</v>
      </c>
      <c r="I561" s="677">
        <f t="shared" si="262"/>
        <v>31.204143034450727</v>
      </c>
      <c r="J561" s="678">
        <f t="shared" si="263"/>
        <v>1.538743812271349</v>
      </c>
      <c r="K561" s="678">
        <f t="shared" si="264"/>
        <v>1.0065459069485427</v>
      </c>
      <c r="L561" s="679">
        <f t="shared" si="265"/>
        <v>0.11410870133002345</v>
      </c>
      <c r="M561" s="678">
        <f t="shared" si="266"/>
        <v>1.2599273824845554</v>
      </c>
      <c r="N561" s="679">
        <f t="shared" si="267"/>
        <v>-0.65393450042780144</v>
      </c>
      <c r="O561" s="677">
        <f t="shared" si="268"/>
        <v>687639.3390550873</v>
      </c>
      <c r="P561" s="680">
        <f t="shared" si="269"/>
        <v>1.5707948725441823</v>
      </c>
      <c r="Q561" s="689">
        <f t="shared" si="291"/>
        <v>15.389801985229848</v>
      </c>
      <c r="R561" s="690">
        <f t="shared" si="292"/>
        <v>1.5057724211306256</v>
      </c>
      <c r="S561" s="677">
        <f t="shared" si="270"/>
        <v>1.0711693391874906</v>
      </c>
      <c r="T561" s="680">
        <f t="shared" si="271"/>
        <v>0.3665783468509185</v>
      </c>
      <c r="U561" s="681">
        <f t="shared" si="283"/>
        <v>0.39216795322152892</v>
      </c>
      <c r="V561" s="682">
        <f t="shared" si="284"/>
        <v>-1.7334472997825294</v>
      </c>
      <c r="W561" s="683">
        <f t="shared" si="272"/>
        <v>-25.69712701969372</v>
      </c>
      <c r="X561" s="684">
        <f t="shared" si="273"/>
        <v>-243.14138489434765</v>
      </c>
      <c r="Y561" s="687">
        <f t="shared" si="274"/>
        <v>-63.141384894347652</v>
      </c>
      <c r="AA561" s="170">
        <f t="shared" si="275"/>
        <v>91201</v>
      </c>
      <c r="AB561" s="170">
        <f t="shared" si="276"/>
        <v>8317622401</v>
      </c>
      <c r="AD561" s="686">
        <f t="shared" si="277"/>
        <v>11.505733795611574</v>
      </c>
      <c r="AE561" s="687">
        <f t="shared" si="278"/>
        <v>-24.728904203288582</v>
      </c>
      <c r="AG561" s="686">
        <f t="shared" si="279"/>
        <v>21.019586926822722</v>
      </c>
      <c r="AH561" s="687">
        <f t="shared" si="280"/>
        <v>-19.774051892306137</v>
      </c>
      <c r="AJ561" s="170">
        <f t="shared" si="281"/>
        <v>0</v>
      </c>
      <c r="AK561" s="170">
        <f t="shared" si="293"/>
        <v>0</v>
      </c>
      <c r="AM561" s="170" t="str">
        <f t="shared" si="285"/>
        <v>1.89973054596031-0.436445809541064i</v>
      </c>
      <c r="AN561" s="170" t="str">
        <f t="shared" si="286"/>
        <v>3.59323724138654i</v>
      </c>
      <c r="AO561" s="170" t="str">
        <f t="shared" si="287"/>
        <v>-0.121463120918966-0.528696108366964i</v>
      </c>
      <c r="AP561" s="170" t="str">
        <f t="shared" si="288"/>
        <v>-0.149955090993386+0.072740968256844i</v>
      </c>
      <c r="AQ561" s="170" t="str">
        <f t="shared" si="289"/>
        <v>1.14995509099339-0.072740968256844i</v>
      </c>
      <c r="AR561" s="170" t="str">
        <f t="shared" si="290"/>
        <v>0.721489250356207+0.0456381532364699i</v>
      </c>
    </row>
    <row r="562" spans="7:44">
      <c r="G562" s="688">
        <v>91732</v>
      </c>
      <c r="H562" s="676">
        <f t="shared" si="282"/>
        <v>91.731999999999999</v>
      </c>
      <c r="I562" s="677">
        <f t="shared" si="262"/>
        <v>31.385637011294648</v>
      </c>
      <c r="J562" s="678">
        <f t="shared" si="263"/>
        <v>1.5389292255562583</v>
      </c>
      <c r="K562" s="678">
        <f t="shared" si="264"/>
        <v>1.0066221019153723</v>
      </c>
      <c r="L562" s="679">
        <f t="shared" si="265"/>
        <v>0.11476727500549258</v>
      </c>
      <c r="M562" s="678">
        <f t="shared" si="266"/>
        <v>1.2626468879319925</v>
      </c>
      <c r="N562" s="679">
        <f t="shared" si="267"/>
        <v>-0.65673955504476456</v>
      </c>
      <c r="O562" s="677">
        <f t="shared" si="268"/>
        <v>691642.98472824309</v>
      </c>
      <c r="P562" s="680">
        <f t="shared" si="269"/>
        <v>1.5707948809622603</v>
      </c>
      <c r="Q562" s="689">
        <f t="shared" si="291"/>
        <v>15.47902886794121</v>
      </c>
      <c r="R562" s="690">
        <f t="shared" si="292"/>
        <v>1.5061477677001718</v>
      </c>
      <c r="S562" s="677">
        <f t="shared" si="270"/>
        <v>1.0719725785597773</v>
      </c>
      <c r="T562" s="680">
        <f t="shared" si="271"/>
        <v>0.36852508552543356</v>
      </c>
      <c r="U562" s="681">
        <f t="shared" si="283"/>
        <v>0.38939572205011014</v>
      </c>
      <c r="V562" s="682">
        <f t="shared" si="284"/>
        <v>-1.741116070742154</v>
      </c>
      <c r="W562" s="683">
        <f t="shared" si="272"/>
        <v>-25.796456370671351</v>
      </c>
      <c r="X562" s="684">
        <f t="shared" si="273"/>
        <v>-243.80441542048331</v>
      </c>
      <c r="Y562" s="687">
        <f t="shared" si="274"/>
        <v>-63.804415420483309</v>
      </c>
      <c r="AA562" s="170">
        <f t="shared" si="275"/>
        <v>91732</v>
      </c>
      <c r="AB562" s="170">
        <f t="shared" si="276"/>
        <v>8414759824</v>
      </c>
      <c r="AD562" s="686">
        <f t="shared" si="277"/>
        <v>11.499011258256646</v>
      </c>
      <c r="AE562" s="687">
        <f t="shared" si="278"/>
        <v>-24.818938821286704</v>
      </c>
      <c r="AG562" s="686">
        <f t="shared" si="279"/>
        <v>21.050217135353378</v>
      </c>
      <c r="AH562" s="687">
        <f t="shared" si="280"/>
        <v>-19.468271379361589</v>
      </c>
      <c r="AJ562" s="170">
        <f t="shared" si="281"/>
        <v>0</v>
      </c>
      <c r="AK562" s="170">
        <f t="shared" si="293"/>
        <v>0</v>
      </c>
      <c r="AM562" s="170" t="str">
        <f t="shared" si="285"/>
        <v>1.89040347134983-0.455172119322091i</v>
      </c>
      <c r="AN562" s="170" t="str">
        <f t="shared" si="286"/>
        <v>3.61415816303407i</v>
      </c>
      <c r="AO562" s="170" t="str">
        <f t="shared" si="287"/>
        <v>-0.125941394590207-0.523054992635642i</v>
      </c>
      <c r="AP562" s="170" t="str">
        <f t="shared" si="288"/>
        <v>-0.148400578558306+0.0758620198870152i</v>
      </c>
      <c r="AQ562" s="170" t="str">
        <f t="shared" si="289"/>
        <v>1.14840057855831-0.0758620198870152i</v>
      </c>
      <c r="AR562" s="170" t="str">
        <f t="shared" si="290"/>
        <v>0.722205114952502+0.0477080383064688i</v>
      </c>
    </row>
    <row r="563" spans="7:44">
      <c r="G563" s="688">
        <v>92263</v>
      </c>
      <c r="H563" s="676">
        <f t="shared" si="282"/>
        <v>92.263000000000005</v>
      </c>
      <c r="I563" s="677">
        <f t="shared" si="262"/>
        <v>31.567132054709603</v>
      </c>
      <c r="J563" s="678">
        <f t="shared" si="263"/>
        <v>1.5391125067821869</v>
      </c>
      <c r="K563" s="678">
        <f t="shared" si="264"/>
        <v>1.0066987334074213</v>
      </c>
      <c r="L563" s="679">
        <f t="shared" si="265"/>
        <v>0.11542574870318888</v>
      </c>
      <c r="M563" s="678">
        <f t="shared" si="266"/>
        <v>1.2653762855544735</v>
      </c>
      <c r="N563" s="679">
        <f t="shared" si="267"/>
        <v>-0.65953253063771133</v>
      </c>
      <c r="O563" s="677">
        <f t="shared" si="268"/>
        <v>695646.63040139887</v>
      </c>
      <c r="P563" s="680">
        <f t="shared" si="269"/>
        <v>1.5707948892834414</v>
      </c>
      <c r="Q563" s="689">
        <f t="shared" si="291"/>
        <v>15.568257906418738</v>
      </c>
      <c r="R563" s="690">
        <f t="shared" si="292"/>
        <v>1.5065188117445847</v>
      </c>
      <c r="S563" s="677">
        <f t="shared" si="270"/>
        <v>1.0727798743919841</v>
      </c>
      <c r="T563" s="680">
        <f t="shared" si="271"/>
        <v>0.37046890161051915</v>
      </c>
      <c r="U563" s="681">
        <f t="shared" si="283"/>
        <v>0.3866313525958886</v>
      </c>
      <c r="V563" s="682">
        <f t="shared" si="284"/>
        <v>-1.748803241056232</v>
      </c>
      <c r="W563" s="683">
        <f t="shared" si="272"/>
        <v>-25.895752195780503</v>
      </c>
      <c r="X563" s="684">
        <f t="shared" si="273"/>
        <v>-244.46777070414174</v>
      </c>
      <c r="Y563" s="687">
        <f t="shared" si="274"/>
        <v>-64.467770704141742</v>
      </c>
      <c r="AA563" s="170">
        <f t="shared" si="275"/>
        <v>92263</v>
      </c>
      <c r="AB563" s="170">
        <f t="shared" si="276"/>
        <v>8512461169</v>
      </c>
      <c r="AD563" s="686">
        <f t="shared" si="277"/>
        <v>11.492264388259175</v>
      </c>
      <c r="AE563" s="687">
        <f t="shared" si="278"/>
        <v>-24.909052498224948</v>
      </c>
      <c r="AG563" s="686">
        <f t="shared" si="279"/>
        <v>21.081432468084735</v>
      </c>
      <c r="AH563" s="687">
        <f t="shared" si="280"/>
        <v>-19.160628154285352</v>
      </c>
      <c r="AJ563" s="170">
        <f t="shared" si="281"/>
        <v>0</v>
      </c>
      <c r="AK563" s="170">
        <f t="shared" si="293"/>
        <v>0</v>
      </c>
      <c r="AM563" s="170" t="str">
        <f t="shared" si="285"/>
        <v>1.88068669474352-0.473699214377372i</v>
      </c>
      <c r="AN563" s="170" t="str">
        <f t="shared" si="286"/>
        <v>3.6350790846816i</v>
      </c>
      <c r="AO563" s="170" t="str">
        <f t="shared" si="287"/>
        <v>-0.130313317356303-0.51737160345942i</v>
      </c>
      <c r="AP563" s="170" t="str">
        <f t="shared" si="288"/>
        <v>-0.146781115790586+0.0789498690628953i</v>
      </c>
      <c r="AQ563" s="170" t="str">
        <f t="shared" si="289"/>
        <v>1.14678111579059-0.0789498690628953i</v>
      </c>
      <c r="AR563" s="170" t="str">
        <f t="shared" si="290"/>
        <v>0.722954472495694+0.0497716261246774i</v>
      </c>
    </row>
    <row r="564" spans="7:44">
      <c r="G564" s="688">
        <v>92794</v>
      </c>
      <c r="H564" s="676">
        <f t="shared" si="282"/>
        <v>92.793999999999997</v>
      </c>
      <c r="I564" s="677">
        <f t="shared" si="262"/>
        <v>31.74862814640402</v>
      </c>
      <c r="J564" s="678">
        <f t="shared" si="263"/>
        <v>1.5392936925014791</v>
      </c>
      <c r="K564" s="678">
        <f t="shared" si="264"/>
        <v>1.0067758013250103</v>
      </c>
      <c r="L564" s="679">
        <f t="shared" si="265"/>
        <v>0.11608412187499541</v>
      </c>
      <c r="M564" s="678">
        <f t="shared" si="266"/>
        <v>1.2681155114784519</v>
      </c>
      <c r="N564" s="679">
        <f t="shared" si="267"/>
        <v>-0.6623134617667169</v>
      </c>
      <c r="O564" s="677">
        <f t="shared" si="268"/>
        <v>699650.27607455477</v>
      </c>
      <c r="P564" s="680">
        <f t="shared" si="269"/>
        <v>1.5707948975093891</v>
      </c>
      <c r="Q564" s="689">
        <f t="shared" si="291"/>
        <v>15.657489063806533</v>
      </c>
      <c r="R564" s="690">
        <f t="shared" si="292"/>
        <v>1.5068856267203672</v>
      </c>
      <c r="S564" s="677">
        <f t="shared" si="270"/>
        <v>1.073591217533244</v>
      </c>
      <c r="T564" s="680">
        <f t="shared" si="271"/>
        <v>0.37240978702667321</v>
      </c>
      <c r="U564" s="681">
        <f t="shared" si="283"/>
        <v>0.38387451662682925</v>
      </c>
      <c r="V564" s="682">
        <f t="shared" si="284"/>
        <v>-1.7565096536288225</v>
      </c>
      <c r="W564" s="683">
        <f t="shared" si="272"/>
        <v>-25.995028409345238</v>
      </c>
      <c r="X564" s="684">
        <f t="shared" si="273"/>
        <v>-245.13149847444072</v>
      </c>
      <c r="Y564" s="687">
        <f t="shared" si="274"/>
        <v>-65.131498474440718</v>
      </c>
      <c r="AA564" s="170">
        <f t="shared" si="275"/>
        <v>92794</v>
      </c>
      <c r="AB564" s="170">
        <f t="shared" si="276"/>
        <v>8610726436</v>
      </c>
      <c r="AD564" s="686">
        <f t="shared" si="277"/>
        <v>11.48549324378264</v>
      </c>
      <c r="AE564" s="687">
        <f t="shared" si="278"/>
        <v>-24.999240562529675</v>
      </c>
      <c r="AG564" s="686">
        <f t="shared" si="279"/>
        <v>21.113238847444432</v>
      </c>
      <c r="AH564" s="687">
        <f t="shared" si="280"/>
        <v>-18.851078028078543</v>
      </c>
      <c r="AJ564" s="170">
        <f t="shared" si="281"/>
        <v>0</v>
      </c>
      <c r="AK564" s="170">
        <f t="shared" si="293"/>
        <v>0</v>
      </c>
      <c r="AM564" s="170" t="str">
        <f t="shared" si="285"/>
        <v>1.87058446887325-0.49201898597176i</v>
      </c>
      <c r="AN564" s="170" t="str">
        <f t="shared" si="286"/>
        <v>3.65600000632913i</v>
      </c>
      <c r="AO564" s="170" t="str">
        <f t="shared" si="287"/>
        <v>-0.134578497024069-0.511647829768863i</v>
      </c>
      <c r="AP564" s="170" t="str">
        <f t="shared" si="288"/>
        <v>-0.145097411478875+0.0820031643286267i</v>
      </c>
      <c r="AQ564" s="170" t="str">
        <f t="shared" si="289"/>
        <v>1.14509741147888-0.0820031643286267i</v>
      </c>
      <c r="AR564" s="170" t="str">
        <f t="shared" si="290"/>
        <v>0.723737461028833+0.0518285705238668i</v>
      </c>
    </row>
    <row r="565" spans="7:44">
      <c r="G565" s="688">
        <v>93325</v>
      </c>
      <c r="H565" s="676">
        <f t="shared" si="282"/>
        <v>93.325000000000003</v>
      </c>
      <c r="I565" s="677">
        <f t="shared" si="262"/>
        <v>31.930125268502124</v>
      </c>
      <c r="J565" s="678">
        <f t="shared" si="263"/>
        <v>1.5394728184359538</v>
      </c>
      <c r="K565" s="678">
        <f t="shared" si="264"/>
        <v>1.0068533055679232</v>
      </c>
      <c r="L565" s="679">
        <f t="shared" si="265"/>
        <v>0.11674239397331118</v>
      </c>
      <c r="M565" s="678">
        <f t="shared" si="266"/>
        <v>1.2708645021520597</v>
      </c>
      <c r="N565" s="679">
        <f t="shared" si="267"/>
        <v>-0.66508238343960591</v>
      </c>
      <c r="O565" s="677">
        <f t="shared" si="268"/>
        <v>703653.92174771079</v>
      </c>
      <c r="P565" s="680">
        <f t="shared" si="269"/>
        <v>1.5707949056417287</v>
      </c>
      <c r="Q565" s="689">
        <f t="shared" si="291"/>
        <v>15.74672230408323</v>
      </c>
      <c r="R565" s="690">
        <f t="shared" si="292"/>
        <v>1.5072482844235868</v>
      </c>
      <c r="S565" s="677">
        <f t="shared" si="270"/>
        <v>1.0744065988145248</v>
      </c>
      <c r="T565" s="680">
        <f t="shared" si="271"/>
        <v>0.37434773380705683</v>
      </c>
      <c r="U565" s="681">
        <f t="shared" si="283"/>
        <v>0.38112488458625449</v>
      </c>
      <c r="V565" s="682">
        <f t="shared" si="284"/>
        <v>-1.7642361548894563</v>
      </c>
      <c r="W565" s="683">
        <f t="shared" si="272"/>
        <v>-26.094299142239667</v>
      </c>
      <c r="X565" s="684">
        <f t="shared" si="273"/>
        <v>-245.7956467421206</v>
      </c>
      <c r="Y565" s="687">
        <f t="shared" si="274"/>
        <v>-65.795646742120596</v>
      </c>
      <c r="AA565" s="170">
        <f t="shared" si="275"/>
        <v>93325</v>
      </c>
      <c r="AB565" s="170">
        <f t="shared" si="276"/>
        <v>8709555625</v>
      </c>
      <c r="AD565" s="686">
        <f t="shared" si="277"/>
        <v>11.47869788541322</v>
      </c>
      <c r="AE565" s="687">
        <f t="shared" si="278"/>
        <v>-25.089498444216112</v>
      </c>
      <c r="AG565" s="686">
        <f t="shared" si="279"/>
        <v>21.145642542159738</v>
      </c>
      <c r="AH565" s="687">
        <f t="shared" si="280"/>
        <v>-18.539576587786645</v>
      </c>
      <c r="AJ565" s="170">
        <f t="shared" si="281"/>
        <v>0</v>
      </c>
      <c r="AK565" s="170">
        <f t="shared" si="293"/>
        <v>0</v>
      </c>
      <c r="AM565" s="170" t="str">
        <f t="shared" si="285"/>
        <v>1.86010121517012-0.510123416109166i</v>
      </c>
      <c r="AN565" s="170" t="str">
        <f t="shared" si="286"/>
        <v>3.67692092797666i</v>
      </c>
      <c r="AO565" s="170" t="str">
        <f t="shared" si="287"/>
        <v>-0.138736575004314-0.505885563384606i</v>
      </c>
      <c r="AP565" s="170" t="str">
        <f t="shared" si="288"/>
        <v>-0.143350202528353+0.0850205693515277i</v>
      </c>
      <c r="AQ565" s="170" t="str">
        <f t="shared" si="289"/>
        <v>1.14335020252835-0.0850205693515277i</v>
      </c>
      <c r="AR565" s="170" t="str">
        <f t="shared" si="290"/>
        <v>0.724554223222164+0.0538785163532385i</v>
      </c>
    </row>
    <row r="566" spans="7:44">
      <c r="G566" s="688">
        <v>93868.5</v>
      </c>
      <c r="H566" s="676">
        <f t="shared" si="282"/>
        <v>93.868499999999997</v>
      </c>
      <c r="I566" s="677">
        <f t="shared" si="262"/>
        <v>32.115895970563493</v>
      </c>
      <c r="J566" s="678">
        <f t="shared" si="263"/>
        <v>1.5396540644307377</v>
      </c>
      <c r="K566" s="678">
        <f t="shared" si="264"/>
        <v>1.0069330860466903</v>
      </c>
      <c r="L566" s="679">
        <f t="shared" si="265"/>
        <v>0.11741605687766955</v>
      </c>
      <c r="M566" s="678">
        <f t="shared" si="266"/>
        <v>1.273688251677104</v>
      </c>
      <c r="N566" s="679">
        <f t="shared" si="267"/>
        <v>-0.66790408703274973</v>
      </c>
      <c r="O566" s="677">
        <f t="shared" si="268"/>
        <v>707751.81520036655</v>
      </c>
      <c r="P566" s="680">
        <f t="shared" si="269"/>
        <v>1.5707949138702266</v>
      </c>
      <c r="Q566" s="689">
        <f t="shared" si="291"/>
        <v>15.838058258798153</v>
      </c>
      <c r="R566" s="690">
        <f t="shared" si="292"/>
        <v>1.5076152472863857</v>
      </c>
      <c r="S566" s="677">
        <f t="shared" si="270"/>
        <v>1.0752453468305165</v>
      </c>
      <c r="T566" s="680">
        <f t="shared" si="271"/>
        <v>0.3763282493910628</v>
      </c>
      <c r="U566" s="681">
        <f t="shared" si="283"/>
        <v>0.37831763979159788</v>
      </c>
      <c r="V566" s="682">
        <f t="shared" si="284"/>
        <v>-1.772166232624975</v>
      </c>
      <c r="W566" s="683">
        <f t="shared" si="272"/>
        <v>-26.195916067503791</v>
      </c>
      <c r="X566" s="684">
        <f t="shared" si="273"/>
        <v>-246.47591525700361</v>
      </c>
      <c r="Y566" s="687">
        <f t="shared" si="274"/>
        <v>-66.475915257003606</v>
      </c>
      <c r="AA566" s="170">
        <f t="shared" si="275"/>
        <v>93868.5</v>
      </c>
      <c r="AB566" s="170">
        <f t="shared" si="276"/>
        <v>8811295292.25</v>
      </c>
      <c r="AD566" s="686">
        <f t="shared" si="277"/>
        <v>11.471717551055004</v>
      </c>
      <c r="AE566" s="687">
        <f t="shared" si="278"/>
        <v>-25.181948676726957</v>
      </c>
      <c r="AG566" s="686">
        <f t="shared" si="279"/>
        <v>21.179434522202403</v>
      </c>
      <c r="AH566" s="687">
        <f t="shared" si="280"/>
        <v>-18.218674898208626</v>
      </c>
      <c r="AJ566" s="170">
        <f t="shared" si="281"/>
        <v>0</v>
      </c>
      <c r="AK566" s="170">
        <f t="shared" si="293"/>
        <v>0</v>
      </c>
      <c r="AM566" s="170" t="str">
        <f t="shared" si="285"/>
        <v>1.84898138253959-0.528422758878875i</v>
      </c>
      <c r="AN566" s="170" t="str">
        <f t="shared" si="286"/>
        <v>3.69833433836353i</v>
      </c>
      <c r="AO566" s="170" t="str">
        <f t="shared" si="287"/>
        <v>-0.142881283987076-0.499949764779174i</v>
      </c>
      <c r="AP566" s="170" t="str">
        <f t="shared" si="288"/>
        <v>-0.141496897089932+0.0880704598131458i</v>
      </c>
      <c r="AQ566" s="170" t="str">
        <f t="shared" si="289"/>
        <v>1.14149689708993-0.0880704598131458i</v>
      </c>
      <c r="AR566" s="170" t="str">
        <f t="shared" si="290"/>
        <v>0.725425341545813+0.0559690907201956i</v>
      </c>
    </row>
    <row r="567" spans="7:44">
      <c r="G567" s="688">
        <v>94412</v>
      </c>
      <c r="H567" s="676">
        <f t="shared" si="282"/>
        <v>94.412000000000006</v>
      </c>
      <c r="I567" s="677">
        <f t="shared" si="262"/>
        <v>32.301667715500592</v>
      </c>
      <c r="J567" s="678">
        <f t="shared" si="263"/>
        <v>1.5398332256854477</v>
      </c>
      <c r="K567" s="678">
        <f t="shared" si="264"/>
        <v>1.0070133234210237</v>
      </c>
      <c r="L567" s="679">
        <f t="shared" si="265"/>
        <v>0.11808961273467763</v>
      </c>
      <c r="M567" s="678">
        <f t="shared" si="266"/>
        <v>1.2765220974096234</v>
      </c>
      <c r="N567" s="679">
        <f t="shared" si="267"/>
        <v>-0.67071328469357416</v>
      </c>
      <c r="O567" s="677">
        <f t="shared" si="268"/>
        <v>711849.70865302254</v>
      </c>
      <c r="P567" s="680">
        <f t="shared" si="269"/>
        <v>1.5707949220039865</v>
      </c>
      <c r="Q567" s="689">
        <f t="shared" si="291"/>
        <v>15.929396321835567</v>
      </c>
      <c r="R567" s="690">
        <f t="shared" si="292"/>
        <v>1.5079780019179301</v>
      </c>
      <c r="S567" s="677">
        <f t="shared" si="270"/>
        <v>1.0760883058496258</v>
      </c>
      <c r="T567" s="680">
        <f t="shared" si="271"/>
        <v>0.37830566982821412</v>
      </c>
      <c r="U567" s="681">
        <f t="shared" si="283"/>
        <v>0.37551723912946916</v>
      </c>
      <c r="V567" s="682">
        <f t="shared" si="284"/>
        <v>-1.780119162147104</v>
      </c>
      <c r="W567" s="683">
        <f t="shared" si="272"/>
        <v>-26.297557945651132</v>
      </c>
      <c r="X567" s="684">
        <f t="shared" si="273"/>
        <v>-247.15672700183754</v>
      </c>
      <c r="Y567" s="687">
        <f t="shared" si="274"/>
        <v>-67.156727001837538</v>
      </c>
      <c r="AA567" s="170">
        <f t="shared" si="275"/>
        <v>94412</v>
      </c>
      <c r="AB567" s="170">
        <f t="shared" si="276"/>
        <v>8913625744</v>
      </c>
      <c r="AD567" s="686">
        <f t="shared" si="277"/>
        <v>11.464711985215379</v>
      </c>
      <c r="AE567" s="687">
        <f t="shared" si="278"/>
        <v>-25.27446267884816</v>
      </c>
      <c r="AG567" s="686">
        <f t="shared" si="279"/>
        <v>21.213866703100468</v>
      </c>
      <c r="AH567" s="687">
        <f t="shared" si="280"/>
        <v>-17.895634047114044</v>
      </c>
      <c r="AJ567" s="170">
        <f t="shared" si="281"/>
        <v>0</v>
      </c>
      <c r="AK567" s="170">
        <f t="shared" si="293"/>
        <v>0</v>
      </c>
      <c r="AM567" s="170" t="str">
        <f t="shared" si="285"/>
        <v>1.8374722778321-0.546479811029392i</v>
      </c>
      <c r="AN567" s="170" t="str">
        <f t="shared" si="286"/>
        <v>3.71974774875041i</v>
      </c>
      <c r="AO567" s="170" t="str">
        <f t="shared" si="287"/>
        <v>-0.146913137110701-0.493977657073486i</v>
      </c>
      <c r="AP567" s="170" t="str">
        <f t="shared" si="288"/>
        <v>-0.139578712972016+0.0910799685048987i</v>
      </c>
      <c r="AQ567" s="170" t="str">
        <f t="shared" si="289"/>
        <v>1.13957871297202-0.0910799685048987i</v>
      </c>
      <c r="AR567" s="170" t="str">
        <f t="shared" si="290"/>
        <v>0.726332158780646+0.0580515495707234i</v>
      </c>
    </row>
    <row r="568" spans="7:44">
      <c r="G568" s="688">
        <v>94955.5</v>
      </c>
      <c r="H568" s="676">
        <f t="shared" si="282"/>
        <v>94.955500000000001</v>
      </c>
      <c r="I568" s="677">
        <f t="shared" si="262"/>
        <v>32.487440485423107</v>
      </c>
      <c r="J568" s="678">
        <f t="shared" si="263"/>
        <v>1.540010337951959</v>
      </c>
      <c r="K568" s="678">
        <f t="shared" si="264"/>
        <v>1.0070940175817178</v>
      </c>
      <c r="L568" s="679">
        <f t="shared" si="265"/>
        <v>0.11876306095884064</v>
      </c>
      <c r="M568" s="678">
        <f t="shared" si="266"/>
        <v>1.2793659722591351</v>
      </c>
      <c r="N568" s="679">
        <f t="shared" si="267"/>
        <v>-0.67351001533448285</v>
      </c>
      <c r="O568" s="677">
        <f t="shared" si="268"/>
        <v>715947.60210567852</v>
      </c>
      <c r="P568" s="680">
        <f t="shared" si="269"/>
        <v>1.5707949300446358</v>
      </c>
      <c r="Q568" s="689">
        <f t="shared" si="291"/>
        <v>16.02073645713531</v>
      </c>
      <c r="R568" s="690">
        <f t="shared" si="292"/>
        <v>1.5083366201999648</v>
      </c>
      <c r="S568" s="677">
        <f t="shared" si="270"/>
        <v>1.0769354659835078</v>
      </c>
      <c r="T568" s="680">
        <f t="shared" si="271"/>
        <v>0.38027998694060194</v>
      </c>
      <c r="U568" s="681">
        <f t="shared" si="283"/>
        <v>0.37272332480273562</v>
      </c>
      <c r="V568" s="682">
        <f t="shared" si="284"/>
        <v>-1.7880958632788786</v>
      </c>
      <c r="W568" s="683">
        <f t="shared" si="272"/>
        <v>-26.39924070080983</v>
      </c>
      <c r="X568" s="684">
        <f t="shared" si="273"/>
        <v>-247.83813440310774</v>
      </c>
      <c r="Y568" s="687">
        <f t="shared" si="274"/>
        <v>-67.838134403107745</v>
      </c>
      <c r="AA568" s="170">
        <f t="shared" si="275"/>
        <v>94955.5</v>
      </c>
      <c r="AB568" s="170">
        <f t="shared" si="276"/>
        <v>9016546980.25</v>
      </c>
      <c r="AD568" s="686">
        <f t="shared" si="277"/>
        <v>11.45768126019107</v>
      </c>
      <c r="AE568" s="687">
        <f t="shared" si="278"/>
        <v>-25.367035863592662</v>
      </c>
      <c r="AG568" s="686">
        <f t="shared" si="279"/>
        <v>21.248946983431725</v>
      </c>
      <c r="AH568" s="687">
        <f t="shared" si="280"/>
        <v>-17.570405644019463</v>
      </c>
      <c r="AJ568" s="170">
        <f t="shared" si="281"/>
        <v>0</v>
      </c>
      <c r="AK568" s="170">
        <f t="shared" si="293"/>
        <v>0</v>
      </c>
      <c r="AM568" s="170" t="str">
        <f t="shared" si="285"/>
        <v>1.82557917816347-0.564286293102126i</v>
      </c>
      <c r="AN568" s="170" t="str">
        <f t="shared" si="286"/>
        <v>3.74116115913729i</v>
      </c>
      <c r="AO568" s="170" t="str">
        <f t="shared" si="287"/>
        <v>-0.150831859173971-0.487971274294008i</v>
      </c>
      <c r="AP568" s="170" t="str">
        <f t="shared" si="288"/>
        <v>-0.137596529693911+0.094047715517021i</v>
      </c>
      <c r="AQ568" s="170" t="str">
        <f t="shared" si="289"/>
        <v>1.13759652969391-0.094047715517021i</v>
      </c>
      <c r="AR568" s="170" t="str">
        <f t="shared" si="290"/>
        <v>0.727274841619953+0.0601254800115851i</v>
      </c>
    </row>
    <row r="569" spans="7:44">
      <c r="G569" s="688">
        <v>95499</v>
      </c>
      <c r="H569" s="676">
        <f t="shared" si="282"/>
        <v>95.498999999999995</v>
      </c>
      <c r="I569" s="677">
        <f t="shared" si="262"/>
        <v>32.673214262847516</v>
      </c>
      <c r="J569" s="678">
        <f t="shared" si="263"/>
        <v>1.5401854361695535</v>
      </c>
      <c r="K569" s="678">
        <f t="shared" si="264"/>
        <v>1.0071751684189802</v>
      </c>
      <c r="L569" s="679">
        <f t="shared" si="265"/>
        <v>0.11943640096524136</v>
      </c>
      <c r="M569" s="678">
        <f t="shared" si="266"/>
        <v>1.282219809493977</v>
      </c>
      <c r="N569" s="679">
        <f t="shared" si="267"/>
        <v>-0.67629431830337994</v>
      </c>
      <c r="O569" s="677">
        <f t="shared" si="268"/>
        <v>720045.49555833451</v>
      </c>
      <c r="P569" s="680">
        <f t="shared" si="269"/>
        <v>1.5707949379937636</v>
      </c>
      <c r="Q569" s="689">
        <f t="shared" si="291"/>
        <v>16.112078629454132</v>
      </c>
      <c r="R569" s="690">
        <f t="shared" si="292"/>
        <v>1.5086911723885064</v>
      </c>
      <c r="S569" s="677">
        <f t="shared" si="270"/>
        <v>1.0777868173257039</v>
      </c>
      <c r="T569" s="680">
        <f t="shared" si="271"/>
        <v>0.38225119267273749</v>
      </c>
      <c r="U569" s="681">
        <f t="shared" si="283"/>
        <v>0.3699355374908842</v>
      </c>
      <c r="V569" s="682">
        <f t="shared" si="284"/>
        <v>-1.7960972601818623</v>
      </c>
      <c r="W569" s="683">
        <f t="shared" si="272"/>
        <v>-26.50098054120005</v>
      </c>
      <c r="X569" s="684">
        <f t="shared" si="273"/>
        <v>-248.52019021439926</v>
      </c>
      <c r="Y569" s="687">
        <f t="shared" si="274"/>
        <v>-68.520190214399264</v>
      </c>
      <c r="AA569" s="170">
        <f t="shared" si="275"/>
        <v>95499</v>
      </c>
      <c r="AB569" s="170">
        <f t="shared" si="276"/>
        <v>9120059001</v>
      </c>
      <c r="AD569" s="686">
        <f t="shared" si="277"/>
        <v>11.450625450574057</v>
      </c>
      <c r="AE569" s="687">
        <f t="shared" si="278"/>
        <v>-25.459663744132783</v>
      </c>
      <c r="AG569" s="686">
        <f t="shared" si="279"/>
        <v>21.284683676844477</v>
      </c>
      <c r="AH569" s="687">
        <f t="shared" si="280"/>
        <v>-17.242941028223171</v>
      </c>
      <c r="AJ569" s="170">
        <f t="shared" si="281"/>
        <v>0</v>
      </c>
      <c r="AK569" s="170">
        <f t="shared" si="293"/>
        <v>0</v>
      </c>
      <c r="AM569" s="170" t="str">
        <f t="shared" si="285"/>
        <v>1.8133075367176-0.58183404052904i</v>
      </c>
      <c r="AN569" s="170" t="str">
        <f t="shared" si="286"/>
        <v>3.76257456952417i</v>
      </c>
      <c r="AO569" s="170" t="str">
        <f t="shared" si="287"/>
        <v>-0.154637211775612-0.48193265095791i</v>
      </c>
      <c r="AP569" s="170" t="str">
        <f t="shared" si="288"/>
        <v>-0.1355512561196+0.0969723400881733i</v>
      </c>
      <c r="AQ569" s="170" t="str">
        <f t="shared" si="289"/>
        <v>1.1355512561196-0.0969723400881733i</v>
      </c>
      <c r="AR569" s="170" t="str">
        <f t="shared" si="290"/>
        <v>0.728253560869157+0.0621904573610802i</v>
      </c>
    </row>
    <row r="570" spans="7:44">
      <c r="G570" s="688">
        <v>96611.5</v>
      </c>
      <c r="H570" s="676">
        <f t="shared" si="282"/>
        <v>96.611500000000007</v>
      </c>
      <c r="I570" s="677">
        <f t="shared" si="262"/>
        <v>33.05348104501558</v>
      </c>
      <c r="J570" s="678">
        <f t="shared" si="263"/>
        <v>1.5405377100926574</v>
      </c>
      <c r="K570" s="678">
        <f t="shared" si="264"/>
        <v>1.0073427011718954</v>
      </c>
      <c r="L570" s="679">
        <f t="shared" si="265"/>
        <v>0.12081433290418954</v>
      </c>
      <c r="M570" s="678">
        <f t="shared" si="266"/>
        <v>1.2880921685097937</v>
      </c>
      <c r="N570" s="679">
        <f t="shared" si="267"/>
        <v>-0.68195497185498</v>
      </c>
      <c r="O570" s="677">
        <f t="shared" si="268"/>
        <v>728433.54793382657</v>
      </c>
      <c r="P570" s="680">
        <f t="shared" si="269"/>
        <v>1.5707949539860757</v>
      </c>
      <c r="Q570" s="689">
        <f t="shared" si="291"/>
        <v>16.299054785558653</v>
      </c>
      <c r="R570" s="690">
        <f t="shared" si="292"/>
        <v>1.5094045192029881</v>
      </c>
      <c r="S570" s="677">
        <f t="shared" si="270"/>
        <v>1.0795424918983743</v>
      </c>
      <c r="T570" s="680">
        <f t="shared" si="271"/>
        <v>0.38627635365607227</v>
      </c>
      <c r="U570" s="681">
        <f t="shared" si="283"/>
        <v>0.36424675185557631</v>
      </c>
      <c r="V570" s="682">
        <f t="shared" si="284"/>
        <v>-1.8125563869879953</v>
      </c>
      <c r="W570" s="683">
        <f t="shared" si="272"/>
        <v>-26.709481450907212</v>
      </c>
      <c r="X570" s="684">
        <f t="shared" si="273"/>
        <v>-249.91854828941891</v>
      </c>
      <c r="Y570" s="687">
        <f t="shared" si="274"/>
        <v>-69.918548289418908</v>
      </c>
      <c r="AA570" s="170">
        <f t="shared" si="275"/>
        <v>96611.5</v>
      </c>
      <c r="AB570" s="170">
        <f t="shared" si="276"/>
        <v>9333781932.25</v>
      </c>
      <c r="AD570" s="686">
        <f t="shared" si="277"/>
        <v>11.436104887730229</v>
      </c>
      <c r="AE570" s="687">
        <f t="shared" si="278"/>
        <v>-25.649417635048504</v>
      </c>
      <c r="AG570" s="686">
        <f t="shared" si="279"/>
        <v>21.35991795875308</v>
      </c>
      <c r="AH570" s="687">
        <f t="shared" si="280"/>
        <v>-16.565468209247772</v>
      </c>
      <c r="AJ570" s="170">
        <f t="shared" si="281"/>
        <v>0</v>
      </c>
      <c r="AK570" s="170">
        <f t="shared" si="293"/>
        <v>0</v>
      </c>
      <c r="AM570" s="170" t="str">
        <f t="shared" si="285"/>
        <v>1.78703190618773-0.616912294124953i</v>
      </c>
      <c r="AN570" s="170" t="str">
        <f t="shared" si="286"/>
        <v>3.80640606732619i</v>
      </c>
      <c r="AO570" s="170" t="str">
        <f t="shared" si="287"/>
        <v>-0.162072118216831-0.469480101329029i</v>
      </c>
      <c r="AP570" s="170" t="str">
        <f t="shared" si="288"/>
        <v>-0.131171984364621+0.102818715687492i</v>
      </c>
      <c r="AQ570" s="170" t="str">
        <f t="shared" si="289"/>
        <v>1.13117198436462-0.102818715687492i</v>
      </c>
      <c r="AR570" s="170" t="str">
        <f t="shared" si="290"/>
        <v>0.730370033314219+0.0663875253630685i</v>
      </c>
    </row>
    <row r="571" spans="7:44">
      <c r="G571" s="688">
        <v>97724</v>
      </c>
      <c r="H571" s="676">
        <f t="shared" si="282"/>
        <v>97.724000000000004</v>
      </c>
      <c r="I571" s="677">
        <f t="shared" si="262"/>
        <v>33.43375183571203</v>
      </c>
      <c r="J571" s="678">
        <f t="shared" si="263"/>
        <v>1.5408819706295735</v>
      </c>
      <c r="K571" s="678">
        <f t="shared" si="264"/>
        <v>1.0075121459246008</v>
      </c>
      <c r="L571" s="679">
        <f t="shared" si="265"/>
        <v>0.12219180397290078</v>
      </c>
      <c r="M571" s="678">
        <f t="shared" si="266"/>
        <v>1.2940054264775644</v>
      </c>
      <c r="N571" s="679">
        <f t="shared" si="267"/>
        <v>-0.68756406843769136</v>
      </c>
      <c r="O571" s="677">
        <f t="shared" si="268"/>
        <v>736821.60030931875</v>
      </c>
      <c r="P571" s="680">
        <f t="shared" si="269"/>
        <v>1.5707949696142716</v>
      </c>
      <c r="Q571" s="689">
        <f t="shared" si="291"/>
        <v>16.486039047525228</v>
      </c>
      <c r="R571" s="690">
        <f t="shared" si="292"/>
        <v>1.510101684840419</v>
      </c>
      <c r="S571" s="677">
        <f t="shared" si="270"/>
        <v>1.0813156001708424</v>
      </c>
      <c r="T571" s="680">
        <f t="shared" si="271"/>
        <v>0.39028837879325773</v>
      </c>
      <c r="U571" s="681">
        <f t="shared" si="283"/>
        <v>0.35857900865327197</v>
      </c>
      <c r="V571" s="682">
        <f t="shared" si="284"/>
        <v>-1.8291309055665042</v>
      </c>
      <c r="W571" s="683">
        <f t="shared" si="272"/>
        <v>-26.918436737773447</v>
      </c>
      <c r="X571" s="684">
        <f t="shared" si="273"/>
        <v>-251.32030556572508</v>
      </c>
      <c r="Y571" s="687">
        <f t="shared" si="274"/>
        <v>-71.320305565725079</v>
      </c>
      <c r="AA571" s="170">
        <f t="shared" si="275"/>
        <v>97724</v>
      </c>
      <c r="AB571" s="170">
        <f t="shared" si="276"/>
        <v>9549980176</v>
      </c>
      <c r="AD571" s="686">
        <f t="shared" si="277"/>
        <v>11.421480233775473</v>
      </c>
      <c r="AE571" s="687">
        <f t="shared" si="278"/>
        <v>-25.839345989709987</v>
      </c>
      <c r="AG571" s="686">
        <f t="shared" si="279"/>
        <v>21.438020344131804</v>
      </c>
      <c r="AH571" s="687">
        <f t="shared" si="280"/>
        <v>-15.877997204702778</v>
      </c>
      <c r="AJ571" s="170">
        <f t="shared" si="281"/>
        <v>0</v>
      </c>
      <c r="AK571" s="170">
        <f t="shared" si="293"/>
        <v>0</v>
      </c>
      <c r="AM571" s="170" t="str">
        <f t="shared" si="285"/>
        <v>1.75924447186568-0.650805525438597i</v>
      </c>
      <c r="AN571" s="170" t="str">
        <f t="shared" si="286"/>
        <v>3.85023756512822i</v>
      </c>
      <c r="AO571" s="170" t="str">
        <f t="shared" si="287"/>
        <v>-0.169029966185197-0.456918421813563i</v>
      </c>
      <c r="AP571" s="170" t="str">
        <f t="shared" si="288"/>
        <v>-0.126540745310946+0.1084675875731i</v>
      </c>
      <c r="AQ571" s="170" t="str">
        <f t="shared" si="289"/>
        <v>1.12654074531095-0.1084675875731i</v>
      </c>
      <c r="AR571" s="170" t="str">
        <f t="shared" si="290"/>
        <v>0.73263977081298+0.070541317596336i</v>
      </c>
    </row>
    <row r="572" spans="7:44">
      <c r="G572" s="688">
        <v>98862</v>
      </c>
      <c r="H572" s="676">
        <f t="shared" si="282"/>
        <v>98.861999999999995</v>
      </c>
      <c r="I572" s="677">
        <f t="shared" si="262"/>
        <v>33.822742952101436</v>
      </c>
      <c r="J572" s="678">
        <f t="shared" si="263"/>
        <v>1.5412261127761642</v>
      </c>
      <c r="K572" s="678">
        <f t="shared" si="264"/>
        <v>1.0076874518143584</v>
      </c>
      <c r="L572" s="679">
        <f t="shared" si="265"/>
        <v>0.12360036649292577</v>
      </c>
      <c r="M572" s="678">
        <f t="shared" si="266"/>
        <v>1.3000959583418326</v>
      </c>
      <c r="N572" s="679">
        <f t="shared" si="267"/>
        <v>-0.69324875801117403</v>
      </c>
      <c r="O572" s="677">
        <f t="shared" si="268"/>
        <v>745401.91815499088</v>
      </c>
      <c r="P572" s="680">
        <f t="shared" si="269"/>
        <v>1.5707949852367713</v>
      </c>
      <c r="Q572" s="689">
        <f t="shared" si="291"/>
        <v>16.677317343329797</v>
      </c>
      <c r="R572" s="690">
        <f t="shared" si="292"/>
        <v>1.5107986554136972</v>
      </c>
      <c r="S572" s="677">
        <f t="shared" si="270"/>
        <v>1.0831472988962907</v>
      </c>
      <c r="T572" s="680">
        <f t="shared" si="271"/>
        <v>0.3943787069710552</v>
      </c>
      <c r="U572" s="681">
        <f t="shared" si="283"/>
        <v>0.35279984756969063</v>
      </c>
      <c r="V572" s="682">
        <f t="shared" si="284"/>
        <v>-1.8462131756712377</v>
      </c>
      <c r="W572" s="683">
        <f t="shared" si="272"/>
        <v>-27.132809816897865</v>
      </c>
      <c r="X572" s="684">
        <f t="shared" si="273"/>
        <v>-252.75819543846981</v>
      </c>
      <c r="Y572" s="687">
        <f t="shared" si="274"/>
        <v>-72.758195438469812</v>
      </c>
      <c r="AA572" s="170">
        <f t="shared" si="275"/>
        <v>98862</v>
      </c>
      <c r="AB572" s="170">
        <f t="shared" si="276"/>
        <v>9773695044</v>
      </c>
      <c r="AD572" s="686">
        <f t="shared" si="277"/>
        <v>11.406413417247956</v>
      </c>
      <c r="AE572" s="687">
        <f t="shared" si="278"/>
        <v>-26.033771954153018</v>
      </c>
      <c r="AG572" s="686">
        <f t="shared" si="279"/>
        <v>21.52097301725286</v>
      </c>
      <c r="AH572" s="687">
        <f t="shared" si="280"/>
        <v>-15.16397714776021</v>
      </c>
      <c r="AJ572" s="170">
        <f t="shared" si="281"/>
        <v>0</v>
      </c>
      <c r="AK572" s="170">
        <f t="shared" si="293"/>
        <v>0</v>
      </c>
      <c r="AM572" s="170" t="str">
        <f t="shared" si="285"/>
        <v>1.72931159698566-0.684181696994465i</v>
      </c>
      <c r="AN572" s="170" t="str">
        <f t="shared" si="286"/>
        <v>3.89507373995851i</v>
      </c>
      <c r="AO572" s="170" t="str">
        <f t="shared" si="287"/>
        <v>-0.175653079420713-0.443974032954786i</v>
      </c>
      <c r="AP572" s="170" t="str">
        <f t="shared" si="288"/>
        <v>-0.121551932830943+0.114030282832411i</v>
      </c>
      <c r="AQ572" s="170" t="str">
        <f t="shared" si="289"/>
        <v>1.12155193283094-0.114030282832411i</v>
      </c>
      <c r="AR572" s="170" t="str">
        <f t="shared" si="290"/>
        <v>0.735121767531087+0.0747412051230154i</v>
      </c>
    </row>
    <row r="573" spans="7:44">
      <c r="G573" s="688">
        <v>100000</v>
      </c>
      <c r="H573" s="676">
        <f t="shared" si="282"/>
        <v>100</v>
      </c>
      <c r="I573" s="677">
        <f t="shared" si="262"/>
        <v>34.211737983155366</v>
      </c>
      <c r="J573" s="678">
        <f t="shared" si="263"/>
        <v>1.5415624290171213</v>
      </c>
      <c r="K573" s="678">
        <f t="shared" si="264"/>
        <v>1.0078647563069434</v>
      </c>
      <c r="L573" s="679">
        <f t="shared" si="265"/>
        <v>0.12500843621459271</v>
      </c>
      <c r="M573" s="678">
        <f t="shared" si="266"/>
        <v>1.3062281111320011</v>
      </c>
      <c r="N573" s="679">
        <f t="shared" si="267"/>
        <v>-0.69888025403797471</v>
      </c>
      <c r="O573" s="677">
        <f t="shared" si="268"/>
        <v>753982.23600066325</v>
      </c>
      <c r="P573" s="680">
        <f t="shared" si="269"/>
        <v>1.5707950005037026</v>
      </c>
      <c r="Q573" s="689">
        <f t="shared" si="291"/>
        <v>16.868603556712429</v>
      </c>
      <c r="R573" s="690">
        <f t="shared" si="292"/>
        <v>1.5114798193289967</v>
      </c>
      <c r="S573" s="677">
        <f t="shared" si="270"/>
        <v>1.0849970581623514</v>
      </c>
      <c r="T573" s="680">
        <f t="shared" si="271"/>
        <v>0.39845515635093542</v>
      </c>
      <c r="U573" s="681">
        <f t="shared" si="283"/>
        <v>0.34703602092661506</v>
      </c>
      <c r="V573" s="682">
        <f t="shared" si="284"/>
        <v>-1.863433438896265</v>
      </c>
      <c r="W573" s="683">
        <f t="shared" si="272"/>
        <v>-27.347986389938825</v>
      </c>
      <c r="X573" s="684">
        <f t="shared" si="273"/>
        <v>-254.20063425066695</v>
      </c>
      <c r="Y573" s="687">
        <f t="shared" si="274"/>
        <v>-74.200634250666951</v>
      </c>
      <c r="AA573" s="170">
        <f t="shared" si="275"/>
        <v>100000</v>
      </c>
      <c r="AB573" s="170">
        <f t="shared" si="276"/>
        <v>10000000000</v>
      </c>
      <c r="AD573" s="686">
        <f t="shared" si="277"/>
        <v>11.391239243437548</v>
      </c>
      <c r="AE573" s="687">
        <f t="shared" si="278"/>
        <v>-26.228308356468624</v>
      </c>
      <c r="AG573" s="686">
        <f t="shared" si="279"/>
        <v>21.607123965574214</v>
      </c>
      <c r="AH573" s="687">
        <f t="shared" si="280"/>
        <v>-14.438582745590166</v>
      </c>
      <c r="AJ573" s="170">
        <f t="shared" si="281"/>
        <v>0</v>
      </c>
      <c r="AK573" s="170">
        <f t="shared" si="293"/>
        <v>0</v>
      </c>
      <c r="AM573" s="170" t="str">
        <f t="shared" si="285"/>
        <v>1.6979128453052-0.716182700404029i</v>
      </c>
      <c r="AN573" s="170" t="str">
        <f t="shared" si="286"/>
        <v>3.93990991478881i</v>
      </c>
      <c r="AO573" s="170" t="str">
        <f t="shared" si="287"/>
        <v>-0.181776415170248-0.430952199930239i</v>
      </c>
      <c r="AP573" s="170" t="str">
        <f t="shared" si="288"/>
        <v>-0.116318807550866+0.119363783400671i</v>
      </c>
      <c r="AQ573" s="170" t="str">
        <f t="shared" si="289"/>
        <v>1.11631880755087-0.119363783400671i</v>
      </c>
      <c r="AR573" s="170" t="str">
        <f t="shared" si="290"/>
        <v>0.737767542306397+0.078886716343255i</v>
      </c>
    </row>
    <row r="574" spans="7:44">
      <c r="G574" s="688">
        <v>101165</v>
      </c>
      <c r="H574" s="676">
        <f t="shared" si="282"/>
        <v>101.16500000000001</v>
      </c>
      <c r="I574" s="677">
        <f t="shared" si="262"/>
        <v>34.609966163326213</v>
      </c>
      <c r="J574" s="678">
        <f t="shared" si="263"/>
        <v>1.5418988934433866</v>
      </c>
      <c r="K574" s="678">
        <f t="shared" si="264"/>
        <v>1.0080483366886206</v>
      </c>
      <c r="L574" s="679">
        <f t="shared" si="265"/>
        <v>0.12644939753436873</v>
      </c>
      <c r="M574" s="678">
        <f t="shared" si="266"/>
        <v>1.3125482591631581</v>
      </c>
      <c r="N574" s="679">
        <f t="shared" si="267"/>
        <v>-0.70459066859879316</v>
      </c>
      <c r="O574" s="677">
        <f t="shared" si="268"/>
        <v>762766.12905005564</v>
      </c>
      <c r="P574" s="680">
        <f t="shared" si="269"/>
        <v>1.5707950157770605</v>
      </c>
      <c r="Q574" s="689">
        <f t="shared" si="291"/>
        <v>17.064436118784368</v>
      </c>
      <c r="R574" s="690">
        <f t="shared" si="292"/>
        <v>1.5121613251149382</v>
      </c>
      <c r="S574" s="677">
        <f t="shared" si="270"/>
        <v>1.086909316609507</v>
      </c>
      <c r="T574" s="680">
        <f t="shared" si="271"/>
        <v>0.40261387917334285</v>
      </c>
      <c r="U574" s="681">
        <f t="shared" si="283"/>
        <v>0.34114775023355426</v>
      </c>
      <c r="V574" s="682">
        <f t="shared" si="284"/>
        <v>-1.8812144640529445</v>
      </c>
      <c r="W574" s="683">
        <f t="shared" si="272"/>
        <v>-27.569285476310608</v>
      </c>
      <c r="X574" s="684">
        <f t="shared" si="273"/>
        <v>-255.68254232811486</v>
      </c>
      <c r="Y574" s="687">
        <f t="shared" si="274"/>
        <v>-75.682542328114863</v>
      </c>
      <c r="AA574" s="170">
        <f t="shared" si="275"/>
        <v>101165</v>
      </c>
      <c r="AB574" s="170">
        <f t="shared" si="276"/>
        <v>10234357225</v>
      </c>
      <c r="AD574" s="686">
        <f t="shared" si="277"/>
        <v>11.375594717229315</v>
      </c>
      <c r="AE574" s="687">
        <f t="shared" si="278"/>
        <v>-26.427539092435719</v>
      </c>
      <c r="AG574" s="686">
        <f t="shared" si="279"/>
        <v>21.69875114724638</v>
      </c>
      <c r="AH574" s="687">
        <f t="shared" si="280"/>
        <v>-13.683704690955393</v>
      </c>
      <c r="AJ574" s="170">
        <f t="shared" si="281"/>
        <v>0</v>
      </c>
      <c r="AK574" s="170">
        <f t="shared" si="293"/>
        <v>0</v>
      </c>
      <c r="AM574" s="170" t="str">
        <f t="shared" si="285"/>
        <v>1.66431658210457-0.747451321987524i</v>
      </c>
      <c r="AN574" s="170" t="str">
        <f t="shared" si="286"/>
        <v>3.9858098652961i</v>
      </c>
      <c r="AO574" s="170" t="str">
        <f t="shared" si="287"/>
        <v>-0.187528092721-0.417560455303086i</v>
      </c>
      <c r="AP574" s="170" t="str">
        <f t="shared" si="288"/>
        <v>-0.110719430350762+0.124575220331254i</v>
      </c>
      <c r="AQ574" s="170" t="str">
        <f t="shared" si="289"/>
        <v>1.11071943035076-0.124575220331254i</v>
      </c>
      <c r="AR574" s="170" t="str">
        <f t="shared" si="290"/>
        <v>0.740647584240062+0.0830689852660447i</v>
      </c>
    </row>
    <row r="575" spans="7:44">
      <c r="G575" s="688">
        <v>102330</v>
      </c>
      <c r="H575" s="676">
        <f t="shared" si="282"/>
        <v>102.33</v>
      </c>
      <c r="I575" s="677">
        <f t="shared" si="262"/>
        <v>35.008198172492776</v>
      </c>
      <c r="J575" s="678">
        <f t="shared" si="263"/>
        <v>1.5422277030760778</v>
      </c>
      <c r="K575" s="678">
        <f t="shared" si="264"/>
        <v>1.0082340093863882</v>
      </c>
      <c r="L575" s="679">
        <f t="shared" si="265"/>
        <v>0.12788983111974198</v>
      </c>
      <c r="M575" s="678">
        <f t="shared" si="266"/>
        <v>1.3189107968567118</v>
      </c>
      <c r="N575" s="679">
        <f t="shared" si="267"/>
        <v>-0.710246171053872</v>
      </c>
      <c r="O575" s="677">
        <f t="shared" si="268"/>
        <v>771550.02209944825</v>
      </c>
      <c r="P575" s="680">
        <f t="shared" si="269"/>
        <v>1.5707950307026519</v>
      </c>
      <c r="Q575" s="689">
        <f t="shared" si="291"/>
        <v>17.260276426588945</v>
      </c>
      <c r="R575" s="690">
        <f t="shared" si="292"/>
        <v>1.5128273660635652</v>
      </c>
      <c r="S575" s="677">
        <f t="shared" si="270"/>
        <v>1.0888403069097936</v>
      </c>
      <c r="T575" s="680">
        <f t="shared" si="271"/>
        <v>0.40675792298558511</v>
      </c>
      <c r="U575" s="681">
        <f t="shared" si="283"/>
        <v>0.33526825070828042</v>
      </c>
      <c r="V575" s="682">
        <f t="shared" si="284"/>
        <v>-1.8991590085611376</v>
      </c>
      <c r="W575" s="683">
        <f t="shared" si="272"/>
        <v>-27.791811473644728</v>
      </c>
      <c r="X575" s="684">
        <f t="shared" si="273"/>
        <v>-257.17030979661956</v>
      </c>
      <c r="Y575" s="687">
        <f t="shared" si="274"/>
        <v>-77.170309796619563</v>
      </c>
      <c r="AA575" s="170">
        <f t="shared" si="275"/>
        <v>102330</v>
      </c>
      <c r="AB575" s="170">
        <f t="shared" si="276"/>
        <v>10471428900</v>
      </c>
      <c r="AD575" s="686">
        <f t="shared" si="277"/>
        <v>11.359839490320544</v>
      </c>
      <c r="AE575" s="687">
        <f t="shared" si="278"/>
        <v>-26.62681483305639</v>
      </c>
      <c r="AG575" s="686">
        <f t="shared" si="279"/>
        <v>21.793983700960471</v>
      </c>
      <c r="AH575" s="687">
        <f t="shared" si="280"/>
        <v>-12.915903085281487</v>
      </c>
      <c r="AJ575" s="170">
        <f t="shared" si="281"/>
        <v>0</v>
      </c>
      <c r="AK575" s="170">
        <f t="shared" si="293"/>
        <v>0</v>
      </c>
      <c r="AM575" s="170" t="str">
        <f t="shared" si="285"/>
        <v>1.62932097880788-0.777145485499527i</v>
      </c>
      <c r="AN575" s="170" t="str">
        <f t="shared" si="286"/>
        <v>4.03170981580339i</v>
      </c>
      <c r="AO575" s="170" t="str">
        <f t="shared" si="287"/>
        <v>-0.192758288915857-0.40412655008585i</v>
      </c>
      <c r="AP575" s="170" t="str">
        <f t="shared" si="288"/>
        <v>-0.104886829801313+0.129524247583255i</v>
      </c>
      <c r="AQ575" s="170" t="str">
        <f t="shared" si="289"/>
        <v>1.10488682980131-0.129524247583255i</v>
      </c>
      <c r="AR575" s="170" t="str">
        <f t="shared" si="290"/>
        <v>0.74370301017362+0.0871832030394121i</v>
      </c>
    </row>
    <row r="576" spans="7:44">
      <c r="G576" s="688">
        <v>103520</v>
      </c>
      <c r="H576" s="676">
        <f t="shared" si="282"/>
        <v>103.52</v>
      </c>
      <c r="I576" s="677">
        <f t="shared" si="262"/>
        <v>35.414979751747751</v>
      </c>
      <c r="J576" s="678">
        <f t="shared" si="263"/>
        <v>1.5425559341886717</v>
      </c>
      <c r="K576" s="678">
        <f t="shared" si="264"/>
        <v>1.0084258254220919</v>
      </c>
      <c r="L576" s="679">
        <f t="shared" si="265"/>
        <v>0.1293606245436269</v>
      </c>
      <c r="M576" s="678">
        <f t="shared" si="266"/>
        <v>1.3254529988238384</v>
      </c>
      <c r="N576" s="679">
        <f t="shared" si="267"/>
        <v>-0.71596679280622322</v>
      </c>
      <c r="O576" s="677">
        <f t="shared" si="268"/>
        <v>780522.41070784081</v>
      </c>
      <c r="P576" s="680">
        <f t="shared" si="269"/>
        <v>1.570795045601703</v>
      </c>
      <c r="Q576" s="689">
        <f t="shared" si="291"/>
        <v>17.460327041938463</v>
      </c>
      <c r="R576" s="690">
        <f t="shared" si="292"/>
        <v>1.513492274027141</v>
      </c>
      <c r="S576" s="677">
        <f t="shared" si="270"/>
        <v>1.0908319704506073</v>
      </c>
      <c r="T576" s="680">
        <f t="shared" si="271"/>
        <v>0.41097567335765395</v>
      </c>
      <c r="U576" s="681">
        <f t="shared" si="283"/>
        <v>0.32926774527910196</v>
      </c>
      <c r="V576" s="682">
        <f t="shared" si="284"/>
        <v>-1.9176675526701628</v>
      </c>
      <c r="W576" s="683">
        <f t="shared" si="272"/>
        <v>-28.020597139167215</v>
      </c>
      <c r="X576" s="684">
        <f t="shared" si="273"/>
        <v>-258.69663847400977</v>
      </c>
      <c r="Y576" s="687">
        <f t="shared" si="274"/>
        <v>-78.696638474009774</v>
      </c>
      <c r="AA576" s="170">
        <f t="shared" si="275"/>
        <v>103520</v>
      </c>
      <c r="AB576" s="170">
        <f t="shared" si="276"/>
        <v>10716390400</v>
      </c>
      <c r="AD576" s="686">
        <f t="shared" si="277"/>
        <v>11.343632880044787</v>
      </c>
      <c r="AE576" s="687">
        <f t="shared" si="278"/>
        <v>-26.83037856222348</v>
      </c>
      <c r="AG576" s="686">
        <f t="shared" si="279"/>
        <v>21.895134194295615</v>
      </c>
      <c r="AH576" s="687">
        <f t="shared" si="280"/>
        <v>-12.117745106323357</v>
      </c>
      <c r="AJ576" s="170">
        <f t="shared" si="281"/>
        <v>0</v>
      </c>
      <c r="AK576" s="170">
        <f t="shared" si="293"/>
        <v>0</v>
      </c>
      <c r="AM576" s="170" t="str">
        <f t="shared" si="285"/>
        <v>1.59220635740119-0.805786342806583i</v>
      </c>
      <c r="AN576" s="170" t="str">
        <f t="shared" si="286"/>
        <v>4.07859474378938i</v>
      </c>
      <c r="AO576" s="170" t="str">
        <f t="shared" si="287"/>
        <v>-0.197564698977162-0.390381113452298i</v>
      </c>
      <c r="AP576" s="170" t="str">
        <f t="shared" si="288"/>
        <v>-0.0987010595668657+0.134297723801097i</v>
      </c>
      <c r="AQ576" s="170" t="str">
        <f t="shared" si="289"/>
        <v>1.09870105956687-0.134297723801097i</v>
      </c>
      <c r="AR576" s="170" t="str">
        <f t="shared" si="290"/>
        <v>0.747007019072317+0.0913090430297788i</v>
      </c>
    </row>
    <row r="577" spans="7:44">
      <c r="G577" s="688">
        <v>104710</v>
      </c>
      <c r="H577" s="676">
        <f t="shared" si="282"/>
        <v>104.71</v>
      </c>
      <c r="I577" s="677">
        <f t="shared" si="262"/>
        <v>35.821765059804399</v>
      </c>
      <c r="J577" s="678">
        <f t="shared" si="263"/>
        <v>1.54287671067212</v>
      </c>
      <c r="K577" s="678">
        <f t="shared" si="264"/>
        <v>1.0086198220856391</v>
      </c>
      <c r="L577" s="679">
        <f t="shared" si="265"/>
        <v>0.13083085536584821</v>
      </c>
      <c r="M577" s="678">
        <f t="shared" si="266"/>
        <v>1.3320381500203291</v>
      </c>
      <c r="N577" s="679">
        <f t="shared" si="267"/>
        <v>-0.7216310367219565</v>
      </c>
      <c r="O577" s="677">
        <f t="shared" si="268"/>
        <v>789494.79931623349</v>
      </c>
      <c r="P577" s="680">
        <f t="shared" si="269"/>
        <v>1.570795060162107</v>
      </c>
      <c r="Q577" s="689">
        <f t="shared" si="291"/>
        <v>17.660385201659984</v>
      </c>
      <c r="R577" s="690">
        <f t="shared" si="292"/>
        <v>1.5141421180186867</v>
      </c>
      <c r="S577" s="677">
        <f t="shared" si="270"/>
        <v>1.0928429683259082</v>
      </c>
      <c r="T577" s="680">
        <f t="shared" si="271"/>
        <v>0.41517797564914211</v>
      </c>
      <c r="U577" s="681">
        <f t="shared" si="283"/>
        <v>0.32326846215643534</v>
      </c>
      <c r="V577" s="682">
        <f t="shared" si="284"/>
        <v>-1.9363673114711857</v>
      </c>
      <c r="W577" s="683">
        <f t="shared" si="272"/>
        <v>-28.251116490483547</v>
      </c>
      <c r="X577" s="684">
        <f t="shared" si="273"/>
        <v>-260.23027582285556</v>
      </c>
      <c r="Y577" s="687">
        <f t="shared" si="274"/>
        <v>-80.23027582285556</v>
      </c>
      <c r="AA577" s="170">
        <f t="shared" si="275"/>
        <v>104710</v>
      </c>
      <c r="AB577" s="170">
        <f t="shared" si="276"/>
        <v>10964184100</v>
      </c>
      <c r="AD577" s="686">
        <f t="shared" si="277"/>
        <v>11.327312827604745</v>
      </c>
      <c r="AE577" s="687">
        <f t="shared" si="278"/>
        <v>-27.03392026418868</v>
      </c>
      <c r="AG577" s="686">
        <f t="shared" si="279"/>
        <v>22.000368997499358</v>
      </c>
      <c r="AH577" s="687">
        <f t="shared" si="280"/>
        <v>-11.30500623633292</v>
      </c>
      <c r="AJ577" s="170">
        <f t="shared" si="281"/>
        <v>0</v>
      </c>
      <c r="AK577" s="170">
        <f t="shared" si="293"/>
        <v>0</v>
      </c>
      <c r="AM577" s="170" t="str">
        <f t="shared" si="285"/>
        <v>1.55379018851647-0.832656247861563i</v>
      </c>
      <c r="AN577" s="170" t="str">
        <f t="shared" si="286"/>
        <v>4.12547967177536i</v>
      </c>
      <c r="AO577" s="170" t="str">
        <f t="shared" si="287"/>
        <v>-0.201832590173263-0.376632612965418i</v>
      </c>
      <c r="AP577" s="170" t="str">
        <f t="shared" si="288"/>
        <v>-0.0922983647527443+0.138776041310261i</v>
      </c>
      <c r="AQ577" s="170" t="str">
        <f t="shared" si="289"/>
        <v>1.09229836475274-0.138776041310261i</v>
      </c>
      <c r="AR577" s="170" t="str">
        <f t="shared" si="290"/>
        <v>0.750497913287489+0.0953504397502468i</v>
      </c>
    </row>
    <row r="578" spans="7:44">
      <c r="G578" s="688">
        <v>105930</v>
      </c>
      <c r="H578" s="676">
        <f t="shared" si="282"/>
        <v>105.93</v>
      </c>
      <c r="I578" s="677">
        <f t="shared" si="262"/>
        <v>36.238809199199885</v>
      </c>
      <c r="J578" s="678">
        <f t="shared" si="263"/>
        <v>1.5431980977942978</v>
      </c>
      <c r="K578" s="678">
        <f t="shared" si="264"/>
        <v>1.0088209718858381</v>
      </c>
      <c r="L578" s="679">
        <f t="shared" si="265"/>
        <v>0.13233756046329484</v>
      </c>
      <c r="M578" s="678">
        <f t="shared" si="266"/>
        <v>1.3388332369705271</v>
      </c>
      <c r="N578" s="679">
        <f t="shared" si="267"/>
        <v>-0.72738004233771381</v>
      </c>
      <c r="O578" s="677">
        <f t="shared" si="268"/>
        <v>798693.38259542617</v>
      </c>
      <c r="P578" s="680">
        <f t="shared" si="269"/>
        <v>1.570795074749967</v>
      </c>
      <c r="Q578" s="689">
        <f t="shared" si="291"/>
        <v>17.865494411138688</v>
      </c>
      <c r="R578" s="690">
        <f t="shared" si="292"/>
        <v>1.5147932354345106</v>
      </c>
      <c r="S578" s="677">
        <f t="shared" si="270"/>
        <v>1.0949246237054482</v>
      </c>
      <c r="T578" s="680">
        <f t="shared" si="271"/>
        <v>0.41947011535781226</v>
      </c>
      <c r="U578" s="681">
        <f t="shared" si="283"/>
        <v>0.31711495708560433</v>
      </c>
      <c r="V578" s="682">
        <f t="shared" si="284"/>
        <v>-1.9557480663683908</v>
      </c>
      <c r="W578" s="683">
        <f t="shared" si="272"/>
        <v>-28.489507064021097</v>
      </c>
      <c r="X578" s="684">
        <f t="shared" si="273"/>
        <v>-261.81080737118089</v>
      </c>
      <c r="Y578" s="687">
        <f t="shared" si="274"/>
        <v>-81.810807371180886</v>
      </c>
      <c r="AA578" s="170">
        <f t="shared" si="275"/>
        <v>105930</v>
      </c>
      <c r="AB578" s="170">
        <f t="shared" si="276"/>
        <v>11221164900</v>
      </c>
      <c r="AD578" s="686">
        <f t="shared" si="277"/>
        <v>11.310464712216353</v>
      </c>
      <c r="AE578" s="687">
        <f t="shared" si="278"/>
        <v>-27.242536310743006</v>
      </c>
      <c r="AG578" s="686">
        <f t="shared" si="279"/>
        <v>22.112690967898516</v>
      </c>
      <c r="AH578" s="687">
        <f t="shared" si="280"/>
        <v>-10.456050816791501</v>
      </c>
      <c r="AJ578" s="170">
        <f t="shared" si="281"/>
        <v>0</v>
      </c>
      <c r="AK578" s="170">
        <f t="shared" si="293"/>
        <v>0</v>
      </c>
      <c r="AM578" s="170" t="str">
        <f t="shared" si="285"/>
        <v>1.51314277038961-0.858303266448915i</v>
      </c>
      <c r="AN578" s="170" t="str">
        <f t="shared" si="286"/>
        <v>4.17354657273579i</v>
      </c>
      <c r="AO578" s="170" t="str">
        <f t="shared" si="287"/>
        <v>-0.205653213996913-0.36255562122498i</v>
      </c>
      <c r="AP578" s="170" t="str">
        <f t="shared" si="288"/>
        <v>-0.0855237950649348+0.143050544408152i</v>
      </c>
      <c r="AQ578" s="170" t="str">
        <f t="shared" si="289"/>
        <v>1.08552379506493-0.143050544408152i</v>
      </c>
      <c r="AR578" s="170" t="str">
        <f t="shared" si="290"/>
        <v>0.754272761901343+0.0993982165225347i</v>
      </c>
    </row>
    <row r="579" spans="7:44">
      <c r="G579" s="688">
        <v>107150</v>
      </c>
      <c r="H579" s="676">
        <f t="shared" si="282"/>
        <v>107.15</v>
      </c>
      <c r="I579" s="677">
        <f t="shared" si="262"/>
        <v>36.65585699651772</v>
      </c>
      <c r="J579" s="678">
        <f t="shared" si="263"/>
        <v>1.5435121718582618</v>
      </c>
      <c r="K579" s="678">
        <f t="shared" si="264"/>
        <v>1.0090244109551749</v>
      </c>
      <c r="L579" s="679">
        <f t="shared" si="265"/>
        <v>0.13384366141621681</v>
      </c>
      <c r="M579" s="678">
        <f t="shared" si="266"/>
        <v>1.3456721260507383</v>
      </c>
      <c r="N579" s="679">
        <f t="shared" si="267"/>
        <v>-0.73307079999417091</v>
      </c>
      <c r="O579" s="677">
        <f t="shared" si="268"/>
        <v>807891.96587461908</v>
      </c>
      <c r="P579" s="680">
        <f t="shared" si="269"/>
        <v>1.5707950890056348</v>
      </c>
      <c r="Q579" s="689">
        <f t="shared" si="291"/>
        <v>18.070611022821751</v>
      </c>
      <c r="R579" s="690">
        <f t="shared" si="292"/>
        <v>1.5154295716560122</v>
      </c>
      <c r="S579" s="677">
        <f t="shared" si="270"/>
        <v>1.0970263735258734</v>
      </c>
      <c r="T579" s="680">
        <f t="shared" si="271"/>
        <v>0.42374588730209367</v>
      </c>
      <c r="U579" s="681">
        <f t="shared" si="283"/>
        <v>0.31095406414971244</v>
      </c>
      <c r="V579" s="682">
        <f t="shared" si="284"/>
        <v>-1.9753524110607568</v>
      </c>
      <c r="W579" s="683">
        <f t="shared" si="272"/>
        <v>-28.730264195424049</v>
      </c>
      <c r="X579" s="684">
        <f t="shared" si="273"/>
        <v>-263.40033699364682</v>
      </c>
      <c r="Y579" s="687">
        <f t="shared" si="274"/>
        <v>-83.400336993646818</v>
      </c>
      <c r="AA579" s="170">
        <f t="shared" si="275"/>
        <v>107150</v>
      </c>
      <c r="AB579" s="170">
        <f t="shared" si="276"/>
        <v>11481122500</v>
      </c>
      <c r="AD579" s="686">
        <f t="shared" si="277"/>
        <v>11.293499698281932</v>
      </c>
      <c r="AE579" s="687">
        <f t="shared" si="278"/>
        <v>-27.451061434495305</v>
      </c>
      <c r="AG579" s="686">
        <f t="shared" si="279"/>
        <v>22.229718414945477</v>
      </c>
      <c r="AH579" s="687">
        <f t="shared" si="280"/>
        <v>-9.5905628909536187</v>
      </c>
      <c r="AJ579" s="170">
        <f t="shared" si="281"/>
        <v>0</v>
      </c>
      <c r="AK579" s="170">
        <f t="shared" si="293"/>
        <v>0</v>
      </c>
      <c r="AM579" s="170" t="str">
        <f t="shared" si="285"/>
        <v>1.47131000161619-0.881967619800492i</v>
      </c>
      <c r="AN579" s="170" t="str">
        <f t="shared" si="286"/>
        <v>4.22161347369621i</v>
      </c>
      <c r="AO579" s="170" t="str">
        <f t="shared" si="287"/>
        <v>-0.208917188960052-0.348518406714292i</v>
      </c>
      <c r="AP579" s="170" t="str">
        <f t="shared" si="288"/>
        <v>-0.078551666936032+0.146994603300082i</v>
      </c>
      <c r="AQ579" s="170" t="str">
        <f t="shared" si="289"/>
        <v>1.07855166693603-0.146994603300082i</v>
      </c>
      <c r="AR579" s="170" t="str">
        <f t="shared" si="290"/>
        <v>0.758247835773774+0.103340751527782i</v>
      </c>
    </row>
    <row r="580" spans="7:44">
      <c r="G580" s="688">
        <v>108400</v>
      </c>
      <c r="H580" s="676">
        <f t="shared" si="282"/>
        <v>108.4</v>
      </c>
      <c r="I580" s="677">
        <f t="shared" si="262"/>
        <v>37.08316373243894</v>
      </c>
      <c r="J580" s="678">
        <f t="shared" si="263"/>
        <v>1.5438266419853555</v>
      </c>
      <c r="K580" s="678">
        <f t="shared" si="264"/>
        <v>1.0092352255783565</v>
      </c>
      <c r="L580" s="679">
        <f t="shared" si="265"/>
        <v>0.13538616426671918</v>
      </c>
      <c r="M580" s="678">
        <f t="shared" si="266"/>
        <v>1.352723920835722</v>
      </c>
      <c r="N580" s="679">
        <f t="shared" si="267"/>
        <v>-0.73884162168521139</v>
      </c>
      <c r="O580" s="677">
        <f t="shared" si="268"/>
        <v>817316.74382461188</v>
      </c>
      <c r="P580" s="680">
        <f t="shared" si="269"/>
        <v>1.570795103279035</v>
      </c>
      <c r="Q580" s="689">
        <f t="shared" si="291"/>
        <v>18.280778902536195</v>
      </c>
      <c r="R580" s="690">
        <f t="shared" si="292"/>
        <v>1.5160667443715634</v>
      </c>
      <c r="S580" s="677">
        <f t="shared" si="270"/>
        <v>1.0992005268840317</v>
      </c>
      <c r="T580" s="680">
        <f t="shared" si="271"/>
        <v>0.42810975992572253</v>
      </c>
      <c r="U580" s="681">
        <f t="shared" si="283"/>
        <v>0.30462936999784879</v>
      </c>
      <c r="V580" s="682">
        <f t="shared" si="284"/>
        <v>-1.995682867735993</v>
      </c>
      <c r="W580" s="683">
        <f t="shared" si="272"/>
        <v>-28.979710861471002</v>
      </c>
      <c r="X580" s="684">
        <f t="shared" si="273"/>
        <v>-265.03899398769795</v>
      </c>
      <c r="Y580" s="687">
        <f t="shared" si="274"/>
        <v>-85.03899398769795</v>
      </c>
      <c r="AA580" s="170">
        <f t="shared" si="275"/>
        <v>108400</v>
      </c>
      <c r="AB580" s="170">
        <f t="shared" si="276"/>
        <v>11750560000</v>
      </c>
      <c r="AD580" s="686">
        <f t="shared" si="277"/>
        <v>11.275997543973427</v>
      </c>
      <c r="AE580" s="687">
        <f t="shared" si="278"/>
        <v>-27.664586428789523</v>
      </c>
      <c r="AG580" s="686">
        <f t="shared" si="279"/>
        <v>22.354752505937249</v>
      </c>
      <c r="AH580" s="687">
        <f t="shared" si="280"/>
        <v>-8.685996161919288</v>
      </c>
      <c r="AJ580" s="170">
        <f t="shared" si="281"/>
        <v>0</v>
      </c>
      <c r="AK580" s="170">
        <f t="shared" si="293"/>
        <v>0</v>
      </c>
      <c r="AM580" s="170" t="str">
        <f t="shared" si="285"/>
        <v>1.42732019170368-0.904100356023785i</v>
      </c>
      <c r="AN580" s="170" t="str">
        <f t="shared" si="286"/>
        <v>4.27086234763107i</v>
      </c>
      <c r="AO580" s="170" t="str">
        <f t="shared" si="287"/>
        <v>-0.211690352540925-0.334199530569131i</v>
      </c>
      <c r="AP580" s="170" t="str">
        <f t="shared" si="288"/>
        <v>-0.0712200319506125+0.150683392670631i</v>
      </c>
      <c r="AQ580" s="170" t="str">
        <f t="shared" si="289"/>
        <v>1.07122003195061-0.150683392670631i</v>
      </c>
      <c r="AR580" s="170" t="str">
        <f t="shared" si="290"/>
        <v>0.762530064773728+0.107261453059495i</v>
      </c>
    </row>
    <row r="581" spans="7:44">
      <c r="G581" s="688">
        <v>109650</v>
      </c>
      <c r="H581" s="676">
        <f t="shared" si="282"/>
        <v>109.65</v>
      </c>
      <c r="I581" s="677">
        <f t="shared" si="262"/>
        <v>37.510474052016974</v>
      </c>
      <c r="J581" s="678">
        <f t="shared" si="263"/>
        <v>1.5441339474058062</v>
      </c>
      <c r="K581" s="678">
        <f t="shared" si="264"/>
        <v>1.0094484404837842</v>
      </c>
      <c r="L581" s="679">
        <f t="shared" si="265"/>
        <v>0.13692801917201827</v>
      </c>
      <c r="M581" s="678">
        <f t="shared" si="266"/>
        <v>1.3598202964489079</v>
      </c>
      <c r="N581" s="679">
        <f t="shared" si="267"/>
        <v>-0.74455240054478877</v>
      </c>
      <c r="O581" s="677">
        <f t="shared" si="268"/>
        <v>826741.52177460492</v>
      </c>
      <c r="P581" s="680">
        <f t="shared" si="269"/>
        <v>1.5707951172270043</v>
      </c>
      <c r="Q581" s="689">
        <f t="shared" si="291"/>
        <v>18.490954035333289</v>
      </c>
      <c r="R581" s="690">
        <f t="shared" si="292"/>
        <v>1.5166894326460603</v>
      </c>
      <c r="S581" s="677">
        <f t="shared" si="270"/>
        <v>1.101395529866771</v>
      </c>
      <c r="T581" s="680">
        <f t="shared" si="271"/>
        <v>0.43245632127330302</v>
      </c>
      <c r="U581" s="681">
        <f t="shared" si="283"/>
        <v>0.29828745855475669</v>
      </c>
      <c r="V581" s="682">
        <f t="shared" si="284"/>
        <v>-2.0162728028946351</v>
      </c>
      <c r="W581" s="683">
        <f t="shared" si="272"/>
        <v>-29.232302356921764</v>
      </c>
      <c r="X581" s="684">
        <f t="shared" si="273"/>
        <v>-266.68854243561543</v>
      </c>
      <c r="Y581" s="687">
        <f t="shared" si="274"/>
        <v>-86.688542435615432</v>
      </c>
      <c r="AA581" s="170">
        <f t="shared" si="275"/>
        <v>109650</v>
      </c>
      <c r="AB581" s="170">
        <f t="shared" si="276"/>
        <v>12023122500</v>
      </c>
      <c r="AD581" s="686">
        <f t="shared" si="277"/>
        <v>11.258375293912939</v>
      </c>
      <c r="AE581" s="687">
        <f t="shared" si="278"/>
        <v>-27.877949438723206</v>
      </c>
      <c r="AG581" s="686">
        <f t="shared" si="279"/>
        <v>22.485254396980881</v>
      </c>
      <c r="AH581" s="687">
        <f t="shared" si="280"/>
        <v>-7.7627488271305642</v>
      </c>
      <c r="AJ581" s="170">
        <f t="shared" si="281"/>
        <v>0</v>
      </c>
      <c r="AK581" s="170">
        <f t="shared" si="293"/>
        <v>0</v>
      </c>
      <c r="AM581" s="170" t="str">
        <f t="shared" si="285"/>
        <v>1.38229414682559-0.924040683792057i</v>
      </c>
      <c r="AN581" s="170" t="str">
        <f t="shared" si="286"/>
        <v>4.32011122156593i</v>
      </c>
      <c r="AO581" s="170" t="str">
        <f t="shared" si="287"/>
        <v>-0.213892799606468-0.319967259158792i</v>
      </c>
      <c r="AP581" s="170" t="str">
        <f t="shared" si="288"/>
        <v>-0.0637156911375988+0.154006780632009i</v>
      </c>
      <c r="AQ581" s="170" t="str">
        <f t="shared" si="289"/>
        <v>1.0637156911376-0.154006780632009i</v>
      </c>
      <c r="AR581" s="170" t="str">
        <f t="shared" si="290"/>
        <v>0.767025748546683+0.11105144652816i</v>
      </c>
    </row>
    <row r="582" spans="7:44">
      <c r="G582" s="688">
        <v>110925</v>
      </c>
      <c r="H582" s="676">
        <f t="shared" si="282"/>
        <v>110.925</v>
      </c>
      <c r="I582" s="677">
        <f t="shared" si="262"/>
        <v>37.946334144316424</v>
      </c>
      <c r="J582" s="678">
        <f t="shared" si="263"/>
        <v>1.5444402688101746</v>
      </c>
      <c r="K582" s="678">
        <f t="shared" si="264"/>
        <v>1.0096683908810091</v>
      </c>
      <c r="L582" s="679">
        <f t="shared" si="265"/>
        <v>0.13850003648780504</v>
      </c>
      <c r="M582" s="678">
        <f t="shared" si="266"/>
        <v>1.367103806755585</v>
      </c>
      <c r="N582" s="679">
        <f t="shared" si="267"/>
        <v>-0.75031612534188508</v>
      </c>
      <c r="O582" s="677">
        <f t="shared" si="268"/>
        <v>836354.79528359813</v>
      </c>
      <c r="P582" s="680">
        <f t="shared" si="269"/>
        <v>1.5707951311300834</v>
      </c>
      <c r="Q582" s="689">
        <f t="shared" si="291"/>
        <v>18.705339889360143</v>
      </c>
      <c r="R582" s="690">
        <f t="shared" si="292"/>
        <v>1.5173101586670072</v>
      </c>
      <c r="S582" s="677">
        <f t="shared" si="270"/>
        <v>1.1036557831748561</v>
      </c>
      <c r="T582" s="680">
        <f t="shared" si="271"/>
        <v>0.43687191709535017</v>
      </c>
      <c r="U582" s="681">
        <f t="shared" si="283"/>
        <v>0.29179596875847552</v>
      </c>
      <c r="V582" s="682">
        <f t="shared" si="284"/>
        <v>-2.0375549775389104</v>
      </c>
      <c r="W582" s="683">
        <f t="shared" si="272"/>
        <v>-29.49356711617769</v>
      </c>
      <c r="X582" s="684">
        <f t="shared" si="273"/>
        <v>-268.38307011479873</v>
      </c>
      <c r="Y582" s="687">
        <f t="shared" si="274"/>
        <v>-88.383070114798727</v>
      </c>
      <c r="AA582" s="170">
        <f t="shared" si="275"/>
        <v>110925</v>
      </c>
      <c r="AB582" s="170">
        <f t="shared" si="276"/>
        <v>12304355625</v>
      </c>
      <c r="AD582" s="686">
        <f t="shared" si="277"/>
        <v>11.240278290203234</v>
      </c>
      <c r="AE582" s="687">
        <f t="shared" si="278"/>
        <v>-28.095380258964102</v>
      </c>
      <c r="AG582" s="686">
        <f t="shared" si="279"/>
        <v>22.624314889730233</v>
      </c>
      <c r="AH582" s="687">
        <f t="shared" si="280"/>
        <v>-6.8010881113316728</v>
      </c>
      <c r="AJ582" s="170">
        <f t="shared" si="281"/>
        <v>0</v>
      </c>
      <c r="AK582" s="170">
        <f t="shared" si="293"/>
        <v>0</v>
      </c>
      <c r="AM582" s="170" t="str">
        <f t="shared" si="285"/>
        <v>1.33541329746084-0.942071080060546i</v>
      </c>
      <c r="AN582" s="170" t="str">
        <f t="shared" si="286"/>
        <v>4.37034507297949i</v>
      </c>
      <c r="AO582" s="170" t="str">
        <f t="shared" si="287"/>
        <v>-0.215559884706836-0.305562438471345i</v>
      </c>
      <c r="AP582" s="170" t="str">
        <f t="shared" si="288"/>
        <v>-0.055902216243474+0.157011846676758i</v>
      </c>
      <c r="AQ582" s="170" t="str">
        <f t="shared" si="289"/>
        <v>1.05590221624347-0.157011846676758i</v>
      </c>
      <c r="AR582" s="170" t="str">
        <f t="shared" si="290"/>
        <v>0.771832464747316+0.114770893318313i</v>
      </c>
    </row>
    <row r="583" spans="7:44">
      <c r="G583" s="688">
        <v>112200</v>
      </c>
      <c r="H583" s="676">
        <f t="shared" si="282"/>
        <v>112.2</v>
      </c>
      <c r="I583" s="677">
        <f t="shared" si="262"/>
        <v>38.382197716359478</v>
      </c>
      <c r="J583" s="678">
        <f t="shared" si="263"/>
        <v>1.5447396331448324</v>
      </c>
      <c r="K583" s="678">
        <f t="shared" si="264"/>
        <v>1.0098908353191183</v>
      </c>
      <c r="L583" s="679">
        <f t="shared" si="265"/>
        <v>0.14007136516191912</v>
      </c>
      <c r="M583" s="678">
        <f t="shared" si="266"/>
        <v>1.3744322507480182</v>
      </c>
      <c r="N583" s="679">
        <f t="shared" si="267"/>
        <v>-0.75601857378208748</v>
      </c>
      <c r="O583" s="677">
        <f t="shared" si="268"/>
        <v>845968.06879259122</v>
      </c>
      <c r="P583" s="680">
        <f t="shared" si="269"/>
        <v>1.5707951447171837</v>
      </c>
      <c r="Q583" s="689">
        <f t="shared" si="291"/>
        <v>18.919732787233677</v>
      </c>
      <c r="R583" s="690">
        <f t="shared" si="292"/>
        <v>1.5179168171445825</v>
      </c>
      <c r="S583" s="677">
        <f t="shared" si="270"/>
        <v>1.1059374667957964</v>
      </c>
      <c r="T583" s="680">
        <f t="shared" si="271"/>
        <v>0.44126937854011811</v>
      </c>
      <c r="U583" s="681">
        <f t="shared" si="283"/>
        <v>0.2852764143450513</v>
      </c>
      <c r="V583" s="682">
        <f t="shared" si="284"/>
        <v>-2.0591337743577824</v>
      </c>
      <c r="W583" s="683">
        <f t="shared" si="272"/>
        <v>-29.758904513869993</v>
      </c>
      <c r="X583" s="684">
        <f t="shared" si="273"/>
        <v>-270.09048993108325</v>
      </c>
      <c r="Y583" s="687">
        <f t="shared" si="274"/>
        <v>-90.090489931083255</v>
      </c>
      <c r="AA583" s="170">
        <f t="shared" si="275"/>
        <v>112200</v>
      </c>
      <c r="AB583" s="170">
        <f t="shared" si="276"/>
        <v>12588840000</v>
      </c>
      <c r="AD583" s="686">
        <f t="shared" si="277"/>
        <v>11.222059226952867</v>
      </c>
      <c r="AE583" s="687">
        <f t="shared" si="278"/>
        <v>-28.312578048681615</v>
      </c>
      <c r="AG583" s="686">
        <f t="shared" si="279"/>
        <v>22.769733375563312</v>
      </c>
      <c r="AH583" s="687">
        <f t="shared" si="280"/>
        <v>-5.8185621656898467</v>
      </c>
      <c r="AJ583" s="170">
        <f t="shared" si="281"/>
        <v>0</v>
      </c>
      <c r="AK583" s="170">
        <f t="shared" si="293"/>
        <v>0</v>
      </c>
      <c r="AM583" s="170" t="str">
        <f t="shared" si="285"/>
        <v>1.28768623079316-0.957724716508884i</v>
      </c>
      <c r="AN583" s="170" t="str">
        <f t="shared" si="286"/>
        <v>4.42057892439304i</v>
      </c>
      <c r="AO583" s="170" t="str">
        <f t="shared" si="287"/>
        <v>-0.216651423464944-0.291293573266529i</v>
      </c>
      <c r="AP583" s="170" t="str">
        <f t="shared" si="288"/>
        <v>-0.0479477051321938+0.159620786084814i</v>
      </c>
      <c r="AQ583" s="170" t="str">
        <f t="shared" si="289"/>
        <v>1.04794770513219-0.159620786084814i</v>
      </c>
      <c r="AR583" s="170" t="str">
        <f t="shared" si="290"/>
        <v>0.776863279879526+0.118329881164399i</v>
      </c>
    </row>
    <row r="584" spans="7:44">
      <c r="G584" s="688">
        <v>113510</v>
      </c>
      <c r="H584" s="676">
        <f t="shared" si="282"/>
        <v>113.51</v>
      </c>
      <c r="I584" s="677">
        <f t="shared" si="262"/>
        <v>38.830029671945212</v>
      </c>
      <c r="J584" s="678">
        <f t="shared" si="263"/>
        <v>1.545040215355211</v>
      </c>
      <c r="K584" s="678">
        <f t="shared" si="264"/>
        <v>1.0101219820195397</v>
      </c>
      <c r="L584" s="679">
        <f t="shared" si="265"/>
        <v>0.14168510341690477</v>
      </c>
      <c r="M584" s="678">
        <f t="shared" si="266"/>
        <v>1.3820079171757649</v>
      </c>
      <c r="N584" s="679">
        <f t="shared" si="267"/>
        <v>-0.7618143754750889</v>
      </c>
      <c r="O584" s="677">
        <f t="shared" si="268"/>
        <v>855845.23608418449</v>
      </c>
      <c r="P584" s="680">
        <f t="shared" si="269"/>
        <v>1.5707951583593456</v>
      </c>
      <c r="Q584" s="689">
        <f t="shared" si="291"/>
        <v>19.140018068092228</v>
      </c>
      <c r="R584" s="690">
        <f t="shared" si="292"/>
        <v>1.5185259733078562</v>
      </c>
      <c r="S584" s="677">
        <f t="shared" si="270"/>
        <v>1.1083039665539913</v>
      </c>
      <c r="T584" s="680">
        <f t="shared" si="271"/>
        <v>0.44576860623841197</v>
      </c>
      <c r="U584" s="681">
        <f t="shared" si="283"/>
        <v>0.27854326426097342</v>
      </c>
      <c r="V584" s="682">
        <f t="shared" si="284"/>
        <v>-2.0816280938185998</v>
      </c>
      <c r="W584" s="683">
        <f t="shared" si="272"/>
        <v>-30.036239384583268</v>
      </c>
      <c r="X584" s="684">
        <f t="shared" si="273"/>
        <v>-271.85904164053261</v>
      </c>
      <c r="Y584" s="687">
        <f t="shared" si="274"/>
        <v>-91.85904164053261</v>
      </c>
      <c r="AA584" s="170">
        <f t="shared" si="275"/>
        <v>113510</v>
      </c>
      <c r="AB584" s="170">
        <f t="shared" si="276"/>
        <v>12884520100</v>
      </c>
      <c r="AD584" s="686">
        <f t="shared" si="277"/>
        <v>11.203214467604417</v>
      </c>
      <c r="AE584" s="687">
        <f t="shared" si="278"/>
        <v>-28.535463511535223</v>
      </c>
      <c r="AG584" s="686">
        <f t="shared" si="279"/>
        <v>22.926171519803475</v>
      </c>
      <c r="AH584" s="687">
        <f t="shared" si="280"/>
        <v>-4.7865692730924714</v>
      </c>
      <c r="AJ584" s="170">
        <f t="shared" si="281"/>
        <v>0</v>
      </c>
      <c r="AK584" s="170">
        <f t="shared" si="293"/>
        <v>0</v>
      </c>
      <c r="AM584" s="170" t="str">
        <f t="shared" si="285"/>
        <v>1.23789420472395-0.971291072417922i</v>
      </c>
      <c r="AN584" s="170" t="str">
        <f t="shared" si="286"/>
        <v>4.47219174427678i</v>
      </c>
      <c r="AO584" s="170" t="str">
        <f t="shared" si="287"/>
        <v>-0.217184577038969-0.276798106053509i</v>
      </c>
      <c r="AP584" s="170" t="str">
        <f t="shared" si="288"/>
        <v>-0.039649034120659+0.161881845402987i</v>
      </c>
      <c r="AQ584" s="170" t="str">
        <f t="shared" si="289"/>
        <v>1.03964903412066-0.161881845402987i</v>
      </c>
      <c r="AR584" s="170" t="str">
        <f t="shared" si="290"/>
        <v>0.782265866007856+0.121805184085248i</v>
      </c>
    </row>
    <row r="585" spans="7:44">
      <c r="G585" s="688">
        <v>114820</v>
      </c>
      <c r="H585" s="676">
        <f t="shared" si="282"/>
        <v>114.82</v>
      </c>
      <c r="I585" s="677">
        <f t="shared" si="262"/>
        <v>39.277865055810672</v>
      </c>
      <c r="J585" s="678">
        <f t="shared" si="263"/>
        <v>1.5453339432807116</v>
      </c>
      <c r="K585" s="678">
        <f t="shared" si="264"/>
        <v>1.0103557580226896</v>
      </c>
      <c r="L585" s="679">
        <f t="shared" si="265"/>
        <v>0.14329809909760682</v>
      </c>
      <c r="M585" s="678">
        <f t="shared" si="266"/>
        <v>1.3896295000042285</v>
      </c>
      <c r="N585" s="679">
        <f t="shared" si="267"/>
        <v>-0.76754679249389857</v>
      </c>
      <c r="O585" s="677">
        <f t="shared" si="268"/>
        <v>865722.40337577765</v>
      </c>
      <c r="P585" s="680">
        <f t="shared" si="269"/>
        <v>1.5707951716902162</v>
      </c>
      <c r="Q585" s="689">
        <f t="shared" si="291"/>
        <v>19.36031028963647</v>
      </c>
      <c r="R585" s="690">
        <f t="shared" si="292"/>
        <v>1.5191212670624679</v>
      </c>
      <c r="S585" s="677">
        <f t="shared" si="270"/>
        <v>1.1106928058961116</v>
      </c>
      <c r="T585" s="680">
        <f t="shared" si="271"/>
        <v>0.45024857073744345</v>
      </c>
      <c r="U585" s="681">
        <f t="shared" si="283"/>
        <v>0.27176951302120295</v>
      </c>
      <c r="V585" s="682">
        <f t="shared" si="284"/>
        <v>-2.1044644861108468</v>
      </c>
      <c r="W585" s="683">
        <f t="shared" si="272"/>
        <v>-30.318871452247976</v>
      </c>
      <c r="X585" s="684">
        <f t="shared" si="273"/>
        <v>-273.64290136964365</v>
      </c>
      <c r="Y585" s="687">
        <f t="shared" si="274"/>
        <v>-93.642901369643653</v>
      </c>
      <c r="AA585" s="170">
        <f t="shared" si="275"/>
        <v>114820</v>
      </c>
      <c r="AB585" s="170">
        <f t="shared" si="276"/>
        <v>13183632400</v>
      </c>
      <c r="AD585" s="686">
        <f t="shared" si="277"/>
        <v>11.184244065546554</v>
      </c>
      <c r="AE585" s="687">
        <f t="shared" si="278"/>
        <v>-28.758039514045361</v>
      </c>
      <c r="AG585" s="686">
        <f t="shared" si="279"/>
        <v>23.090186839407167</v>
      </c>
      <c r="AH585" s="687">
        <f t="shared" si="280"/>
        <v>-3.7309952014014858</v>
      </c>
      <c r="AJ585" s="170">
        <f t="shared" si="281"/>
        <v>0</v>
      </c>
      <c r="AK585" s="170">
        <f t="shared" si="293"/>
        <v>0</v>
      </c>
      <c r="AM585" s="170" t="str">
        <f t="shared" si="285"/>
        <v>1.18746859695274-0.982270596707735i</v>
      </c>
      <c r="AN585" s="170" t="str">
        <f t="shared" si="286"/>
        <v>4.52380456416051i</v>
      </c>
      <c r="AO585" s="170" t="str">
        <f t="shared" si="287"/>
        <v>-0.217133738378023-0.262493346056628i</v>
      </c>
      <c r="AP585" s="170" t="str">
        <f t="shared" si="288"/>
        <v>-0.0312447661587907+0.163711766117956i</v>
      </c>
      <c r="AQ585" s="170" t="str">
        <f t="shared" si="289"/>
        <v>1.03124476615879-0.163711766117956i</v>
      </c>
      <c r="AR585" s="170" t="str">
        <f t="shared" si="290"/>
        <v>0.787904839717829+0.125081161210208i</v>
      </c>
    </row>
    <row r="586" spans="7:44">
      <c r="G586" s="688">
        <v>116155</v>
      </c>
      <c r="H586" s="676">
        <f t="shared" si="282"/>
        <v>116.155</v>
      </c>
      <c r="I586" s="677">
        <f t="shared" si="262"/>
        <v>39.734250323493221</v>
      </c>
      <c r="J586" s="678">
        <f t="shared" si="263"/>
        <v>1.5456264648583073</v>
      </c>
      <c r="K586" s="678">
        <f t="shared" si="264"/>
        <v>1.0105966985584904</v>
      </c>
      <c r="L586" s="679">
        <f t="shared" si="265"/>
        <v>0.14494110501896532</v>
      </c>
      <c r="M586" s="678">
        <f t="shared" si="266"/>
        <v>1.3974429941906099</v>
      </c>
      <c r="N586" s="679">
        <f t="shared" si="267"/>
        <v>-0.77332408310840017</v>
      </c>
      <c r="O586" s="677">
        <f t="shared" si="268"/>
        <v>875788.0662263711</v>
      </c>
      <c r="P586" s="680">
        <f t="shared" si="269"/>
        <v>1.5707951849661386</v>
      </c>
      <c r="Q586" s="689">
        <f t="shared" si="291"/>
        <v>19.584813459354706</v>
      </c>
      <c r="R586" s="690">
        <f t="shared" si="292"/>
        <v>1.5197141435129522</v>
      </c>
      <c r="S586" s="677">
        <f t="shared" si="270"/>
        <v>1.1131500680045687</v>
      </c>
      <c r="T586" s="680">
        <f t="shared" si="271"/>
        <v>0.45479415544996038</v>
      </c>
      <c r="U586" s="681">
        <f t="shared" si="283"/>
        <v>0.26481900660133489</v>
      </c>
      <c r="V586" s="682">
        <f t="shared" si="284"/>
        <v>-2.1281037418303006</v>
      </c>
      <c r="W586" s="683">
        <f t="shared" si="272"/>
        <v>-30.612933509774855</v>
      </c>
      <c r="X586" s="684">
        <f t="shared" si="273"/>
        <v>-275.4774425330458</v>
      </c>
      <c r="Y586" s="687">
        <f t="shared" si="274"/>
        <v>-95.477442533045803</v>
      </c>
      <c r="AA586" s="170">
        <f t="shared" si="275"/>
        <v>116155</v>
      </c>
      <c r="AB586" s="170">
        <f t="shared" si="276"/>
        <v>13491984025</v>
      </c>
      <c r="AD586" s="686">
        <f t="shared" si="277"/>
        <v>11.16478408442892</v>
      </c>
      <c r="AE586" s="687">
        <f t="shared" si="278"/>
        <v>-28.984513776019437</v>
      </c>
      <c r="AG586" s="686">
        <f t="shared" si="279"/>
        <v>23.265648126401885</v>
      </c>
      <c r="AH586" s="687">
        <f t="shared" si="280"/>
        <v>-2.6302029326238374</v>
      </c>
      <c r="AJ586" s="170">
        <f t="shared" si="281"/>
        <v>0</v>
      </c>
      <c r="AK586" s="170">
        <f t="shared" si="293"/>
        <v>0</v>
      </c>
      <c r="AM586" s="170" t="str">
        <f t="shared" si="285"/>
        <v>1.13556788728601-0.990768059606691i</v>
      </c>
      <c r="AN586" s="170" t="str">
        <f t="shared" si="286"/>
        <v>4.57640236152294i</v>
      </c>
      <c r="AO586" s="170" t="str">
        <f t="shared" si="287"/>
        <v>-0.21649496292913-0.24813549980516i</v>
      </c>
      <c r="AP586" s="170" t="str">
        <f t="shared" si="288"/>
        <v>-0.0225946478810017+0.165128009934449i</v>
      </c>
      <c r="AQ586" s="170" t="str">
        <f t="shared" si="289"/>
        <v>1.022594647881-0.165128009934449i</v>
      </c>
      <c r="AR586" s="170" t="str">
        <f t="shared" si="290"/>
        <v>0.79389327286127+0.128197440226759i</v>
      </c>
    </row>
    <row r="587" spans="7:44">
      <c r="G587" s="688">
        <v>117490</v>
      </c>
      <c r="H587" s="676">
        <f t="shared" si="282"/>
        <v>117.49</v>
      </c>
      <c r="I587" s="677">
        <f t="shared" si="262"/>
        <v>40.190638913972833</v>
      </c>
      <c r="J587" s="678">
        <f t="shared" si="263"/>
        <v>1.5459123429471815</v>
      </c>
      <c r="K587" s="678">
        <f t="shared" si="264"/>
        <v>1.0108403658633984</v>
      </c>
      <c r="L587" s="679">
        <f t="shared" si="265"/>
        <v>0.14658332326474746</v>
      </c>
      <c r="M587" s="678">
        <f t="shared" si="266"/>
        <v>1.4053026113847138</v>
      </c>
      <c r="N587" s="679">
        <f t="shared" si="267"/>
        <v>-0.77903693983572464</v>
      </c>
      <c r="O587" s="677">
        <f t="shared" si="268"/>
        <v>885853.72907696466</v>
      </c>
      <c r="P587" s="680">
        <f t="shared" si="269"/>
        <v>1.5707951979403609</v>
      </c>
      <c r="Q587" s="689">
        <f t="shared" si="291"/>
        <v>19.809323357144049</v>
      </c>
      <c r="R587" s="690">
        <f t="shared" si="292"/>
        <v>1.5202935813770182</v>
      </c>
      <c r="S587" s="677">
        <f t="shared" si="270"/>
        <v>1.1156302288022824</v>
      </c>
      <c r="T587" s="680">
        <f t="shared" si="271"/>
        <v>0.45931962271938825</v>
      </c>
      <c r="U587" s="681">
        <f t="shared" si="283"/>
        <v>0.25781482447300647</v>
      </c>
      <c r="V587" s="682">
        <f t="shared" si="284"/>
        <v>-2.152128769522506</v>
      </c>
      <c r="W587" s="683">
        <f t="shared" si="272"/>
        <v>-30.913734474124798</v>
      </c>
      <c r="X587" s="684">
        <f t="shared" si="273"/>
        <v>-277.3296768116042</v>
      </c>
      <c r="Y587" s="687">
        <f t="shared" si="274"/>
        <v>-97.329676811604202</v>
      </c>
      <c r="AA587" s="170">
        <f t="shared" si="275"/>
        <v>117490</v>
      </c>
      <c r="AB587" s="170">
        <f t="shared" si="276"/>
        <v>13803900100</v>
      </c>
      <c r="AD587" s="686">
        <f t="shared" si="277"/>
        <v>11.145197107315884</v>
      </c>
      <c r="AE587" s="687">
        <f t="shared" si="278"/>
        <v>-29.210605350407722</v>
      </c>
      <c r="AG587" s="686">
        <f t="shared" si="279"/>
        <v>23.450084787870175</v>
      </c>
      <c r="AH587" s="687">
        <f t="shared" si="280"/>
        <v>-1.5032802547515156</v>
      </c>
      <c r="AJ587" s="170">
        <f t="shared" si="281"/>
        <v>0</v>
      </c>
      <c r="AK587" s="170">
        <f t="shared" si="293"/>
        <v>0</v>
      </c>
      <c r="AM587" s="170" t="str">
        <f t="shared" si="285"/>
        <v>1.08329221168236-0.996525166502613i</v>
      </c>
      <c r="AN587" s="170" t="str">
        <f t="shared" si="286"/>
        <v>4.62900015888537i</v>
      </c>
      <c r="AO587" s="170" t="str">
        <f t="shared" si="287"/>
        <v>-0.215278706480444-0.234022936811307i</v>
      </c>
      <c r="AP587" s="170" t="str">
        <f t="shared" si="288"/>
        <v>-0.0138820352803927+0.166087527750436i</v>
      </c>
      <c r="AQ587" s="170" t="str">
        <f t="shared" si="289"/>
        <v>1.01388203528039-0.166087527750436i</v>
      </c>
      <c r="AR587" s="170" t="str">
        <f t="shared" si="290"/>
        <v>0.800123402703477+0.13107098580116i</v>
      </c>
    </row>
    <row r="588" spans="7:44">
      <c r="G588" s="688">
        <v>118860</v>
      </c>
      <c r="H588" s="676">
        <f t="shared" si="282"/>
        <v>118.86</v>
      </c>
      <c r="I588" s="677">
        <f t="shared" si="262"/>
        <v>40.658996085659929</v>
      </c>
      <c r="J588" s="678">
        <f t="shared" si="263"/>
        <v>1.5461990435089197</v>
      </c>
      <c r="K588" s="678">
        <f t="shared" si="264"/>
        <v>1.0110932543207496</v>
      </c>
      <c r="L588" s="679">
        <f t="shared" si="265"/>
        <v>0.14826776831039359</v>
      </c>
      <c r="M588" s="678">
        <f t="shared" si="266"/>
        <v>1.4134154316664396</v>
      </c>
      <c r="N588" s="679">
        <f t="shared" si="267"/>
        <v>-0.78483332152312923</v>
      </c>
      <c r="O588" s="677">
        <f t="shared" si="268"/>
        <v>896183.28571015806</v>
      </c>
      <c r="P588" s="680">
        <f t="shared" si="269"/>
        <v>1.5707952109517249</v>
      </c>
      <c r="Q588" s="689">
        <f t="shared" si="291"/>
        <v>20.039726040033052</v>
      </c>
      <c r="R588" s="690">
        <f t="shared" si="292"/>
        <v>1.5208747120946875</v>
      </c>
      <c r="S588" s="677">
        <f t="shared" si="270"/>
        <v>1.1181990598054252</v>
      </c>
      <c r="T588" s="680">
        <f t="shared" si="271"/>
        <v>0.46394276637715276</v>
      </c>
      <c r="U588" s="681">
        <f t="shared" si="283"/>
        <v>0.25056524759738424</v>
      </c>
      <c r="V588" s="682">
        <f t="shared" si="284"/>
        <v>-2.1772006310536067</v>
      </c>
      <c r="W588" s="683">
        <f t="shared" si="272"/>
        <v>-31.230168708275443</v>
      </c>
      <c r="X588" s="684">
        <f t="shared" si="273"/>
        <v>-279.24980303913725</v>
      </c>
      <c r="Y588" s="687">
        <f t="shared" si="274"/>
        <v>-99.249803039137248</v>
      </c>
      <c r="AA588" s="170">
        <f t="shared" si="275"/>
        <v>118860</v>
      </c>
      <c r="AB588" s="170">
        <f t="shared" si="276"/>
        <v>14127699600</v>
      </c>
      <c r="AD588" s="686">
        <f t="shared" si="277"/>
        <v>11.124966451440745</v>
      </c>
      <c r="AE588" s="687">
        <f t="shared" si="278"/>
        <v>-29.44219637837331</v>
      </c>
      <c r="AG588" s="686">
        <f t="shared" si="279"/>
        <v>23.649363207694684</v>
      </c>
      <c r="AH588" s="687">
        <f t="shared" si="280"/>
        <v>-0.31879175049914621</v>
      </c>
      <c r="AJ588" s="170">
        <f t="shared" si="281"/>
        <v>0</v>
      </c>
      <c r="AK588" s="170">
        <f t="shared" si="293"/>
        <v>0</v>
      </c>
      <c r="AM588" s="170" t="str">
        <f t="shared" si="285"/>
        <v>1.02940781527377-0.999567496670847i</v>
      </c>
      <c r="AN588" s="170" t="str">
        <f t="shared" si="286"/>
        <v>4.68297692471798i</v>
      </c>
      <c r="AO588" s="170" t="str">
        <f t="shared" si="287"/>
        <v>-0.213447025842657-0.219819109045848i</v>
      </c>
      <c r="AP588" s="170" t="str">
        <f t="shared" si="288"/>
        <v>-0.0049013025456284+0.166594582778474i</v>
      </c>
      <c r="AQ588" s="170" t="str">
        <f t="shared" si="289"/>
        <v>1.00490130254563-0.166594582778474i</v>
      </c>
      <c r="AR588" s="170" t="str">
        <f t="shared" si="290"/>
        <v>0.806764274692504+0.133747023118097i</v>
      </c>
    </row>
    <row r="589" spans="7:44">
      <c r="G589" s="688">
        <v>120230</v>
      </c>
      <c r="H589" s="676">
        <f t="shared" si="282"/>
        <v>120.23</v>
      </c>
      <c r="I589" s="677">
        <f t="shared" ref="I589:I613" si="294">SQRT(1+(G589/pole1)^2)</f>
        <v>41.127356523284512</v>
      </c>
      <c r="J589" s="678">
        <f t="shared" ref="J589:J613" si="295">ATAN(G589/pole1)</f>
        <v>1.5464792141719581</v>
      </c>
      <c r="K589" s="678">
        <f t="shared" ref="K589:K613" si="296">SQRT(1+(G589/Zero1)^2)</f>
        <v>1.0113490101692615</v>
      </c>
      <c r="L589" s="679">
        <f t="shared" ref="L589:L613" si="297">ATAN(G589/Zero1)</f>
        <v>0.14995136618638596</v>
      </c>
      <c r="M589" s="678">
        <f t="shared" ref="M589:M613" si="298">SQRT(1+(G589/z_RHP)^2)</f>
        <v>1.4215751969922097</v>
      </c>
      <c r="N589" s="679">
        <f t="shared" ref="N589:N613" si="299">-ATAN(G589/z_RHP)</f>
        <v>-0.79056335205604511</v>
      </c>
      <c r="O589" s="677">
        <f t="shared" ref="O589:O613" si="300">SQRT(1+(G589/Pole2)^2)</f>
        <v>906512.8423433518</v>
      </c>
      <c r="P589" s="680">
        <f t="shared" ref="P589:P613" si="301">ATAN(G589/Pole2)</f>
        <v>1.5707952236665643</v>
      </c>
      <c r="Q589" s="689">
        <f t="shared" si="291"/>
        <v>20.270135336743955</v>
      </c>
      <c r="R589" s="690">
        <f t="shared" si="292"/>
        <v>1.5214426316511538</v>
      </c>
      <c r="S589" s="677">
        <f t="shared" ref="S589:S613" si="302">SQRT(1+(G589/pole4)^2)</f>
        <v>1.1207916807356297</v>
      </c>
      <c r="T589" s="680">
        <f t="shared" ref="T589:T613" si="303">ATAN(G589/pole4)</f>
        <v>0.4685446194570026</v>
      </c>
      <c r="U589" s="681">
        <f t="shared" si="283"/>
        <v>0.24324716130108157</v>
      </c>
      <c r="V589" s="682">
        <f t="shared" si="284"/>
        <v>-2.2027107833940929</v>
      </c>
      <c r="W589" s="683">
        <f t="shared" ref="W589:W613" si="304">20*LOG10(((K589*Q589*M589*U589)/(I589*O589*S589))*Adc)</f>
        <v>-31.555276289059385</v>
      </c>
      <c r="X589" s="684">
        <f t="shared" ref="X589:X613" si="305">((L589+R589+N589+V589)-(J589+P589+T589))*radconv</f>
        <v>-281.19045130929436</v>
      </c>
      <c r="Y589" s="687">
        <f t="shared" ref="Y589:Y613" si="306">IF(X589&gt;0,X589,X589+180)</f>
        <v>-101.19045130929436</v>
      </c>
      <c r="AA589" s="170">
        <f t="shared" ref="AA589:AA613" si="307">IF(W589&lt;0,G589,1000000000)</f>
        <v>120230</v>
      </c>
      <c r="AB589" s="170">
        <f t="shared" ref="AB589:AB613" si="308">G589^2</f>
        <v>14455252900</v>
      </c>
      <c r="AD589" s="686">
        <f t="shared" ref="AD589:AD613" si="309">20*LOG10((Q589/(O589*S589))*Aea)</f>
        <v>11.104605875153538</v>
      </c>
      <c r="AE589" s="687">
        <f t="shared" ref="AE589:AE613" si="310">(R589-(P589+T589))*radconv</f>
        <v>-29.67332447287027</v>
      </c>
      <c r="AG589" s="686">
        <f t="shared" ref="AG589:AG613" si="311">20*LOG10((K589*M589/(I589*U589))*Acs*Am)</f>
        <v>23.859538410137361</v>
      </c>
      <c r="AH589" s="687">
        <f t="shared" ref="AH589:AH613" si="312">(L589+N589-(J589+V589))*radconv</f>
        <v>0.89493620487226666</v>
      </c>
      <c r="AJ589" s="170">
        <f t="shared" ref="AJ589:AJ613" si="313">SUM((W590&lt;0)*(W589&gt;0))*G589</f>
        <v>0</v>
      </c>
      <c r="AK589" s="170">
        <f t="shared" si="293"/>
        <v>0</v>
      </c>
      <c r="AM589" s="170" t="str">
        <f t="shared" si="285"/>
        <v>0.975437760252876-0.999698302678666i</v>
      </c>
      <c r="AN589" s="170" t="str">
        <f t="shared" si="286"/>
        <v>4.73695369055059i</v>
      </c>
      <c r="AO589" s="170" t="str">
        <f t="shared" si="287"/>
        <v>-0.211042447949806-0.205920898529936i</v>
      </c>
      <c r="AP589" s="170" t="str">
        <f t="shared" si="288"/>
        <v>0.00409370662452067+0.166616383779778i</v>
      </c>
      <c r="AQ589" s="170" t="str">
        <f t="shared" si="289"/>
        <v>0.995906293375479-0.166616383779778i</v>
      </c>
      <c r="AR589" s="170" t="str">
        <f t="shared" si="290"/>
        <v>0.813650237627754+0.13612471490225i</v>
      </c>
    </row>
    <row r="590" spans="7:44">
      <c r="G590" s="688">
        <v>126030</v>
      </c>
      <c r="H590" s="676">
        <f t="shared" ref="H590:H613" si="314">G590/1000</f>
        <v>126.03</v>
      </c>
      <c r="I590" s="677">
        <f t="shared" si="294"/>
        <v>43.110230063158909</v>
      </c>
      <c r="J590" s="678">
        <f t="shared" si="295"/>
        <v>1.5475978957333907</v>
      </c>
      <c r="K590" s="678">
        <f t="shared" si="296"/>
        <v>1.0124634877134366</v>
      </c>
      <c r="L590" s="679">
        <f t="shared" si="297"/>
        <v>0.15706941726980811</v>
      </c>
      <c r="M590" s="678">
        <f t="shared" si="298"/>
        <v>1.4566220185306036</v>
      </c>
      <c r="N590" s="679">
        <f t="shared" si="299"/>
        <v>-0.81410436020462074</v>
      </c>
      <c r="O590" s="677">
        <f t="shared" si="300"/>
        <v>950243.81203132635</v>
      </c>
      <c r="P590" s="680">
        <f t="shared" si="301"/>
        <v>1.5707952744334002</v>
      </c>
      <c r="Q590" s="689">
        <f t="shared" si="291"/>
        <v>21.24565907044278</v>
      </c>
      <c r="R590" s="690">
        <f t="shared" si="292"/>
        <v>1.5237104912868464</v>
      </c>
      <c r="S590" s="677">
        <f t="shared" si="302"/>
        <v>1.1320275033478338</v>
      </c>
      <c r="T590" s="680">
        <f t="shared" si="303"/>
        <v>0.48779004847533114</v>
      </c>
      <c r="U590" s="681">
        <f t="shared" ref="U590:U613" si="315">IMABS(IMPRODUCT(AO590, AR590))</f>
        <v>0.2113780460581387</v>
      </c>
      <c r="V590" s="682">
        <f t="shared" ref="V590:V613" si="316">IMARGUMENT(IMPRODUCT(AO590, AR590))</f>
        <v>-2.3159145894363267</v>
      </c>
      <c r="W590" s="683">
        <f t="shared" si="304"/>
        <v>-33.050510406877308</v>
      </c>
      <c r="X590" s="684">
        <f t="shared" si="305"/>
        <v>-289.65435946979142</v>
      </c>
      <c r="Y590" s="687">
        <f t="shared" si="306"/>
        <v>-109.65435946979142</v>
      </c>
      <c r="AA590" s="170">
        <f t="shared" si="307"/>
        <v>126030</v>
      </c>
      <c r="AB590" s="170">
        <f t="shared" si="308"/>
        <v>15883560900</v>
      </c>
      <c r="AD590" s="686">
        <f t="shared" si="309"/>
        <v>11.01701369103778</v>
      </c>
      <c r="AE590" s="687">
        <f t="shared" si="310"/>
        <v>-30.646070454722782</v>
      </c>
      <c r="AG590" s="686">
        <f t="shared" si="311"/>
        <v>24.891412544610816</v>
      </c>
      <c r="AH590" s="687">
        <f t="shared" si="312"/>
        <v>6.375974663125791</v>
      </c>
      <c r="AJ590" s="170">
        <f t="shared" si="313"/>
        <v>0</v>
      </c>
      <c r="AK590" s="170">
        <f t="shared" si="293"/>
        <v>0</v>
      </c>
      <c r="AM590" s="170" t="str">
        <f t="shared" ref="AM590:AM613" si="317">IMSUB(1,IMEXP(COMPLEX(0,-2*Pi*G590*Tsw)))</f>
        <v>0.749613467069043-0.968145951872348i</v>
      </c>
      <c r="AN590" s="170" t="str">
        <f t="shared" ref="AN590:AN613" si="318">COMPLEX(0, 2*Pi*G590*Tsw)</f>
        <v>4.96546846560834i</v>
      </c>
      <c r="AO590" s="170" t="str">
        <f t="shared" ref="AO590:AO613" si="319">IMDIV(AM590, AN590)</f>
        <v>-0.194975752756842-0.150965306146034i</v>
      </c>
      <c r="AP590" s="170" t="str">
        <f t="shared" ref="AP590:AP613" si="320">IMDIV(IMEXP(COMPLEX(0,-2*Pi*G590*Tsw)),6)</f>
        <v>0.0417310888218262+0.161357658645391i</v>
      </c>
      <c r="AQ590" s="170" t="str">
        <f t="shared" ref="AQ590:AQ613" si="321">IMSUB(1, AP590)</f>
        <v>0.958268911178174-0.161357658645391i</v>
      </c>
      <c r="AR590" s="170" t="str">
        <f t="shared" ref="AR590:AR613" si="322">IMDIV(0.833, AQ590)</f>
        <v>0.845308499508047+0.142336873003601i</v>
      </c>
    </row>
    <row r="591" spans="7:44">
      <c r="G591" s="688">
        <v>131830</v>
      </c>
      <c r="H591" s="676">
        <f t="shared" si="314"/>
        <v>131.83000000000001</v>
      </c>
      <c r="I591" s="677">
        <f t="shared" si="294"/>
        <v>45.093152808537546</v>
      </c>
      <c r="J591" s="678">
        <f t="shared" si="295"/>
        <v>1.5486181928502221</v>
      </c>
      <c r="K591" s="678">
        <f t="shared" si="296"/>
        <v>1.0136291490740494</v>
      </c>
      <c r="L591" s="679">
        <f t="shared" si="297"/>
        <v>0.16417145616730733</v>
      </c>
      <c r="M591" s="678">
        <f t="shared" si="298"/>
        <v>1.4924379039377753</v>
      </c>
      <c r="N591" s="679">
        <f t="shared" si="299"/>
        <v>-0.83652742155569915</v>
      </c>
      <c r="O591" s="677">
        <f t="shared" si="300"/>
        <v>993974.78171930322</v>
      </c>
      <c r="P591" s="680">
        <f t="shared" si="301"/>
        <v>1.5707953207331551</v>
      </c>
      <c r="Q591" s="689">
        <f t="shared" si="291"/>
        <v>22.221282480202504</v>
      </c>
      <c r="R591" s="690">
        <f t="shared" si="292"/>
        <v>1.5257792204506559</v>
      </c>
      <c r="S591" s="677">
        <f t="shared" si="302"/>
        <v>1.1436742857630386</v>
      </c>
      <c r="T591" s="680">
        <f t="shared" si="303"/>
        <v>0.50665036932621732</v>
      </c>
      <c r="U591" s="681">
        <f t="shared" si="315"/>
        <v>0.17781442578964074</v>
      </c>
      <c r="V591" s="682">
        <f t="shared" si="316"/>
        <v>-2.4382714778351731</v>
      </c>
      <c r="W591" s="683">
        <f t="shared" si="304"/>
        <v>-34.811726590157328</v>
      </c>
      <c r="X591" s="684">
        <f t="shared" si="305"/>
        <v>-298.56327141039446</v>
      </c>
      <c r="Y591" s="687">
        <f t="shared" si="306"/>
        <v>-118.56327141039446</v>
      </c>
      <c r="AA591" s="170">
        <f t="shared" si="307"/>
        <v>131830</v>
      </c>
      <c r="AB591" s="170">
        <f t="shared" si="308"/>
        <v>17379148900</v>
      </c>
      <c r="AD591" s="686">
        <f t="shared" si="309"/>
        <v>10.927278054889833</v>
      </c>
      <c r="AE591" s="687">
        <f t="shared" si="310"/>
        <v>-31.608160443579127</v>
      </c>
      <c r="AG591" s="686">
        <f t="shared" si="311"/>
        <v>26.223647492913742</v>
      </c>
      <c r="AH591" s="687">
        <f t="shared" si="312"/>
        <v>12.450219326614686</v>
      </c>
      <c r="AJ591" s="170">
        <f t="shared" si="313"/>
        <v>0</v>
      </c>
      <c r="AK591" s="170">
        <f t="shared" si="293"/>
        <v>0</v>
      </c>
      <c r="AM591" s="170" t="str">
        <f t="shared" si="317"/>
        <v>0.53680731112641-0.88625759967069i</v>
      </c>
      <c r="AN591" s="170" t="str">
        <f t="shared" si="318"/>
        <v>5.19398324066609i</v>
      </c>
      <c r="AO591" s="170" t="str">
        <f t="shared" si="319"/>
        <v>-0.170631586319295-0.10335176034522i</v>
      </c>
      <c r="AP591" s="170" t="str">
        <f t="shared" si="320"/>
        <v>0.0771987814789317+0.147709599945115i</v>
      </c>
      <c r="AQ591" s="170" t="str">
        <f t="shared" si="321"/>
        <v>0.922801218521068-0.147709599945115i</v>
      </c>
      <c r="AR591" s="170" t="str">
        <f t="shared" si="322"/>
        <v>0.880136052986442+0.140880334436762i</v>
      </c>
    </row>
    <row r="592" spans="7:44">
      <c r="G592" s="688">
        <v>144540</v>
      </c>
      <c r="H592" s="676">
        <f t="shared" si="314"/>
        <v>144.54</v>
      </c>
      <c r="I592" s="677">
        <f t="shared" si="294"/>
        <v>49.438631821295346</v>
      </c>
      <c r="J592" s="678">
        <f t="shared" si="295"/>
        <v>1.5505678502987357</v>
      </c>
      <c r="K592" s="678">
        <f t="shared" si="296"/>
        <v>1.0163616612401605</v>
      </c>
      <c r="L592" s="679">
        <f t="shared" si="297"/>
        <v>0.17967551642641644</v>
      </c>
      <c r="M592" s="678">
        <f t="shared" si="298"/>
        <v>1.5733551203589564</v>
      </c>
      <c r="N592" s="679">
        <f t="shared" si="299"/>
        <v>-0.88203105379923352</v>
      </c>
      <c r="O592" s="677">
        <f t="shared" si="300"/>
        <v>1089805.9239148591</v>
      </c>
      <c r="P592" s="680">
        <f t="shared" si="301"/>
        <v>1.5707954092003249</v>
      </c>
      <c r="Q592" s="689">
        <f t="shared" si="291"/>
        <v>24.359533467128426</v>
      </c>
      <c r="R592" s="690">
        <f t="shared" si="292"/>
        <v>1.5297330983837569</v>
      </c>
      <c r="S592" s="677">
        <f t="shared" si="302"/>
        <v>1.1705732758824172</v>
      </c>
      <c r="T592" s="680">
        <f t="shared" si="303"/>
        <v>0.54662780627174623</v>
      </c>
      <c r="U592" s="681">
        <f t="shared" si="315"/>
        <v>9.7928860459479822E-2</v>
      </c>
      <c r="V592" s="682">
        <f t="shared" si="316"/>
        <v>-2.7403830356908445</v>
      </c>
      <c r="W592" s="683">
        <f t="shared" si="304"/>
        <v>-40.513379844629434</v>
      </c>
      <c r="X592" s="684">
        <f t="shared" si="305"/>
        <v>-319.76754761032686</v>
      </c>
      <c r="Y592" s="687">
        <f t="shared" si="306"/>
        <v>-139.76754761032686</v>
      </c>
      <c r="AA592" s="170">
        <f t="shared" si="307"/>
        <v>144540</v>
      </c>
      <c r="AB592" s="170">
        <f t="shared" si="308"/>
        <v>20891811600</v>
      </c>
      <c r="AD592" s="686">
        <f t="shared" si="309"/>
        <v>10.723874045722042</v>
      </c>
      <c r="AE592" s="687">
        <f t="shared" si="310"/>
        <v>-33.672163409185629</v>
      </c>
      <c r="AG592" s="686">
        <f t="shared" si="311"/>
        <v>31.087649877561528</v>
      </c>
      <c r="AH592" s="687">
        <f t="shared" si="312"/>
        <v>27.929380546352025</v>
      </c>
      <c r="AJ592" s="170">
        <f t="shared" si="313"/>
        <v>0</v>
      </c>
      <c r="AK592" s="170">
        <f t="shared" si="293"/>
        <v>0</v>
      </c>
      <c r="AM592" s="170" t="str">
        <f t="shared" si="317"/>
        <v>0.16819214068447-0.555063676690265i</v>
      </c>
      <c r="AN592" s="170" t="str">
        <f t="shared" si="318"/>
        <v>5.69474579083575i</v>
      </c>
      <c r="AO592" s="170" t="str">
        <f t="shared" si="319"/>
        <v>-0.0974694388612569-0.0295346178498666i</v>
      </c>
      <c r="AP592" s="170" t="str">
        <f t="shared" si="320"/>
        <v>0.138634643219255+0.0925106127817108i</v>
      </c>
      <c r="AQ592" s="170" t="str">
        <f t="shared" si="321"/>
        <v>0.861365356780745-0.0925106127817108i</v>
      </c>
      <c r="AR592" s="170" t="str">
        <f t="shared" si="322"/>
        <v>0.956041604430038+0.102678838862503i</v>
      </c>
    </row>
    <row r="593" spans="7:44">
      <c r="G593" s="688">
        <v>158490</v>
      </c>
      <c r="H593" s="676">
        <f t="shared" si="314"/>
        <v>158.49</v>
      </c>
      <c r="I593" s="677">
        <f t="shared" si="294"/>
        <v>54.208239952032201</v>
      </c>
      <c r="J593" s="678">
        <f t="shared" si="295"/>
        <v>1.5523479003709753</v>
      </c>
      <c r="K593" s="678">
        <f t="shared" si="296"/>
        <v>1.0196403587885059</v>
      </c>
      <c r="L593" s="679">
        <f t="shared" si="297"/>
        <v>0.19659197670148856</v>
      </c>
      <c r="M593" s="678">
        <f t="shared" si="298"/>
        <v>1.6655297992074292</v>
      </c>
      <c r="N593" s="679">
        <f t="shared" si="299"/>
        <v>-0.92678318009957117</v>
      </c>
      <c r="O593" s="677">
        <f t="shared" si="300"/>
        <v>1194986.4458368185</v>
      </c>
      <c r="P593" s="680">
        <f t="shared" si="301"/>
        <v>1.5707954899653214</v>
      </c>
      <c r="Q593" s="689">
        <f t="shared" si="291"/>
        <v>26.70675904280526</v>
      </c>
      <c r="R593" s="690">
        <f t="shared" si="292"/>
        <v>1.5333438669968289</v>
      </c>
      <c r="S593" s="677">
        <f t="shared" si="302"/>
        <v>1.2021467720734178</v>
      </c>
      <c r="T593" s="680">
        <f t="shared" si="303"/>
        <v>0.58837227319894969</v>
      </c>
      <c r="U593" s="681">
        <f t="shared" si="315"/>
        <v>6.2131398838278203E-3</v>
      </c>
      <c r="V593" s="682">
        <f t="shared" si="316"/>
        <v>-3.1144204709788674</v>
      </c>
      <c r="W593" s="683">
        <f t="shared" si="304"/>
        <v>-64.975270313866261</v>
      </c>
      <c r="X593" s="684">
        <f t="shared" si="305"/>
        <v>-345.08007419891499</v>
      </c>
      <c r="Y593" s="687">
        <f t="shared" si="306"/>
        <v>-165.08007419891499</v>
      </c>
      <c r="AA593" s="170">
        <f t="shared" si="307"/>
        <v>158490</v>
      </c>
      <c r="AB593" s="170">
        <f t="shared" si="308"/>
        <v>25119080100</v>
      </c>
      <c r="AD593" s="686">
        <f t="shared" si="309"/>
        <v>10.49146438489065</v>
      </c>
      <c r="AE593" s="687">
        <f t="shared" si="310"/>
        <v>-35.857068009800557</v>
      </c>
      <c r="AG593" s="686">
        <f t="shared" si="311"/>
        <v>54.762151844891676</v>
      </c>
      <c r="AH593" s="687">
        <f t="shared" si="312"/>
        <v>47.663291451157967</v>
      </c>
      <c r="AJ593" s="170">
        <f t="shared" si="313"/>
        <v>0</v>
      </c>
      <c r="AK593" s="170">
        <f t="shared" si="293"/>
        <v>0</v>
      </c>
      <c r="AM593" s="170" t="str">
        <f t="shared" si="317"/>
        <v>0.00075348243154405-0.0388123321550352i</v>
      </c>
      <c r="AN593" s="170" t="str">
        <f t="shared" si="318"/>
        <v>6.24436322394878i</v>
      </c>
      <c r="AO593" s="170" t="str">
        <f t="shared" si="319"/>
        <v>-0.00621557887699096-0.000120666015816352i</v>
      </c>
      <c r="AP593" s="170" t="str">
        <f t="shared" si="320"/>
        <v>0.166541086261409+0.0064687220258392i</v>
      </c>
      <c r="AQ593" s="170" t="str">
        <f t="shared" si="321"/>
        <v>0.833458913738591-0.0064687220258392i</v>
      </c>
      <c r="AR593" s="170" t="str">
        <f t="shared" si="322"/>
        <v>0.99938918555479+0.00775655611862759i</v>
      </c>
    </row>
    <row r="594" spans="7:44">
      <c r="G594" s="688">
        <v>173780</v>
      </c>
      <c r="H594" s="676">
        <f t="shared" si="314"/>
        <v>173.78</v>
      </c>
      <c r="I594" s="677">
        <f t="shared" si="294"/>
        <v>59.436168105759457</v>
      </c>
      <c r="J594" s="678">
        <f t="shared" si="295"/>
        <v>1.5539707605326341</v>
      </c>
      <c r="K594" s="678">
        <f t="shared" si="296"/>
        <v>1.0235668617490215</v>
      </c>
      <c r="L594" s="679">
        <f t="shared" si="297"/>
        <v>0.21500303063774101</v>
      </c>
      <c r="M594" s="678">
        <f t="shared" si="298"/>
        <v>1.7699672713577956</v>
      </c>
      <c r="N594" s="679">
        <f t="shared" si="299"/>
        <v>-0.97038464842106276</v>
      </c>
      <c r="O594" s="677">
        <f t="shared" si="300"/>
        <v>1310270.3297211819</v>
      </c>
      <c r="P594" s="680">
        <f t="shared" si="301"/>
        <v>1.5707955635936111</v>
      </c>
      <c r="Q594" s="689">
        <f t="shared" si="291"/>
        <v>29.279785640824194</v>
      </c>
      <c r="R594" s="690">
        <f t="shared" si="292"/>
        <v>1.5366364281582836</v>
      </c>
      <c r="S594" s="677">
        <f t="shared" si="302"/>
        <v>1.2390283106058892</v>
      </c>
      <c r="T594" s="680">
        <f t="shared" si="303"/>
        <v>0.63159963133259822</v>
      </c>
      <c r="U594" s="681">
        <f t="shared" si="315"/>
        <v>7.8341291212889116E-2</v>
      </c>
      <c r="V594" s="682">
        <f t="shared" si="316"/>
        <v>-0.38506557261561125</v>
      </c>
      <c r="W594" s="683">
        <f t="shared" si="304"/>
        <v>-43.463246938479287</v>
      </c>
      <c r="X594" s="684">
        <f t="shared" si="305"/>
        <v>-192.52394456229348</v>
      </c>
      <c r="Y594" s="687">
        <f t="shared" si="306"/>
        <v>-12.52394456229348</v>
      </c>
      <c r="AA594" s="170">
        <f t="shared" si="307"/>
        <v>173780</v>
      </c>
      <c r="AB594" s="170">
        <f t="shared" si="308"/>
        <v>30199488400</v>
      </c>
      <c r="AD594" s="686">
        <f t="shared" si="309"/>
        <v>10.227965230127328</v>
      </c>
      <c r="AE594" s="687">
        <f t="shared" si="310"/>
        <v>-38.145167553223885</v>
      </c>
      <c r="AG594" s="686">
        <f t="shared" si="311"/>
        <v>32.510490624888291</v>
      </c>
      <c r="AH594" s="687">
        <f t="shared" si="312"/>
        <v>-110.25351266532343</v>
      </c>
      <c r="AJ594" s="170">
        <f t="shared" si="313"/>
        <v>0</v>
      </c>
      <c r="AK594" s="170">
        <f t="shared" si="293"/>
        <v>0</v>
      </c>
      <c r="AM594" s="170" t="str">
        <f t="shared" si="317"/>
        <v>0.154657379344795+0.53422453491373i</v>
      </c>
      <c r="AN594" s="170" t="str">
        <f t="shared" si="318"/>
        <v>6.84677544991999i</v>
      </c>
      <c r="AO594" s="170" t="str">
        <f t="shared" si="319"/>
        <v>0.0780257128076214-0.0225883527911818i</v>
      </c>
      <c r="AP594" s="170" t="str">
        <f t="shared" si="320"/>
        <v>0.140890436775868-0.0890374224856217i</v>
      </c>
      <c r="AQ594" s="170" t="str">
        <f t="shared" si="321"/>
        <v>0.859109563224132+0.0890374224856217i</v>
      </c>
      <c r="AR594" s="170" t="str">
        <f t="shared" si="322"/>
        <v>0.959304605839033-0.0994215559211616i</v>
      </c>
    </row>
    <row r="595" spans="7:44">
      <c r="G595" s="688">
        <v>190550</v>
      </c>
      <c r="H595" s="676">
        <f t="shared" si="314"/>
        <v>190.55</v>
      </c>
      <c r="I595" s="677">
        <f t="shared" si="294"/>
        <v>65.170284806968482</v>
      </c>
      <c r="J595" s="678">
        <f t="shared" si="295"/>
        <v>1.5554513079880292</v>
      </c>
      <c r="K595" s="678">
        <f t="shared" si="296"/>
        <v>1.0282691049281227</v>
      </c>
      <c r="L595" s="679">
        <f t="shared" si="297"/>
        <v>0.23502694339444385</v>
      </c>
      <c r="M595" s="678">
        <f t="shared" si="298"/>
        <v>1.8879297366362588</v>
      </c>
      <c r="N595" s="679">
        <f t="shared" si="299"/>
        <v>-1.0125722165434647</v>
      </c>
      <c r="O595" s="677">
        <f t="shared" si="300"/>
        <v>1436713.1506983484</v>
      </c>
      <c r="P595" s="680">
        <f t="shared" si="301"/>
        <v>1.5707956307617326</v>
      </c>
      <c r="Q595" s="689">
        <f t="shared" si="291"/>
        <v>32.102172748891952</v>
      </c>
      <c r="R595" s="690">
        <f t="shared" si="292"/>
        <v>1.539640747248864</v>
      </c>
      <c r="S595" s="677">
        <f t="shared" si="302"/>
        <v>1.2819783284048969</v>
      </c>
      <c r="T595" s="680">
        <f t="shared" si="303"/>
        <v>0.67605957485329315</v>
      </c>
      <c r="U595" s="681">
        <f t="shared" si="315"/>
        <v>0.13333983491784412</v>
      </c>
      <c r="V595" s="682">
        <f t="shared" si="316"/>
        <v>-0.77681895741328744</v>
      </c>
      <c r="W595" s="683">
        <f t="shared" si="304"/>
        <v>-39.340457874827401</v>
      </c>
      <c r="X595" s="684">
        <f t="shared" si="305"/>
        <v>-218.69970934804988</v>
      </c>
      <c r="Y595" s="687">
        <f t="shared" si="306"/>
        <v>-38.699709348049879</v>
      </c>
      <c r="AA595" s="170">
        <f t="shared" si="307"/>
        <v>190550</v>
      </c>
      <c r="AB595" s="170">
        <f t="shared" si="308"/>
        <v>36309302500</v>
      </c>
      <c r="AD595" s="686">
        <f t="shared" si="309"/>
        <v>9.9311236390765032</v>
      </c>
      <c r="AE595" s="687">
        <f t="shared" si="310"/>
        <v>-40.520403721312832</v>
      </c>
      <c r="AG595" s="686">
        <f t="shared" si="311"/>
        <v>27.691353765893023</v>
      </c>
      <c r="AH595" s="687">
        <f t="shared" si="312"/>
        <v>-89.162410113952006</v>
      </c>
      <c r="AJ595" s="170">
        <f t="shared" si="313"/>
        <v>0</v>
      </c>
      <c r="AK595" s="170">
        <f t="shared" si="293"/>
        <v>0</v>
      </c>
      <c r="AM595" s="170" t="str">
        <f t="shared" si="317"/>
        <v>0.660407806232973+0.940572773331494i</v>
      </c>
      <c r="AN595" s="170" t="str">
        <f t="shared" si="318"/>
        <v>7.50749834263008i</v>
      </c>
      <c r="AO595" s="170" t="str">
        <f t="shared" si="319"/>
        <v>0.125284446350205-0.0879664271762748i</v>
      </c>
      <c r="AP595" s="170" t="str">
        <f t="shared" si="320"/>
        <v>0.0565986989611712-0.156762128888582i</v>
      </c>
      <c r="AQ595" s="170" t="str">
        <f t="shared" si="321"/>
        <v>0.943401301038829+0.156762128888582i</v>
      </c>
      <c r="AR595" s="170" t="str">
        <f t="shared" si="322"/>
        <v>0.859250101002125-0.142778979563097i</v>
      </c>
    </row>
    <row r="596" spans="7:44">
      <c r="G596" s="688">
        <v>208930</v>
      </c>
      <c r="H596" s="676">
        <f t="shared" si="314"/>
        <v>208.93</v>
      </c>
      <c r="I596" s="677">
        <f t="shared" si="294"/>
        <v>71.455040551394148</v>
      </c>
      <c r="J596" s="678">
        <f t="shared" si="295"/>
        <v>1.556801055955638</v>
      </c>
      <c r="K596" s="678">
        <f t="shared" si="296"/>
        <v>1.0338917121320348</v>
      </c>
      <c r="L596" s="679">
        <f t="shared" si="297"/>
        <v>0.25675434041019757</v>
      </c>
      <c r="M596" s="678">
        <f t="shared" si="298"/>
        <v>2.0206002522097326</v>
      </c>
      <c r="N596" s="679">
        <f t="shared" si="299"/>
        <v>-1.0530737695736807</v>
      </c>
      <c r="O596" s="677">
        <f t="shared" si="300"/>
        <v>1575295.0856751176</v>
      </c>
      <c r="P596" s="680">
        <f t="shared" si="301"/>
        <v>1.5707956919931956</v>
      </c>
      <c r="Q596" s="689">
        <f t="shared" si="291"/>
        <v>35.19579935573725</v>
      </c>
      <c r="R596" s="690">
        <f t="shared" si="292"/>
        <v>1.5423800210976637</v>
      </c>
      <c r="S596" s="677">
        <f t="shared" si="302"/>
        <v>1.3317620593337316</v>
      </c>
      <c r="T596" s="680">
        <f t="shared" si="303"/>
        <v>0.72139541167523469</v>
      </c>
      <c r="U596" s="681">
        <f t="shared" si="315"/>
        <v>0.15608303307573784</v>
      </c>
      <c r="V596" s="682">
        <f t="shared" si="316"/>
        <v>-1.1191617999289045</v>
      </c>
      <c r="W596" s="683">
        <f t="shared" si="304"/>
        <v>-38.466578390231717</v>
      </c>
      <c r="X596" s="684">
        <f t="shared" si="305"/>
        <v>-241.90813095115388</v>
      </c>
      <c r="Y596" s="687">
        <f t="shared" si="306"/>
        <v>-61.908130951153879</v>
      </c>
      <c r="AA596" s="170">
        <f t="shared" si="307"/>
        <v>208930</v>
      </c>
      <c r="AB596" s="170">
        <f t="shared" si="308"/>
        <v>43651744900</v>
      </c>
      <c r="AD596" s="686">
        <f t="shared" si="309"/>
        <v>9.599495641039816</v>
      </c>
      <c r="AE596" s="687">
        <f t="shared" si="310"/>
        <v>-42.961010512530308</v>
      </c>
      <c r="AG596" s="686">
        <f t="shared" si="311"/>
        <v>26.161029937917569</v>
      </c>
      <c r="AH596" s="687">
        <f t="shared" si="312"/>
        <v>-70.700624835698846</v>
      </c>
      <c r="AJ596" s="170">
        <f t="shared" si="313"/>
        <v>0</v>
      </c>
      <c r="AK596" s="170">
        <f t="shared" si="293"/>
        <v>0</v>
      </c>
      <c r="AM596" s="170" t="str">
        <f t="shared" si="317"/>
        <v>1.36875767532987+0.929525565482365i</v>
      </c>
      <c r="AN596" s="170" t="str">
        <f t="shared" si="318"/>
        <v>8.23165378496826i</v>
      </c>
      <c r="AO596" s="170" t="str">
        <f t="shared" si="319"/>
        <v>0.112920877112174-0.166279791532212i</v>
      </c>
      <c r="AP596" s="170" t="str">
        <f t="shared" si="320"/>
        <v>-0.0614596125549782-0.154920927580394i</v>
      </c>
      <c r="AQ596" s="170" t="str">
        <f t="shared" si="321"/>
        <v>1.06145961255498+0.154920927580394i</v>
      </c>
      <c r="AR596" s="170" t="str">
        <f t="shared" si="322"/>
        <v>0.768400243538794-0.112148664983581i</v>
      </c>
    </row>
    <row r="597" spans="7:44">
      <c r="G597" s="688">
        <v>229090</v>
      </c>
      <c r="H597" s="676">
        <f t="shared" si="314"/>
        <v>229.09</v>
      </c>
      <c r="I597" s="677">
        <f t="shared" si="294"/>
        <v>78.348564190188554</v>
      </c>
      <c r="J597" s="678">
        <f t="shared" si="295"/>
        <v>1.5580325044660623</v>
      </c>
      <c r="K597" s="678">
        <f t="shared" si="296"/>
        <v>1.0406135750220429</v>
      </c>
      <c r="L597" s="679">
        <f t="shared" si="297"/>
        <v>0.28030353138870584</v>
      </c>
      <c r="M597" s="678">
        <f t="shared" si="298"/>
        <v>2.1694382344061856</v>
      </c>
      <c r="N597" s="679">
        <f t="shared" si="299"/>
        <v>-1.0917322405520342</v>
      </c>
      <c r="O597" s="677">
        <f t="shared" si="300"/>
        <v>1727297.9044526897</v>
      </c>
      <c r="P597" s="680">
        <f t="shared" si="301"/>
        <v>1.5707957478559669</v>
      </c>
      <c r="Q597" s="689">
        <f t="shared" si="291"/>
        <v>38.58927900870836</v>
      </c>
      <c r="R597" s="690">
        <f t="shared" si="292"/>
        <v>1.5448794923394304</v>
      </c>
      <c r="S597" s="677">
        <f t="shared" si="302"/>
        <v>1.389274193241731</v>
      </c>
      <c r="T597" s="680">
        <f t="shared" si="303"/>
        <v>0.76728170821750863</v>
      </c>
      <c r="U597" s="681">
        <f t="shared" si="315"/>
        <v>0.15658743949965201</v>
      </c>
      <c r="V597" s="682">
        <f t="shared" si="316"/>
        <v>-1.4274257979091185</v>
      </c>
      <c r="W597" s="683">
        <f t="shared" si="304"/>
        <v>-38.93270743417623</v>
      </c>
      <c r="X597" s="684">
        <f t="shared" si="305"/>
        <v>-262.99249699004093</v>
      </c>
      <c r="Y597" s="687">
        <f t="shared" si="306"/>
        <v>-82.992496990040934</v>
      </c>
      <c r="AA597" s="170">
        <f t="shared" si="307"/>
        <v>229090</v>
      </c>
      <c r="AB597" s="170">
        <f t="shared" si="308"/>
        <v>52482228100</v>
      </c>
      <c r="AD597" s="686">
        <f t="shared" si="309"/>
        <v>9.2316790983260226</v>
      </c>
      <c r="AE597" s="687">
        <f t="shared" si="310"/>
        <v>-45.446895692262366</v>
      </c>
      <c r="AG597" s="686">
        <f t="shared" si="311"/>
        <v>26.006668366297227</v>
      </c>
      <c r="AH597" s="687">
        <f t="shared" si="312"/>
        <v>-53.974653534298589</v>
      </c>
      <c r="AJ597" s="170">
        <f t="shared" si="313"/>
        <v>0</v>
      </c>
      <c r="AK597" s="170">
        <f t="shared" si="293"/>
        <v>0</v>
      </c>
      <c r="AM597" s="170" t="str">
        <f t="shared" si="317"/>
        <v>1.92151274532097+0.388348117300723i</v>
      </c>
      <c r="AN597" s="170" t="str">
        <f t="shared" si="318"/>
        <v>9.02593962378968i</v>
      </c>
      <c r="AO597" s="170" t="str">
        <f t="shared" si="319"/>
        <v>0.0430257827425694-0.212887834996861i</v>
      </c>
      <c r="AP597" s="170" t="str">
        <f t="shared" si="320"/>
        <v>-0.153585457553494-0.0647246862167872i</v>
      </c>
      <c r="AQ597" s="170" t="str">
        <f t="shared" si="321"/>
        <v>1.15358545755349+0.0647246862167872i</v>
      </c>
      <c r="AR597" s="170" t="str">
        <f t="shared" si="322"/>
        <v>0.719830425891142-0.0403878170793776i</v>
      </c>
    </row>
    <row r="598" spans="7:44">
      <c r="G598" s="688">
        <v>251190</v>
      </c>
      <c r="H598" s="676">
        <f t="shared" si="314"/>
        <v>251.19</v>
      </c>
      <c r="I598" s="677">
        <f t="shared" si="294"/>
        <v>85.905566252674888</v>
      </c>
      <c r="J598" s="678">
        <f t="shared" si="295"/>
        <v>1.5591553746508857</v>
      </c>
      <c r="K598" s="678">
        <f t="shared" si="296"/>
        <v>1.0486361935092925</v>
      </c>
      <c r="L598" s="679">
        <f t="shared" si="297"/>
        <v>0.30575628071423661</v>
      </c>
      <c r="M598" s="678">
        <f t="shared" si="298"/>
        <v>2.3358232051468577</v>
      </c>
      <c r="N598" s="679">
        <f t="shared" si="299"/>
        <v>-1.1283908468207644</v>
      </c>
      <c r="O598" s="677">
        <f t="shared" si="300"/>
        <v>1893927.9786086644</v>
      </c>
      <c r="P598" s="680">
        <f t="shared" si="301"/>
        <v>1.5707957987917143</v>
      </c>
      <c r="Q598" s="689">
        <f t="shared" si="291"/>
        <v>42.309544171014103</v>
      </c>
      <c r="R598" s="690">
        <f t="shared" si="292"/>
        <v>1.5471587965920839</v>
      </c>
      <c r="S598" s="677">
        <f t="shared" si="302"/>
        <v>1.4553988989189084</v>
      </c>
      <c r="T598" s="680">
        <f t="shared" si="303"/>
        <v>0.81331057661815165</v>
      </c>
      <c r="U598" s="681">
        <f t="shared" si="315"/>
        <v>0.14220943811945888</v>
      </c>
      <c r="V598" s="682">
        <f t="shared" si="316"/>
        <v>-1.740865147215741</v>
      </c>
      <c r="W598" s="683">
        <f t="shared" si="304"/>
        <v>-40.26489414183488</v>
      </c>
      <c r="X598" s="684">
        <f t="shared" si="305"/>
        <v>-284.16430119365361</v>
      </c>
      <c r="Y598" s="687">
        <f t="shared" si="306"/>
        <v>-104.16430119365361</v>
      </c>
      <c r="AA598" s="170">
        <f t="shared" si="307"/>
        <v>251190</v>
      </c>
      <c r="AB598" s="170">
        <f t="shared" si="308"/>
        <v>63096416100</v>
      </c>
      <c r="AD598" s="686">
        <f t="shared" si="309"/>
        <v>8.8273069931470527</v>
      </c>
      <c r="AE598" s="687">
        <f t="shared" si="310"/>
        <v>-47.953563994746659</v>
      </c>
      <c r="AG598" s="686">
        <f t="shared" si="311"/>
        <v>26.751993849383304</v>
      </c>
      <c r="AH598" s="687">
        <f t="shared" si="312"/>
        <v>-36.722285697192795</v>
      </c>
      <c r="AJ598" s="170">
        <f t="shared" si="313"/>
        <v>0</v>
      </c>
      <c r="AK598" s="170">
        <f t="shared" si="293"/>
        <v>0</v>
      </c>
      <c r="AM598" s="170" t="str">
        <f t="shared" si="317"/>
        <v>1.89071448951313-0.454563194915035i</v>
      </c>
      <c r="AN598" s="170" t="str">
        <f t="shared" si="318"/>
        <v>9.89665971495801i</v>
      </c>
      <c r="AO598" s="170" t="str">
        <f t="shared" si="319"/>
        <v>-0.0459309714597946-0.191045720876456i</v>
      </c>
      <c r="AP598" s="170" t="str">
        <f t="shared" si="320"/>
        <v>-0.148452414918855+0.0757605324858392i</v>
      </c>
      <c r="AQ598" s="170" t="str">
        <f t="shared" si="321"/>
        <v>1.14845241491886-0.0757605324858392i</v>
      </c>
      <c r="AR598" s="170" t="str">
        <f t="shared" si="322"/>
        <v>0.722181189763978+0.047640486255272i</v>
      </c>
    </row>
    <row r="599" spans="7:44">
      <c r="G599" s="688">
        <v>275420</v>
      </c>
      <c r="H599" s="676">
        <f t="shared" si="314"/>
        <v>275.42</v>
      </c>
      <c r="I599" s="677">
        <f t="shared" si="294"/>
        <v>94.191016396683224</v>
      </c>
      <c r="J599" s="678">
        <f t="shared" si="295"/>
        <v>1.5601794035997461</v>
      </c>
      <c r="K599" s="678">
        <f t="shared" si="296"/>
        <v>1.0582000151756785</v>
      </c>
      <c r="L599" s="679">
        <f t="shared" si="297"/>
        <v>0.33319887615448668</v>
      </c>
      <c r="M599" s="678">
        <f t="shared" si="298"/>
        <v>2.5213498357129778</v>
      </c>
      <c r="N599" s="679">
        <f t="shared" si="299"/>
        <v>-1.1629720865826736</v>
      </c>
      <c r="O599" s="677">
        <f t="shared" si="300"/>
        <v>2076617.8743914412</v>
      </c>
      <c r="P599" s="680">
        <f t="shared" si="301"/>
        <v>1.5707958452426514</v>
      </c>
      <c r="Q599" s="689">
        <f t="shared" ref="Q599:Q613" si="323">SQRT(1+(G599/Zero2)^2)</f>
        <v>46.388578962362388</v>
      </c>
      <c r="R599" s="690">
        <f t="shared" ref="R599:R613" si="324">ATAN(G599/Zero2)</f>
        <v>1.5492376265825494</v>
      </c>
      <c r="S599" s="677">
        <f t="shared" si="302"/>
        <v>1.5311148426365937</v>
      </c>
      <c r="T599" s="680">
        <f t="shared" si="303"/>
        <v>0.85910051427772394</v>
      </c>
      <c r="U599" s="681">
        <f t="shared" si="315"/>
        <v>0.1119443851864909</v>
      </c>
      <c r="V599" s="682">
        <f t="shared" si="316"/>
        <v>-2.1243537155835872</v>
      </c>
      <c r="W599" s="683">
        <f t="shared" si="304"/>
        <v>-42.841381223737606</v>
      </c>
      <c r="X599" s="684">
        <f t="shared" si="305"/>
        <v>-309.10872905781792</v>
      </c>
      <c r="Y599" s="687">
        <f t="shared" si="306"/>
        <v>-129.10872905781792</v>
      </c>
      <c r="AA599" s="170">
        <f t="shared" si="307"/>
        <v>275420</v>
      </c>
      <c r="AB599" s="170">
        <f t="shared" si="308"/>
        <v>75856176400</v>
      </c>
      <c r="AD599" s="686">
        <f t="shared" si="309"/>
        <v>8.3863843900295745</v>
      </c>
      <c r="AE599" s="687">
        <f t="shared" si="310"/>
        <v>-50.458028646332835</v>
      </c>
      <c r="AG599" s="686">
        <f t="shared" si="311"/>
        <v>28.773473571218823</v>
      </c>
      <c r="AH599" s="687">
        <f t="shared" si="312"/>
        <v>-15.217695941573533</v>
      </c>
      <c r="AJ599" s="170">
        <f t="shared" si="313"/>
        <v>0</v>
      </c>
      <c r="AK599" s="170">
        <f t="shared" ref="AK599:AK613" si="325">IF(AJ599&gt;0,Y599,0)</f>
        <v>0</v>
      </c>
      <c r="AM599" s="170" t="str">
        <f t="shared" si="317"/>
        <v>1.14377440650128-0.989610489048699i</v>
      </c>
      <c r="AN599" s="170" t="str">
        <f t="shared" si="318"/>
        <v>10.8512998873113i</v>
      </c>
      <c r="AO599" s="170" t="str">
        <f t="shared" si="319"/>
        <v>-0.0911974140725643-0.105404367990855i</v>
      </c>
      <c r="AP599" s="170" t="str">
        <f t="shared" si="320"/>
        <v>-0.023962401083547+0.164935081508117i</v>
      </c>
      <c r="AQ599" s="170" t="str">
        <f t="shared" si="321"/>
        <v>1.02396240108355-0.164935081508117i</v>
      </c>
      <c r="AR599" s="170" t="str">
        <f t="shared" si="322"/>
        <v>0.792933563612263+0.127722035307661i</v>
      </c>
    </row>
    <row r="600" spans="7:44">
      <c r="G600" s="688">
        <v>302000</v>
      </c>
      <c r="H600" s="676">
        <f t="shared" si="314"/>
        <v>302</v>
      </c>
      <c r="I600" s="677">
        <f t="shared" si="294"/>
        <v>103.28014369450877</v>
      </c>
      <c r="J600" s="678">
        <f t="shared" si="295"/>
        <v>1.5611137722426947</v>
      </c>
      <c r="K600" s="678">
        <f t="shared" si="296"/>
        <v>1.0695903812387109</v>
      </c>
      <c r="L600" s="679">
        <f t="shared" si="297"/>
        <v>0.3627138664444704</v>
      </c>
      <c r="M600" s="678">
        <f t="shared" si="298"/>
        <v>2.7278411286128779</v>
      </c>
      <c r="N600" s="679">
        <f t="shared" si="299"/>
        <v>-1.1954548395717812</v>
      </c>
      <c r="O600" s="677">
        <f t="shared" si="300"/>
        <v>2277026.3527202201</v>
      </c>
      <c r="P600" s="680">
        <f t="shared" si="301"/>
        <v>1.5707958876256272</v>
      </c>
      <c r="Q600" s="689">
        <f t="shared" si="323"/>
        <v>50.863419741603934</v>
      </c>
      <c r="R600" s="690">
        <f t="shared" si="324"/>
        <v>1.5511345651831492</v>
      </c>
      <c r="S600" s="677">
        <f t="shared" si="302"/>
        <v>1.6174995107824965</v>
      </c>
      <c r="T600" s="680">
        <f t="shared" si="303"/>
        <v>0.90429709607322828</v>
      </c>
      <c r="U600" s="681">
        <f t="shared" si="315"/>
        <v>5.2431709843678703E-2</v>
      </c>
      <c r="V600" s="682">
        <f t="shared" si="316"/>
        <v>-2.6894689150248832</v>
      </c>
      <c r="W600" s="683">
        <f t="shared" si="304"/>
        <v>-49.930047778441875</v>
      </c>
      <c r="X600" s="684">
        <f t="shared" si="305"/>
        <v>-344.19190985944886</v>
      </c>
      <c r="Y600" s="687">
        <f t="shared" si="306"/>
        <v>-164.19190985944886</v>
      </c>
      <c r="AA600" s="170">
        <f t="shared" si="307"/>
        <v>302000</v>
      </c>
      <c r="AB600" s="170">
        <f t="shared" si="308"/>
        <v>91204000000</v>
      </c>
      <c r="AD600" s="686">
        <f t="shared" si="309"/>
        <v>7.9093169268883754</v>
      </c>
      <c r="AE600" s="687">
        <f t="shared" si="310"/>
        <v>-52.938917887023671</v>
      </c>
      <c r="AG600" s="686">
        <f t="shared" si="311"/>
        <v>35.338206272206079</v>
      </c>
      <c r="AH600" s="687">
        <f t="shared" si="312"/>
        <v>16.937444304842636</v>
      </c>
      <c r="AJ600" s="170">
        <f t="shared" si="313"/>
        <v>0</v>
      </c>
      <c r="AK600" s="170">
        <f t="shared" si="325"/>
        <v>0</v>
      </c>
      <c r="AM600" s="170" t="str">
        <f t="shared" si="317"/>
        <v>0.214840488490628-0.619293582629729i</v>
      </c>
      <c r="AN600" s="170" t="str">
        <f t="shared" si="318"/>
        <v>11.8985279426622i</v>
      </c>
      <c r="AO600" s="170" t="str">
        <f t="shared" si="319"/>
        <v>-0.0520479159786859-0.018056056137862i</v>
      </c>
      <c r="AP600" s="170" t="str">
        <f t="shared" si="320"/>
        <v>0.130859918584895+0.103215597104955i</v>
      </c>
      <c r="AQ600" s="170" t="str">
        <f t="shared" si="321"/>
        <v>0.869140081415105-0.103215597104955i</v>
      </c>
      <c r="AR600" s="170" t="str">
        <f t="shared" si="322"/>
        <v>0.94508998528777+0.11223510367922i</v>
      </c>
    </row>
    <row r="601" spans="7:44">
      <c r="G601" s="688">
        <v>331130</v>
      </c>
      <c r="H601" s="676">
        <f t="shared" si="314"/>
        <v>331.13</v>
      </c>
      <c r="I601" s="677">
        <f t="shared" si="294"/>
        <v>113.24133886821937</v>
      </c>
      <c r="J601" s="678">
        <f t="shared" si="295"/>
        <v>1.5619655145904476</v>
      </c>
      <c r="K601" s="678">
        <f t="shared" si="296"/>
        <v>1.0831194408939908</v>
      </c>
      <c r="L601" s="679">
        <f t="shared" si="297"/>
        <v>0.39431690222805177</v>
      </c>
      <c r="M601" s="678">
        <f t="shared" si="298"/>
        <v>2.956962310724466</v>
      </c>
      <c r="N601" s="679">
        <f t="shared" si="299"/>
        <v>-1.2258088426418037</v>
      </c>
      <c r="O601" s="677">
        <f t="shared" si="300"/>
        <v>2496661.3780670008</v>
      </c>
      <c r="P601" s="680">
        <f t="shared" si="301"/>
        <v>1.5707959262600029</v>
      </c>
      <c r="Q601" s="689">
        <f t="shared" si="323"/>
        <v>55.767737254998401</v>
      </c>
      <c r="R601" s="690">
        <f t="shared" si="324"/>
        <v>1.5528638510149908</v>
      </c>
      <c r="S601" s="677">
        <f t="shared" si="302"/>
        <v>1.7155612271466982</v>
      </c>
      <c r="T601" s="680">
        <f t="shared" si="303"/>
        <v>0.94850360660260569</v>
      </c>
      <c r="U601" s="681">
        <f t="shared" si="315"/>
        <v>3.5465940304417132E-2</v>
      </c>
      <c r="V601" s="682">
        <f t="shared" si="316"/>
        <v>-0.32997272034830488</v>
      </c>
      <c r="W601" s="683">
        <f t="shared" si="304"/>
        <v>-53.82727394963748</v>
      </c>
      <c r="X601" s="684">
        <f t="shared" si="305"/>
        <v>-211.41374082856413</v>
      </c>
      <c r="Y601" s="687">
        <f t="shared" si="306"/>
        <v>-31.41374082856413</v>
      </c>
      <c r="AA601" s="170">
        <f t="shared" si="307"/>
        <v>331130</v>
      </c>
      <c r="AB601" s="170">
        <f t="shared" si="308"/>
        <v>109647076900</v>
      </c>
      <c r="AD601" s="686">
        <f t="shared" si="309"/>
        <v>7.3977932667943307</v>
      </c>
      <c r="AE601" s="687">
        <f t="shared" si="310"/>
        <v>-55.372685803988993</v>
      </c>
      <c r="AG601" s="686">
        <f t="shared" si="311"/>
        <v>38.743805438244266</v>
      </c>
      <c r="AH601" s="687">
        <f t="shared" si="312"/>
        <v>-118.22896652055161</v>
      </c>
      <c r="AJ601" s="170">
        <f t="shared" si="313"/>
        <v>0</v>
      </c>
      <c r="AK601" s="170">
        <f t="shared" si="325"/>
        <v>0</v>
      </c>
      <c r="AM601" s="170" t="str">
        <f t="shared" si="317"/>
        <v>0.112937245189556+0.46164885901311i</v>
      </c>
      <c r="AN601" s="170" t="str">
        <f t="shared" si="318"/>
        <v>13.0462237008402i</v>
      </c>
      <c r="AO601" s="170" t="str">
        <f t="shared" si="319"/>
        <v>0.0353856310913463-0.00865670003667672i</v>
      </c>
      <c r="AP601" s="170" t="str">
        <f t="shared" si="320"/>
        <v>0.147843792468407-0.076941476502185i</v>
      </c>
      <c r="AQ601" s="170" t="str">
        <f t="shared" si="321"/>
        <v>0.852156207531593+0.076941476502185i</v>
      </c>
      <c r="AR601" s="170" t="str">
        <f t="shared" si="322"/>
        <v>0.969615667325325-0.0875469314478896i</v>
      </c>
    </row>
    <row r="602" spans="7:44">
      <c r="G602" s="688">
        <v>363080</v>
      </c>
      <c r="H602" s="676">
        <f t="shared" si="314"/>
        <v>363.08</v>
      </c>
      <c r="I602" s="677">
        <f t="shared" si="294"/>
        <v>124.16693017363531</v>
      </c>
      <c r="J602" s="678">
        <f t="shared" si="295"/>
        <v>1.5627425655462688</v>
      </c>
      <c r="K602" s="678">
        <f t="shared" si="296"/>
        <v>1.0991692273089033</v>
      </c>
      <c r="L602" s="679">
        <f t="shared" si="297"/>
        <v>0.42804735489158979</v>
      </c>
      <c r="M602" s="678">
        <f t="shared" si="298"/>
        <v>3.2109265148956792</v>
      </c>
      <c r="N602" s="679">
        <f t="shared" si="299"/>
        <v>-1.254091894382876</v>
      </c>
      <c r="O602" s="677">
        <f t="shared" si="300"/>
        <v>2737558.7024689829</v>
      </c>
      <c r="P602" s="680">
        <f t="shared" si="301"/>
        <v>1.5707959615059262</v>
      </c>
      <c r="Q602" s="689">
        <f t="shared" si="323"/>
        <v>61.146988586190943</v>
      </c>
      <c r="R602" s="690">
        <f t="shared" si="324"/>
        <v>1.5544415625745731</v>
      </c>
      <c r="S602" s="677">
        <f t="shared" si="302"/>
        <v>1.8265326121438001</v>
      </c>
      <c r="T602" s="680">
        <f t="shared" si="303"/>
        <v>0.99143997686265173</v>
      </c>
      <c r="U602" s="681">
        <f t="shared" si="315"/>
        <v>8.5469651051361742E-2</v>
      </c>
      <c r="V602" s="682">
        <f t="shared" si="316"/>
        <v>-1.0278580736039993</v>
      </c>
      <c r="W602" s="683">
        <f t="shared" si="304"/>
        <v>-46.688487253347979</v>
      </c>
      <c r="X602" s="684">
        <f t="shared" si="305"/>
        <v>-253.50171346956787</v>
      </c>
      <c r="Y602" s="687">
        <f t="shared" si="306"/>
        <v>-73.501713469567875</v>
      </c>
      <c r="AA602" s="170">
        <f t="shared" si="307"/>
        <v>363080</v>
      </c>
      <c r="AB602" s="170">
        <f t="shared" si="308"/>
        <v>131827086400</v>
      </c>
      <c r="AD602" s="686">
        <f t="shared" si="309"/>
        <v>6.8531341409620827</v>
      </c>
      <c r="AE602" s="687">
        <f t="shared" si="310"/>
        <v>-57.742364415997983</v>
      </c>
      <c r="AG602" s="686">
        <f t="shared" si="311"/>
        <v>31.147233175447091</v>
      </c>
      <c r="AH602" s="687">
        <f t="shared" si="312"/>
        <v>-77.975489807069678</v>
      </c>
      <c r="AJ602" s="170">
        <f t="shared" si="313"/>
        <v>0</v>
      </c>
      <c r="AK602" s="170">
        <f t="shared" si="325"/>
        <v>0</v>
      </c>
      <c r="AM602" s="170" t="str">
        <f t="shared" si="317"/>
        <v>1.16707081777052+0.985944897978325i</v>
      </c>
      <c r="AN602" s="170" t="str">
        <f t="shared" si="318"/>
        <v>14.3050249186152i</v>
      </c>
      <c r="AO602" s="170" t="str">
        <f t="shared" si="319"/>
        <v>0.0689229766174898-0.0815846756234451i</v>
      </c>
      <c r="AP602" s="170" t="str">
        <f t="shared" si="320"/>
        <v>-0.0278451362950868-0.164324149663054i</v>
      </c>
      <c r="AQ602" s="170" t="str">
        <f t="shared" si="321"/>
        <v>1.02784513629509+0.164324149663054i</v>
      </c>
      <c r="AR602" s="170" t="str">
        <f t="shared" si="322"/>
        <v>0.790235575698828-0.126336920246829i</v>
      </c>
    </row>
    <row r="603" spans="7:44">
      <c r="G603" s="688">
        <v>398110</v>
      </c>
      <c r="H603" s="676">
        <f t="shared" si="314"/>
        <v>398.11</v>
      </c>
      <c r="I603" s="677">
        <f t="shared" si="294"/>
        <v>136.14582698707912</v>
      </c>
      <c r="J603" s="678">
        <f t="shared" si="295"/>
        <v>1.5634511953721213</v>
      </c>
      <c r="K603" s="678">
        <f t="shared" si="296"/>
        <v>1.1181591381522686</v>
      </c>
      <c r="L603" s="679">
        <f t="shared" si="297"/>
        <v>0.46387140791656895</v>
      </c>
      <c r="M603" s="678">
        <f t="shared" si="298"/>
        <v>3.4918734321381351</v>
      </c>
      <c r="N603" s="679">
        <f t="shared" si="299"/>
        <v>-1.2803506926249173</v>
      </c>
      <c r="O603" s="677">
        <f t="shared" si="300"/>
        <v>3001678.6797397672</v>
      </c>
      <c r="P603" s="680">
        <f t="shared" si="301"/>
        <v>1.5707959936479789</v>
      </c>
      <c r="Q603" s="689">
        <f t="shared" si="323"/>
        <v>67.044948612400063</v>
      </c>
      <c r="R603" s="690">
        <f t="shared" si="324"/>
        <v>1.5558804069167034</v>
      </c>
      <c r="S603" s="677">
        <f t="shared" si="302"/>
        <v>1.9516059307720406</v>
      </c>
      <c r="T603" s="680">
        <f t="shared" si="303"/>
        <v>1.0328208071773881</v>
      </c>
      <c r="U603" s="681">
        <f t="shared" si="315"/>
        <v>9.1038364121588639E-2</v>
      </c>
      <c r="V603" s="682">
        <f t="shared" si="316"/>
        <v>-1.562657616370178</v>
      </c>
      <c r="W603" s="683">
        <f t="shared" si="304"/>
        <v>-46.638350491762885</v>
      </c>
      <c r="X603" s="684">
        <f t="shared" si="305"/>
        <v>-285.92453202507841</v>
      </c>
      <c r="Y603" s="687">
        <f t="shared" si="306"/>
        <v>-105.92453202507841</v>
      </c>
      <c r="AA603" s="170">
        <f t="shared" si="307"/>
        <v>398110</v>
      </c>
      <c r="AB603" s="170">
        <f t="shared" si="308"/>
        <v>158491572100</v>
      </c>
      <c r="AD603" s="686">
        <f t="shared" si="309"/>
        <v>6.2776447515882436</v>
      </c>
      <c r="AE603" s="687">
        <f t="shared" si="310"/>
        <v>-60.030873481818034</v>
      </c>
      <c r="AG603" s="686">
        <f t="shared" si="311"/>
        <v>30.676358751383322</v>
      </c>
      <c r="AH603" s="687">
        <f t="shared" si="312"/>
        <v>-46.826285854677081</v>
      </c>
      <c r="AJ603" s="170">
        <f t="shared" si="313"/>
        <v>0</v>
      </c>
      <c r="AK603" s="170">
        <f t="shared" si="325"/>
        <v>0</v>
      </c>
      <c r="AM603" s="170" t="str">
        <f t="shared" si="317"/>
        <v>1.99974036690156+0.0227859339842324i</v>
      </c>
      <c r="AN603" s="170" t="str">
        <f t="shared" si="318"/>
        <v>15.6851753617657i</v>
      </c>
      <c r="AO603" s="170" t="str">
        <f t="shared" si="319"/>
        <v>0.00145270508353866-0.127492381868815i</v>
      </c>
      <c r="AP603" s="170" t="str">
        <f t="shared" si="320"/>
        <v>-0.166623394483593-0.00379765566403873i</v>
      </c>
      <c r="AQ603" s="170" t="str">
        <f t="shared" si="321"/>
        <v>1.16662339448359+0.00379765566403873i</v>
      </c>
      <c r="AR603" s="170" t="str">
        <f t="shared" si="322"/>
        <v>0.714018917328578-0.00232431305462032i</v>
      </c>
    </row>
    <row r="604" spans="7:44">
      <c r="G604" s="688">
        <v>436520</v>
      </c>
      <c r="H604" s="676">
        <f t="shared" si="314"/>
        <v>436.52</v>
      </c>
      <c r="I604" s="677">
        <f t="shared" si="294"/>
        <v>149.28061762845917</v>
      </c>
      <c r="J604" s="678">
        <f t="shared" si="295"/>
        <v>1.5640974834017654</v>
      </c>
      <c r="K604" s="678">
        <f t="shared" si="296"/>
        <v>1.1405718043923219</v>
      </c>
      <c r="L604" s="679">
        <f t="shared" si="297"/>
        <v>0.50172714049044964</v>
      </c>
      <c r="M604" s="678">
        <f t="shared" si="298"/>
        <v>3.8022661649008689</v>
      </c>
      <c r="N604" s="679">
        <f t="shared" si="299"/>
        <v>-1.3046648794245925</v>
      </c>
      <c r="O604" s="677">
        <f t="shared" si="300"/>
        <v>3291283.2565873526</v>
      </c>
      <c r="P604" s="680">
        <f t="shared" si="301"/>
        <v>1.5707960229620381</v>
      </c>
      <c r="Q604" s="689">
        <f t="shared" si="323"/>
        <v>73.512127977244234</v>
      </c>
      <c r="R604" s="690">
        <f t="shared" si="324"/>
        <v>1.5571927096605647</v>
      </c>
      <c r="S604" s="677">
        <f t="shared" si="302"/>
        <v>2.0921031522941713</v>
      </c>
      <c r="T604" s="680">
        <f t="shared" si="303"/>
        <v>1.0724337714385124</v>
      </c>
      <c r="U604" s="681">
        <f t="shared" si="315"/>
        <v>6.9325537360893627E-2</v>
      </c>
      <c r="V604" s="682">
        <f t="shared" si="316"/>
        <v>-2.1535681740541044</v>
      </c>
      <c r="W604" s="683">
        <f t="shared" si="304"/>
        <v>-49.49687742379443</v>
      </c>
      <c r="X604" s="684">
        <f t="shared" si="305"/>
        <v>-321.23683718301277</v>
      </c>
      <c r="Y604" s="687">
        <f t="shared" si="306"/>
        <v>-141.23683718301277</v>
      </c>
      <c r="AA604" s="170">
        <f t="shared" si="307"/>
        <v>436520</v>
      </c>
      <c r="AB604" s="170">
        <f t="shared" si="308"/>
        <v>190549710400</v>
      </c>
      <c r="AD604" s="686">
        <f t="shared" si="309"/>
        <v>5.673662907875717</v>
      </c>
      <c r="AE604" s="687">
        <f t="shared" si="310"/>
        <v>-62.225341421395747</v>
      </c>
      <c r="AG604" s="686">
        <f t="shared" si="311"/>
        <v>33.155061688636557</v>
      </c>
      <c r="AH604" s="687">
        <f t="shared" si="312"/>
        <v>-12.230760945638414</v>
      </c>
      <c r="AJ604" s="170">
        <f t="shared" si="313"/>
        <v>0</v>
      </c>
      <c r="AK604" s="170">
        <f t="shared" si="325"/>
        <v>0</v>
      </c>
      <c r="AM604" s="170" t="str">
        <f t="shared" si="317"/>
        <v>1.08017867885217-0.996780507161692i</v>
      </c>
      <c r="AN604" s="170" t="str">
        <f t="shared" si="318"/>
        <v>17.1984947600361i</v>
      </c>
      <c r="AO604" s="170" t="str">
        <f t="shared" si="319"/>
        <v>-0.0579574271510026-0.0628065824319792i</v>
      </c>
      <c r="AP604" s="170" t="str">
        <f t="shared" si="320"/>
        <v>-0.0133631131420282+0.166130084526949i</v>
      </c>
      <c r="AQ604" s="170" t="str">
        <f t="shared" si="321"/>
        <v>1.01336311314203-0.166130084526949i</v>
      </c>
      <c r="AR604" s="170" t="str">
        <f t="shared" si="322"/>
        <v>0.8005009653788+0.131233603550009i</v>
      </c>
    </row>
    <row r="605" spans="7:44">
      <c r="G605" s="688">
        <v>478630</v>
      </c>
      <c r="H605" s="676">
        <f t="shared" si="314"/>
        <v>478.63</v>
      </c>
      <c r="I605" s="677">
        <f t="shared" si="294"/>
        <v>163.68073017920219</v>
      </c>
      <c r="J605" s="678">
        <f t="shared" si="295"/>
        <v>1.5646868341263602</v>
      </c>
      <c r="K605" s="678">
        <f t="shared" si="296"/>
        <v>1.1669443770391834</v>
      </c>
      <c r="L605" s="679">
        <f t="shared" si="297"/>
        <v>0.54149541957113911</v>
      </c>
      <c r="M605" s="678">
        <f t="shared" si="298"/>
        <v>4.1447353850785333</v>
      </c>
      <c r="N605" s="679">
        <f t="shared" si="299"/>
        <v>-1.3271221039590255</v>
      </c>
      <c r="O605" s="677">
        <f t="shared" si="300"/>
        <v>3608785.1761669395</v>
      </c>
      <c r="P605" s="680">
        <f t="shared" si="301"/>
        <v>1.5707960496933371</v>
      </c>
      <c r="Q605" s="689">
        <f t="shared" si="323"/>
        <v>80.602405795237132</v>
      </c>
      <c r="R605" s="690">
        <f t="shared" si="324"/>
        <v>1.5583894309240869</v>
      </c>
      <c r="S605" s="677">
        <f t="shared" si="302"/>
        <v>2.2494093419134602</v>
      </c>
      <c r="T605" s="680">
        <f t="shared" si="303"/>
        <v>1.1101120529356243</v>
      </c>
      <c r="U605" s="681">
        <f t="shared" si="315"/>
        <v>4.2590837298757492E-4</v>
      </c>
      <c r="V605" s="682">
        <f t="shared" si="316"/>
        <v>-5.6244034818497242E-3</v>
      </c>
      <c r="W605" s="683">
        <f t="shared" si="304"/>
        <v>-94.210508205259885</v>
      </c>
      <c r="X605" s="684">
        <f t="shared" si="305"/>
        <v>-199.30088226625261</v>
      </c>
      <c r="Y605" s="687">
        <f t="shared" si="306"/>
        <v>-19.300882266252614</v>
      </c>
      <c r="AA605" s="170">
        <f t="shared" si="307"/>
        <v>478630</v>
      </c>
      <c r="AB605" s="170">
        <f t="shared" si="308"/>
        <v>229086676900</v>
      </c>
      <c r="AD605" s="686">
        <f t="shared" si="309"/>
        <v>5.0438197038343233</v>
      </c>
      <c r="AE605" s="687">
        <f t="shared" si="310"/>
        <v>-64.315582386811798</v>
      </c>
      <c r="AG605" s="686">
        <f t="shared" si="311"/>
        <v>77.534356774712009</v>
      </c>
      <c r="AH605" s="687">
        <f t="shared" si="312"/>
        <v>-134.34079071512704</v>
      </c>
      <c r="AJ605" s="170">
        <f t="shared" si="313"/>
        <v>0</v>
      </c>
      <c r="AK605" s="170">
        <f t="shared" si="325"/>
        <v>0</v>
      </c>
      <c r="AM605" s="170" t="str">
        <f t="shared" si="317"/>
        <v>0.0000322796643860146+0.00803481716009061i</v>
      </c>
      <c r="AN605" s="170" t="str">
        <f t="shared" si="318"/>
        <v>18.8575908251537i</v>
      </c>
      <c r="AO605" s="170" t="str">
        <f t="shared" si="319"/>
        <v>0.000426078666919273-1.71175971974943E-06i</v>
      </c>
      <c r="AP605" s="170" t="str">
        <f t="shared" si="320"/>
        <v>0.166661286722602-0.00133913619334844i</v>
      </c>
      <c r="AQ605" s="170" t="str">
        <f t="shared" si="321"/>
        <v>0.833338713277398+0.00133913619334844i</v>
      </c>
      <c r="AR605" s="170" t="str">
        <f t="shared" si="322"/>
        <v>0.999590965449277-0.00160629575831509i</v>
      </c>
    </row>
    <row r="606" spans="7:44">
      <c r="G606" s="688">
        <v>524810</v>
      </c>
      <c r="H606" s="676">
        <f t="shared" si="314"/>
        <v>524.80999999999995</v>
      </c>
      <c r="I606" s="677">
        <f t="shared" si="294"/>
        <v>179.47269139700572</v>
      </c>
      <c r="J606" s="678">
        <f t="shared" si="295"/>
        <v>1.5652244196340188</v>
      </c>
      <c r="K606" s="678">
        <f t="shared" si="296"/>
        <v>1.1978875457773248</v>
      </c>
      <c r="L606" s="679">
        <f t="shared" si="297"/>
        <v>0.58302164068725348</v>
      </c>
      <c r="M606" s="678">
        <f t="shared" si="298"/>
        <v>4.5223256593797849</v>
      </c>
      <c r="N606" s="679">
        <f t="shared" si="299"/>
        <v>-1.3478282836748388</v>
      </c>
      <c r="O606" s="677">
        <f t="shared" si="300"/>
        <v>3956974.1727517275</v>
      </c>
      <c r="P606" s="680">
        <f t="shared" si="301"/>
        <v>1.5707960740765425</v>
      </c>
      <c r="Q606" s="689">
        <f t="shared" si="323"/>
        <v>88.378080883945174</v>
      </c>
      <c r="R606" s="690">
        <f t="shared" si="324"/>
        <v>1.5594810625402586</v>
      </c>
      <c r="S606" s="677">
        <f t="shared" si="302"/>
        <v>2.4250882948782966</v>
      </c>
      <c r="T606" s="680">
        <f t="shared" si="303"/>
        <v>1.1457575374515372</v>
      </c>
      <c r="U606" s="681">
        <f t="shared" si="315"/>
        <v>6.0487853266584929E-2</v>
      </c>
      <c r="V606" s="682">
        <f t="shared" si="316"/>
        <v>-1.0671886117032663</v>
      </c>
      <c r="W606" s="683">
        <f t="shared" si="304"/>
        <v>-51.632160091477218</v>
      </c>
      <c r="X606" s="684">
        <f t="shared" si="305"/>
        <v>-260.94172336323879</v>
      </c>
      <c r="Y606" s="687">
        <f t="shared" si="306"/>
        <v>-80.941723363238793</v>
      </c>
      <c r="AA606" s="170">
        <f t="shared" si="307"/>
        <v>524810</v>
      </c>
      <c r="AB606" s="170">
        <f t="shared" si="308"/>
        <v>275425536100</v>
      </c>
      <c r="AD606" s="686">
        <f t="shared" si="309"/>
        <v>4.3905260148855776</v>
      </c>
      <c r="AE606" s="687">
        <f t="shared" si="310"/>
        <v>-66.295373723199859</v>
      </c>
      <c r="AG606" s="686">
        <f t="shared" si="311"/>
        <v>34.671918836610544</v>
      </c>
      <c r="AH606" s="687">
        <f t="shared" si="312"/>
        <v>-72.355542710255818</v>
      </c>
      <c r="AJ606" s="170">
        <f t="shared" si="313"/>
        <v>0</v>
      </c>
      <c r="AK606" s="170">
        <f t="shared" si="325"/>
        <v>0</v>
      </c>
      <c r="AM606" s="170" t="str">
        <f t="shared" si="317"/>
        <v>1.25387940764419+0.967235879387359i</v>
      </c>
      <c r="AN606" s="170" t="str">
        <f t="shared" si="318"/>
        <v>20.6770412238032i</v>
      </c>
      <c r="AO606" s="170" t="str">
        <f t="shared" si="319"/>
        <v>0.0467782536639665-0.0606411427085968i</v>
      </c>
      <c r="AP606" s="170" t="str">
        <f t="shared" si="320"/>
        <v>-0.0423132346073642-0.161205979897893i</v>
      </c>
      <c r="AQ606" s="170" t="str">
        <f t="shared" si="321"/>
        <v>1.04231323460736+0.161205979897893i</v>
      </c>
      <c r="AR606" s="170" t="str">
        <f t="shared" si="322"/>
        <v>0.780513852563336-0.120715631586267i</v>
      </c>
    </row>
    <row r="607" spans="7:44">
      <c r="G607" s="688">
        <v>575440</v>
      </c>
      <c r="H607" s="676">
        <f t="shared" si="314"/>
        <v>575.44000000000005</v>
      </c>
      <c r="I607" s="677">
        <f t="shared" si="294"/>
        <v>196.78644813053927</v>
      </c>
      <c r="J607" s="678">
        <f t="shared" si="295"/>
        <v>1.5657146541827205</v>
      </c>
      <c r="K607" s="678">
        <f t="shared" si="296"/>
        <v>1.23405892100653</v>
      </c>
      <c r="L607" s="679">
        <f t="shared" si="297"/>
        <v>0.62607430339831749</v>
      </c>
      <c r="M607" s="678">
        <f t="shared" si="298"/>
        <v>4.9381717752995264</v>
      </c>
      <c r="N607" s="679">
        <f t="shared" si="299"/>
        <v>-1.3668820062737375</v>
      </c>
      <c r="O607" s="677">
        <f t="shared" si="300"/>
        <v>4338715.3788385168</v>
      </c>
      <c r="P607" s="680">
        <f t="shared" si="301"/>
        <v>1.5707960963119281</v>
      </c>
      <c r="Q607" s="689">
        <f t="shared" si="323"/>
        <v>96.903136723130515</v>
      </c>
      <c r="R607" s="690">
        <f t="shared" si="324"/>
        <v>1.5604765602358972</v>
      </c>
      <c r="S607" s="677">
        <f t="shared" si="302"/>
        <v>2.6207367650602724</v>
      </c>
      <c r="T607" s="680">
        <f t="shared" si="303"/>
        <v>1.1792998561367056</v>
      </c>
      <c r="U607" s="681">
        <f t="shared" si="315"/>
        <v>6.1062644946323449E-2</v>
      </c>
      <c r="V607" s="682">
        <f t="shared" si="316"/>
        <v>-1.818538316386461</v>
      </c>
      <c r="W607" s="683">
        <f t="shared" si="304"/>
        <v>-52.001473853166907</v>
      </c>
      <c r="X607" s="684">
        <f t="shared" si="305"/>
        <v>-304.50873757242863</v>
      </c>
      <c r="Y607" s="687">
        <f t="shared" si="306"/>
        <v>-124.50873757242863</v>
      </c>
      <c r="AA607" s="170">
        <f t="shared" si="307"/>
        <v>575440</v>
      </c>
      <c r="AB607" s="170">
        <f t="shared" si="308"/>
        <v>331131193600</v>
      </c>
      <c r="AD607" s="686">
        <f t="shared" si="309"/>
        <v>3.716515558006253</v>
      </c>
      <c r="AE607" s="687">
        <f t="shared" si="310"/>
        <v>-68.160170478592292</v>
      </c>
      <c r="AG607" s="686">
        <f t="shared" si="311"/>
        <v>34.81231791448436</v>
      </c>
      <c r="AH607" s="687">
        <f t="shared" si="312"/>
        <v>-27.959426032175841</v>
      </c>
      <c r="AJ607" s="170">
        <f t="shared" si="313"/>
        <v>0</v>
      </c>
      <c r="AK607" s="170">
        <f t="shared" si="325"/>
        <v>0</v>
      </c>
      <c r="AM607" s="170" t="str">
        <f t="shared" si="317"/>
        <v>1.77715185799485-0.629313109362228i</v>
      </c>
      <c r="AN607" s="170" t="str">
        <f t="shared" si="318"/>
        <v>22.6718176136607i</v>
      </c>
      <c r="AO607" s="170" t="str">
        <f t="shared" si="319"/>
        <v>-0.0277575058200469-0.0783859454181584i</v>
      </c>
      <c r="AP607" s="170" t="str">
        <f t="shared" si="320"/>
        <v>-0.129525309665808+0.104885518227038i</v>
      </c>
      <c r="AQ607" s="170" t="str">
        <f t="shared" si="321"/>
        <v>1.12952530966581-0.104885518227038i</v>
      </c>
      <c r="AR607" s="170" t="str">
        <f t="shared" si="322"/>
        <v>0.731173313446572+0.0678953284520151i</v>
      </c>
    </row>
    <row r="608" spans="7:44">
      <c r="G608" s="688">
        <v>630960</v>
      </c>
      <c r="H608" s="676">
        <f t="shared" si="314"/>
        <v>630.96</v>
      </c>
      <c r="I608" s="677">
        <f t="shared" si="294"/>
        <v>215.77246557723532</v>
      </c>
      <c r="J608" s="678">
        <f t="shared" si="295"/>
        <v>1.5661617985795269</v>
      </c>
      <c r="K608" s="678">
        <f t="shared" si="296"/>
        <v>1.2761939255222192</v>
      </c>
      <c r="L608" s="679">
        <f t="shared" si="297"/>
        <v>0.67038911487122632</v>
      </c>
      <c r="M608" s="678">
        <f t="shared" si="298"/>
        <v>5.3959090192953507</v>
      </c>
      <c r="N608" s="679">
        <f t="shared" si="299"/>
        <v>-1.3843931495039854</v>
      </c>
      <c r="O608" s="677">
        <f t="shared" si="300"/>
        <v>4757326.316265706</v>
      </c>
      <c r="P608" s="680">
        <f t="shared" si="301"/>
        <v>1.5707961165927928</v>
      </c>
      <c r="Q608" s="689">
        <f t="shared" si="323"/>
        <v>106.25166030962934</v>
      </c>
      <c r="R608" s="690">
        <f t="shared" si="324"/>
        <v>1.561384570209019</v>
      </c>
      <c r="S608" s="677">
        <f t="shared" si="302"/>
        <v>2.8381789186193918</v>
      </c>
      <c r="T608" s="680">
        <f t="shared" si="303"/>
        <v>1.210727545461229</v>
      </c>
      <c r="U608" s="681">
        <f t="shared" si="315"/>
        <v>1.0866227461997646E-2</v>
      </c>
      <c r="V608" s="682">
        <f t="shared" si="316"/>
        <v>-2.9512818525932598</v>
      </c>
      <c r="W608" s="683">
        <f t="shared" si="304"/>
        <v>-67.426248127760303</v>
      </c>
      <c r="X608" s="684">
        <f t="shared" si="305"/>
        <v>-369.64869394416831</v>
      </c>
      <c r="Y608" s="687">
        <f t="shared" si="306"/>
        <v>-189.64869394416831</v>
      </c>
      <c r="AA608" s="170">
        <f t="shared" si="307"/>
        <v>630960</v>
      </c>
      <c r="AB608" s="170">
        <f t="shared" si="308"/>
        <v>398110521600</v>
      </c>
      <c r="AD608" s="686">
        <f t="shared" si="309"/>
        <v>3.0241103728457648</v>
      </c>
      <c r="AE608" s="687">
        <f t="shared" si="310"/>
        <v>-69.908820461526247</v>
      </c>
      <c r="AG608" s="686">
        <f t="shared" si="311"/>
        <v>50.067821629570084</v>
      </c>
      <c r="AH608" s="687">
        <f t="shared" si="312"/>
        <v>38.452115518087709</v>
      </c>
      <c r="AJ608" s="170">
        <f t="shared" si="313"/>
        <v>0</v>
      </c>
      <c r="AK608" s="170">
        <f t="shared" si="325"/>
        <v>0</v>
      </c>
      <c r="AM608" s="170" t="str">
        <f t="shared" si="317"/>
        <v>0.037164683665683-0.27008915864839i</v>
      </c>
      <c r="AN608" s="170" t="str">
        <f t="shared" si="318"/>
        <v>24.8592555983515i</v>
      </c>
      <c r="AO608" s="170" t="str">
        <f t="shared" si="319"/>
        <v>-0.0108647323561169-0.00149500388371032i</v>
      </c>
      <c r="AP608" s="170" t="str">
        <f t="shared" si="320"/>
        <v>0.160472552722386+0.0450148597747317i</v>
      </c>
      <c r="AQ608" s="170" t="str">
        <f t="shared" si="321"/>
        <v>0.839527447277614-0.0450148597747317i</v>
      </c>
      <c r="AR608" s="170" t="str">
        <f t="shared" si="322"/>
        <v>0.989380359674126+0.0530498654916246i</v>
      </c>
    </row>
    <row r="609" spans="7:44">
      <c r="G609" s="688">
        <v>691830</v>
      </c>
      <c r="H609" s="676">
        <f t="shared" si="314"/>
        <v>691.83</v>
      </c>
      <c r="I609" s="677">
        <f t="shared" si="294"/>
        <v>236.58804863636595</v>
      </c>
      <c r="J609" s="678">
        <f t="shared" si="295"/>
        <v>1.5665695580152998</v>
      </c>
      <c r="K609" s="678">
        <f t="shared" si="296"/>
        <v>1.3250736671346661</v>
      </c>
      <c r="L609" s="679">
        <f t="shared" si="297"/>
        <v>0.71563766593023503</v>
      </c>
      <c r="M609" s="678">
        <f t="shared" si="298"/>
        <v>5.8993464074380171</v>
      </c>
      <c r="N609" s="679">
        <f t="shared" si="299"/>
        <v>-1.4004635661630269</v>
      </c>
      <c r="O609" s="677">
        <f t="shared" si="300"/>
        <v>5216275.3033188973</v>
      </c>
      <c r="P609" s="680">
        <f t="shared" si="301"/>
        <v>1.5707961350872237</v>
      </c>
      <c r="Q609" s="689">
        <f t="shared" si="323"/>
        <v>116.50110699122193</v>
      </c>
      <c r="R609" s="690">
        <f t="shared" si="324"/>
        <v>1.5622126119619755</v>
      </c>
      <c r="S609" s="677">
        <f t="shared" si="302"/>
        <v>3.0793168814466929</v>
      </c>
      <c r="T609" s="680">
        <f t="shared" si="303"/>
        <v>1.2400517380811924</v>
      </c>
      <c r="U609" s="681">
        <f t="shared" si="315"/>
        <v>4.8674585049695233E-2</v>
      </c>
      <c r="V609" s="682">
        <f t="shared" si="316"/>
        <v>-1.1919560214399139</v>
      </c>
      <c r="W609" s="683">
        <f t="shared" si="304"/>
        <v>-54.808818736375898</v>
      </c>
      <c r="X609" s="684">
        <f t="shared" si="305"/>
        <v>-268.83103809177811</v>
      </c>
      <c r="Y609" s="687">
        <f t="shared" si="306"/>
        <v>-88.831038091778112</v>
      </c>
      <c r="AA609" s="170">
        <f t="shared" si="307"/>
        <v>691830</v>
      </c>
      <c r="AB609" s="170">
        <f t="shared" si="308"/>
        <v>478628748900</v>
      </c>
      <c r="AD609" s="686">
        <f t="shared" si="309"/>
        <v>2.3157533967080308</v>
      </c>
      <c r="AE609" s="687">
        <f t="shared" si="310"/>
        <v>-71.541530700092295</v>
      </c>
      <c r="AG609" s="686">
        <f t="shared" si="311"/>
        <v>37.344669356990202</v>
      </c>
      <c r="AH609" s="687">
        <f t="shared" si="312"/>
        <v>-60.701408448186939</v>
      </c>
      <c r="AJ609" s="170">
        <f t="shared" si="313"/>
        <v>0</v>
      </c>
      <c r="AK609" s="170">
        <f t="shared" si="325"/>
        <v>0</v>
      </c>
      <c r="AM609" s="170" t="str">
        <f t="shared" si="317"/>
        <v>1.52604313719674+0.850457887145633i</v>
      </c>
      <c r="AN609" s="170" t="str">
        <f t="shared" si="318"/>
        <v>27.2574787634834i</v>
      </c>
      <c r="AO609" s="170" t="str">
        <f t="shared" si="319"/>
        <v>0.0312009006601514-0.0559862175969542i</v>
      </c>
      <c r="AP609" s="170" t="str">
        <f t="shared" si="320"/>
        <v>-0.0876738561994563-0.141742981190939i</v>
      </c>
      <c r="AQ609" s="170" t="str">
        <f t="shared" si="321"/>
        <v>1.08767385619946+0.141742981190939i</v>
      </c>
      <c r="AR609" s="170" t="str">
        <f t="shared" si="322"/>
        <v>0.753065519442269-0.0981376459031812i</v>
      </c>
    </row>
    <row r="610" spans="7:44">
      <c r="G610" s="688">
        <v>758580</v>
      </c>
      <c r="H610" s="676">
        <f t="shared" si="314"/>
        <v>758.58</v>
      </c>
      <c r="I610" s="677">
        <f t="shared" si="294"/>
        <v>259.41444026920129</v>
      </c>
      <c r="J610" s="678">
        <f t="shared" si="295"/>
        <v>1.5669414817230303</v>
      </c>
      <c r="K610" s="678">
        <f t="shared" si="296"/>
        <v>1.381558588610466</v>
      </c>
      <c r="L610" s="679">
        <f t="shared" si="297"/>
        <v>0.76147336746394667</v>
      </c>
      <c r="M610" s="678">
        <f t="shared" si="298"/>
        <v>6.4528801792108306</v>
      </c>
      <c r="N610" s="679">
        <f t="shared" si="299"/>
        <v>-1.4151996860904328</v>
      </c>
      <c r="O610" s="677">
        <f t="shared" si="300"/>
        <v>5719558.4458488887</v>
      </c>
      <c r="P610" s="680">
        <f t="shared" si="301"/>
        <v>1.5707961519562252</v>
      </c>
      <c r="Q610" s="689">
        <f t="shared" si="323"/>
        <v>127.74071952926596</v>
      </c>
      <c r="R610" s="690">
        <f t="shared" si="324"/>
        <v>1.5629678894897843</v>
      </c>
      <c r="S610" s="677">
        <f t="shared" si="302"/>
        <v>3.346331146368978</v>
      </c>
      <c r="T610" s="680">
        <f t="shared" si="303"/>
        <v>1.2673249623351117</v>
      </c>
      <c r="U610" s="681">
        <f t="shared" si="315"/>
        <v>3.8313216607369055E-2</v>
      </c>
      <c r="V610" s="682">
        <f t="shared" si="316"/>
        <v>-2.2111615231740527</v>
      </c>
      <c r="W610" s="683">
        <f t="shared" si="304"/>
        <v>-57.268683267425772</v>
      </c>
      <c r="X610" s="684">
        <f t="shared" si="305"/>
        <v>-326.98601414748083</v>
      </c>
      <c r="Y610" s="687">
        <f t="shared" si="306"/>
        <v>-146.98601414748083</v>
      </c>
      <c r="AA610" s="170">
        <f t="shared" si="307"/>
        <v>758580</v>
      </c>
      <c r="AB610" s="170">
        <f t="shared" si="308"/>
        <v>575443616400</v>
      </c>
      <c r="AD610" s="686">
        <f t="shared" si="309"/>
        <v>1.5934089056410641</v>
      </c>
      <c r="AE610" s="687">
        <f t="shared" si="310"/>
        <v>-73.060898097109899</v>
      </c>
      <c r="AG610" s="686">
        <f t="shared" si="311"/>
        <v>39.765295033171085</v>
      </c>
      <c r="AH610" s="687">
        <f t="shared" si="312"/>
        <v>-0.54466956165799119</v>
      </c>
      <c r="AJ610" s="170">
        <f t="shared" si="313"/>
        <v>0</v>
      </c>
      <c r="AK610" s="170">
        <f t="shared" si="325"/>
        <v>0</v>
      </c>
      <c r="AM610" s="170" t="str">
        <f t="shared" si="317"/>
        <v>0.957774135862381-0.999108090447591i</v>
      </c>
      <c r="AN610" s="170" t="str">
        <f t="shared" si="318"/>
        <v>29.887368631605i</v>
      </c>
      <c r="AO610" s="170" t="str">
        <f t="shared" si="319"/>
        <v>-0.0334291085562837-0.0320461177987266i</v>
      </c>
      <c r="AP610" s="170" t="str">
        <f t="shared" si="320"/>
        <v>0.00703764402293647+0.166518015074598i</v>
      </c>
      <c r="AQ610" s="170" t="str">
        <f t="shared" si="321"/>
        <v>0.992962355977064-0.166518015074598i</v>
      </c>
      <c r="AR610" s="170" t="str">
        <f t="shared" si="322"/>
        <v>0.815957000113167+0.136834532776796i</v>
      </c>
    </row>
    <row r="611" spans="7:44">
      <c r="G611" s="688">
        <v>831760</v>
      </c>
      <c r="H611" s="676">
        <f t="shared" si="314"/>
        <v>831.76</v>
      </c>
      <c r="I611" s="677">
        <f t="shared" si="294"/>
        <v>284.43972310239832</v>
      </c>
      <c r="J611" s="678">
        <f t="shared" si="295"/>
        <v>1.5672806361975733</v>
      </c>
      <c r="K611" s="678">
        <f t="shared" si="296"/>
        <v>1.446542695649786</v>
      </c>
      <c r="L611" s="679">
        <f t="shared" si="297"/>
        <v>0.80750486318184178</v>
      </c>
      <c r="M611" s="678">
        <f t="shared" si="298"/>
        <v>7.0610810478871882</v>
      </c>
      <c r="N611" s="679">
        <f t="shared" si="299"/>
        <v>-1.4286972208109434</v>
      </c>
      <c r="O611" s="677">
        <f t="shared" si="300"/>
        <v>6271322.64615368</v>
      </c>
      <c r="P611" s="680">
        <f t="shared" si="301"/>
        <v>1.5707961673389004</v>
      </c>
      <c r="Q611" s="689">
        <f t="shared" si="323"/>
        <v>140.06310896229829</v>
      </c>
      <c r="R611" s="690">
        <f t="shared" si="324"/>
        <v>1.5636566273883648</v>
      </c>
      <c r="S611" s="677">
        <f t="shared" si="302"/>
        <v>3.6414861742996361</v>
      </c>
      <c r="T611" s="680">
        <f t="shared" si="303"/>
        <v>1.2926089615570244</v>
      </c>
      <c r="U611" s="681">
        <f t="shared" si="315"/>
        <v>3.2581185473795835E-2</v>
      </c>
      <c r="V611" s="682">
        <f t="shared" si="316"/>
        <v>-0.84458026335323899</v>
      </c>
      <c r="W611" s="683">
        <f t="shared" si="304"/>
        <v>-59.028888785319474</v>
      </c>
      <c r="X611" s="684">
        <f t="shared" si="305"/>
        <v>-248.25125452332125</v>
      </c>
      <c r="Y611" s="687">
        <f t="shared" si="306"/>
        <v>-68.251254523321251</v>
      </c>
      <c r="AA611" s="170">
        <f t="shared" si="307"/>
        <v>831760</v>
      </c>
      <c r="AB611" s="170">
        <f t="shared" si="308"/>
        <v>691824697600</v>
      </c>
      <c r="AD611" s="686">
        <f t="shared" si="309"/>
        <v>0.85916913853357335</v>
      </c>
      <c r="AE611" s="687">
        <f t="shared" si="310"/>
        <v>-74.470103649930806</v>
      </c>
      <c r="AG611" s="686">
        <f t="shared" si="311"/>
        <v>41.554598593793443</v>
      </c>
      <c r="AH611" s="687">
        <f t="shared" si="312"/>
        <v>-76.999381662424767</v>
      </c>
      <c r="AJ611" s="170">
        <f t="shared" si="313"/>
        <v>0</v>
      </c>
      <c r="AK611" s="170">
        <f t="shared" si="325"/>
        <v>0</v>
      </c>
      <c r="AM611" s="170" t="str">
        <f t="shared" si="317"/>
        <v>0.785550526461157+0.976735083479094i</v>
      </c>
      <c r="AN611" s="170" t="str">
        <f t="shared" si="318"/>
        <v>32.7705947072474i</v>
      </c>
      <c r="AO611" s="170" t="str">
        <f t="shared" si="319"/>
        <v>0.0298052291148407-0.0239712014224578i</v>
      </c>
      <c r="AP611" s="170" t="str">
        <f t="shared" si="320"/>
        <v>0.0357415789231405-0.162789180579849i</v>
      </c>
      <c r="AQ611" s="170" t="str">
        <f t="shared" si="321"/>
        <v>0.96425842107686+0.162789180579849i</v>
      </c>
      <c r="AR611" s="170" t="str">
        <f t="shared" si="322"/>
        <v>0.839937031973015-0.141800847350504i</v>
      </c>
    </row>
    <row r="612" spans="7:44">
      <c r="G612" s="688">
        <v>912010</v>
      </c>
      <c r="H612" s="676">
        <f t="shared" si="314"/>
        <v>912.01</v>
      </c>
      <c r="I612" s="677">
        <f t="shared" si="294"/>
        <v>311.88275722047536</v>
      </c>
      <c r="J612" s="678">
        <f t="shared" si="295"/>
        <v>1.5675899882260425</v>
      </c>
      <c r="K612" s="678">
        <f t="shared" si="296"/>
        <v>1.5210083101306304</v>
      </c>
      <c r="L612" s="679">
        <f t="shared" si="297"/>
        <v>0.85335538040201864</v>
      </c>
      <c r="M612" s="678">
        <f t="shared" si="298"/>
        <v>7.7292755749448032</v>
      </c>
      <c r="N612" s="679">
        <f t="shared" si="299"/>
        <v>-1.4410544119533242</v>
      </c>
      <c r="O612" s="677">
        <f t="shared" si="300"/>
        <v>6876393.3905436741</v>
      </c>
      <c r="P612" s="680">
        <f t="shared" si="301"/>
        <v>1.5707961813698252</v>
      </c>
      <c r="Q612" s="689">
        <f t="shared" si="323"/>
        <v>153.57604147281066</v>
      </c>
      <c r="R612" s="690">
        <f t="shared" si="324"/>
        <v>1.5642848484614071</v>
      </c>
      <c r="S612" s="677">
        <f t="shared" si="302"/>
        <v>3.9674141857810277</v>
      </c>
      <c r="T612" s="680">
        <f t="shared" si="303"/>
        <v>1.3159948078507551</v>
      </c>
      <c r="U612" s="681">
        <f t="shared" si="315"/>
        <v>3.428123996214219E-2</v>
      </c>
      <c r="V612" s="682">
        <f t="shared" si="316"/>
        <v>-2.1011871300323453</v>
      </c>
      <c r="W612" s="683">
        <f t="shared" si="304"/>
        <v>-58.910374608010123</v>
      </c>
      <c r="X612" s="684">
        <f t="shared" si="305"/>
        <v>-319.65213959308056</v>
      </c>
      <c r="Y612" s="687">
        <f t="shared" si="306"/>
        <v>-139.65213959308056</v>
      </c>
      <c r="AA612" s="170">
        <f t="shared" si="307"/>
        <v>912010</v>
      </c>
      <c r="AB612" s="170">
        <f t="shared" si="308"/>
        <v>831762240100</v>
      </c>
      <c r="AD612" s="686">
        <f t="shared" si="309"/>
        <v>0.11455436417214146</v>
      </c>
      <c r="AE612" s="687">
        <f t="shared" si="310"/>
        <v>-75.77402033221945</v>
      </c>
      <c r="AG612" s="686">
        <f t="shared" si="311"/>
        <v>41.534141948399196</v>
      </c>
      <c r="AH612" s="687">
        <f t="shared" si="312"/>
        <v>-3.0998099496128155</v>
      </c>
      <c r="AJ612" s="170">
        <f t="shared" si="313"/>
        <v>0</v>
      </c>
      <c r="AK612" s="170">
        <f t="shared" si="325"/>
        <v>0</v>
      </c>
      <c r="AM612" s="170" t="str">
        <f t="shared" si="317"/>
        <v>1.19469167708177-0.980864491596616i</v>
      </c>
      <c r="AN612" s="170" t="str">
        <f t="shared" si="318"/>
        <v>35.9323724138654i</v>
      </c>
      <c r="AO612" s="170" t="str">
        <f t="shared" si="319"/>
        <v>-0.0272975154631907-0.0332483383874973i</v>
      </c>
      <c r="AP612" s="170" t="str">
        <f t="shared" si="320"/>
        <v>-0.0324486128469617+0.163477415266103i</v>
      </c>
      <c r="AQ612" s="170" t="str">
        <f t="shared" si="321"/>
        <v>1.03244861284696-0.163477415266103i</v>
      </c>
      <c r="AR612" s="170" t="str">
        <f t="shared" si="322"/>
        <v>0.787086454589875+0.12462688949962i</v>
      </c>
    </row>
    <row r="613" spans="7:44">
      <c r="G613" s="688">
        <v>1000000</v>
      </c>
      <c r="H613" s="676">
        <f t="shared" si="314"/>
        <v>1000</v>
      </c>
      <c r="I613" s="677">
        <f t="shared" si="294"/>
        <v>341.97266204012209</v>
      </c>
      <c r="J613" s="678">
        <f t="shared" si="295"/>
        <v>1.567872112270825</v>
      </c>
      <c r="K613" s="678">
        <f t="shared" si="296"/>
        <v>1.6059690845609211</v>
      </c>
      <c r="L613" s="679">
        <f t="shared" si="297"/>
        <v>0.89863709249959878</v>
      </c>
      <c r="M613" s="678">
        <f t="shared" si="298"/>
        <v>8.4630483769825826</v>
      </c>
      <c r="N613" s="679">
        <f t="shared" si="299"/>
        <v>-1.4523588925061217</v>
      </c>
      <c r="O613" s="677">
        <f t="shared" si="300"/>
        <v>7539822.3600000674</v>
      </c>
      <c r="P613" s="680">
        <f t="shared" si="301"/>
        <v>1.5707961941657773</v>
      </c>
      <c r="Q613" s="689">
        <f t="shared" si="323"/>
        <v>168.39233532246388</v>
      </c>
      <c r="R613" s="690">
        <f t="shared" si="324"/>
        <v>1.5648577793198375</v>
      </c>
      <c r="S613" s="677">
        <f t="shared" si="302"/>
        <v>4.3268766589880627</v>
      </c>
      <c r="T613" s="680">
        <f t="shared" si="303"/>
        <v>1.3375742213961828</v>
      </c>
      <c r="U613" s="681">
        <f t="shared" si="315"/>
        <v>3.0700824116247437E-2</v>
      </c>
      <c r="V613" s="682">
        <f t="shared" si="316"/>
        <v>-1.010406899876491</v>
      </c>
      <c r="W613" s="683">
        <f t="shared" si="304"/>
        <v>-60.162002798929279</v>
      </c>
      <c r="X613" s="684">
        <f t="shared" si="305"/>
        <v>-256.42803204014149</v>
      </c>
      <c r="Y613" s="687">
        <f t="shared" si="306"/>
        <v>-76.428032040141488</v>
      </c>
      <c r="AA613" s="170">
        <f t="shared" si="307"/>
        <v>1000000</v>
      </c>
      <c r="AB613" s="170">
        <f t="shared" si="308"/>
        <v>1000000000000</v>
      </c>
      <c r="AD613" s="686">
        <f t="shared" si="309"/>
        <v>-0.63881608702382775</v>
      </c>
      <c r="AE613" s="687">
        <f t="shared" si="310"/>
        <v>-76.977603867128366</v>
      </c>
      <c r="AG613" s="686">
        <f t="shared" si="311"/>
        <v>42.952143748300735</v>
      </c>
      <c r="AH613" s="687">
        <f t="shared" si="312"/>
        <v>-63.666326133069553</v>
      </c>
      <c r="AJ613" s="170">
        <f t="shared" si="313"/>
        <v>0</v>
      </c>
      <c r="AK613" s="170">
        <f t="shared" si="325"/>
        <v>0</v>
      </c>
      <c r="AM613" s="170" t="str">
        <f t="shared" si="317"/>
        <v>1.12883190491254+0.991666446077817i</v>
      </c>
      <c r="AN613" s="170" t="str">
        <f t="shared" si="318"/>
        <v>39.3990991478881i</v>
      </c>
      <c r="AO613" s="170" t="str">
        <f t="shared" si="319"/>
        <v>0.0251697746274733-0.0286512110511808i</v>
      </c>
      <c r="AP613" s="170" t="str">
        <f t="shared" si="320"/>
        <v>-0.0214719841520892-0.165277741012969i</v>
      </c>
      <c r="AQ613" s="170" t="str">
        <f t="shared" si="321"/>
        <v>1.02147198415209+0.165277741012969i</v>
      </c>
      <c r="AR613" s="170" t="str">
        <f t="shared" si="322"/>
        <v>0.794684674998242-0.12858276089712i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10902.5</v>
      </c>
      <c r="H617" s="698"/>
      <c r="I617" s="699">
        <f t="shared" ref="I617:I626" si="326">SQRT(1+(G617/pole1)^2)</f>
        <v>3.8601200326403724</v>
      </c>
      <c r="J617" s="689">
        <f t="shared" ref="J617:J626" si="327">ATAN(G617/pole1)</f>
        <v>1.3087481988073295</v>
      </c>
      <c r="K617" s="689">
        <f t="shared" ref="K617:K626" si="328">SQRT(1+(G617/Zero1)^2)</f>
        <v>1.000093847248454</v>
      </c>
      <c r="L617" s="690">
        <f t="shared" ref="L617:L626" si="329">ATAN(G617/Zero1)</f>
        <v>1.3699628434375466E-2</v>
      </c>
      <c r="M617" s="678">
        <v>1</v>
      </c>
      <c r="N617" s="679">
        <v>0</v>
      </c>
      <c r="O617" s="699">
        <f t="shared" ref="O617:O626" si="330">SQRT(1+(G617/Pole2)^2)</f>
        <v>82202.913285982533</v>
      </c>
      <c r="P617" s="700">
        <f t="shared" ref="P617:P626" si="331">ATAN(G617/Pole2)</f>
        <v>1.5707841617759204</v>
      </c>
      <c r="Q617" s="689">
        <f t="shared" ref="Q617:Q626" si="332">SQRT(1+(G617/Zero2)^2)</f>
        <v>2.0905502936944536</v>
      </c>
      <c r="R617" s="690">
        <f t="shared" ref="R617:R626" si="333">ATAN(G617/Zero2)</f>
        <v>1.0720295119158783</v>
      </c>
      <c r="S617" s="699">
        <f t="shared" ref="S617:S626" si="334">SQRT(1+(G617/pole4)^2)</f>
        <v>1.0010526960812509</v>
      </c>
      <c r="T617" s="700">
        <f t="shared" ref="T617:T626" si="335">ATAN(G617/pole4)</f>
        <v>4.5864440165541739E-2</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13.203779525881112</v>
      </c>
      <c r="AE617" s="687">
        <f>(R617-(P617+T617))*radconv</f>
        <v>-31.204375336377577</v>
      </c>
      <c r="AG617" s="686" t="e">
        <f>20*LOG10((K617*M617/(I617*U617))*Acs*Am)</f>
        <v>#DIV/0!</v>
      </c>
      <c r="AH617" s="687" t="e">
        <f>(L617+N617-(J617+V617))*radconv</f>
        <v>#DIV/0!</v>
      </c>
    </row>
    <row r="618" spans="7:44">
      <c r="G618" s="698">
        <f>G617</f>
        <v>10902.5</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10902.5</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2924.2228591161447</v>
      </c>
      <c r="H622" s="703"/>
      <c r="I622" s="699">
        <f t="shared" si="326"/>
        <v>1.4142135623730951</v>
      </c>
      <c r="J622" s="689">
        <f t="shared" si="327"/>
        <v>0.78539816339744828</v>
      </c>
      <c r="K622" s="689">
        <f t="shared" si="328"/>
        <v>1.0000067516388074</v>
      </c>
      <c r="L622" s="690">
        <f t="shared" si="329"/>
        <v>3.6746702764372673E-3</v>
      </c>
      <c r="M622" s="678">
        <v>1</v>
      </c>
      <c r="N622" s="679">
        <v>0</v>
      </c>
      <c r="O622" s="699">
        <f t="shared" si="330"/>
        <v>22048.12092146471</v>
      </c>
      <c r="P622" s="700">
        <f t="shared" si="331"/>
        <v>1.5707509714558223</v>
      </c>
      <c r="Q622" s="689">
        <f t="shared" si="332"/>
        <v>1.1146594418758604</v>
      </c>
      <c r="R622" s="690">
        <f t="shared" si="333"/>
        <v>0.45755561076218682</v>
      </c>
      <c r="S622" s="677">
        <f t="shared" si="334"/>
        <v>1.0000757676519323</v>
      </c>
      <c r="T622" s="680">
        <f t="shared" si="335"/>
        <v>1.2309579058125356E-2</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19.180204358219854</v>
      </c>
      <c r="AE622" s="687">
        <f>(R622-(P622+T622))*radconv</f>
        <v>-64.486682942588672</v>
      </c>
      <c r="AG622" s="686" t="e">
        <f t="shared" ref="AG622:AG628" si="339">20*LOG10((K622*M622/(I622*U622))*Acs*Am)</f>
        <v>#DIV/0!</v>
      </c>
      <c r="AH622" s="687" t="e">
        <f t="shared" ref="AH622:AH628" si="340">(L622+N622-(J622+V622))*radconv</f>
        <v>#NAME?</v>
      </c>
    </row>
    <row r="623" spans="7:44">
      <c r="G623" s="702">
        <f>Zero1</f>
        <v>795774.71636878198</v>
      </c>
      <c r="H623" s="703"/>
      <c r="I623" s="699">
        <f t="shared" si="326"/>
        <v>272.13387196924032</v>
      </c>
      <c r="J623" s="689">
        <f t="shared" si="327"/>
        <v>1.5671216565184594</v>
      </c>
      <c r="K623" s="689">
        <f t="shared" si="328"/>
        <v>1.4142135623730951</v>
      </c>
      <c r="L623" s="690">
        <f t="shared" si="329"/>
        <v>0.78539816339744828</v>
      </c>
      <c r="M623" s="678">
        <v>1</v>
      </c>
      <c r="N623" s="679">
        <v>0</v>
      </c>
      <c r="O623" s="699">
        <f t="shared" si="330"/>
        <v>6000000.0000000857</v>
      </c>
      <c r="P623" s="700">
        <f t="shared" si="331"/>
        <v>1.5707961601282299</v>
      </c>
      <c r="Q623" s="689">
        <f t="shared" si="332"/>
        <v>134.00373129133385</v>
      </c>
      <c r="R623" s="690">
        <f t="shared" si="333"/>
        <v>1.5633337787596477</v>
      </c>
      <c r="S623" s="677">
        <f t="shared" si="334"/>
        <v>3.4960692212826685</v>
      </c>
      <c r="T623" s="680">
        <f t="shared" si="335"/>
        <v>1.2807093944738686</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1.2131624615358532</v>
      </c>
      <c r="AE623" s="687">
        <f>(R623-(P623+T623))*radconv</f>
        <v>-73.806806127981332</v>
      </c>
      <c r="AG623" s="686" t="e">
        <f t="shared" si="339"/>
        <v>#DIV/0!</v>
      </c>
      <c r="AH623" s="687" t="e">
        <f t="shared" si="340"/>
        <v>#NAME?</v>
      </c>
    </row>
    <row r="624" spans="7:44">
      <c r="G624" s="702">
        <f>Pole2</f>
        <v>0.13262911939479696</v>
      </c>
      <c r="H624" s="703"/>
      <c r="I624" s="699">
        <f t="shared" si="326"/>
        <v>1.0000000010285532</v>
      </c>
      <c r="J624" s="689">
        <f t="shared" si="327"/>
        <v>4.5355339074238836E-5</v>
      </c>
      <c r="K624" s="689">
        <f t="shared" si="328"/>
        <v>1.0000000000000138</v>
      </c>
      <c r="L624" s="690">
        <f t="shared" si="329"/>
        <v>1.6666666666666509E-7</v>
      </c>
      <c r="M624" s="678">
        <v>1</v>
      </c>
      <c r="N624" s="679">
        <v>0</v>
      </c>
      <c r="O624" s="699">
        <f t="shared" si="330"/>
        <v>1.4142135623730951</v>
      </c>
      <c r="P624" s="700">
        <f t="shared" si="331"/>
        <v>0.78539816339744828</v>
      </c>
      <c r="Q624" s="689">
        <f t="shared" si="332"/>
        <v>1.000000000249389</v>
      </c>
      <c r="R624" s="690">
        <f t="shared" si="333"/>
        <v>2.2333333329620207E-5</v>
      </c>
      <c r="S624" s="677">
        <f t="shared" si="334"/>
        <v>1.0000000000001559</v>
      </c>
      <c r="T624" s="680">
        <f t="shared" si="335"/>
        <v>5.583333333332753E-7</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0.13262911939479696</v>
      </c>
      <c r="AD624" s="686">
        <f>20*LOG10((Q624/(O624*S624))*Aea)</f>
        <v>102.09515014759111</v>
      </c>
      <c r="AE624" s="687">
        <f>(R624-(P624+T624))*radconv</f>
        <v>-44.998752435819888</v>
      </c>
      <c r="AG624" s="686" t="e">
        <f t="shared" si="339"/>
        <v>#DIV/0!</v>
      </c>
      <c r="AH624" s="687" t="e">
        <f t="shared" si="340"/>
        <v>#NAME?</v>
      </c>
    </row>
    <row r="625" spans="7:34">
      <c r="G625" s="702">
        <f>Zero2</f>
        <v>5938.6172863341926</v>
      </c>
      <c r="H625" s="703"/>
      <c r="I625" s="699">
        <f t="shared" si="326"/>
        <v>2.2636906107424326</v>
      </c>
      <c r="J625" s="689">
        <f t="shared" si="327"/>
        <v>1.1132407160327098</v>
      </c>
      <c r="K625" s="689">
        <f t="shared" si="328"/>
        <v>1.0000278454577152</v>
      </c>
      <c r="L625" s="690">
        <f t="shared" si="329"/>
        <v>7.462548035248916E-3</v>
      </c>
      <c r="M625" s="678">
        <v>1</v>
      </c>
      <c r="N625" s="679">
        <v>0</v>
      </c>
      <c r="O625" s="699">
        <f t="shared" si="330"/>
        <v>44776.119414151741</v>
      </c>
      <c r="P625" s="700">
        <f t="shared" si="331"/>
        <v>1.570773993461567</v>
      </c>
      <c r="Q625" s="689">
        <f t="shared" si="332"/>
        <v>1.4142135623730951</v>
      </c>
      <c r="R625" s="690">
        <f t="shared" si="333"/>
        <v>0.78539816339744828</v>
      </c>
      <c r="S625" s="677">
        <f t="shared" si="334"/>
        <v>1.000312451187128</v>
      </c>
      <c r="T625" s="680">
        <f t="shared" si="335"/>
        <v>2.4994793618920159E-2</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5938.6172863341926</v>
      </c>
      <c r="AD625" s="686">
        <f>20*LOG10((Q625/(O625*S625))*Aea)</f>
        <v>15.092107523529297</v>
      </c>
      <c r="AE625" s="687">
        <f>(R625-(P625+T625))*radconv</f>
        <v>-46.430816631477342</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66.703760066599017</v>
      </c>
      <c r="J627" s="689">
        <f>ATAN(G627/pole1)</f>
        <v>1.5558041065498129</v>
      </c>
      <c r="K627" s="689">
        <f>SQRT(1+(G627/Zero1)^2)</f>
        <v>1.0295960710811685</v>
      </c>
      <c r="L627" s="690">
        <f>ATAN(G627/Zero1)</f>
        <v>0.24035017607770376</v>
      </c>
      <c r="M627" s="678">
        <v>1</v>
      </c>
      <c r="N627" s="679">
        <v>0</v>
      </c>
      <c r="O627" s="699">
        <f>SQRT(1+(G627/Pole2)^2)</f>
        <v>1470527.2881143813</v>
      </c>
      <c r="P627" s="700">
        <f>ATAN(G627/Pole2)</f>
        <v>1.5707956467667135</v>
      </c>
      <c r="Q627" s="689">
        <f>SQRT(1+(G627/Zero2)^2)</f>
        <v>32.856997085586556</v>
      </c>
      <c r="R627" s="690">
        <f>ATAN(G627/Zero2)</f>
        <v>1.5403567086373893</v>
      </c>
      <c r="S627" s="677">
        <f>SQRT(1+(G627/pole4)^2)</f>
        <v>1.2938755391947103</v>
      </c>
      <c r="T627" s="680">
        <f>ATAN(G627/pole4)</f>
        <v>0.687441823309346</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118994.35011121973</v>
      </c>
      <c r="I628" s="699">
        <f>SQRT(1+(G628/pole1)^2)</f>
        <v>40.704926072164248</v>
      </c>
      <c r="J628" s="689">
        <f>ATAN(G628/pole1)</f>
        <v>1.5462268037952354</v>
      </c>
      <c r="K628" s="689">
        <f>SQRT(1+(G628/Zero1)^2)</f>
        <v>1.0111182084424126</v>
      </c>
      <c r="L628" s="690">
        <f>ATAN(G628/Zero1)</f>
        <v>0.14843290925009506</v>
      </c>
      <c r="M628" s="678">
        <v>1</v>
      </c>
      <c r="N628" s="679">
        <v>0</v>
      </c>
      <c r="O628" s="699">
        <f>SQRT(1+(G628/Pole2)^2)</f>
        <v>897196.26168280048</v>
      </c>
      <c r="P628" s="700">
        <f>ATAN(G628/Pole2)</f>
        <v>1.5707952122115634</v>
      </c>
      <c r="Q628" s="689">
        <f>SQRT(1+(G628/Zero2)^2)</f>
        <v>20.062321017389017</v>
      </c>
      <c r="R628" s="690">
        <f>ATAN(G628/Zero2)</f>
        <v>1.5209309824603141</v>
      </c>
      <c r="S628" s="677">
        <f>SQRT(1+(G628/pole4)^2)</f>
        <v>1.1184522577553235</v>
      </c>
      <c r="T628" s="680">
        <f>ATAN(G628/pole4)</f>
        <v>0.46439499301710346</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2924.2228591161447</v>
      </c>
      <c r="J632" s="172" t="e">
        <f>W622</f>
        <v>#DIV/0!</v>
      </c>
      <c r="K632" s="172" t="e">
        <f>AG622</f>
        <v>#DIV/0!</v>
      </c>
    </row>
    <row r="633" spans="7:34">
      <c r="G633" s="170" t="s">
        <v>714</v>
      </c>
      <c r="H633" s="170" t="s">
        <v>731</v>
      </c>
      <c r="I633" s="172">
        <f>Zero1</f>
        <v>795774.71636878198</v>
      </c>
      <c r="J633" s="172" t="e">
        <f>W623</f>
        <v>#DIV/0!</v>
      </c>
      <c r="K633" s="172" t="e">
        <f>AG623</f>
        <v>#DIV/0!</v>
      </c>
    </row>
    <row r="634" spans="7:34">
      <c r="G634" s="170" t="s">
        <v>715</v>
      </c>
      <c r="H634" s="170" t="s">
        <v>732</v>
      </c>
      <c r="I634" s="172">
        <f>Pole2</f>
        <v>0.13262911939479696</v>
      </c>
      <c r="J634" s="172" t="e">
        <f>W624</f>
        <v>#DIV/0!</v>
      </c>
      <c r="K634" s="172" t="e">
        <f>AG624</f>
        <v>#DIV/0!</v>
      </c>
    </row>
    <row r="635" spans="7:34">
      <c r="G635" s="170" t="s">
        <v>726</v>
      </c>
      <c r="H635" s="170" t="s">
        <v>733</v>
      </c>
      <c r="I635" s="172">
        <f>Zero2</f>
        <v>5938.6172863341926</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10902.5</v>
      </c>
    </row>
    <row r="640" spans="7:34">
      <c r="G640" s="172">
        <f>W4*1000</f>
        <v>10902.5</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18</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36</v>
      </c>
      <c r="C9" s="7" t="s">
        <v>0</v>
      </c>
      <c r="D9" s="77" t="s">
        <v>147</v>
      </c>
      <c r="F9" s="7"/>
      <c r="G9" s="7"/>
      <c r="H9" s="7"/>
      <c r="I9" s="25"/>
    </row>
    <row r="10" spans="1:26" thickBot="1">
      <c r="A10" s="110"/>
      <c r="B10" s="205"/>
      <c r="C10" s="60"/>
      <c r="D10" s="77"/>
      <c r="F10" s="7"/>
      <c r="G10" s="7"/>
      <c r="H10" s="7"/>
      <c r="I10" s="25"/>
    </row>
    <row r="11" spans="1:26">
      <c r="A11" s="24" t="s">
        <v>4</v>
      </c>
      <c r="B11" s="10">
        <f>'Design Converter'!E10</f>
        <v>4</v>
      </c>
      <c r="C11" s="7" t="s">
        <v>0</v>
      </c>
      <c r="D11" s="77" t="s">
        <v>563</v>
      </c>
      <c r="F11" s="7"/>
      <c r="G11" s="7">
        <f>(Vout+Vfwd2)*Nps</f>
        <v>18.8</v>
      </c>
      <c r="H11" s="7"/>
      <c r="I11" s="25">
        <v>1</v>
      </c>
      <c r="K11" t="str">
        <f>'Variable Mgmt'!B73&amp;" Output PSR Flyback Converter, "&amp;"VIN = "&amp;Vin&amp;" V, VOUT = "&amp;Vout&amp;" V, IOUT = "&amp;Iout&amp;" A"</f>
        <v>SINGLE Output PSR Flyback Converter, VIN = 24 V, VOUT = 4 V, IOUT = 6 A</v>
      </c>
      <c r="W11" s="751" t="s">
        <v>788</v>
      </c>
      <c r="X11" s="152"/>
      <c r="Y11" s="152"/>
      <c r="Z11" s="738"/>
    </row>
    <row r="12" spans="1:26" ht="12.5">
      <c r="A12" s="24" t="s">
        <v>5</v>
      </c>
      <c r="B12" s="572">
        <f>'Design Converter'!E11</f>
        <v>6</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24 V, VOUT1 = 4 V, IOUT1 = 6 A, VOUT2 = 18 V, IOUT2 = 0.1 A</v>
      </c>
      <c r="L12" s="76"/>
      <c r="W12" s="24"/>
      <c r="X12" s="7" t="s">
        <v>787</v>
      </c>
      <c r="Y12" s="7">
        <f>'Calculations - Single'!AQ105*1000</f>
        <v>159475.3544088786</v>
      </c>
      <c r="Z12" s="25" t="s">
        <v>8</v>
      </c>
    </row>
    <row r="13" spans="1:26" ht="12.5">
      <c r="A13" s="110" t="s">
        <v>168</v>
      </c>
      <c r="B13" s="153">
        <f>Vout/Iout</f>
        <v>0.66666666666666663</v>
      </c>
      <c r="C13" s="113" t="s">
        <v>45</v>
      </c>
      <c r="D13" s="111" t="s">
        <v>169</v>
      </c>
      <c r="F13" s="7"/>
      <c r="G13" s="7"/>
      <c r="H13" s="7"/>
      <c r="I13" s="25"/>
      <c r="W13" s="24"/>
      <c r="X13" s="7" t="s">
        <v>789</v>
      </c>
      <c r="Y13" s="7">
        <f>Lmag</f>
        <v>1.2E-5</v>
      </c>
      <c r="Z13" s="25" t="s">
        <v>11</v>
      </c>
    </row>
    <row r="14" spans="1:26" ht="12.5">
      <c r="A14" s="110" t="s">
        <v>152</v>
      </c>
      <c r="B14" s="571">
        <f>Vout*Iout</f>
        <v>24</v>
      </c>
      <c r="C14" s="60" t="s">
        <v>45</v>
      </c>
      <c r="D14" s="111" t="s">
        <v>158</v>
      </c>
      <c r="F14" s="7"/>
      <c r="G14" s="7"/>
      <c r="H14" s="7"/>
      <c r="I14" s="25"/>
      <c r="L14" s="76"/>
      <c r="W14" s="24"/>
      <c r="X14" s="7" t="s">
        <v>791</v>
      </c>
      <c r="Y14" s="7">
        <f>G11/(G11+VIN_nom/Npri_sec)</f>
        <v>0.75806451612903225</v>
      </c>
      <c r="Z14" s="25"/>
    </row>
    <row r="15" spans="1:26" ht="12.5">
      <c r="B15" s="372"/>
      <c r="C15" s="60"/>
      <c r="D15" s="111"/>
      <c r="F15" s="7"/>
      <c r="G15" s="7"/>
      <c r="H15" s="7"/>
      <c r="I15" s="25"/>
      <c r="L15" s="76"/>
      <c r="W15" s="24"/>
      <c r="X15" s="7" t="s">
        <v>790</v>
      </c>
      <c r="Y15" s="7">
        <f>VIN_nom/Lmag*Y14/Y12</f>
        <v>9.50698017181303</v>
      </c>
      <c r="Z15" s="25" t="s">
        <v>1</v>
      </c>
    </row>
    <row r="16" spans="1:26" ht="12.5">
      <c r="A16" s="110" t="s">
        <v>608</v>
      </c>
      <c r="B16" s="573">
        <f>ABS('Design Converter'!E12)</f>
        <v>18</v>
      </c>
      <c r="C16" s="7" t="s">
        <v>0</v>
      </c>
      <c r="D16" s="77" t="s">
        <v>565</v>
      </c>
      <c r="F16" s="7"/>
      <c r="G16" s="7"/>
      <c r="H16" s="7"/>
      <c r="I16" s="25"/>
      <c r="L16" s="76"/>
      <c r="W16" s="24"/>
      <c r="X16" s="7" t="s">
        <v>792</v>
      </c>
      <c r="Y16" s="7">
        <f>0.5*Y15^2*Y13*Y12</f>
        <v>86.482851885524994</v>
      </c>
      <c r="Z16" s="25"/>
    </row>
    <row r="17" spans="1:26">
      <c r="A17" s="110" t="s">
        <v>609</v>
      </c>
      <c r="B17" s="611">
        <f>'Design Converter'!E12</f>
        <v>18</v>
      </c>
      <c r="C17" s="60" t="s">
        <v>0</v>
      </c>
      <c r="D17" s="77"/>
      <c r="F17" s="7"/>
      <c r="G17" s="7"/>
      <c r="H17" s="7"/>
      <c r="I17" s="25"/>
      <c r="L17" s="76"/>
      <c r="P17" s="3" t="s">
        <v>769</v>
      </c>
      <c r="W17" s="24"/>
      <c r="X17" s="7" t="s">
        <v>769</v>
      </c>
      <c r="Y17" s="39" t="str">
        <f>IF((Y16/(G11*Iout))&lt;1.01, "BCM", "DCM")</f>
        <v>BCM</v>
      </c>
      <c r="Z17" s="25"/>
    </row>
    <row r="18" spans="1:26">
      <c r="A18" s="110" t="s">
        <v>498</v>
      </c>
      <c r="B18" s="573">
        <f>ABS('Design Converter'!E13)</f>
        <v>0.1</v>
      </c>
      <c r="C18" s="77" t="s">
        <v>1</v>
      </c>
      <c r="D18" s="77" t="s">
        <v>564</v>
      </c>
      <c r="F18" s="7"/>
      <c r="G18" s="7"/>
      <c r="H18" s="7"/>
      <c r="I18" s="25"/>
      <c r="L18" s="76"/>
      <c r="P18" s="3" t="s">
        <v>768</v>
      </c>
      <c r="Q18">
        <v>1</v>
      </c>
      <c r="W18" s="24"/>
      <c r="X18" s="7"/>
      <c r="Y18" s="7"/>
      <c r="Z18" s="25"/>
    </row>
    <row r="19" spans="1:26" ht="13.5" thickBot="1">
      <c r="A19" s="111" t="s">
        <v>647</v>
      </c>
      <c r="B19">
        <f>Iout2*SIGN(Vout2_actual)</f>
        <v>0.1</v>
      </c>
      <c r="C19" s="76" t="s">
        <v>1</v>
      </c>
      <c r="F19" s="7"/>
      <c r="G19" s="7"/>
      <c r="H19" s="7"/>
      <c r="I19" s="25"/>
      <c r="L19" s="76"/>
      <c r="P19" s="3" t="s">
        <v>767</v>
      </c>
      <c r="Q19">
        <v>2</v>
      </c>
      <c r="W19" s="748"/>
      <c r="X19" s="180" t="s">
        <v>793</v>
      </c>
      <c r="Y19" s="180">
        <f>Vout*Iout</f>
        <v>24</v>
      </c>
      <c r="Z19" s="750"/>
    </row>
    <row r="20" spans="1:26">
      <c r="A20" s="110" t="s">
        <v>499</v>
      </c>
      <c r="B20" s="571">
        <f>ABS(Vout2/Iout2)</f>
        <v>180</v>
      </c>
      <c r="C20" s="113" t="s">
        <v>45</v>
      </c>
      <c r="D20" s="111" t="s">
        <v>501</v>
      </c>
      <c r="F20" s="7"/>
      <c r="G20" s="7"/>
      <c r="H20" s="7"/>
      <c r="I20" s="25"/>
      <c r="K20" s="76" t="s">
        <v>530</v>
      </c>
      <c r="L20" s="76" t="s">
        <v>531</v>
      </c>
      <c r="Q20" s="3">
        <v>2</v>
      </c>
    </row>
    <row r="21" spans="1:26" ht="12.5">
      <c r="A21" s="110" t="s">
        <v>500</v>
      </c>
      <c r="B21" s="571">
        <f>ABS(Vout2*Iout2)</f>
        <v>1.8</v>
      </c>
      <c r="C21" s="60" t="s">
        <v>45</v>
      </c>
      <c r="D21" s="111" t="s">
        <v>502</v>
      </c>
      <c r="F21" s="7"/>
      <c r="G21" s="7"/>
      <c r="H21" s="7"/>
      <c r="I21" s="25"/>
      <c r="K21">
        <v>5</v>
      </c>
      <c r="L21" s="76">
        <v>-5</v>
      </c>
    </row>
    <row r="22" spans="1:26" ht="12.5">
      <c r="A22" s="110" t="s">
        <v>503</v>
      </c>
      <c r="B22" s="571">
        <f>CHOOSE(MODE, Pout, Pout + Pout2)</f>
        <v>24</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 xml:space="preserve">4 </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1.0162162162162163</v>
      </c>
      <c r="D25" s="111" t="s">
        <v>577</v>
      </c>
      <c r="F25" s="7"/>
      <c r="G25" s="7"/>
      <c r="H25" s="7"/>
      <c r="I25" s="25"/>
      <c r="L25" s="76"/>
    </row>
    <row r="26" spans="1:26" ht="13.5" thickBot="1">
      <c r="A26" s="34" t="s">
        <v>589</v>
      </c>
      <c r="B26" s="610">
        <f>Nsec1sec2</f>
        <v>3.9361702127659575</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13</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40</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180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24</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1.3333333333333333</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1</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0.66666666666666663</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30.859120962642109</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4 : 1</v>
      </c>
      <c r="S61" s="39">
        <v>7</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188000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 xml:space="preserve">4 </v>
      </c>
      <c r="S63" s="7"/>
      <c r="T63" s="7"/>
      <c r="U63" s="7"/>
      <c r="V63" s="77" t="s">
        <v>574</v>
      </c>
      <c r="W63" s="742" t="str">
        <f>CHOOSE(Turns_Ratio,"1", "1", "1", "1", "1", "1", "1", "1", "1", "1", "1", "1", "1", "1", "1.2", "1.5", "1.8",  "2", "2.5", "3", "4", "5", "6", "8", "10", "15", "20", "30", "40", "50", "60", "80", "100")</f>
        <v>1</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 xml:space="preserve">4 </v>
      </c>
      <c r="S64" s="7"/>
      <c r="T64" s="7"/>
      <c r="U64" s="7"/>
      <c r="V64" s="77" t="s">
        <v>573</v>
      </c>
      <c r="W64" s="743">
        <f>Nsec1sec2</f>
        <v>3.9361702127659575</v>
      </c>
    </row>
    <row r="65" spans="1:23" ht="15.5">
      <c r="A65" s="110" t="s">
        <v>387</v>
      </c>
      <c r="B65" s="518">
        <v>0.1</v>
      </c>
      <c r="C65" s="77" t="s">
        <v>45</v>
      </c>
      <c r="D65" s="111" t="s">
        <v>568</v>
      </c>
      <c r="F65" s="596" t="s">
        <v>569</v>
      </c>
      <c r="G65" s="7"/>
      <c r="H65" s="7"/>
      <c r="I65" s="25"/>
      <c r="P65" s="24"/>
      <c r="Q65" s="77" t="s">
        <v>573</v>
      </c>
      <c r="R65" s="744">
        <f>ABS((Vout2+Vfwd22)/(Vout+Vfwd2))</f>
        <v>3.9361702127659575</v>
      </c>
      <c r="S65" s="7"/>
      <c r="T65" s="7"/>
      <c r="U65" s="7"/>
      <c r="V65" s="39"/>
      <c r="W65" s="745">
        <f>W63*W64</f>
        <v>3.9361702127659575</v>
      </c>
    </row>
    <row r="66" spans="1:23" ht="13.5" thickBot="1">
      <c r="A66" s="28"/>
      <c r="B66" s="29"/>
      <c r="C66" s="80"/>
      <c r="D66" s="29"/>
      <c r="E66" s="29"/>
      <c r="F66" s="29"/>
      <c r="G66" s="29"/>
      <c r="H66" s="29"/>
      <c r="I66" s="30"/>
      <c r="K66" s="441" t="str">
        <f>"SCH_"&amp;B73&amp;"_"&amp;F78&amp;"_"&amp;I78&amp;"_"&amp;F72</f>
        <v>SCH_SINGLE_UVLOadj_SSint_TCno</v>
      </c>
      <c r="P66" s="24"/>
      <c r="Q66" s="386" t="s">
        <v>495</v>
      </c>
      <c r="R66" s="746">
        <f>Nps/Nsec1sec2</f>
        <v>1.0162162162162163</v>
      </c>
      <c r="S66" s="7"/>
      <c r="T66" s="7"/>
      <c r="U66" s="7"/>
      <c r="V66" s="377" t="s">
        <v>575</v>
      </c>
      <c r="W66" s="747" t="str">
        <f>CHOOSE(MODE, R61, R61&amp;" : "&amp;ROUND(W65,2))</f>
        <v>4 : 1</v>
      </c>
    </row>
    <row r="67" spans="1:23" ht="13.5" thickBot="1">
      <c r="A67" s="7"/>
      <c r="B67" s="7"/>
      <c r="C67" s="39"/>
      <c r="D67" s="7"/>
      <c r="E67" s="7"/>
      <c r="F67" s="7"/>
      <c r="G67" s="7"/>
      <c r="H67" s="7"/>
      <c r="I67" s="7"/>
      <c r="P67" s="748"/>
      <c r="Q67" s="180"/>
      <c r="R67" s="749">
        <f>ROUND(Nsec1sec2,1)</f>
        <v>3.9</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TCno, IlimRes, UVLOadj, SSint</v>
      </c>
      <c r="O70" s="24"/>
    </row>
    <row r="71" spans="1:23">
      <c r="A71" s="376"/>
      <c r="B71" s="77" t="s">
        <v>363</v>
      </c>
      <c r="C71" s="434">
        <v>2</v>
      </c>
      <c r="D71" s="7"/>
      <c r="E71" s="37"/>
      <c r="F71" s="77" t="s">
        <v>365</v>
      </c>
      <c r="G71" s="160" t="b">
        <v>0</v>
      </c>
      <c r="I71" s="154" t="s">
        <v>301</v>
      </c>
      <c r="J71" s="160">
        <v>2</v>
      </c>
      <c r="K71" t="str">
        <f>C73&amp;", "&amp;G72&amp;", "&amp;J72&amp;", "&amp;G78&amp;", "&amp;J78</f>
        <v>1, 2, 2, 1, 2</v>
      </c>
      <c r="O71" s="24"/>
      <c r="Q71" s="395" t="s">
        <v>333</v>
      </c>
      <c r="R71" s="3" t="s">
        <v>328</v>
      </c>
      <c r="S71" s="368">
        <v>1</v>
      </c>
    </row>
    <row r="72" spans="1:23">
      <c r="B72" s="76" t="s">
        <v>506</v>
      </c>
      <c r="C72" s="576">
        <v>3</v>
      </c>
      <c r="D72" s="7"/>
      <c r="E72" s="440" t="s">
        <v>376</v>
      </c>
      <c r="F72" s="379" t="str">
        <f>CHOOSE(G72, "TCyes", "TCno")</f>
        <v>TCno</v>
      </c>
      <c r="G72" s="374">
        <v>2</v>
      </c>
      <c r="H72" s="440" t="s">
        <v>299</v>
      </c>
      <c r="I72" s="436" t="str">
        <f>CHOOSE(J72, "IlimGND", "IlimRes")</f>
        <v>IlimRes</v>
      </c>
      <c r="J72" s="374">
        <f>IF(C78=4, 1, 2)</f>
        <v>2</v>
      </c>
      <c r="K72" t="str">
        <f>C73&amp;G72&amp;J72&amp;G78&amp;J78</f>
        <v>12212</v>
      </c>
      <c r="O72" s="24"/>
      <c r="Q72" s="395" t="s">
        <v>335</v>
      </c>
      <c r="R72" s="3" t="s">
        <v>329</v>
      </c>
      <c r="S72" s="368">
        <v>2</v>
      </c>
    </row>
    <row r="73" spans="1:23">
      <c r="A73" s="437" t="s">
        <v>286</v>
      </c>
      <c r="B73" s="435" t="str">
        <f>CHOOSE(C73,"SINGLE", IF(Vout2_actual&gt;0, "DUAL", "BIPOLAR"))</f>
        <v>SINGLE</v>
      </c>
      <c r="C73" s="378">
        <v>1</v>
      </c>
      <c r="D73" s="7"/>
      <c r="E73" s="7"/>
      <c r="G73" s="78">
        <f>TC</f>
        <v>2</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6.3V</v>
      </c>
      <c r="S76" s="458">
        <f>IF(Vout&lt;=5, 1, IF(Vout&lt;=8, 2, IF(Vout&lt;=12, 3, IF(Vout&lt;=20, 4, 5))))</f>
        <v>1</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SSint</v>
      </c>
      <c r="J78" s="374">
        <v>2</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0.53150689889197289</v>
      </c>
      <c r="C83" s="7"/>
      <c r="D83" t="b">
        <f>B83&gt;0.75</f>
        <v>0</v>
      </c>
      <c r="E83" s="77"/>
      <c r="F83" s="7"/>
      <c r="G83" s="7">
        <f>Vfwd2</f>
        <v>0.7</v>
      </c>
      <c r="H83" s="7">
        <f>'Calculations - Single'!DT210</f>
        <v>6000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0.43925233644859818</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0.35657408454486367</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4.0020000000000007</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64.2</v>
      </c>
      <c r="C92" s="77"/>
      <c r="D92" s="77"/>
      <c r="E92" s="77"/>
      <c r="F92" s="7"/>
      <c r="G92" s="7"/>
      <c r="H92" s="7"/>
      <c r="I92" s="25"/>
      <c r="R92" s="76" t="s">
        <v>612</v>
      </c>
      <c r="S92" s="368">
        <v>4</v>
      </c>
      <c r="T92" s="474" t="s">
        <v>617</v>
      </c>
      <c r="U92" s="460">
        <v>100</v>
      </c>
      <c r="W92" s="439" t="s">
        <v>635</v>
      </c>
    </row>
    <row r="93" spans="1:26">
      <c r="A93" s="111"/>
      <c r="B93" s="630"/>
      <c r="C93" s="7"/>
      <c r="D93" s="77">
        <f>Isw_min</f>
        <v>1.3333333333333335</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1.2E-5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50</v>
      </c>
      <c r="C97" s="7" t="s">
        <v>662</v>
      </c>
      <c r="D97" s="77"/>
      <c r="F97" s="7"/>
      <c r="G97" s="7"/>
      <c r="H97" s="7"/>
      <c r="I97" s="25"/>
    </row>
    <row r="98" spans="1:17" ht="12.5">
      <c r="A98" s="110" t="s">
        <v>826</v>
      </c>
      <c r="B98" s="41">
        <f>Lmag/(Nps)^2</f>
        <v>7.5000000000000002E-7</v>
      </c>
      <c r="C98" s="7" t="s">
        <v>11</v>
      </c>
      <c r="D98" s="77"/>
      <c r="F98" s="7"/>
      <c r="G98" s="7"/>
      <c r="H98" s="7"/>
      <c r="I98" s="25"/>
    </row>
    <row r="99" spans="1:17" ht="12.5">
      <c r="A99" s="110" t="s">
        <v>827</v>
      </c>
      <c r="B99" s="41">
        <f>Lmag/(Nps/Nsec1sec2)^2</f>
        <v>1.1620076957899501E-5</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0.7</v>
      </c>
      <c r="Q104">
        <f>ktr_rcmd</f>
        <v>4.0020000000000007</v>
      </c>
    </row>
    <row r="105" spans="1:17" ht="15.75" customHeight="1">
      <c r="A105" s="77" t="s">
        <v>539</v>
      </c>
      <c r="B105" s="191">
        <v>100</v>
      </c>
      <c r="C105" s="111" t="s">
        <v>102</v>
      </c>
      <c r="D105" s="77"/>
      <c r="E105" s="7"/>
      <c r="F105" s="7"/>
      <c r="H105" s="7"/>
      <c r="I105" s="25"/>
      <c r="K105" s="110" t="s">
        <v>645</v>
      </c>
      <c r="L105" s="848">
        <f>Vfwd2</f>
        <v>0.7</v>
      </c>
      <c r="M105" s="76"/>
      <c r="Q105" t="str">
        <f>Nps</f>
        <v xml:space="preserve">4 </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9.2664383328005808</v>
      </c>
      <c r="C110" s="3" t="s">
        <v>833</v>
      </c>
      <c r="I110" s="25"/>
      <c r="K110" t="s">
        <v>884</v>
      </c>
      <c r="L110">
        <f>MAX('Calculations - Single'!BM316,'Calculations - Single'!BM210,'Calculations - Single'!BM105)</f>
        <v>1.1834419633477498</v>
      </c>
    </row>
    <row r="111" spans="1:17">
      <c r="A111" s="913" t="s">
        <v>846</v>
      </c>
      <c r="B111" s="623">
        <f>(Vout+Vfwd1)*Nps*toff_max/(0.02/RCS/1000)</f>
        <v>5.6400000000000006</v>
      </c>
      <c r="C111" s="3" t="s">
        <v>833</v>
      </c>
      <c r="I111" s="25"/>
      <c r="K111" t="s">
        <v>885</v>
      </c>
      <c r="L111">
        <f>MAX('Calculations - Dual'!BK316,'Calculations - Dual'!BK210,'Calculations - Dual'!BK105)</f>
        <v>1.1722214018017296</v>
      </c>
    </row>
    <row r="112" spans="1:17">
      <c r="A112" t="s">
        <v>837</v>
      </c>
      <c r="B112" s="623">
        <f>MIN(350000,('Calculations - Single'!CQ210*VIN_min)^2/(2*Pin*Lmag))</f>
        <v>146805.58837429117</v>
      </c>
      <c r="C112" s="3" t="s">
        <v>8</v>
      </c>
      <c r="D112" s="76" t="s">
        <v>845</v>
      </c>
      <c r="I112" s="25"/>
      <c r="K112" t="s">
        <v>886</v>
      </c>
      <c r="L112">
        <f>CHOOSE(MODE,L110,L111)</f>
        <v>1.1834419633477498</v>
      </c>
    </row>
    <row r="113" spans="1:12">
      <c r="A113" t="s">
        <v>838</v>
      </c>
      <c r="B113" s="623">
        <f>VIN_min/Lmag*'Calculations - Single'!CQ210/B112*1.2</f>
        <v>6.2638297872340409</v>
      </c>
      <c r="C113" s="3" t="s">
        <v>1</v>
      </c>
      <c r="I113" s="25"/>
    </row>
    <row r="114" spans="1:12">
      <c r="A114" t="s">
        <v>839</v>
      </c>
      <c r="B114" s="183">
        <f>0.1/B113</f>
        <v>1.5964673913043483E-2</v>
      </c>
      <c r="C114" s="113" t="s">
        <v>45</v>
      </c>
      <c r="D114" t="s">
        <v>841</v>
      </c>
      <c r="I114" s="25"/>
    </row>
    <row r="115" spans="1:12">
      <c r="A115" t="s">
        <v>840</v>
      </c>
      <c r="B115" s="183">
        <f>0.02*Lmag/((Vout+Vfwd1)*0.00000045*Nps)</f>
        <v>2.8368794326241138E-2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7.0438603945185356</v>
      </c>
      <c r="C117" s="29" t="s">
        <v>1</v>
      </c>
      <c r="D117" s="29"/>
      <c r="E117" s="29"/>
      <c r="F117" s="29"/>
      <c r="G117" s="29"/>
      <c r="H117" s="29"/>
      <c r="I117" s="30"/>
    </row>
    <row r="118" spans="1:12">
      <c r="A118" s="39" t="s">
        <v>774</v>
      </c>
      <c r="B118" s="727">
        <f>MIN(B114,B115)</f>
        <v>1.5964673913043483E-2</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40</v>
      </c>
      <c r="C125" s="111" t="s">
        <v>149</v>
      </c>
      <c r="D125" s="77" t="s">
        <v>594</v>
      </c>
      <c r="F125" s="7"/>
      <c r="G125" s="7"/>
      <c r="H125" s="7"/>
      <c r="I125" s="25"/>
      <c r="L125" s="5"/>
    </row>
    <row r="126" spans="1:12">
      <c r="A126" s="499" t="s">
        <v>12</v>
      </c>
      <c r="B126" s="192">
        <f>MAX(4.7, CHOOSE(MODE, 'Calculations - Single'!EE212, 'Calculations - Dual'!AW105))</f>
        <v>521.98581560283685</v>
      </c>
      <c r="C126" s="201" t="s">
        <v>97</v>
      </c>
      <c r="D126" s="77" t="s">
        <v>593</v>
      </c>
      <c r="E126" s="77"/>
      <c r="F126" s="7"/>
      <c r="G126" s="7"/>
      <c r="H126" s="7"/>
      <c r="I126" s="25"/>
    </row>
    <row r="127" spans="1:12" ht="12.5">
      <c r="A127" s="110" t="s">
        <v>14</v>
      </c>
      <c r="B127" s="591">
        <f>'Design Converter'!E34</f>
        <v>100</v>
      </c>
      <c r="C127" s="201" t="s">
        <v>97</v>
      </c>
      <c r="D127" s="77" t="s">
        <v>167</v>
      </c>
      <c r="F127" s="7"/>
      <c r="G127" s="7"/>
      <c r="H127" s="7"/>
      <c r="I127" s="25"/>
    </row>
    <row r="128" spans="1:12" ht="12.5">
      <c r="A128" s="200" t="s">
        <v>181</v>
      </c>
      <c r="B128" s="550">
        <f>(Vripple1_spec-Iout*B130/Cout*1000)/Iout</f>
        <v>-21.078984266459603</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2.7745650933126274</v>
      </c>
      <c r="C130" s="201" t="s">
        <v>247</v>
      </c>
      <c r="D130" s="77"/>
      <c r="F130" s="7"/>
      <c r="G130" s="7"/>
      <c r="H130" s="7"/>
      <c r="I130" s="25"/>
    </row>
    <row r="131" spans="1:9">
      <c r="A131" s="34" t="s">
        <v>437</v>
      </c>
      <c r="B131" s="588">
        <f>Iout*B130/Cout*1000+Iout*CoutEsr</f>
        <v>178.47390559875763</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180</v>
      </c>
      <c r="C135" s="111" t="s">
        <v>149</v>
      </c>
      <c r="D135" s="77" t="s">
        <v>597</v>
      </c>
      <c r="F135" s="7"/>
      <c r="G135" s="7"/>
      <c r="H135" s="7"/>
      <c r="I135" s="25"/>
    </row>
    <row r="136" spans="1:9">
      <c r="A136" s="499" t="s">
        <v>543</v>
      </c>
      <c r="B136" s="192">
        <f>MAX(4.7, 'Calculations - Dual'!AX105)</f>
        <v>4.7</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1701.6886785219567</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5.4071226812923765</v>
      </c>
      <c r="C140" s="201" t="s">
        <v>247</v>
      </c>
      <c r="D140" s="77"/>
      <c r="F140" s="7"/>
      <c r="G140" s="7"/>
      <c r="H140" s="445" t="s">
        <v>561</v>
      </c>
      <c r="I140" s="25"/>
    </row>
    <row r="141" spans="1:9">
      <c r="A141" s="34" t="s">
        <v>437</v>
      </c>
      <c r="B141" s="588">
        <f>Iout2*B140/Cout2*1000+Iout2*CoutEsr2</f>
        <v>10.631132147804323</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1.2000000000000002</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2.9273401403963728</v>
      </c>
      <c r="C150" s="201" t="s">
        <v>97</v>
      </c>
      <c r="E150" s="7"/>
      <c r="F150" s="7"/>
      <c r="G150" s="7"/>
      <c r="H150" s="7"/>
      <c r="I150" s="65"/>
    </row>
    <row r="151" spans="1:9" ht="12.5">
      <c r="A151" s="200" t="s">
        <v>180</v>
      </c>
      <c r="B151" s="597">
        <f>MAX(2.2,Cinmin)</f>
        <v>2.9273401403963728</v>
      </c>
      <c r="C151" s="201" t="s">
        <v>97</v>
      </c>
      <c r="E151" s="7"/>
      <c r="F151" s="7"/>
      <c r="G151" s="7"/>
      <c r="H151" s="7"/>
      <c r="I151" s="65"/>
    </row>
    <row r="152" spans="1:9" ht="12.5">
      <c r="A152" s="66" t="s">
        <v>28</v>
      </c>
      <c r="B152" s="553">
        <f>'Design Converter'!E30</f>
        <v>10</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0.15398626918615835</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1</v>
      </c>
      <c r="C157" s="77" t="s">
        <v>1</v>
      </c>
      <c r="D157" s="77"/>
      <c r="F157" s="7"/>
      <c r="G157" s="7"/>
      <c r="H157" s="7"/>
      <c r="I157" s="65"/>
    </row>
    <row r="158" spans="1:9" ht="12.5">
      <c r="A158" s="200" t="s">
        <v>445</v>
      </c>
      <c r="B158" s="426">
        <f>CHOOSE(MODE, 'Calculations - Single'!AJ105, 'Calculations - Dual'!$AI$105)</f>
        <v>5.5225727256971631</v>
      </c>
      <c r="C158" s="77" t="s">
        <v>1</v>
      </c>
      <c r="D158" s="77"/>
      <c r="F158" s="7"/>
      <c r="G158" s="7"/>
      <c r="H158" s="7"/>
      <c r="I158" s="65"/>
    </row>
    <row r="159" spans="1:9" ht="12.5">
      <c r="A159" s="200" t="s">
        <v>442</v>
      </c>
      <c r="B159" s="426">
        <f>CHOOSE(MODE, 'Calculations - Single'!AU105, 'Calculations - Dual'!$AT$105)</f>
        <v>3.4959962966066063</v>
      </c>
      <c r="C159" s="201" t="s">
        <v>247</v>
      </c>
      <c r="D159" s="77"/>
      <c r="F159" s="7"/>
      <c r="G159" s="7"/>
      <c r="H159" s="7"/>
      <c r="I159" s="65"/>
    </row>
    <row r="160" spans="1:9" ht="12.5">
      <c r="A160" s="200" t="s">
        <v>440</v>
      </c>
      <c r="B160" s="185">
        <f>B157*B159/Cin+B158*RCinEsr</f>
        <v>0.36616734783775207</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0.01</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5.0000000000000004E-8</v>
      </c>
      <c r="C166" s="7" t="s">
        <v>13</v>
      </c>
      <c r="D166" s="77" t="s">
        <v>308</v>
      </c>
      <c r="E166" s="7"/>
      <c r="F166" s="7"/>
      <c r="G166" s="7"/>
      <c r="H166" s="7"/>
      <c r="I166" s="25"/>
    </row>
    <row r="167" spans="1:9" thickBot="1">
      <c r="A167" s="28" t="s">
        <v>72</v>
      </c>
      <c r="B167" s="196">
        <f>'Standard Value Calculator'!B4</f>
        <v>4.6999999999999997E-8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12</v>
      </c>
      <c r="C178" s="111" t="s">
        <v>0</v>
      </c>
      <c r="E178" s="7"/>
      <c r="F178" s="7"/>
      <c r="G178" s="7"/>
      <c r="H178" s="7"/>
      <c r="I178" s="25"/>
    </row>
    <row r="179" spans="1:9" ht="12.75" customHeight="1">
      <c r="A179" s="110" t="s">
        <v>294</v>
      </c>
      <c r="B179" s="184">
        <f>'Design Converter'!E49</f>
        <v>11</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119.99999999999993</v>
      </c>
      <c r="C181" s="17" t="s">
        <v>113</v>
      </c>
      <c r="D181" s="7">
        <f>'Standard Value Calculator'!J16</f>
        <v>121</v>
      </c>
      <c r="E181" s="17" t="s">
        <v>113</v>
      </c>
      <c r="F181" s="37">
        <f>IF(Ruvlo1&lt;0,"N/A",D181)</f>
        <v>121</v>
      </c>
      <c r="G181" s="37" t="str">
        <f>IF(Ruvlo1&lt;0,"N/A",D181&amp;"kΩ")</f>
        <v>121kΩ</v>
      </c>
      <c r="I181" s="25"/>
    </row>
    <row r="182" spans="1:9" ht="12.75" customHeight="1">
      <c r="A182" s="110" t="s">
        <v>127</v>
      </c>
      <c r="B182" s="187">
        <f>D181*Vuvlo_on/(VINuvlo_on-Vuvlo_on+Ruvlo1*Iuvlo1)</f>
        <v>17.285714285714285</v>
      </c>
      <c r="C182" s="17" t="s">
        <v>113</v>
      </c>
      <c r="D182" s="7">
        <f>'Standard Value Calculator'!J17</f>
        <v>17.400000000000002</v>
      </c>
      <c r="E182" s="17" t="s">
        <v>113</v>
      </c>
      <c r="F182" s="37">
        <f>IF(F181="N/A","N/A",D182)</f>
        <v>17.400000000000002</v>
      </c>
      <c r="G182" s="37" t="str">
        <f>IF(G181="N/A","N/A",D182&amp;"kΩ")</f>
        <v>17.4kΩ</v>
      </c>
      <c r="I182" s="25"/>
    </row>
    <row r="183" spans="1:9" ht="12.75" customHeight="1">
      <c r="A183" s="110"/>
      <c r="B183" s="112"/>
      <c r="C183" s="17"/>
      <c r="D183" s="37"/>
      <c r="E183" s="17"/>
      <c r="F183" s="37"/>
      <c r="G183" s="37"/>
      <c r="I183" s="25"/>
    </row>
    <row r="184" spans="1:9" ht="12.75" customHeight="1">
      <c r="A184" s="110" t="s">
        <v>114</v>
      </c>
      <c r="B184" s="590">
        <f>(D181+D182)/D182*Vuvlo_on</f>
        <v>11.931034482758619</v>
      </c>
      <c r="C184" s="3" t="s">
        <v>0</v>
      </c>
      <c r="E184" s="7"/>
      <c r="F184" s="17"/>
      <c r="G184" s="7"/>
      <c r="H184" s="7"/>
      <c r="I184" s="25"/>
    </row>
    <row r="185" spans="1:9" ht="12.75" customHeight="1">
      <c r="A185" s="110" t="s">
        <v>115</v>
      </c>
      <c r="B185" s="590">
        <f>(D181+D182)/D182*Vuvlo_off-Iuvlo2*D181</f>
        <v>10.928333333333333</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188</v>
      </c>
      <c r="C193" s="17" t="s">
        <v>113</v>
      </c>
      <c r="D193" s="77" t="s">
        <v>520</v>
      </c>
      <c r="F193" s="7"/>
      <c r="G193" s="7"/>
      <c r="H193" s="7"/>
      <c r="I193" s="25">
        <v>1</v>
      </c>
    </row>
    <row r="194" spans="1:9">
      <c r="A194" s="34" t="s">
        <v>519</v>
      </c>
      <c r="B194" s="174">
        <f>Rfb/1000</f>
        <v>188</v>
      </c>
      <c r="C194" s="17" t="s">
        <v>113</v>
      </c>
      <c r="D194" s="77" t="s">
        <v>517</v>
      </c>
      <c r="F194" s="7"/>
      <c r="G194" s="7"/>
      <c r="H194" s="7"/>
      <c r="I194" s="25"/>
    </row>
    <row r="195" spans="1:9">
      <c r="A195" s="110" t="s">
        <v>53</v>
      </c>
      <c r="B195" s="36">
        <f>'Standard Value Calculator'!J10/1000</f>
        <v>187</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-1.875</v>
      </c>
      <c r="C197" s="111" t="s">
        <v>380</v>
      </c>
      <c r="D197" s="77"/>
      <c r="F197" s="7"/>
      <c r="G197" s="7"/>
      <c r="H197" s="7"/>
      <c r="I197" s="25"/>
    </row>
    <row r="198" spans="1:9" ht="15.5">
      <c r="A198" s="24" t="s">
        <v>516</v>
      </c>
      <c r="B198" s="371">
        <f>4*B194/Nps/ABS(Diode_TC)*1000</f>
        <v>100266.66666666667</v>
      </c>
      <c r="C198" s="17" t="s">
        <v>136</v>
      </c>
      <c r="D198" s="77"/>
      <c r="F198" s="7"/>
      <c r="G198" s="7"/>
      <c r="H198" s="7"/>
      <c r="I198" s="25"/>
    </row>
    <row r="199" spans="1:9">
      <c r="A199" s="12" t="s">
        <v>522</v>
      </c>
      <c r="B199" s="167">
        <f>'Standard Value Calculator'!J9/1000</f>
        <v>100</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121MΩ</v>
      </c>
      <c r="B228" s="7" t="str">
        <f>C269</f>
        <v>121kΩ</v>
      </c>
      <c r="C228" s="39"/>
      <c r="D228" s="7"/>
      <c r="E228" s="199"/>
      <c r="F228" s="199"/>
      <c r="G228" s="199"/>
      <c r="H228" s="199"/>
      <c r="I228" s="25"/>
    </row>
    <row r="229" spans="1:9">
      <c r="A229" s="24" t="str">
        <f>"RUV2 = "&amp;'Design Converter'!E51&amp;"kΩ"</f>
        <v>RUV2 = 17.4kΩ</v>
      </c>
      <c r="B229" s="7" t="str">
        <f>C270</f>
        <v>17.4kΩ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12µH</v>
      </c>
      <c r="B231" s="7" t="str">
        <f>'Design Converter'!L7&amp;"µH"</f>
        <v>12µH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4 : 1</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47nF</v>
      </c>
      <c r="B235" s="7" t="str">
        <f>ROUND(Css_u*1000000000,1)&amp;"nF"</f>
        <v>47nF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24V</v>
      </c>
      <c r="C237" s="39"/>
      <c r="D237" s="7"/>
      <c r="E237" s="7"/>
      <c r="F237" s="7"/>
      <c r="G237" s="7"/>
      <c r="H237" s="7"/>
      <c r="I237" s="25"/>
    </row>
    <row r="238" spans="1:9">
      <c r="A238" s="110" t="s">
        <v>187</v>
      </c>
      <c r="B238" s="7" t="str">
        <f>VIN_min&amp;"V..."&amp;VIN_max&amp;"V"</f>
        <v>18V...36V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4V</v>
      </c>
      <c r="B240" s="7" t="str">
        <f>'Design Converter'!E10&amp;"V"</f>
        <v>4V</v>
      </c>
      <c r="C240" s="39"/>
      <c r="D240" s="7">
        <f>MODE</f>
        <v>1</v>
      </c>
      <c r="E240" s="7"/>
      <c r="F240" s="7"/>
      <c r="G240" s="7"/>
      <c r="H240" s="7"/>
      <c r="I240" s="25"/>
    </row>
    <row r="241" spans="1:9">
      <c r="A241" s="24" t="str">
        <f>"VOUT2 = "&amp;'Design Converter'!E12&amp;"V"</f>
        <v>VOUT2 = 18V</v>
      </c>
      <c r="B241" s="7" t="str">
        <f>IF(MODE_TOP="DUAL", 'Design Converter'!E12&amp;"V", "")</f>
        <v/>
      </c>
      <c r="C241" s="39"/>
      <c r="D241" s="77" t="b">
        <f>MODE=2</f>
        <v>0</v>
      </c>
      <c r="E241" s="7"/>
      <c r="F241" s="7"/>
      <c r="G241" s="7"/>
      <c r="H241" s="7"/>
      <c r="I241" s="25"/>
    </row>
    <row r="242" spans="1:9">
      <c r="A242" s="24" t="str">
        <f>"VOUT2 = "&amp;'Design Converter'!E12&amp;"V"</f>
        <v>VOUT2 = 18V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100µF</v>
      </c>
      <c r="B245" s="7" t="str">
        <f>'Design Converter'!$E$34&amp;"µF"</f>
        <v>100µF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5 x</v>
      </c>
      <c r="C247" s="160"/>
      <c r="D247" s="7"/>
      <c r="E247" s="7"/>
      <c r="F247" s="7"/>
      <c r="G247" s="7"/>
      <c r="H247" s="7"/>
      <c r="I247" s="25"/>
    </row>
    <row r="248" spans="1:9">
      <c r="A248" s="110"/>
      <c r="B248" s="78">
        <f>Cout</f>
        <v>100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10µF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3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NO</v>
      </c>
      <c r="D256" s="7"/>
      <c r="E256" s="7"/>
      <c r="F256" s="7"/>
      <c r="G256" s="7"/>
      <c r="H256" s="7"/>
      <c r="I256" s="25"/>
    </row>
    <row r="257" spans="1:9">
      <c r="A257" s="110" t="s">
        <v>298</v>
      </c>
      <c r="B257" s="160" t="str">
        <f>IF(MODE_TC=2, "YES", "NO")</f>
        <v>YES</v>
      </c>
      <c r="C257" s="386" t="str">
        <f>IF(MODE_TC=2, "R1", "")</f>
        <v>R1</v>
      </c>
      <c r="D257" s="386" t="str">
        <f>IF(MODE_TC=2, "R2", "")</f>
        <v>R2</v>
      </c>
      <c r="E257" s="386"/>
      <c r="F257" s="7"/>
      <c r="G257" s="7"/>
      <c r="H257" s="7"/>
      <c r="I257" s="25"/>
    </row>
    <row r="258" spans="1:9" ht="12.5">
      <c r="A258" s="24" t="str">
        <f>"RFB = "&amp;'Design Converter'!E39&amp;"kΩ"</f>
        <v>RFB = 188kΩ</v>
      </c>
      <c r="B258" s="7" t="str">
        <f>IF(MODE_TC=1, "", 'Design Converter'!E39&amp;"kΩ")</f>
        <v>188kΩ</v>
      </c>
      <c r="C258" s="77" t="str">
        <f>'Design Converter'!E39&amp;"kΩ"</f>
        <v>188kΩ</v>
      </c>
      <c r="D258" s="7"/>
      <c r="E258" s="7"/>
      <c r="F258" s="7"/>
      <c r="G258" s="7"/>
      <c r="H258" s="7"/>
      <c r="I258" s="25"/>
    </row>
    <row r="259" spans="1:9" ht="12.5">
      <c r="A259" s="24" t="str">
        <f>"RFB2 = "&amp;IF(Vout=Vref,"OPEN",'Design Converter'!E40&amp;"kΩ")</f>
        <v>RFB2 = 188kΩ</v>
      </c>
      <c r="B259" s="7" t="str">
        <f>IF(MODE_TC=1, "", IF(Vout=Vref,"OPEN",Rfb2_u/1000&amp;"kΩ"))</f>
        <v>0.187kΩ</v>
      </c>
      <c r="C259" s="77" t="str">
        <f>'Design Converter'!E40&amp;"kΩ"</f>
        <v>188kΩ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
      </c>
      <c r="D264" s="7"/>
      <c r="E264" s="7"/>
      <c r="F264" s="7"/>
      <c r="G264" s="7"/>
      <c r="H264" s="7"/>
      <c r="I264" s="25"/>
    </row>
    <row r="265" spans="1:9" ht="12.5">
      <c r="A265" s="521" t="str">
        <f>"RTC = "&amp;RTC&amp;"kΩ"</f>
        <v>RTC = 100kΩ</v>
      </c>
      <c r="B265" s="7" t="str">
        <f>IF(TC=1, RTC&amp;"kΩ", "")</f>
        <v/>
      </c>
      <c r="C265" s="77" t="str">
        <f>CHOOSE(TC,"Rtc","")</f>
        <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121kΩ</v>
      </c>
      <c r="B269" s="7" t="str">
        <f>'Design Converter'!E50&amp;" kΩ"</f>
        <v>121 kΩ</v>
      </c>
      <c r="C269" s="386" t="str">
        <f>IF(MODE_UVLO=1,'Design Converter'!E50&amp;"kΩ", "")</f>
        <v>121kΩ</v>
      </c>
      <c r="F269" s="7">
        <f>IF(MODE_UVLO=1,'Design Converter'!E50, "")</f>
        <v>121</v>
      </c>
      <c r="G269" s="77" t="str">
        <f>IF(MODE_UVLO=1,"kΩ", "")</f>
        <v>kΩ</v>
      </c>
      <c r="H269" s="386" t="str">
        <f>IF(MODE_UVLO=1,'Design Converter'!E50&amp;"k", "")</f>
        <v>121k</v>
      </c>
      <c r="I269" s="25"/>
    </row>
    <row r="270" spans="1:9" ht="12.5">
      <c r="A270" s="24" t="str">
        <f>"RUV2 = "&amp;C270</f>
        <v>RUV2 = 17.4kΩ</v>
      </c>
      <c r="B270" s="7" t="str">
        <f>IF(D182&gt;=1000, D182/1000&amp;" MΩ", D182&amp;" kΩ")</f>
        <v>17.4 kΩ</v>
      </c>
      <c r="C270" s="386" t="str">
        <f>IF(MODE_UVLO=1, IF(D182&lt;1, D182*1000&amp;"Ω", IF(D182&lt;1000, D182&amp;"kΩ", D182/1000&amp;"MΩ")), "")</f>
        <v>17.4kΩ</v>
      </c>
      <c r="F270" s="7">
        <f>IF(MODE_UVLO=1, IF(D182&lt;1, D182*1000, IF(D182&lt;1000, D182, D182/1000)), "")</f>
        <v>17.400000000000002</v>
      </c>
      <c r="G270" s="77" t="str">
        <f>IF(MODE_UVLO=1, IF(D182&lt;1, "Ω", IF(D182&lt;1000,"kΩ", "MΩ")), "")</f>
        <v>kΩ</v>
      </c>
      <c r="H270" s="386" t="str">
        <f>IF(MODE_UVLO=1, IF(D182&lt;1, D182*1000, IF(D182&lt;1000, D182&amp;"k", D182/1000&amp;"M")), "")</f>
        <v>17.4k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50nF</v>
      </c>
      <c r="B276" s="7" t="str">
        <f>Css*1000000000&amp;"nF"</f>
        <v>50nF</v>
      </c>
      <c r="D276" s="7"/>
      <c r="E276" s="7"/>
      <c r="F276" s="7"/>
      <c r="G276" s="7"/>
      <c r="H276" s="7"/>
      <c r="I276" s="25"/>
    </row>
    <row r="277" spans="1:9" ht="12.5">
      <c r="A277" s="24" t="s">
        <v>66</v>
      </c>
      <c r="B277" s="7" t="str">
        <f>CHOOSE(MODE_SS,'Standard Value Calculator'!B4*1000000000&amp;"nF","")</f>
        <v/>
      </c>
      <c r="C277" s="7" t="str">
        <f>CHOOSE(MODE_SS,"Css","")</f>
        <v/>
      </c>
      <c r="D277" s="397" t="str">
        <f>B277</f>
        <v/>
      </c>
      <c r="E277" s="7"/>
      <c r="F277" s="7"/>
      <c r="G277" s="7"/>
      <c r="H277" s="7"/>
      <c r="I277" s="25"/>
    </row>
    <row r="278" spans="1:9">
      <c r="A278" s="24"/>
      <c r="B278" s="7"/>
      <c r="C278" s="77" t="str">
        <f>C277</f>
        <v/>
      </c>
      <c r="D278" s="39"/>
      <c r="E278" s="7"/>
      <c r="F278" s="7"/>
      <c r="G278" s="7"/>
      <c r="H278" s="7"/>
      <c r="I278" s="25"/>
    </row>
    <row r="279" spans="1:9">
      <c r="A279" s="24"/>
      <c r="B279" s="7"/>
      <c r="C279" s="77"/>
      <c r="D279" s="39"/>
      <c r="E279" s="7"/>
      <c r="F279" s="7"/>
      <c r="G279" s="7"/>
      <c r="H279" s="7"/>
      <c r="I279" s="25"/>
    </row>
    <row r="280" spans="1:9" ht="12.5">
      <c r="A280" s="110" t="s">
        <v>640</v>
      </c>
      <c r="B280" s="77">
        <f>ROUND(Iout*2,1)</f>
        <v>12</v>
      </c>
      <c r="C280" s="77" t="s">
        <v>1</v>
      </c>
      <c r="D280" s="7"/>
      <c r="E280" s="7"/>
      <c r="F280" s="7"/>
      <c r="G280" s="7"/>
      <c r="H280" s="7"/>
      <c r="I280" s="25"/>
    </row>
    <row r="281" spans="1:9" ht="12.5">
      <c r="A281" s="110" t="s">
        <v>641</v>
      </c>
      <c r="B281">
        <f>ROUND(VRRM_DIODE,0)</f>
        <v>13</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70.9%</v>
      </c>
      <c r="C286" s="7"/>
      <c r="D286" s="7"/>
      <c r="E286" s="7"/>
      <c r="F286" s="7"/>
      <c r="G286" s="7"/>
      <c r="H286" s="7"/>
      <c r="I286" s="25"/>
    </row>
    <row r="287" spans="1:9" ht="12.5">
      <c r="A287" s="110" t="s">
        <v>492</v>
      </c>
      <c r="B287" s="353" t="str">
        <f>ROUND('Calculations - Single'!$CB$55,1)&amp;"%"</f>
        <v>75%</v>
      </c>
      <c r="C287" s="7"/>
      <c r="D287" s="7"/>
      <c r="E287" s="7"/>
      <c r="F287" s="7"/>
      <c r="G287" s="7"/>
      <c r="H287" s="7"/>
      <c r="I287" s="25"/>
    </row>
    <row r="288" spans="1:9" ht="12.5">
      <c r="A288" s="110" t="s">
        <v>307</v>
      </c>
      <c r="B288" s="353" t="str">
        <f>ROUND('Calculations - Single'!$CB$15,1)&amp;"%"</f>
        <v>66.1%</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6A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6.7</v>
      </c>
      <c r="C309" s="3" t="s">
        <v>866</v>
      </c>
      <c r="D309" t="str">
        <f>B309&amp;"kΩ"</f>
        <v>6.7kΩ</v>
      </c>
    </row>
    <row r="310" spans="1:9">
      <c r="A310" t="s">
        <v>865</v>
      </c>
      <c r="B310">
        <f>'Design Converter'!$E$62</f>
        <v>4</v>
      </c>
      <c r="C310" s="3" t="s">
        <v>319</v>
      </c>
      <c r="D310" t="str">
        <f>B310&amp;"nF"</f>
        <v>4nF</v>
      </c>
    </row>
    <row r="311" spans="1:9">
      <c r="A311" t="s">
        <v>750</v>
      </c>
      <c r="B311">
        <f>'Design Converter'!$E$64</f>
        <v>100</v>
      </c>
      <c r="C311" s="3" t="s">
        <v>170</v>
      </c>
      <c r="D311" t="str">
        <f>B311&amp;"pF"</f>
        <v>100pF</v>
      </c>
    </row>
    <row r="313" spans="1:9">
      <c r="A313" t="s">
        <v>771</v>
      </c>
      <c r="B313">
        <f>RCS</f>
        <v>15</v>
      </c>
      <c r="C313" s="3" t="s">
        <v>867</v>
      </c>
      <c r="D313" t="str">
        <f>B313&amp;"mΩ"</f>
        <v>15mΩ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6.0000000000000001E-3</v>
      </c>
      <c r="J6" s="217"/>
      <c r="K6" s="217"/>
      <c r="L6" s="217"/>
      <c r="M6" s="217"/>
      <c r="N6" s="267"/>
      <c r="O6" s="172"/>
      <c r="P6" s="217"/>
      <c r="Q6" s="443"/>
      <c r="S6" s="268"/>
      <c r="T6" s="268"/>
      <c r="U6" s="268"/>
      <c r="AJ6" s="443"/>
      <c r="AY6" s="216">
        <f>Vout*I6</f>
        <v>2.4E-2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6</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0.06</v>
      </c>
      <c r="J7" s="217"/>
      <c r="K7" s="217"/>
      <c r="L7" s="217"/>
      <c r="M7" s="217"/>
      <c r="N7" s="267"/>
      <c r="O7" s="172"/>
      <c r="P7" s="217"/>
      <c r="Q7" s="443"/>
      <c r="S7" s="268"/>
      <c r="T7" s="268"/>
      <c r="U7" s="268"/>
      <c r="AJ7" s="443"/>
      <c r="AY7" s="216">
        <f>Vout*I7</f>
        <v>0.24</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60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0.12</v>
      </c>
      <c r="J8" s="217"/>
      <c r="K8" s="217"/>
      <c r="L8" s="217"/>
      <c r="M8" s="217"/>
      <c r="N8" s="267"/>
      <c r="O8" s="172"/>
      <c r="P8" s="217"/>
      <c r="Q8" s="443"/>
      <c r="S8" s="268"/>
      <c r="T8" s="268"/>
      <c r="U8" s="268"/>
      <c r="AJ8" s="443"/>
      <c r="AY8" s="216">
        <f>Vout*I8</f>
        <v>0.48</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120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4</v>
      </c>
      <c r="C9" s="275" t="s">
        <v>0</v>
      </c>
      <c r="D9" s="194">
        <f>B9</f>
        <v>4</v>
      </c>
      <c r="E9" s="188" t="s">
        <v>4</v>
      </c>
      <c r="F9" s="266"/>
      <c r="G9" s="266"/>
      <c r="H9" s="170">
        <v>3</v>
      </c>
      <c r="I9" s="456">
        <f t="shared" si="0"/>
        <v>0.18</v>
      </c>
      <c r="J9" s="217"/>
      <c r="K9" s="217"/>
      <c r="L9" s="217"/>
      <c r="M9" s="217"/>
      <c r="N9" s="267"/>
      <c r="O9" s="172"/>
      <c r="P9" s="217"/>
      <c r="Q9" s="443"/>
      <c r="S9" s="268"/>
      <c r="T9" s="268"/>
      <c r="U9" s="268"/>
      <c r="AJ9" s="443"/>
      <c r="AY9" s="216">
        <f>Vout*I9</f>
        <v>0.72</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180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6</v>
      </c>
      <c r="C10" s="275" t="s">
        <v>1</v>
      </c>
      <c r="D10" s="194">
        <f>B10</f>
        <v>6</v>
      </c>
      <c r="E10" s="277" t="s">
        <v>241</v>
      </c>
      <c r="F10" s="266"/>
      <c r="G10" s="266"/>
      <c r="H10" s="170">
        <v>4</v>
      </c>
      <c r="I10" s="456">
        <f t="shared" si="0"/>
        <v>0.24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2083.333333333333</v>
      </c>
      <c r="C11" s="278" t="s">
        <v>242</v>
      </c>
      <c r="D11" s="292">
        <f>B11*1000</f>
        <v>2083333.333333333</v>
      </c>
      <c r="E11" s="277"/>
      <c r="F11" s="266"/>
      <c r="G11" s="266"/>
      <c r="H11" s="170">
        <v>5</v>
      </c>
      <c r="I11" s="456">
        <f t="shared" si="0"/>
        <v>0.30000000000000004</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7</v>
      </c>
      <c r="H12" s="170">
        <v>6</v>
      </c>
      <c r="I12" s="456">
        <f t="shared" si="0"/>
        <v>0.36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0.42000000000000004</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0.48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0.54</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0.60000000000000009</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13.888888888888888</v>
      </c>
      <c r="C17" s="287" t="s">
        <v>247</v>
      </c>
      <c r="D17" s="288">
        <f>B17/1000000</f>
        <v>1.3888888888888888E-5</v>
      </c>
      <c r="E17" s="277" t="s">
        <v>248</v>
      </c>
      <c r="F17" s="266"/>
      <c r="G17" s="266"/>
      <c r="H17" s="170">
        <v>11</v>
      </c>
      <c r="I17" s="456">
        <f t="shared" si="0"/>
        <v>0.66</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0.72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22855.092592592591</v>
      </c>
      <c r="C19" s="277" t="s">
        <v>30</v>
      </c>
      <c r="D19" s="190">
        <f>B19/1000</f>
        <v>22.855092592592591</v>
      </c>
      <c r="E19" s="275" t="s">
        <v>252</v>
      </c>
      <c r="F19" s="266"/>
      <c r="G19" s="266"/>
      <c r="H19" s="170">
        <v>13</v>
      </c>
      <c r="I19" s="456">
        <f t="shared" si="0"/>
        <v>0.78</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0.84000000000000008</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0.89999999999999991</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0.96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1.02</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1.08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1.1400000000000001</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1.2000000000000002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1.26</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1.32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1.3800000000000001</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10</v>
      </c>
      <c r="C30" s="306" t="s">
        <v>97</v>
      </c>
      <c r="D30" s="307">
        <f>B30/1000000</f>
        <v>1.0000000000000001E-5</v>
      </c>
      <c r="E30" s="308" t="s">
        <v>60</v>
      </c>
      <c r="F30" s="266"/>
      <c r="G30" s="266"/>
      <c r="H30" s="170">
        <v>24</v>
      </c>
      <c r="I30" s="456">
        <f t="shared" si="0"/>
        <v>1.44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1.5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100</v>
      </c>
      <c r="C32" s="287" t="s">
        <v>97</v>
      </c>
      <c r="D32" s="288">
        <f>B32/1000000</f>
        <v>1E-4</v>
      </c>
      <c r="E32" s="277" t="s">
        <v>262</v>
      </c>
      <c r="F32" s="266"/>
      <c r="G32" s="266"/>
      <c r="H32" s="170">
        <v>26</v>
      </c>
      <c r="I32" s="456">
        <f t="shared" si="0"/>
        <v>1.56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1.62</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1.6800000000000002</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6.666666666666667</v>
      </c>
      <c r="C35" s="287" t="s">
        <v>1</v>
      </c>
      <c r="D35" s="269">
        <f>B35</f>
        <v>6.666666666666667</v>
      </c>
      <c r="E35" s="188" t="s">
        <v>398</v>
      </c>
      <c r="F35" s="266"/>
      <c r="G35" s="266"/>
      <c r="H35" s="170">
        <v>29</v>
      </c>
      <c r="I35" s="456">
        <f t="shared" si="0"/>
        <v>1.7399999999999998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1.3333333333333335</v>
      </c>
      <c r="C36" s="287" t="s">
        <v>1</v>
      </c>
      <c r="D36" s="269">
        <f>B36</f>
        <v>1.3333333333333335</v>
      </c>
      <c r="E36" s="188" t="s">
        <v>408</v>
      </c>
      <c r="F36" s="266"/>
      <c r="G36" s="266"/>
      <c r="H36" s="170">
        <v>30</v>
      </c>
      <c r="I36" s="456">
        <f t="shared" si="0"/>
        <v>1.7999999999999998</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1.8599999999999999</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1.92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1.98</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2.04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12.2</v>
      </c>
      <c r="C41" s="278" t="s">
        <v>258</v>
      </c>
      <c r="D41" s="171">
        <f>B41/1000</f>
        <v>1.2199999999999999E-2</v>
      </c>
      <c r="E41" s="277" t="s">
        <v>396</v>
      </c>
      <c r="H41" s="170">
        <v>35</v>
      </c>
      <c r="I41" s="456">
        <f t="shared" si="2"/>
        <v>2.0999999999999996</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2.16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2.2199999999999998</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2.2800000000000002</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2.34</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2.4000000000000004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2.46</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0.7</v>
      </c>
      <c r="C48" s="275" t="s">
        <v>0</v>
      </c>
      <c r="D48" s="171">
        <f>B48</f>
        <v>0.7</v>
      </c>
      <c r="E48" s="277" t="s">
        <v>643</v>
      </c>
      <c r="H48" s="170">
        <v>42</v>
      </c>
      <c r="I48" s="456">
        <f t="shared" si="2"/>
        <v>2.52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2.58</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2.64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2.7</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2.7600000000000002</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2.82</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2.88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2.94</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3</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3.06</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3.12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3.18</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3.24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3.3000000000000003</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3.3600000000000003</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3.42</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3000</v>
      </c>
      <c r="H64" s="170">
        <v>58</v>
      </c>
      <c r="I64" s="456">
        <f t="shared" si="2"/>
        <v>3.4799999999999995</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4500</v>
      </c>
      <c r="H65" s="170">
        <v>59</v>
      </c>
      <c r="I65" s="456">
        <f t="shared" si="2"/>
        <v>3.54</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6000</v>
      </c>
      <c r="H66" s="170">
        <v>60</v>
      </c>
      <c r="I66" s="456">
        <f t="shared" si="2"/>
        <v>3.5999999999999996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3.66</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3.7199999999999998</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3.7800000000000002</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3.84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3.9000000000000004</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3.96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4.0200000000000005</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4.08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4.1399999999999997</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4.1999999999999993</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4.26</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4.32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4.38</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4.4399999999999995</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4.5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4.5600000000000005</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4.62</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4.68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4.74</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4.8000000000000007</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4.8600000000000003</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4.92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3000</v>
      </c>
      <c r="H89" s="170">
        <v>83</v>
      </c>
      <c r="I89" s="456">
        <f t="shared" si="3"/>
        <v>4.9799999999999995</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4500</v>
      </c>
      <c r="H90" s="170">
        <v>84</v>
      </c>
      <c r="I90" s="456">
        <f t="shared" si="3"/>
        <v>5.04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6000</v>
      </c>
      <c r="H91" s="170">
        <v>85</v>
      </c>
      <c r="I91" s="456">
        <f t="shared" si="3"/>
        <v>5.0999999999999996</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5.16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5.22</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5.28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5.34</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5.4</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5.46</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5.5200000000000005</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5.58</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5.64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5.6999999999999993</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5.76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5.82</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5.88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5.9399999999999995</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6</v>
      </c>
      <c r="J106" s="217"/>
      <c r="K106" s="217"/>
      <c r="L106" s="217"/>
      <c r="M106" s="217"/>
      <c r="N106" s="267"/>
      <c r="O106" s="172"/>
      <c r="P106" s="217"/>
      <c r="Q106" s="443"/>
      <c r="S106" s="268"/>
      <c r="T106" s="268"/>
      <c r="U106" s="268"/>
      <c r="AJ106" s="443"/>
      <c r="AY106" s="216">
        <f>Vout*I106</f>
        <v>24</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6000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6</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13.304684934198283</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U216" sqref="U216:U316"/>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0.7</v>
      </c>
      <c r="U2">
        <f>Isw_max</f>
        <v>6.666666666666667</v>
      </c>
      <c r="CQ2">
        <f>Vfwd1</f>
        <v>0.7</v>
      </c>
      <c r="CY2">
        <f>Isw_max</f>
        <v>6.666666666666667</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4.0000000000000002E-9</v>
      </c>
      <c r="I5" s="541">
        <f t="shared" ref="I5:I36" si="1">Vin-F5*(Rdcr_pri+RON/1000)/CG5/Nps</f>
        <v>23.999995026682306</v>
      </c>
      <c r="J5" s="172">
        <f t="shared" ref="J5:J36" si="2">(T5+Vfwd1+F5/CG5*Rdcr_sec)*Nps</f>
        <v>18.800056568542495</v>
      </c>
      <c r="K5" s="172">
        <f t="shared" ref="K5:K36" si="3">(Vout+Vfwd1+F5/CG5*Rdcr_sec)*Nps+VIN_nom</f>
        <v>42.800056568542495</v>
      </c>
      <c r="L5" s="443"/>
      <c r="M5" s="217">
        <f t="shared" ref="M5:M36" si="4">(Vout+Vfwd1+F5/FL5*Rdcr_sec)*Nps/((Vout+Vfwd1+F5/FL5*Rdcr_sec)*Nps+I5)</f>
        <v>0.43925319086189024</v>
      </c>
      <c r="N5" s="172">
        <f t="shared" ref="N5:N36" si="5">M5*I5*(Isw_max+VIN_nom/Lmag*ILIM_delay)*0.5*Efficiency</f>
        <v>35.456510219016522</v>
      </c>
      <c r="O5" s="172">
        <f>T5*F5</f>
        <v>4.0000000000000002E-9</v>
      </c>
      <c r="P5" s="217">
        <f t="shared" ref="P5:P36" si="6">N5/Vout</f>
        <v>8.8641275547541305</v>
      </c>
      <c r="Q5" s="217">
        <f t="shared" ref="Q5:Q36" si="7">MIN(Vout,N5/F5)</f>
        <v>4</v>
      </c>
      <c r="R5" s="217">
        <f t="shared" ref="R5:R36" si="8">Isw_max/2*I5*Nps*(Q5+Vfwd1+F5/FL5*Rdcr_sec)/Q5/(I5+Nps*(Q5+Vfwd1+F5/FL5*Rdcr_sec))</f>
        <v>8.7850619967830834</v>
      </c>
      <c r="S5" s="172">
        <f t="shared" ref="S5:S36" si="9">(SQRT(Isw_max^2*Nps^2*I5^2+4*Isw_max*F5/Efficiency*(Nps^2*Vfwd1*I5-Nps*I5^2)+4*(F5/Efficiency)^2*Nps^2*Vfwd1^2+8*(F5/Efficiency)^2*Nps*Vfwd1*I5+4*(F5/Efficiency)^2*I5^2)-2*F5/Efficiency*I5-2*F5/Efficiency*Nps*Vfwd1+Isw_max*Nps*I5)/(4*F5/Efficiency*Nps)</f>
        <v>79999983416.274353</v>
      </c>
      <c r="T5" s="172">
        <f t="shared" ref="T5:T36" si="10">MIN(Vout, S5)</f>
        <v>4</v>
      </c>
      <c r="U5" s="217">
        <f>MIN(2*(Vout+Vfwd1+F5/FL5*Rdcr_sec)*F5/(I5*M5), Isw_max)</f>
        <v>8.9166802530453965E-10</v>
      </c>
      <c r="V5" s="217">
        <f t="shared" ref="V5:V68" si="11">L*U5/I5*1000000</f>
        <v>4.4583410503871328E-10</v>
      </c>
      <c r="W5" s="217">
        <f t="shared" ref="W5:W36" si="12">L*U5/J5*1000000</f>
        <v>5.691480908391763E-10</v>
      </c>
      <c r="X5" s="197">
        <f t="shared" ref="X5:X36" si="13">IF(1/((350000*L)*(1/I5+1/J5))&gt;Isw_min, 350, 0.001/((Isw_min*L)*(1/I5+1/J5)))</f>
        <v>350</v>
      </c>
      <c r="Y5" s="443">
        <f t="shared" ref="Y5:Y68" si="14">MIN(1/(V5+W5+0.2)*1000, 350)</f>
        <v>350</v>
      </c>
      <c r="AA5" s="217">
        <f t="shared" ref="AA5:AA36" si="15">1/((X5*1000*L)*(1/I5+1/J5))</f>
        <v>2.5100173577311118</v>
      </c>
      <c r="AB5" s="173">
        <f t="shared" ref="AB5:AB36" si="16">L*AA5/J5*1000000</f>
        <v>1.6021339182123782</v>
      </c>
      <c r="AC5" s="173">
        <f t="shared" ref="AC5:AC36" si="17">0.5*AB5*AA5*Nps*X5/1000</f>
        <v>2.8149687608859786</v>
      </c>
      <c r="AD5" s="173"/>
      <c r="AE5" s="173">
        <f t="shared" ref="AE5:AE36" si="18">L*Isw_min/J5*1000000</f>
        <v>0.85106126897364065</v>
      </c>
      <c r="AF5" s="545">
        <f>MAX(12, F5/(0.5*AE5/1000000*Isw_min*Nps)/1000)</f>
        <v>12</v>
      </c>
      <c r="AG5" s="528">
        <f t="shared" ref="AG5:AG36" si="19">0.5*AE5/1000000*Isw_min*Nps*X5*1000</f>
        <v>0.79432385104206471</v>
      </c>
      <c r="AI5" s="173">
        <f t="shared" ref="AI5:AI36" si="20">SQRT(F5/Efficiency/(0.5*L/J5*Fsw_DCM*Nps))</f>
        <v>4.7308582439611686E-5</v>
      </c>
      <c r="AJ5" s="173">
        <f t="shared" ref="AJ5:AJ36" si="21">MAX(IF(F5&gt;AC5,U5,AI5),Isw_min)</f>
        <v>1.3333333333333335</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0.6666668048144091</v>
      </c>
      <c r="AU5" s="5">
        <f>AS5-AT5</f>
        <v>82.666666528518917</v>
      </c>
      <c r="AV5" s="5">
        <f t="shared" ref="AV5:AV36" si="28">L*AJ5/J5*1000000</f>
        <v>0.85106126897364065</v>
      </c>
      <c r="AW5" s="173">
        <f>AT5/AS5</f>
        <v>8.0000016577729104E-3</v>
      </c>
      <c r="AX5" s="173">
        <f t="shared" ref="AX5:AX36" si="29">0.5*L*AJ5^2*AN5*1000</f>
        <v>0.12800000000000003</v>
      </c>
      <c r="AY5" s="173">
        <f t="shared" ref="AY5:AY36" si="30">AJ5*Nps/2*(1-AW5)</f>
        <v>2.645333328912606</v>
      </c>
      <c r="AZ5" s="173">
        <f>AX5/AY5</f>
        <v>4.8387096855055267E-2</v>
      </c>
      <c r="BA5" s="460">
        <f t="shared" ref="BA5:BA36" si="31">F5*AT5/Vout_ripple*1000</f>
        <v>1.6666670120360229E-8</v>
      </c>
      <c r="BB5" s="5">
        <f t="shared" ref="BB5:BB36" si="32">H5/Efficiency/I5*AU5/Vinripple1</f>
        <v>1.1481483841505408E-8</v>
      </c>
      <c r="BC5" s="5"/>
      <c r="BD5" s="173">
        <f>AJ5*SQRT(AW5/3)</f>
        <v>6.885304439982802E-2</v>
      </c>
      <c r="BE5" s="173">
        <f t="shared" ref="BE5:BE36" si="33">AJ5*Nps*SQRT((1-AW5)/3)</f>
        <v>3.0668598947313339</v>
      </c>
      <c r="BF5" s="173"/>
      <c r="BG5" s="528">
        <f t="shared" ref="BG5:BG36" si="34">Rdson*BD5^2</f>
        <v>5.783704902212119E-5</v>
      </c>
      <c r="BH5" s="528">
        <f t="shared" ref="BH5:BH36" si="35">0.5*K5*AJ5*AN5*1000*Tfall</f>
        <v>1.2840016970562751E-2</v>
      </c>
      <c r="BI5" s="528">
        <f t="shared" ref="BI5:BI36" si="36">Qg*Vdd*AN5*1000*0+Qg*I5*AN5*1000</f>
        <v>7.1999985080046913E-3</v>
      </c>
      <c r="BJ5" s="528">
        <f t="shared" ref="BJ5:BJ36" si="37">0.5*(Coss+Csw)*K5^2*AN5*1000</f>
        <v>2.1982138107245254E-3</v>
      </c>
      <c r="BK5">
        <f t="shared" ref="BK5:BK36" si="38">I5*IQ</f>
        <v>1.0799997762007038E-2</v>
      </c>
      <c r="BL5" s="460">
        <f>(BK5+BI5)*1000</f>
        <v>17.999996270011728</v>
      </c>
      <c r="BM5" s="528">
        <f t="shared" ref="BM5:BM36" si="39">(BH5+BI5*0+BJ5+BK5*0+BG5*(1+RdsonTC*(Ta-25)))/(1-BG5*RdsonTC*ThetaJA)</f>
        <v>1.5111891502410379E-2</v>
      </c>
      <c r="BN5" s="460">
        <f>BM5*1000</f>
        <v>15.11189150241038</v>
      </c>
      <c r="BO5" s="528">
        <f>Vfwd2*F5*(1+Diode_TC/1000*(Ta-25))</f>
        <v>6.212499999999999E-10</v>
      </c>
      <c r="BP5" s="528"/>
      <c r="BR5" s="460">
        <f>SUM(BO5:BQ5)*1000</f>
        <v>6.2124999999999988E-7</v>
      </c>
      <c r="BS5" s="528">
        <f t="shared" ref="BS5:BS36" si="40">Rdcr_pri*BD5^2</f>
        <v>1.4222225169374065E-4</v>
      </c>
      <c r="BT5" s="528">
        <f t="shared" ref="BT5:BT36" si="41">Rdcr_sec*BE5^2</f>
        <v>0.28216888841734461</v>
      </c>
      <c r="BU5" s="528">
        <f t="shared" ref="BU5:BU36" si="42">AJ5^2.5*AN5^2.5*k_core*0+BZ5*0.015</f>
        <v>6E-11</v>
      </c>
      <c r="BV5" s="528">
        <f t="shared" ref="BV5:BV36" si="43">(BU5+(BS5+BT5)*(1+Ltc*(Ta-25)))/(1-(BS5+BT5)*Ltc*ThetaCa)</f>
        <v>0.35815466048912575</v>
      </c>
      <c r="BW5" s="528">
        <f t="shared" ref="BW5:BW36" si="44">0.5*Lleak*0.000000001*AJ5^2*AN5*1000</f>
        <v>5.3333333333333347E-4</v>
      </c>
      <c r="BX5" s="460">
        <f>1000*(BV5+BW5)</f>
        <v>358.68799382245908</v>
      </c>
      <c r="BY5" s="173">
        <f t="shared" ref="BY5:BY68" si="45">SUM(BM5,BO5:BQ5,BV5, BW5)+BK5+BI5</f>
        <v>0.39179988221613116</v>
      </c>
      <c r="BZ5" s="5">
        <f>MIN(H5,O5)</f>
        <v>4.0000000000000002E-9</v>
      </c>
      <c r="CA5" s="173">
        <f>BZ5/(BZ5+BY5)</f>
        <v>1.02092934192264E-8</v>
      </c>
      <c r="CB5" s="5">
        <f>CA5*100</f>
        <v>1.02092934192264E-6</v>
      </c>
      <c r="CE5" s="562">
        <f t="shared" ref="CE5:CE36" si="46">IF(ABS(F5-Ioutmax_Vinnom)&lt;Iout/200, AN5, -50)</f>
        <v>-50</v>
      </c>
      <c r="CF5">
        <f t="shared" ref="CF5:CF36" si="47">IF(ABS(F5-Ioutmax_Vinnom)&lt;Iout/200, N5*CA5, -50)</f>
        <v>-50</v>
      </c>
      <c r="CG5" s="173">
        <f t="shared" ref="CG5:CG36" si="48">MIN(SQRT(2*DU5*1000*Ls1_*CL5)/CU5,1-EA5-0.00000005*DU5*1000)</f>
        <v>2.1213203435596428E-6</v>
      </c>
      <c r="CI5" s="170">
        <v>0.1</v>
      </c>
      <c r="CJ5" s="217">
        <v>1.0000000000000001E-9</v>
      </c>
      <c r="CK5" s="217"/>
      <c r="CL5" s="217">
        <f t="shared" ref="CL5:CL68" si="49">CJ5*Vout</f>
        <v>4.0000000000000002E-9</v>
      </c>
      <c r="CM5" s="541">
        <f t="shared" ref="CM5:CM68" si="50">Vin</f>
        <v>24</v>
      </c>
      <c r="CN5" s="172">
        <f t="shared" ref="CN5:CN68" si="51">(CX5+Vfwd1)*Nps</f>
        <v>18.8</v>
      </c>
      <c r="CO5" s="443">
        <f t="shared" ref="CO5:CO68" si="52">(Vout+Vfwd1)*Nps+CM5</f>
        <v>42.8</v>
      </c>
      <c r="CP5" s="443"/>
      <c r="CQ5" s="217">
        <f t="shared" ref="CQ5:CQ68" si="53">(Vout+Vfwd1)*Nps/((Vout+Vfwd1)*Nps+CM5)</f>
        <v>0.43925233644859818</v>
      </c>
      <c r="CR5" s="172">
        <f t="shared" ref="CR5:CR68" si="54">CQ5*CM5*(Isw_max+VIN_nom/Lmag*ILIM_delay)*0.5*Efficiency</f>
        <v>35.456448598130848</v>
      </c>
      <c r="CS5" s="172">
        <f>CX5*CJ5</f>
        <v>4.0000000000000002E-9</v>
      </c>
      <c r="CT5" s="217">
        <f t="shared" ref="CT5:CT68" si="55">CR5/Vout</f>
        <v>8.864112149532712</v>
      </c>
      <c r="CU5" s="217">
        <f t="shared" ref="CU5:CU68" si="56">MIN(Vout,CR5/CJ5)</f>
        <v>4</v>
      </c>
      <c r="CV5" s="217">
        <f t="shared" ref="CV5:CV68" si="57">Isw_max/2*CM5*Nps*(CU5+Vfwd1)/CU5/(CM5+Nps*(CU5+Vfwd1))</f>
        <v>8.7850467289719631</v>
      </c>
      <c r="CW5" s="172">
        <f t="shared" ref="CW5:CW68" si="58">(SQRT(Isw_max^2*Nps^2*CM5^2+4*Isw_max*CJ5/Efficiency*(Nps^2*Vfwd1*CM5-Nps*CM5^2)+4*(CJ5/Efficiency)^2*Nps^2*Vfwd1^2+8*(CJ5/Efficiency)^2*Nps*Vfwd1*CM5+4*(CJ5/Efficiency)^2*CM5^2)-2*CJ5/Efficiency*CM5-2*CJ5/Efficiency*Nps*Vfwd1+Isw_max*Nps*CM5)/(4*CJ5/Efficiency*Nps)</f>
        <v>79999999994</v>
      </c>
      <c r="CX5" s="172">
        <f t="shared" ref="CX5:CX68" si="59">MIN(Vout, CW5)</f>
        <v>4</v>
      </c>
      <c r="CY5" s="217">
        <f t="shared" ref="CY5:CY68" si="60">MIN(2*Vout*CJ5/(CM5*CQ5), Isw_max)</f>
        <v>7.5886524822695027E-10</v>
      </c>
      <c r="CZ5" s="217">
        <f t="shared" ref="CZ5:CZ68" si="61">L*CY5/CM5*1000000</f>
        <v>3.7943262411347519E-10</v>
      </c>
      <c r="DA5" s="217">
        <f t="shared" ref="DA5:DA68" si="62">L*CY5/CN5*1000000</f>
        <v>4.8438207333635127E-10</v>
      </c>
      <c r="DB5" s="197">
        <f t="shared" ref="DB5:DB68" si="63">IF(1/((350000*L)*(1/CM5+1/CN5))&gt;Isw_min, 350, 0.001/((Isw_min*L)*(1/CM5+1/CN5)))</f>
        <v>350</v>
      </c>
      <c r="DC5" s="443">
        <f>MIN(1/(CZ5+DA5)*1000, 350)</f>
        <v>350</v>
      </c>
      <c r="DE5" s="217">
        <f t="shared" ref="DE5:DE68" si="64">1/((DB5*1000*L)*(1/CM5+1/CN5))</f>
        <v>2.5100133511348464</v>
      </c>
      <c r="DF5" s="173">
        <f t="shared" ref="DF5:DF68" si="65">L*DE5/CN5*1000000</f>
        <v>1.6021361815754336</v>
      </c>
      <c r="DG5" s="173">
        <f t="shared" ref="DG5:DG68" si="66">0.5*DF5*DE5*Nps*DB5/1000</f>
        <v>2.8149682442633783</v>
      </c>
      <c r="DH5" s="173"/>
      <c r="DI5" s="173">
        <f t="shared" ref="DI5:DI68" si="67">L*Isw_min/CN5*1000000</f>
        <v>0.85106382978723416</v>
      </c>
      <c r="DJ5" s="545">
        <f>MAX(12, CJ5/(0.5*DI5/1000000*Isw_min*Nps)/1000)</f>
        <v>12</v>
      </c>
      <c r="DK5" s="528">
        <f t="shared" ref="DK5:DK68" si="68">0.5*DI5/1000000*Isw_min*Nps*DB5*1000</f>
        <v>0.79432624113475192</v>
      </c>
      <c r="DM5" s="173">
        <f t="shared" ref="DM5:DM68" si="69">SQRT(CJ5/Efficiency/(0.5*L/CN5*Fsw_DCM*Nps))</f>
        <v>4.7308511264837305E-5</v>
      </c>
      <c r="DN5" s="173">
        <f t="shared" ref="DN5:DN68" si="70">MAX(IF(CJ5&gt;DG5,CY5,DM5),Isw_min)</f>
        <v>1.3333333333333335</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0.66666666666666685</v>
      </c>
      <c r="DY5" s="5">
        <f>DW5-DX5</f>
        <v>82.666666666666657</v>
      </c>
      <c r="DZ5" s="5">
        <f t="shared" ref="DZ5:DZ68" si="77">L*DN5/CN5*1000000</f>
        <v>0.85106382978723416</v>
      </c>
      <c r="EA5" s="173">
        <f>DX5/DW5</f>
        <v>8.0000000000000019E-3</v>
      </c>
      <c r="EB5" s="173">
        <f t="shared" ref="EB5:EB68" si="78">0.5*L*DN5^2*DR5*1000</f>
        <v>0.12800000000000003</v>
      </c>
      <c r="EC5" s="173">
        <f t="shared" ref="EC5:EC68" si="79">DN5*Nps/2*(1-EA5)</f>
        <v>2.6453333333333338</v>
      </c>
      <c r="ED5" s="173">
        <f>EB5/EC5</f>
        <v>4.8387096774193554E-2</v>
      </c>
      <c r="EE5" s="460">
        <f t="shared" ref="EE5:EE68" si="80">CJ5*DX5/Vout_ripple*1000</f>
        <v>1.666666666666667E-8</v>
      </c>
      <c r="EF5" s="5">
        <f t="shared" ref="EF5:EF68" si="81">CL5/Efficiency/CM5*DY5/Vinripple1</f>
        <v>1.1481481481481479E-8</v>
      </c>
      <c r="EG5" s="5"/>
      <c r="EH5" s="173">
        <f>DN5*SQRT(EA5/3)</f>
        <v>6.8853037265909647E-2</v>
      </c>
      <c r="EI5" s="173">
        <f t="shared" ref="EI5:EI68" si="82">DN5*Nps*SQRT((1-EA5)/3)</f>
        <v>3.0668598972939134</v>
      </c>
      <c r="EJ5" s="173"/>
      <c r="EK5" s="528">
        <f t="shared" ref="EK5:EK68" si="83">Rdson*EH5^2</f>
        <v>5.7837037037037054E-5</v>
      </c>
      <c r="EL5" s="528">
        <f t="shared" ref="EL5:EL68" si="84">0.5*CO5*DN5*DR5*1000*Trise</f>
        <v>1.3696000000000003E-2</v>
      </c>
      <c r="EM5" s="528">
        <f t="shared" ref="EM5:EM68" si="85">Qg*Vdd*DR5*1000</f>
        <v>1.5E-3</v>
      </c>
      <c r="EN5" s="528">
        <f t="shared" ref="EN5:EN68" si="86">0.5*(Coss+Csw)*CO5^2*DR5*1000</f>
        <v>2.1982079999999997E-3</v>
      </c>
      <c r="EO5">
        <f t="shared" ref="EO5:EO68" si="87">CM5*IQ</f>
        <v>1.0800000000000001E-2</v>
      </c>
      <c r="EP5" s="460">
        <f>(EO5+EM5)*1000</f>
        <v>12.3</v>
      </c>
      <c r="EQ5" s="528">
        <f t="shared" ref="EQ5:EQ68" si="88">(EL5+EM5+EN5+EO5+EK5*(1+RdsonTC*(Ta-25)))/(1-EK5*RdsonTC*ThetaJA)</f>
        <v>2.8268049498834699E-2</v>
      </c>
      <c r="ER5" s="460">
        <f>EQ5*1000</f>
        <v>28.268049498834699</v>
      </c>
      <c r="ES5" s="528">
        <f>Vfwd2*CJ5*(1+Diode_TC/1000*(Ta-25))</f>
        <v>6.212499999999999E-10</v>
      </c>
      <c r="ET5" s="528"/>
      <c r="EV5" s="460">
        <f>SUM(ES5:EU5)*1000</f>
        <v>6.2124999999999988E-7</v>
      </c>
      <c r="EW5" s="528">
        <f t="shared" ref="EW5:EW68" si="89">Rdcr_pri*EH5^2</f>
        <v>1.4222222222222227E-4</v>
      </c>
      <c r="EX5" s="528">
        <f t="shared" ref="EX5:EX68" si="90">Rdcr_sec*EI5^2</f>
        <v>0.28216888888888897</v>
      </c>
      <c r="EY5" s="528">
        <f t="shared" ref="EY5:EY68" si="91">DN5^2.5*DR5^2.5*k_core</f>
        <v>5.1199999999999998E-5</v>
      </c>
      <c r="EZ5" s="528">
        <f t="shared" ref="EZ5:EZ68" si="92">(EY5+(EW5+EX5)*(1+Ltc*(Ta-25)))/(1-(EW5+EX5)*Ltc*ThetaCa)</f>
        <v>0.35820704406725407</v>
      </c>
      <c r="FA5" s="528">
        <f t="shared" ref="FA5:FA68" si="93">0.5*Lleak*0.000000001*DN5^2*DR5*1000</f>
        <v>5.3333333333333347E-4</v>
      </c>
      <c r="FB5" s="460">
        <f>1000*(EZ5+FA5)</f>
        <v>358.74037740058742</v>
      </c>
      <c r="FC5" s="173">
        <f>SUM(EQ5,ES5:EU5,EZ5, FA5)</f>
        <v>0.3870084275206721</v>
      </c>
      <c r="FD5" s="5">
        <f>MIN(CL5,CS5)</f>
        <v>4.0000000000000002E-9</v>
      </c>
      <c r="FE5" s="173">
        <f>FD5/(FD5+FC5)</f>
        <v>1.0335692130227762E-8</v>
      </c>
      <c r="FF5" s="5">
        <f>FE5*100</f>
        <v>1.0335692130227763E-6</v>
      </c>
      <c r="FI5" s="562">
        <f t="shared" ref="FI5:FI68" si="94">IF(ABS(CJ5-Ioutmax_Vinnom)&lt;Iout/200, DR5, -50)</f>
        <v>-50</v>
      </c>
      <c r="FJ5">
        <f t="shared" ref="FJ5:FJ68" si="95">IF(ABS(CJ5-Ioutmax_Vinnom)&lt;Iout/200, CR5*FE5, -50)</f>
        <v>-50</v>
      </c>
      <c r="FL5">
        <f t="shared" ref="FL5:FL36" si="96">MIN(SQRT(2*L*DR5*1000*CJ5*(CX5+Vfwd1))/(Nps*(CX5+Vfwd1)), 1-EA5)</f>
        <v>1.9569842191603265E-6</v>
      </c>
    </row>
    <row r="6" spans="2:168">
      <c r="E6" s="170">
        <v>1</v>
      </c>
      <c r="F6" s="217">
        <f t="shared" ref="F6:F37" si="97">IF(PLOT_TYPE=1, E6/100*Iout_max, min_I*EXP(N6*rr/100))</f>
        <v>0.06</v>
      </c>
      <c r="G6" s="217"/>
      <c r="H6" s="217">
        <f t="shared" si="0"/>
        <v>0.24</v>
      </c>
      <c r="I6" s="541">
        <f t="shared" si="1"/>
        <v>23.974046122014119</v>
      </c>
      <c r="J6" s="172">
        <f t="shared" si="2"/>
        <v>19.095209986569245</v>
      </c>
      <c r="K6" s="172">
        <f t="shared" si="3"/>
        <v>43.095209986569245</v>
      </c>
      <c r="L6" s="443"/>
      <c r="M6" s="217">
        <f t="shared" si="4"/>
        <v>0.44368078007492451</v>
      </c>
      <c r="N6" s="172">
        <f t="shared" si="5"/>
        <v>35.775182987773832</v>
      </c>
      <c r="O6" s="172">
        <f t="shared" ref="O6:O69" si="98">T6*F6</f>
        <v>0.24</v>
      </c>
      <c r="P6" s="217">
        <f t="shared" si="6"/>
        <v>8.9437957469434579</v>
      </c>
      <c r="Q6" s="217">
        <f t="shared" si="7"/>
        <v>4</v>
      </c>
      <c r="R6" s="217">
        <f t="shared" si="8"/>
        <v>8.8640195708062031</v>
      </c>
      <c r="S6" s="172">
        <f t="shared" si="9"/>
        <v>1325.9011022543798</v>
      </c>
      <c r="T6" s="172">
        <f t="shared" si="10"/>
        <v>4</v>
      </c>
      <c r="U6" s="217">
        <f t="shared" ref="U6:U36" si="99">MIN(2*(Vout+Vfwd1+F6/FL6*Rdcr_sec)*F6/(I6*M6), Isw_max)</f>
        <v>5.392587371696482E-2</v>
      </c>
      <c r="V6" s="217">
        <f t="shared" si="11"/>
        <v>2.6992126456675578E-2</v>
      </c>
      <c r="W6" s="217">
        <f t="shared" si="12"/>
        <v>3.3888628879113016E-2</v>
      </c>
      <c r="X6" s="197">
        <f t="shared" si="13"/>
        <v>350</v>
      </c>
      <c r="Y6" s="443">
        <f t="shared" si="14"/>
        <v>350</v>
      </c>
      <c r="AA6" s="217">
        <f t="shared" si="15"/>
        <v>2.5307492335766377</v>
      </c>
      <c r="AB6" s="173">
        <f t="shared" si="16"/>
        <v>1.5903983681918086</v>
      </c>
      <c r="AC6" s="173">
        <f t="shared" si="17"/>
        <v>2.8174296159680678</v>
      </c>
      <c r="AD6" s="173"/>
      <c r="AE6" s="173">
        <f t="shared" si="18"/>
        <v>0.83790647032704646</v>
      </c>
      <c r="AF6" s="545">
        <f t="shared" ref="AF6:AF36" si="100">MAX(12, F6/(0.5*AE6/1000000*Isw_min*Nps)/1000)</f>
        <v>26.852639043612992</v>
      </c>
      <c r="AG6" s="528">
        <f t="shared" si="19"/>
        <v>0.78204603897191016</v>
      </c>
      <c r="AI6" s="173">
        <f t="shared" si="20"/>
        <v>0.36931606659732957</v>
      </c>
      <c r="AJ6" s="173">
        <f t="shared" si="21"/>
        <v>1.3333333333333335</v>
      </c>
      <c r="AK6" s="173">
        <f t="shared" si="22"/>
        <v>1.0153443651677789</v>
      </c>
      <c r="AM6" s="545">
        <f t="shared" si="23"/>
        <v>60</v>
      </c>
      <c r="AN6" s="460">
        <f t="shared" si="24"/>
        <v>26.852639043612992</v>
      </c>
      <c r="AP6">
        <f t="shared" si="25"/>
        <v>60</v>
      </c>
      <c r="AQ6" s="460">
        <f t="shared" si="26"/>
        <v>26.852639043612992</v>
      </c>
      <c r="AR6" s="460"/>
      <c r="AS6" s="5">
        <f t="shared" ref="AS6:AS69" si="101">1/AN6*1000</f>
        <v>37.240287570090956</v>
      </c>
      <c r="AT6" s="5">
        <f t="shared" si="27"/>
        <v>0.66738838819985558</v>
      </c>
      <c r="AU6" s="5">
        <f t="shared" ref="AU6:AU69" si="102">AS6-AT6</f>
        <v>36.572899181891103</v>
      </c>
      <c r="AV6" s="5">
        <f t="shared" si="28"/>
        <v>0.83790647032704646</v>
      </c>
      <c r="AW6" s="173">
        <f t="shared" ref="AW6:AW69" si="103">AT6/AS6</f>
        <v>1.7921139490229387E-2</v>
      </c>
      <c r="AX6" s="173">
        <f t="shared" si="29"/>
        <v>0.28642814979853864</v>
      </c>
      <c r="AY6" s="173">
        <f t="shared" si="30"/>
        <v>2.6188769613593883</v>
      </c>
      <c r="AZ6" s="173">
        <f t="shared" ref="AZ6:AZ69" si="104">AX6/AY6</f>
        <v>0.10937060198882406</v>
      </c>
      <c r="BA6" s="460">
        <f t="shared" si="31"/>
        <v>1.0010825822997833</v>
      </c>
      <c r="BB6" s="5">
        <f t="shared" si="32"/>
        <v>0.30510410295997642</v>
      </c>
      <c r="BC6" s="5"/>
      <c r="BD6" s="173">
        <f t="shared" ref="BD6:BD69" si="105">AJ6*SQRT(AW6/3)</f>
        <v>0.10305306648871991</v>
      </c>
      <c r="BE6" s="173">
        <f t="shared" si="33"/>
        <v>3.0514852988795189</v>
      </c>
      <c r="BF6" s="173"/>
      <c r="BG6" s="528">
        <f t="shared" si="34"/>
        <v>1.2956320105528803E-4</v>
      </c>
      <c r="BH6" s="528">
        <f t="shared" si="35"/>
        <v>2.8930502956951251E-2</v>
      </c>
      <c r="BI6" s="528">
        <f t="shared" si="36"/>
        <v>1.6094160173234371E-2</v>
      </c>
      <c r="BJ6" s="528">
        <f t="shared" si="37"/>
        <v>4.9870643997875054E-3</v>
      </c>
      <c r="BK6">
        <f t="shared" si="38"/>
        <v>1.0788320754906353E-2</v>
      </c>
      <c r="BL6" s="460">
        <f t="shared" ref="BL6:BL69" si="106">(BK6+BI6)*1000</f>
        <v>26.882480928140723</v>
      </c>
      <c r="BM6" s="528">
        <f t="shared" si="39"/>
        <v>3.4083161845514645E-2</v>
      </c>
      <c r="BN6" s="460">
        <f t="shared" ref="BN6:BN69" si="107">BM6*1000</f>
        <v>34.083161845514645</v>
      </c>
      <c r="BO6" s="528">
        <f t="shared" ref="BO6:BO36" si="108">Vfwd2*F6*(1+Diode_TC/1000*(Ta-25))</f>
        <v>3.7274999999999996E-2</v>
      </c>
      <c r="BP6" s="528"/>
      <c r="BR6" s="460">
        <f t="shared" ref="BR6:BR69" si="109">SUM(BO6:BQ6)*1000</f>
        <v>37.274999999999999</v>
      </c>
      <c r="BS6" s="528">
        <f t="shared" si="40"/>
        <v>3.1859803538185583E-4</v>
      </c>
      <c r="BT6" s="528">
        <f t="shared" si="41"/>
        <v>0.27934687587833479</v>
      </c>
      <c r="BU6" s="528">
        <f t="shared" si="42"/>
        <v>3.5999999999999999E-3</v>
      </c>
      <c r="BV6" s="528">
        <f t="shared" si="43"/>
        <v>0.35840384208085169</v>
      </c>
      <c r="BW6" s="528">
        <f t="shared" si="44"/>
        <v>1.1934506241605776E-3</v>
      </c>
      <c r="BX6" s="460">
        <f t="shared" ref="BX6:BX69" si="110">1000*(BV6+BW6)</f>
        <v>359.59729270501231</v>
      </c>
      <c r="BY6" s="173">
        <f t="shared" si="45"/>
        <v>0.45783793547866769</v>
      </c>
      <c r="BZ6" s="5">
        <f t="shared" ref="BZ6:BZ69" si="111">MIN(H6,O6)</f>
        <v>0.24</v>
      </c>
      <c r="CA6" s="173">
        <f t="shared" ref="CA6:CA69" si="112">BZ6/(BZ6+BY6)</f>
        <v>0.34391939417191025</v>
      </c>
      <c r="CB6" s="5">
        <f t="shared" ref="CB6:CB69" si="113">CA6*100</f>
        <v>34.391939417191026</v>
      </c>
      <c r="CE6" s="562">
        <f t="shared" si="46"/>
        <v>-50</v>
      </c>
      <c r="CF6">
        <f t="shared" si="47"/>
        <v>-50</v>
      </c>
      <c r="CG6" s="173">
        <f t="shared" si="48"/>
        <v>2.4389418812263645E-2</v>
      </c>
      <c r="CI6" s="170">
        <v>1</v>
      </c>
      <c r="CJ6" s="217">
        <f t="shared" ref="CJ6:CJ69" si="114">IF(PLOT_TYPE=1, CI6/100*Iout_max, min_I*EXP(CR6*rr/100))</f>
        <v>0.06</v>
      </c>
      <c r="CK6" s="217"/>
      <c r="CL6" s="217">
        <f t="shared" si="49"/>
        <v>0.24</v>
      </c>
      <c r="CM6" s="541">
        <f t="shared" si="50"/>
        <v>24</v>
      </c>
      <c r="CN6" s="172">
        <f t="shared" si="51"/>
        <v>18.8</v>
      </c>
      <c r="CO6" s="443">
        <f t="shared" si="52"/>
        <v>42.8</v>
      </c>
      <c r="CP6" s="443"/>
      <c r="CQ6" s="217">
        <f t="shared" si="53"/>
        <v>0.43925233644859818</v>
      </c>
      <c r="CR6" s="172">
        <f t="shared" si="54"/>
        <v>35.456448598130848</v>
      </c>
      <c r="CS6" s="172">
        <f t="shared" ref="CS6:CS69" si="115">CX6*CJ6</f>
        <v>0.24</v>
      </c>
      <c r="CT6" s="217">
        <f t="shared" si="55"/>
        <v>8.864112149532712</v>
      </c>
      <c r="CU6" s="217">
        <f t="shared" si="56"/>
        <v>4</v>
      </c>
      <c r="CV6" s="217">
        <f t="shared" si="57"/>
        <v>8.7850467289719631</v>
      </c>
      <c r="CW6" s="172">
        <f t="shared" si="58"/>
        <v>1327.3364958970228</v>
      </c>
      <c r="CX6" s="172">
        <f t="shared" si="59"/>
        <v>4</v>
      </c>
      <c r="CY6" s="217">
        <f t="shared" si="60"/>
        <v>4.5531914893617013E-2</v>
      </c>
      <c r="CZ6" s="217">
        <f t="shared" si="61"/>
        <v>2.276595744680851E-2</v>
      </c>
      <c r="DA6" s="217">
        <f t="shared" si="62"/>
        <v>2.9062924400181073E-2</v>
      </c>
      <c r="DB6" s="197">
        <f t="shared" si="63"/>
        <v>350</v>
      </c>
      <c r="DC6" s="443">
        <f t="shared" ref="DC6:DC69" si="116">MIN(1/(CZ6+DA6)*1000, 350)</f>
        <v>350</v>
      </c>
      <c r="DE6" s="217">
        <f t="shared" si="64"/>
        <v>2.5100133511348464</v>
      </c>
      <c r="DF6" s="173">
        <f t="shared" si="65"/>
        <v>1.6021361815754336</v>
      </c>
      <c r="DG6" s="173">
        <f t="shared" si="66"/>
        <v>2.8149682442633783</v>
      </c>
      <c r="DH6" s="173"/>
      <c r="DI6" s="173">
        <f t="shared" si="67"/>
        <v>0.85106382978723416</v>
      </c>
      <c r="DJ6" s="545">
        <f t="shared" ref="DJ6:DJ69" si="117">MAX(12, CJ6/(0.5*DI6/1000000*Isw_min*Nps)/1000)</f>
        <v>26.437499999999993</v>
      </c>
      <c r="DK6" s="528">
        <f t="shared" si="68"/>
        <v>0.79432624113475192</v>
      </c>
      <c r="DM6" s="173">
        <f t="shared" si="69"/>
        <v>0.36645015252516172</v>
      </c>
      <c r="DN6" s="173">
        <f t="shared" si="70"/>
        <v>1.3333333333333335</v>
      </c>
      <c r="DO6" s="173">
        <f t="shared" si="71"/>
        <v>1.0151071428571428</v>
      </c>
      <c r="DQ6" s="545">
        <f t="shared" si="72"/>
        <v>60</v>
      </c>
      <c r="DR6" s="460">
        <f t="shared" si="73"/>
        <v>26.437499999999993</v>
      </c>
      <c r="DT6">
        <f t="shared" si="74"/>
        <v>60</v>
      </c>
      <c r="DU6" s="460">
        <f t="shared" si="75"/>
        <v>26.437499999999993</v>
      </c>
      <c r="DV6" s="460"/>
      <c r="DW6" s="5">
        <f t="shared" ref="DW6:DW69" si="118">1/DR6*1000</f>
        <v>37.825059101654858</v>
      </c>
      <c r="DX6" s="5">
        <f t="shared" si="76"/>
        <v>0.66666666666666685</v>
      </c>
      <c r="DY6" s="5">
        <f t="shared" ref="DY6:DY69" si="119">DW6-DX6</f>
        <v>37.158392434988194</v>
      </c>
      <c r="DZ6" s="5">
        <f t="shared" si="77"/>
        <v>0.85106382978723416</v>
      </c>
      <c r="EA6" s="173">
        <f t="shared" ref="EA6:EA69" si="120">DX6/DW6</f>
        <v>1.7624999999999998E-2</v>
      </c>
      <c r="EB6" s="173">
        <f t="shared" si="78"/>
        <v>0.28199999999999997</v>
      </c>
      <c r="EC6" s="173">
        <f t="shared" si="79"/>
        <v>2.6196666666666668</v>
      </c>
      <c r="ED6" s="173">
        <f t="shared" ref="ED6:ED69" si="121">EB6/EC6</f>
        <v>0.10764728336938541</v>
      </c>
      <c r="EE6" s="460">
        <f t="shared" si="80"/>
        <v>1.0000000000000002</v>
      </c>
      <c r="EF6" s="5">
        <f t="shared" si="81"/>
        <v>0.30965327029156825</v>
      </c>
      <c r="EG6" s="5"/>
      <c r="EH6" s="173">
        <f t="shared" ref="EH6:EH69" si="122">DN6*SQRT(EA6/3)</f>
        <v>0.10219806477837261</v>
      </c>
      <c r="EI6" s="173">
        <f t="shared" si="82"/>
        <v>3.0519453419696712</v>
      </c>
      <c r="EJ6" s="173"/>
      <c r="EK6" s="528">
        <f t="shared" si="83"/>
        <v>1.2742222222222221E-4</v>
      </c>
      <c r="EL6" s="528">
        <f t="shared" si="84"/>
        <v>3.0173999999999992E-2</v>
      </c>
      <c r="EM6" s="528">
        <f t="shared" si="85"/>
        <v>3.304687499999999E-3</v>
      </c>
      <c r="EN6" s="528">
        <f t="shared" si="86"/>
        <v>4.8429269999999977E-3</v>
      </c>
      <c r="EO6">
        <f t="shared" si="87"/>
        <v>1.0800000000000001E-2</v>
      </c>
      <c r="EP6" s="460">
        <f t="shared" ref="EP6:EP69" si="123">(EO6+EM6)*1000</f>
        <v>14.104687499999999</v>
      </c>
      <c r="EQ6" s="528">
        <f t="shared" si="88"/>
        <v>4.9284932849192394E-2</v>
      </c>
      <c r="ER6" s="460">
        <f t="shared" ref="ER6:ER69" si="124">EQ6*1000</f>
        <v>49.284932849192394</v>
      </c>
      <c r="ES6" s="528">
        <f t="shared" ref="ES6:ES69" si="125">Vfwd2*CJ6*(1+Diode_TC/1000*(Ta-25))</f>
        <v>3.7274999999999996E-2</v>
      </c>
      <c r="ET6" s="528"/>
      <c r="EV6" s="460">
        <f t="shared" ref="EV6:EV69" si="126">SUM(ES6:EU6)*1000</f>
        <v>37.274999999999999</v>
      </c>
      <c r="EW6" s="528">
        <f t="shared" si="89"/>
        <v>3.1333333333333332E-4</v>
      </c>
      <c r="EX6" s="528">
        <f t="shared" si="90"/>
        <v>0.27943111111111119</v>
      </c>
      <c r="EY6" s="528">
        <f t="shared" si="91"/>
        <v>3.6886530473812629E-4</v>
      </c>
      <c r="EZ6" s="528">
        <f t="shared" si="92"/>
        <v>0.35520122189464171</v>
      </c>
      <c r="FA6" s="528">
        <f t="shared" si="93"/>
        <v>1.175E-3</v>
      </c>
      <c r="FB6" s="460">
        <f t="shared" ref="FB6:FB69" si="127">1000*(EZ6+FA6)</f>
        <v>356.37622189464167</v>
      </c>
      <c r="FC6" s="173">
        <f t="shared" ref="FC6:FC69" si="128">SUM(EQ6,ES6:EU6,EZ6, FA6)</f>
        <v>0.44293615474383408</v>
      </c>
      <c r="FD6" s="5">
        <f t="shared" ref="FD6:FD69" si="129">MIN(CL6,CS6)</f>
        <v>0.24</v>
      </c>
      <c r="FE6" s="173">
        <f t="shared" ref="FE6:FE69" si="130">FD6/(FD6+FC6)</f>
        <v>0.35142377268051184</v>
      </c>
      <c r="FF6" s="5">
        <f t="shared" ref="FF6:FF69" si="131">FE6*100</f>
        <v>35.142377268051185</v>
      </c>
      <c r="FI6" s="562">
        <f t="shared" si="94"/>
        <v>-50</v>
      </c>
      <c r="FJ6">
        <f t="shared" si="95"/>
        <v>-50</v>
      </c>
      <c r="FL6">
        <f t="shared" si="96"/>
        <v>2.2499999999999996E-2</v>
      </c>
    </row>
    <row r="7" spans="2:168">
      <c r="E7" s="170">
        <v>2</v>
      </c>
      <c r="F7" s="217">
        <f t="shared" si="97"/>
        <v>0.12</v>
      </c>
      <c r="G7" s="217"/>
      <c r="H7" s="217">
        <f t="shared" si="0"/>
        <v>0.48</v>
      </c>
      <c r="I7" s="541">
        <f t="shared" si="1"/>
        <v>23.974046122014119</v>
      </c>
      <c r="J7" s="172">
        <f t="shared" si="2"/>
        <v>19.095209986569245</v>
      </c>
      <c r="K7" s="172">
        <f t="shared" si="3"/>
        <v>43.095209986569245</v>
      </c>
      <c r="L7" s="443"/>
      <c r="M7" s="217">
        <f t="shared" si="4"/>
        <v>0.44368078007492451</v>
      </c>
      <c r="N7" s="172">
        <f t="shared" si="5"/>
        <v>35.775182987773832</v>
      </c>
      <c r="O7" s="172">
        <f t="shared" si="98"/>
        <v>0.48</v>
      </c>
      <c r="P7" s="217">
        <f t="shared" si="6"/>
        <v>8.9437957469434579</v>
      </c>
      <c r="Q7" s="217">
        <f t="shared" si="7"/>
        <v>4</v>
      </c>
      <c r="R7" s="217">
        <f t="shared" si="8"/>
        <v>8.8640195708062031</v>
      </c>
      <c r="S7" s="172">
        <f t="shared" si="9"/>
        <v>659.95856449904738</v>
      </c>
      <c r="T7" s="172">
        <f t="shared" si="10"/>
        <v>4</v>
      </c>
      <c r="U7" s="217">
        <f t="shared" si="99"/>
        <v>0.10785174743392964</v>
      </c>
      <c r="V7" s="217">
        <f t="shared" si="11"/>
        <v>5.3984252913351155E-2</v>
      </c>
      <c r="W7" s="217">
        <f t="shared" si="12"/>
        <v>6.7777257758226031E-2</v>
      </c>
      <c r="X7" s="197">
        <f t="shared" si="13"/>
        <v>350</v>
      </c>
      <c r="Y7" s="443">
        <f t="shared" si="14"/>
        <v>350</v>
      </c>
      <c r="AA7" s="217">
        <f t="shared" si="15"/>
        <v>2.5307492335766377</v>
      </c>
      <c r="AB7" s="173">
        <f t="shared" si="16"/>
        <v>1.5903983681918086</v>
      </c>
      <c r="AC7" s="173">
        <f t="shared" si="17"/>
        <v>2.8174296159680678</v>
      </c>
      <c r="AD7" s="173"/>
      <c r="AE7" s="173">
        <f t="shared" si="18"/>
        <v>0.83790647032704646</v>
      </c>
      <c r="AF7" s="545">
        <f t="shared" si="100"/>
        <v>53.705278087225985</v>
      </c>
      <c r="AG7" s="528">
        <f t="shared" si="19"/>
        <v>0.78204603897191016</v>
      </c>
      <c r="AI7" s="173">
        <f t="shared" si="20"/>
        <v>0.52229179018422867</v>
      </c>
      <c r="AJ7" s="173">
        <f t="shared" si="21"/>
        <v>1.3333333333333335</v>
      </c>
      <c r="AK7" s="173">
        <f t="shared" si="22"/>
        <v>1.0306887303355576</v>
      </c>
      <c r="AM7" s="545">
        <f t="shared" si="23"/>
        <v>120</v>
      </c>
      <c r="AN7" s="460">
        <f t="shared" si="24"/>
        <v>53.705278087225985</v>
      </c>
      <c r="AP7">
        <f t="shared" si="25"/>
        <v>120</v>
      </c>
      <c r="AQ7" s="460">
        <f t="shared" si="26"/>
        <v>53.705278087225985</v>
      </c>
      <c r="AR7" s="460"/>
      <c r="AS7" s="5">
        <f t="shared" si="101"/>
        <v>18.620143785045478</v>
      </c>
      <c r="AT7" s="5">
        <f t="shared" si="27"/>
        <v>0.66738838819985558</v>
      </c>
      <c r="AU7" s="5">
        <f t="shared" si="102"/>
        <v>17.952755396845621</v>
      </c>
      <c r="AV7" s="5">
        <f t="shared" si="28"/>
        <v>0.83790647032704646</v>
      </c>
      <c r="AW7" s="173">
        <f t="shared" si="103"/>
        <v>3.5842278980458775E-2</v>
      </c>
      <c r="AX7" s="173">
        <f t="shared" si="29"/>
        <v>0.57285629959707729</v>
      </c>
      <c r="AY7" s="173">
        <f t="shared" si="30"/>
        <v>2.5710872560521101</v>
      </c>
      <c r="AZ7" s="173">
        <f t="shared" si="104"/>
        <v>0.22280702385678458</v>
      </c>
      <c r="BA7" s="460">
        <f t="shared" si="31"/>
        <v>2.0021651645995666</v>
      </c>
      <c r="BB7" s="5">
        <f t="shared" si="32"/>
        <v>0.29953651220117633</v>
      </c>
      <c r="BC7" s="5"/>
      <c r="BD7" s="173">
        <f t="shared" si="105"/>
        <v>0.14573904427248402</v>
      </c>
      <c r="BE7" s="173">
        <f t="shared" si="33"/>
        <v>3.0235151028354683</v>
      </c>
      <c r="BF7" s="173"/>
      <c r="BG7" s="528">
        <f t="shared" si="34"/>
        <v>2.591264021105761E-4</v>
      </c>
      <c r="BH7" s="528">
        <f t="shared" si="35"/>
        <v>5.7861005913902502E-2</v>
      </c>
      <c r="BI7" s="528">
        <f t="shared" si="36"/>
        <v>3.2188320346468742E-2</v>
      </c>
      <c r="BJ7" s="528">
        <f t="shared" si="37"/>
        <v>9.9741287995750109E-3</v>
      </c>
      <c r="BK7">
        <f t="shared" si="38"/>
        <v>1.0788320754906353E-2</v>
      </c>
      <c r="BL7" s="460">
        <f t="shared" si="106"/>
        <v>42.976641101375101</v>
      </c>
      <c r="BM7" s="528">
        <f t="shared" si="39"/>
        <v>6.8168422267106663E-2</v>
      </c>
      <c r="BN7" s="460">
        <f t="shared" si="107"/>
        <v>68.168422267106664</v>
      </c>
      <c r="BO7" s="528">
        <f t="shared" si="108"/>
        <v>7.4549999999999991E-2</v>
      </c>
      <c r="BP7" s="528"/>
      <c r="BR7" s="460">
        <f t="shared" si="109"/>
        <v>74.55</v>
      </c>
      <c r="BS7" s="528">
        <f t="shared" si="40"/>
        <v>6.3719607076371176E-4</v>
      </c>
      <c r="BT7" s="528">
        <f t="shared" si="41"/>
        <v>0.27424930731222513</v>
      </c>
      <c r="BU7" s="528">
        <f t="shared" si="42"/>
        <v>7.1999999999999998E-3</v>
      </c>
      <c r="BV7" s="528">
        <f t="shared" si="43"/>
        <v>0.35588551416232528</v>
      </c>
      <c r="BW7" s="528">
        <f t="shared" si="44"/>
        <v>2.3869012483211552E-3</v>
      </c>
      <c r="BX7" s="460">
        <f t="shared" si="110"/>
        <v>358.27241541064643</v>
      </c>
      <c r="BY7" s="173">
        <f t="shared" si="45"/>
        <v>0.54396747877912821</v>
      </c>
      <c r="BZ7" s="5">
        <f t="shared" si="111"/>
        <v>0.48</v>
      </c>
      <c r="CA7" s="173">
        <f t="shared" si="112"/>
        <v>0.46876488750629253</v>
      </c>
      <c r="CB7" s="5">
        <f t="shared" si="113"/>
        <v>46.87648875062925</v>
      </c>
      <c r="CE7" s="562">
        <f t="shared" si="46"/>
        <v>-50</v>
      </c>
      <c r="CF7">
        <f t="shared" si="47"/>
        <v>-50</v>
      </c>
      <c r="CG7" s="173">
        <f t="shared" si="48"/>
        <v>4.8778837624527289E-2</v>
      </c>
      <c r="CI7" s="170">
        <v>2</v>
      </c>
      <c r="CJ7" s="217">
        <f t="shared" si="114"/>
        <v>0.12</v>
      </c>
      <c r="CK7" s="217"/>
      <c r="CL7" s="217">
        <f t="shared" si="49"/>
        <v>0.48</v>
      </c>
      <c r="CM7" s="541">
        <f t="shared" si="50"/>
        <v>24</v>
      </c>
      <c r="CN7" s="172">
        <f t="shared" si="51"/>
        <v>18.8</v>
      </c>
      <c r="CO7" s="443">
        <f t="shared" si="52"/>
        <v>42.8</v>
      </c>
      <c r="CP7" s="443"/>
      <c r="CQ7" s="217">
        <f t="shared" si="53"/>
        <v>0.43925233644859818</v>
      </c>
      <c r="CR7" s="172">
        <f t="shared" si="54"/>
        <v>35.456448598130848</v>
      </c>
      <c r="CS7" s="172">
        <f t="shared" si="115"/>
        <v>0.48</v>
      </c>
      <c r="CT7" s="217">
        <f t="shared" si="55"/>
        <v>8.864112149532712</v>
      </c>
      <c r="CU7" s="217">
        <f t="shared" si="56"/>
        <v>4</v>
      </c>
      <c r="CV7" s="217">
        <f t="shared" si="57"/>
        <v>8.7850467289719631</v>
      </c>
      <c r="CW7" s="172">
        <f t="shared" si="58"/>
        <v>660.67301709205663</v>
      </c>
      <c r="CX7" s="172">
        <f t="shared" si="59"/>
        <v>4</v>
      </c>
      <c r="CY7" s="217">
        <f t="shared" si="60"/>
        <v>9.1063829787234027E-2</v>
      </c>
      <c r="CZ7" s="217">
        <f t="shared" si="61"/>
        <v>4.553191489361702E-2</v>
      </c>
      <c r="DA7" s="217">
        <f t="shared" si="62"/>
        <v>5.8125848800362145E-2</v>
      </c>
      <c r="DB7" s="197">
        <f t="shared" si="63"/>
        <v>350</v>
      </c>
      <c r="DC7" s="443">
        <f t="shared" si="116"/>
        <v>350</v>
      </c>
      <c r="DE7" s="217">
        <f t="shared" si="64"/>
        <v>2.5100133511348464</v>
      </c>
      <c r="DF7" s="173">
        <f t="shared" si="65"/>
        <v>1.6021361815754336</v>
      </c>
      <c r="DG7" s="173">
        <f t="shared" si="66"/>
        <v>2.8149682442633783</v>
      </c>
      <c r="DH7" s="173"/>
      <c r="DI7" s="173">
        <f t="shared" si="67"/>
        <v>0.85106382978723416</v>
      </c>
      <c r="DJ7" s="545">
        <f t="shared" si="117"/>
        <v>52.874999999999986</v>
      </c>
      <c r="DK7" s="528">
        <f t="shared" si="68"/>
        <v>0.79432624113475192</v>
      </c>
      <c r="DM7" s="173">
        <f t="shared" si="69"/>
        <v>0.51823877563477294</v>
      </c>
      <c r="DN7" s="173">
        <f t="shared" si="70"/>
        <v>1.3333333333333335</v>
      </c>
      <c r="DO7" s="173">
        <f t="shared" si="71"/>
        <v>1.0302142857142857</v>
      </c>
      <c r="DQ7" s="545">
        <f t="shared" si="72"/>
        <v>120</v>
      </c>
      <c r="DR7" s="460">
        <f t="shared" si="73"/>
        <v>52.874999999999986</v>
      </c>
      <c r="DT7">
        <f t="shared" si="74"/>
        <v>120</v>
      </c>
      <c r="DU7" s="460">
        <f t="shared" si="75"/>
        <v>52.874999999999986</v>
      </c>
      <c r="DV7" s="460"/>
      <c r="DW7" s="5">
        <f t="shared" si="118"/>
        <v>18.912529550827429</v>
      </c>
      <c r="DX7" s="5">
        <f t="shared" si="76"/>
        <v>0.66666666666666685</v>
      </c>
      <c r="DY7" s="5">
        <f t="shared" si="119"/>
        <v>18.245862884160761</v>
      </c>
      <c r="DZ7" s="5">
        <f t="shared" si="77"/>
        <v>0.85106382978723416</v>
      </c>
      <c r="EA7" s="173">
        <f t="shared" si="120"/>
        <v>3.5249999999999997E-2</v>
      </c>
      <c r="EB7" s="173">
        <f t="shared" si="78"/>
        <v>0.56399999999999995</v>
      </c>
      <c r="EC7" s="173">
        <f t="shared" si="79"/>
        <v>2.5726666666666671</v>
      </c>
      <c r="ED7" s="173">
        <f t="shared" si="121"/>
        <v>0.21922777921741379</v>
      </c>
      <c r="EE7" s="460">
        <f t="shared" si="80"/>
        <v>2.0000000000000004</v>
      </c>
      <c r="EF7" s="5">
        <f t="shared" si="81"/>
        <v>0.30409771473601266</v>
      </c>
      <c r="EG7" s="5"/>
      <c r="EH7" s="173">
        <f t="shared" si="122"/>
        <v>0.14452988925785867</v>
      </c>
      <c r="EI7" s="173">
        <f t="shared" si="82"/>
        <v>3.0244436280511597</v>
      </c>
      <c r="EJ7" s="173"/>
      <c r="EK7" s="528">
        <f t="shared" si="83"/>
        <v>2.5484444444444447E-4</v>
      </c>
      <c r="EL7" s="528">
        <f t="shared" si="84"/>
        <v>6.0347999999999985E-2</v>
      </c>
      <c r="EM7" s="528">
        <f t="shared" si="85"/>
        <v>6.6093749999999981E-3</v>
      </c>
      <c r="EN7" s="528">
        <f t="shared" si="86"/>
        <v>9.6858539999999955E-3</v>
      </c>
      <c r="EO7">
        <f t="shared" si="87"/>
        <v>1.0800000000000001E-2</v>
      </c>
      <c r="EP7" s="460">
        <f t="shared" si="123"/>
        <v>17.409374999999997</v>
      </c>
      <c r="EQ7" s="528">
        <f t="shared" si="88"/>
        <v>8.7772196142203926E-2</v>
      </c>
      <c r="ER7" s="460">
        <f t="shared" si="124"/>
        <v>87.772196142203924</v>
      </c>
      <c r="ES7" s="528">
        <f t="shared" si="125"/>
        <v>7.4549999999999991E-2</v>
      </c>
      <c r="ET7" s="528"/>
      <c r="EV7" s="460">
        <f t="shared" si="126"/>
        <v>74.55</v>
      </c>
      <c r="EW7" s="528">
        <f t="shared" si="89"/>
        <v>6.2666666666666676E-4</v>
      </c>
      <c r="EX7" s="528">
        <f t="shared" si="90"/>
        <v>0.27441777777777782</v>
      </c>
      <c r="EY7" s="528">
        <f t="shared" si="91"/>
        <v>2.08661726659817E-3</v>
      </c>
      <c r="EZ7" s="528">
        <f t="shared" si="92"/>
        <v>0.35086193853458497</v>
      </c>
      <c r="FA7" s="528">
        <f t="shared" si="93"/>
        <v>2.3500000000000001E-3</v>
      </c>
      <c r="FB7" s="460">
        <f t="shared" si="127"/>
        <v>353.21193853458499</v>
      </c>
      <c r="FC7" s="173">
        <f t="shared" si="128"/>
        <v>0.51553413467678888</v>
      </c>
      <c r="FD7" s="5">
        <f t="shared" si="129"/>
        <v>0.48</v>
      </c>
      <c r="FE7" s="173">
        <f t="shared" si="130"/>
        <v>0.48215323139656813</v>
      </c>
      <c r="FF7" s="5">
        <f t="shared" si="131"/>
        <v>48.21532313965681</v>
      </c>
      <c r="FI7" s="562">
        <f t="shared" si="94"/>
        <v>-50</v>
      </c>
      <c r="FJ7">
        <f t="shared" si="95"/>
        <v>-50</v>
      </c>
      <c r="FL7">
        <f t="shared" si="96"/>
        <v>4.4999999999999991E-2</v>
      </c>
    </row>
    <row r="8" spans="2:168">
      <c r="E8" s="170">
        <v>3</v>
      </c>
      <c r="F8" s="217">
        <f t="shared" si="97"/>
        <v>0.18</v>
      </c>
      <c r="G8" s="217"/>
      <c r="H8" s="217">
        <f t="shared" si="0"/>
        <v>0.72</v>
      </c>
      <c r="I8" s="541">
        <f t="shared" si="1"/>
        <v>23.974046122014119</v>
      </c>
      <c r="J8" s="172">
        <f t="shared" si="2"/>
        <v>19.095209986569245</v>
      </c>
      <c r="K8" s="172">
        <f t="shared" si="3"/>
        <v>43.095209986569245</v>
      </c>
      <c r="L8" s="443"/>
      <c r="M8" s="217">
        <f t="shared" si="4"/>
        <v>0.44368078007492451</v>
      </c>
      <c r="N8" s="172">
        <f t="shared" si="5"/>
        <v>35.775182987773832</v>
      </c>
      <c r="O8" s="172">
        <f t="shared" si="98"/>
        <v>0.72</v>
      </c>
      <c r="P8" s="217">
        <f t="shared" si="6"/>
        <v>8.9437957469434579</v>
      </c>
      <c r="Q8" s="217">
        <f t="shared" si="7"/>
        <v>4</v>
      </c>
      <c r="R8" s="217">
        <f t="shared" si="8"/>
        <v>8.8640195708062031</v>
      </c>
      <c r="S8" s="172">
        <f t="shared" si="9"/>
        <v>437.9798693701307</v>
      </c>
      <c r="T8" s="172">
        <f t="shared" si="10"/>
        <v>4</v>
      </c>
      <c r="U8" s="217">
        <f t="shared" si="99"/>
        <v>0.16177762115089447</v>
      </c>
      <c r="V8" s="217">
        <f t="shared" si="11"/>
        <v>8.0976379370026746E-2</v>
      </c>
      <c r="W8" s="217">
        <f t="shared" si="12"/>
        <v>0.10166588663733908</v>
      </c>
      <c r="X8" s="197">
        <f t="shared" si="13"/>
        <v>350</v>
      </c>
      <c r="Y8" s="443">
        <f t="shared" si="14"/>
        <v>350</v>
      </c>
      <c r="AA8" s="217">
        <f t="shared" si="15"/>
        <v>2.5307492335766377</v>
      </c>
      <c r="AB8" s="173">
        <f t="shared" si="16"/>
        <v>1.5903983681918086</v>
      </c>
      <c r="AC8" s="173">
        <f t="shared" si="17"/>
        <v>2.8174296159680678</v>
      </c>
      <c r="AD8" s="173"/>
      <c r="AE8" s="173">
        <f t="shared" si="18"/>
        <v>0.83790647032704646</v>
      </c>
      <c r="AF8" s="545">
        <f t="shared" si="100"/>
        <v>80.557917130838959</v>
      </c>
      <c r="AG8" s="528">
        <f t="shared" si="19"/>
        <v>0.78204603897191016</v>
      </c>
      <c r="AI8" s="173">
        <f t="shared" si="20"/>
        <v>0.63967419139806592</v>
      </c>
      <c r="AJ8" s="173">
        <f t="shared" si="21"/>
        <v>1.3333333333333335</v>
      </c>
      <c r="AK8" s="173">
        <f t="shared" si="22"/>
        <v>1.0460330955033366</v>
      </c>
      <c r="AM8" s="545">
        <f t="shared" si="23"/>
        <v>180</v>
      </c>
      <c r="AN8" s="460">
        <f t="shared" si="24"/>
        <v>80.557917130838959</v>
      </c>
      <c r="AP8">
        <f t="shared" si="25"/>
        <v>180</v>
      </c>
      <c r="AQ8" s="460">
        <f t="shared" si="26"/>
        <v>80.557917130838959</v>
      </c>
      <c r="AR8" s="460"/>
      <c r="AS8" s="5">
        <f t="shared" si="101"/>
        <v>12.413429190030321</v>
      </c>
      <c r="AT8" s="5">
        <f t="shared" si="27"/>
        <v>0.66738838819985558</v>
      </c>
      <c r="AU8" s="5">
        <f t="shared" si="102"/>
        <v>11.746040801830466</v>
      </c>
      <c r="AV8" s="5">
        <f t="shared" si="28"/>
        <v>0.83790647032704646</v>
      </c>
      <c r="AW8" s="173">
        <f t="shared" si="103"/>
        <v>5.3763418470688148E-2</v>
      </c>
      <c r="AX8" s="173">
        <f t="shared" si="29"/>
        <v>0.85928444939561577</v>
      </c>
      <c r="AY8" s="173">
        <f t="shared" si="30"/>
        <v>2.5232975507448319</v>
      </c>
      <c r="AZ8" s="173">
        <f t="shared" si="104"/>
        <v>0.34054027799534403</v>
      </c>
      <c r="BA8" s="460">
        <f t="shared" si="31"/>
        <v>3.0032477468993499</v>
      </c>
      <c r="BB8" s="5">
        <f t="shared" si="32"/>
        <v>0.29396892144237646</v>
      </c>
      <c r="BC8" s="5"/>
      <c r="BD8" s="173">
        <f t="shared" si="105"/>
        <v>0.17849314703423652</v>
      </c>
      <c r="BE8" s="173">
        <f t="shared" si="33"/>
        <v>2.9952837302784046</v>
      </c>
      <c r="BF8" s="173"/>
      <c r="BG8" s="528">
        <f t="shared" si="34"/>
        <v>3.8868960316586405E-4</v>
      </c>
      <c r="BH8" s="528">
        <f t="shared" si="35"/>
        <v>8.679150887085374E-2</v>
      </c>
      <c r="BI8" s="528">
        <f t="shared" si="36"/>
        <v>4.8282480519703103E-2</v>
      </c>
      <c r="BJ8" s="528">
        <f t="shared" si="37"/>
        <v>1.4961193199362514E-2</v>
      </c>
      <c r="BK8">
        <f t="shared" si="38"/>
        <v>1.0788320754906353E-2</v>
      </c>
      <c r="BL8" s="460">
        <f t="shared" si="106"/>
        <v>59.070801274609451</v>
      </c>
      <c r="BM8" s="528">
        <f t="shared" si="39"/>
        <v>0.10225578145860299</v>
      </c>
      <c r="BN8" s="460">
        <f t="shared" si="107"/>
        <v>102.255781458603</v>
      </c>
      <c r="BO8" s="528">
        <f t="shared" si="108"/>
        <v>0.11182499999999999</v>
      </c>
      <c r="BP8" s="528"/>
      <c r="BR8" s="460">
        <f t="shared" si="109"/>
        <v>111.82499999999999</v>
      </c>
      <c r="BS8" s="528">
        <f t="shared" si="40"/>
        <v>9.5579410614556732E-4</v>
      </c>
      <c r="BT8" s="528">
        <f t="shared" si="41"/>
        <v>0.26915173874611542</v>
      </c>
      <c r="BU8" s="528">
        <f t="shared" si="42"/>
        <v>1.0799999999999999E-2</v>
      </c>
      <c r="BV8" s="528">
        <f t="shared" si="43"/>
        <v>0.3533691543747437</v>
      </c>
      <c r="BW8" s="528">
        <f t="shared" si="44"/>
        <v>3.5803518724817321E-3</v>
      </c>
      <c r="BX8" s="460">
        <f t="shared" si="110"/>
        <v>356.94950624722543</v>
      </c>
      <c r="BY8" s="173">
        <f t="shared" si="45"/>
        <v>0.63010108898043782</v>
      </c>
      <c r="BZ8" s="5">
        <f t="shared" si="111"/>
        <v>0.72</v>
      </c>
      <c r="CA8" s="173">
        <f t="shared" si="112"/>
        <v>0.5332933999362417</v>
      </c>
      <c r="CB8" s="5">
        <f t="shared" si="113"/>
        <v>53.329339993624167</v>
      </c>
      <c r="CE8" s="562">
        <f t="shared" si="46"/>
        <v>-50</v>
      </c>
      <c r="CF8">
        <f t="shared" si="47"/>
        <v>-50</v>
      </c>
      <c r="CG8" s="173">
        <f t="shared" si="48"/>
        <v>7.3168256436790938E-2</v>
      </c>
      <c r="CI8" s="170">
        <v>3</v>
      </c>
      <c r="CJ8" s="217">
        <f t="shared" si="114"/>
        <v>0.18</v>
      </c>
      <c r="CK8" s="217"/>
      <c r="CL8" s="217">
        <f t="shared" si="49"/>
        <v>0.72</v>
      </c>
      <c r="CM8" s="541">
        <f t="shared" si="50"/>
        <v>24</v>
      </c>
      <c r="CN8" s="172">
        <f t="shared" si="51"/>
        <v>18.8</v>
      </c>
      <c r="CO8" s="443">
        <f t="shared" si="52"/>
        <v>42.8</v>
      </c>
      <c r="CP8" s="443"/>
      <c r="CQ8" s="217">
        <f t="shared" si="53"/>
        <v>0.43925233644859818</v>
      </c>
      <c r="CR8" s="172">
        <f t="shared" si="54"/>
        <v>35.456448598130848</v>
      </c>
      <c r="CS8" s="172">
        <f t="shared" si="115"/>
        <v>0.72</v>
      </c>
      <c r="CT8" s="217">
        <f t="shared" si="55"/>
        <v>8.864112149532712</v>
      </c>
      <c r="CU8" s="217">
        <f t="shared" si="56"/>
        <v>4</v>
      </c>
      <c r="CV8" s="217">
        <f t="shared" si="57"/>
        <v>8.7850467289719631</v>
      </c>
      <c r="CW8" s="172">
        <f t="shared" si="58"/>
        <v>438.45400828747165</v>
      </c>
      <c r="CX8" s="172">
        <f t="shared" si="59"/>
        <v>4</v>
      </c>
      <c r="CY8" s="217">
        <f t="shared" si="60"/>
        <v>0.13659574468085103</v>
      </c>
      <c r="CZ8" s="217">
        <f t="shared" si="61"/>
        <v>6.8297872340425531E-2</v>
      </c>
      <c r="DA8" s="217">
        <f t="shared" si="62"/>
        <v>8.7188773200543218E-2</v>
      </c>
      <c r="DB8" s="197">
        <f t="shared" si="63"/>
        <v>350</v>
      </c>
      <c r="DC8" s="443">
        <f t="shared" si="116"/>
        <v>350</v>
      </c>
      <c r="DE8" s="217">
        <f t="shared" si="64"/>
        <v>2.5100133511348464</v>
      </c>
      <c r="DF8" s="173">
        <f t="shared" si="65"/>
        <v>1.6021361815754336</v>
      </c>
      <c r="DG8" s="173">
        <f t="shared" si="66"/>
        <v>2.8149682442633783</v>
      </c>
      <c r="DH8" s="173"/>
      <c r="DI8" s="173">
        <f t="shared" si="67"/>
        <v>0.85106382978723416</v>
      </c>
      <c r="DJ8" s="545">
        <f t="shared" si="117"/>
        <v>79.312499999999986</v>
      </c>
      <c r="DK8" s="528">
        <f t="shared" si="68"/>
        <v>0.79432624113475192</v>
      </c>
      <c r="DM8" s="173">
        <f t="shared" si="69"/>
        <v>0.63471028261494467</v>
      </c>
      <c r="DN8" s="173">
        <f t="shared" si="70"/>
        <v>1.3333333333333335</v>
      </c>
      <c r="DO8" s="173">
        <f t="shared" si="71"/>
        <v>1.0453214285714285</v>
      </c>
      <c r="DQ8" s="545">
        <f t="shared" si="72"/>
        <v>180</v>
      </c>
      <c r="DR8" s="460">
        <f t="shared" si="73"/>
        <v>79.312499999999986</v>
      </c>
      <c r="DT8">
        <f t="shared" si="74"/>
        <v>180</v>
      </c>
      <c r="DU8" s="460">
        <f t="shared" si="75"/>
        <v>79.312499999999986</v>
      </c>
      <c r="DV8" s="460"/>
      <c r="DW8" s="5">
        <f t="shared" si="118"/>
        <v>12.608353033884951</v>
      </c>
      <c r="DX8" s="5">
        <f t="shared" si="76"/>
        <v>0.66666666666666685</v>
      </c>
      <c r="DY8" s="5">
        <f t="shared" si="119"/>
        <v>11.941686367218285</v>
      </c>
      <c r="DZ8" s="5">
        <f t="shared" si="77"/>
        <v>0.85106382978723416</v>
      </c>
      <c r="EA8" s="173">
        <f t="shared" si="120"/>
        <v>5.2875000000000005E-2</v>
      </c>
      <c r="EB8" s="173">
        <f t="shared" si="78"/>
        <v>0.84600000000000009</v>
      </c>
      <c r="EC8" s="173">
        <f t="shared" si="79"/>
        <v>2.5256666666666669</v>
      </c>
      <c r="ED8" s="173">
        <f t="shared" si="121"/>
        <v>0.33496106638511286</v>
      </c>
      <c r="EE8" s="460">
        <f t="shared" si="80"/>
        <v>3.0000000000000004</v>
      </c>
      <c r="EF8" s="5">
        <f t="shared" si="81"/>
        <v>0.29854215918045707</v>
      </c>
      <c r="EG8" s="5"/>
      <c r="EH8" s="173">
        <f t="shared" si="122"/>
        <v>0.17701224063135673</v>
      </c>
      <c r="EI8" s="173">
        <f t="shared" si="82"/>
        <v>2.9966895314910666</v>
      </c>
      <c r="EJ8" s="173"/>
      <c r="EK8" s="528">
        <f t="shared" si="83"/>
        <v>3.8226666666666667E-4</v>
      </c>
      <c r="EL8" s="528">
        <f t="shared" si="84"/>
        <v>9.0521999999999977E-2</v>
      </c>
      <c r="EM8" s="528">
        <f t="shared" si="85"/>
        <v>9.9140624999999975E-3</v>
      </c>
      <c r="EN8" s="528">
        <f t="shared" si="86"/>
        <v>1.4528780999999996E-2</v>
      </c>
      <c r="EO8">
        <f t="shared" si="87"/>
        <v>1.0800000000000001E-2</v>
      </c>
      <c r="EP8" s="460">
        <f t="shared" si="123"/>
        <v>20.714062499999997</v>
      </c>
      <c r="EQ8" s="528">
        <f t="shared" si="88"/>
        <v>0.12626179009072003</v>
      </c>
      <c r="ER8" s="460">
        <f t="shared" si="124"/>
        <v>126.26179009072003</v>
      </c>
      <c r="ES8" s="528">
        <f t="shared" si="125"/>
        <v>0.11182499999999999</v>
      </c>
      <c r="ET8" s="528"/>
      <c r="EV8" s="460">
        <f t="shared" si="126"/>
        <v>111.82499999999999</v>
      </c>
      <c r="EW8" s="528">
        <f t="shared" si="89"/>
        <v>9.4000000000000008E-4</v>
      </c>
      <c r="EX8" s="528">
        <f t="shared" si="90"/>
        <v>0.26940444444444445</v>
      </c>
      <c r="EY8" s="528">
        <f t="shared" si="91"/>
        <v>5.750041040602301E-3</v>
      </c>
      <c r="EZ8" s="528">
        <f t="shared" si="92"/>
        <v>0.34851467259519214</v>
      </c>
      <c r="FA8" s="528">
        <f t="shared" si="93"/>
        <v>3.5249999999999999E-3</v>
      </c>
      <c r="FB8" s="460">
        <f t="shared" si="127"/>
        <v>352.03967259519214</v>
      </c>
      <c r="FC8" s="173">
        <f t="shared" si="128"/>
        <v>0.59012646268591218</v>
      </c>
      <c r="FD8" s="5">
        <f t="shared" si="129"/>
        <v>0.72</v>
      </c>
      <c r="FE8" s="173">
        <f t="shared" si="130"/>
        <v>0.54956526755738977</v>
      </c>
      <c r="FF8" s="5">
        <f t="shared" si="131"/>
        <v>54.956526755738977</v>
      </c>
      <c r="FI8" s="562">
        <f t="shared" si="94"/>
        <v>-50</v>
      </c>
      <c r="FJ8">
        <f t="shared" si="95"/>
        <v>-50</v>
      </c>
      <c r="FL8">
        <f t="shared" si="96"/>
        <v>6.7499999999999991E-2</v>
      </c>
    </row>
    <row r="9" spans="2:168">
      <c r="E9" s="170">
        <v>4</v>
      </c>
      <c r="F9" s="217">
        <f t="shared" si="97"/>
        <v>0.24</v>
      </c>
      <c r="G9" s="217"/>
      <c r="H9" s="217">
        <f t="shared" si="0"/>
        <v>0.96</v>
      </c>
      <c r="I9" s="541">
        <f t="shared" si="1"/>
        <v>23.974046122014119</v>
      </c>
      <c r="J9" s="172">
        <f t="shared" si="2"/>
        <v>19.095209986569245</v>
      </c>
      <c r="K9" s="172">
        <f t="shared" si="3"/>
        <v>43.095209986569245</v>
      </c>
      <c r="L9" s="443"/>
      <c r="M9" s="217">
        <f t="shared" si="4"/>
        <v>0.44368078007492451</v>
      </c>
      <c r="N9" s="172">
        <f t="shared" si="5"/>
        <v>35.775182987773832</v>
      </c>
      <c r="O9" s="172">
        <f t="shared" si="98"/>
        <v>0.96</v>
      </c>
      <c r="P9" s="217">
        <f t="shared" si="6"/>
        <v>8.9437957469434579</v>
      </c>
      <c r="Q9" s="217">
        <f t="shared" si="7"/>
        <v>4</v>
      </c>
      <c r="R9" s="217">
        <f t="shared" si="8"/>
        <v>8.8640195708062031</v>
      </c>
      <c r="S9" s="172">
        <f t="shared" si="9"/>
        <v>326.99215432230312</v>
      </c>
      <c r="T9" s="172">
        <f t="shared" si="10"/>
        <v>4</v>
      </c>
      <c r="U9" s="217">
        <f t="shared" si="99"/>
        <v>0.21570349486785928</v>
      </c>
      <c r="V9" s="217">
        <f t="shared" si="11"/>
        <v>0.10796850582670231</v>
      </c>
      <c r="W9" s="217">
        <f t="shared" si="12"/>
        <v>0.13555451551645206</v>
      </c>
      <c r="X9" s="197">
        <f t="shared" si="13"/>
        <v>350</v>
      </c>
      <c r="Y9" s="443">
        <f t="shared" si="14"/>
        <v>350</v>
      </c>
      <c r="AA9" s="217">
        <f t="shared" si="15"/>
        <v>2.5307492335766377</v>
      </c>
      <c r="AB9" s="173">
        <f t="shared" si="16"/>
        <v>1.5903983681918086</v>
      </c>
      <c r="AC9" s="173">
        <f t="shared" si="17"/>
        <v>2.8174296159680678</v>
      </c>
      <c r="AD9" s="173"/>
      <c r="AE9" s="173">
        <f t="shared" si="18"/>
        <v>0.83790647032704646</v>
      </c>
      <c r="AF9" s="545">
        <f t="shared" si="100"/>
        <v>107.41055617445197</v>
      </c>
      <c r="AG9" s="528">
        <f t="shared" si="19"/>
        <v>0.78204603897191016</v>
      </c>
      <c r="AI9" s="173">
        <f t="shared" si="20"/>
        <v>0.73863213319465915</v>
      </c>
      <c r="AJ9" s="173">
        <f t="shared" si="21"/>
        <v>1.3333333333333335</v>
      </c>
      <c r="AK9" s="173">
        <f t="shared" si="22"/>
        <v>1.0613774606711155</v>
      </c>
      <c r="AM9" s="545">
        <f t="shared" si="23"/>
        <v>240</v>
      </c>
      <c r="AN9" s="460">
        <f t="shared" si="24"/>
        <v>107.41055617445197</v>
      </c>
      <c r="AP9">
        <f t="shared" si="25"/>
        <v>240</v>
      </c>
      <c r="AQ9" s="460">
        <f t="shared" si="26"/>
        <v>107.41055617445197</v>
      </c>
      <c r="AR9" s="460"/>
      <c r="AS9" s="5">
        <f t="shared" si="101"/>
        <v>9.310071892522739</v>
      </c>
      <c r="AT9" s="5">
        <f t="shared" si="27"/>
        <v>0.66738838819985558</v>
      </c>
      <c r="AU9" s="5">
        <f t="shared" si="102"/>
        <v>8.6426835043228838</v>
      </c>
      <c r="AV9" s="5">
        <f t="shared" si="28"/>
        <v>0.83790647032704646</v>
      </c>
      <c r="AW9" s="173">
        <f t="shared" si="103"/>
        <v>7.168455796091755E-2</v>
      </c>
      <c r="AX9" s="173">
        <f t="shared" si="29"/>
        <v>1.1457125991941546</v>
      </c>
      <c r="AY9" s="173">
        <f t="shared" si="30"/>
        <v>2.4755078454375536</v>
      </c>
      <c r="AZ9" s="173">
        <f t="shared" si="104"/>
        <v>0.4628192155826702</v>
      </c>
      <c r="BA9" s="460">
        <f t="shared" si="31"/>
        <v>4.0043303291991332</v>
      </c>
      <c r="BB9" s="5">
        <f t="shared" si="32"/>
        <v>0.28840133068357637</v>
      </c>
      <c r="BC9" s="5"/>
      <c r="BD9" s="173">
        <f t="shared" si="105"/>
        <v>0.20610613297743982</v>
      </c>
      <c r="BE9" s="173">
        <f t="shared" si="33"/>
        <v>2.9667837252935807</v>
      </c>
      <c r="BF9" s="173"/>
      <c r="BG9" s="528">
        <f t="shared" si="34"/>
        <v>5.182528042211521E-4</v>
      </c>
      <c r="BH9" s="528">
        <f t="shared" si="35"/>
        <v>0.115722011827805</v>
      </c>
      <c r="BI9" s="528">
        <f t="shared" si="36"/>
        <v>6.4376640692937484E-2</v>
      </c>
      <c r="BJ9" s="528">
        <f t="shared" si="37"/>
        <v>1.9948257599150022E-2</v>
      </c>
      <c r="BK9">
        <f t="shared" si="38"/>
        <v>1.0788320754906353E-2</v>
      </c>
      <c r="BL9" s="460">
        <f t="shared" si="106"/>
        <v>75.164961447843837</v>
      </c>
      <c r="BM9" s="528">
        <f t="shared" si="39"/>
        <v>0.13634523961385456</v>
      </c>
      <c r="BN9" s="460">
        <f t="shared" si="107"/>
        <v>136.34523961385455</v>
      </c>
      <c r="BO9" s="528">
        <f t="shared" si="108"/>
        <v>0.14909999999999998</v>
      </c>
      <c r="BP9" s="528"/>
      <c r="BR9" s="460">
        <f t="shared" si="109"/>
        <v>149.1</v>
      </c>
      <c r="BS9" s="528">
        <f t="shared" si="40"/>
        <v>1.2743921415274233E-3</v>
      </c>
      <c r="BT9" s="528">
        <f t="shared" si="41"/>
        <v>0.26405417018000571</v>
      </c>
      <c r="BU9" s="528">
        <f t="shared" si="42"/>
        <v>1.44E-2</v>
      </c>
      <c r="BV9" s="528">
        <f t="shared" si="43"/>
        <v>0.35085476041179942</v>
      </c>
      <c r="BW9" s="528">
        <f t="shared" si="44"/>
        <v>4.7738024966423103E-3</v>
      </c>
      <c r="BX9" s="460">
        <f t="shared" si="110"/>
        <v>355.62856290844172</v>
      </c>
      <c r="BY9" s="173">
        <f t="shared" si="45"/>
        <v>0.71623876397014008</v>
      </c>
      <c r="BZ9" s="5">
        <f t="shared" si="111"/>
        <v>0.96</v>
      </c>
      <c r="CA9" s="173">
        <f t="shared" si="112"/>
        <v>0.57271077404644788</v>
      </c>
      <c r="CB9" s="5">
        <f t="shared" si="113"/>
        <v>57.271077404644785</v>
      </c>
      <c r="CE9" s="562">
        <f t="shared" si="46"/>
        <v>-50</v>
      </c>
      <c r="CF9">
        <f t="shared" si="47"/>
        <v>-50</v>
      </c>
      <c r="CG9" s="173">
        <f t="shared" si="48"/>
        <v>9.7557675249054579E-2</v>
      </c>
      <c r="CI9" s="170">
        <v>4</v>
      </c>
      <c r="CJ9" s="217">
        <f t="shared" si="114"/>
        <v>0.24</v>
      </c>
      <c r="CK9" s="217"/>
      <c r="CL9" s="217">
        <f t="shared" si="49"/>
        <v>0.96</v>
      </c>
      <c r="CM9" s="541">
        <f t="shared" si="50"/>
        <v>24</v>
      </c>
      <c r="CN9" s="172">
        <f t="shared" si="51"/>
        <v>18.8</v>
      </c>
      <c r="CO9" s="443">
        <f t="shared" si="52"/>
        <v>42.8</v>
      </c>
      <c r="CP9" s="443"/>
      <c r="CQ9" s="217">
        <f t="shared" si="53"/>
        <v>0.43925233644859818</v>
      </c>
      <c r="CR9" s="172">
        <f t="shared" si="54"/>
        <v>35.456448598130848</v>
      </c>
      <c r="CS9" s="172">
        <f t="shared" si="115"/>
        <v>0.96</v>
      </c>
      <c r="CT9" s="217">
        <f t="shared" si="55"/>
        <v>8.864112149532712</v>
      </c>
      <c r="CU9" s="217">
        <f t="shared" si="56"/>
        <v>4</v>
      </c>
      <c r="CV9" s="217">
        <f t="shared" si="57"/>
        <v>8.7850467289719631</v>
      </c>
      <c r="CW9" s="172">
        <f t="shared" si="58"/>
        <v>327.34613641050402</v>
      </c>
      <c r="CX9" s="172">
        <f t="shared" si="59"/>
        <v>4</v>
      </c>
      <c r="CY9" s="217">
        <f t="shared" si="60"/>
        <v>0.18212765957446805</v>
      </c>
      <c r="CZ9" s="217">
        <f t="shared" si="61"/>
        <v>9.1063829787234041E-2</v>
      </c>
      <c r="DA9" s="217">
        <f t="shared" si="62"/>
        <v>0.11625169760072429</v>
      </c>
      <c r="DB9" s="197">
        <f t="shared" si="63"/>
        <v>350</v>
      </c>
      <c r="DC9" s="443">
        <f t="shared" si="116"/>
        <v>350</v>
      </c>
      <c r="DE9" s="217">
        <f t="shared" si="64"/>
        <v>2.5100133511348464</v>
      </c>
      <c r="DF9" s="173">
        <f t="shared" si="65"/>
        <v>1.6021361815754336</v>
      </c>
      <c r="DG9" s="173">
        <f t="shared" si="66"/>
        <v>2.8149682442633783</v>
      </c>
      <c r="DH9" s="173"/>
      <c r="DI9" s="173">
        <f t="shared" si="67"/>
        <v>0.85106382978723416</v>
      </c>
      <c r="DJ9" s="545">
        <f t="shared" si="117"/>
        <v>105.74999999999997</v>
      </c>
      <c r="DK9" s="528">
        <f t="shared" si="68"/>
        <v>0.79432624113475192</v>
      </c>
      <c r="DM9" s="173">
        <f t="shared" si="69"/>
        <v>0.73290030505032344</v>
      </c>
      <c r="DN9" s="173">
        <f t="shared" si="70"/>
        <v>1.3333333333333335</v>
      </c>
      <c r="DO9" s="173">
        <f t="shared" si="71"/>
        <v>1.0604285714285715</v>
      </c>
      <c r="DQ9" s="545">
        <f t="shared" si="72"/>
        <v>240</v>
      </c>
      <c r="DR9" s="460">
        <f t="shared" si="73"/>
        <v>105.74999999999997</v>
      </c>
      <c r="DT9">
        <f t="shared" si="74"/>
        <v>240</v>
      </c>
      <c r="DU9" s="460">
        <f t="shared" si="75"/>
        <v>105.74999999999997</v>
      </c>
      <c r="DV9" s="460"/>
      <c r="DW9" s="5">
        <f t="shared" si="118"/>
        <v>9.4562647754137146</v>
      </c>
      <c r="DX9" s="5">
        <f t="shared" si="76"/>
        <v>0.66666666666666685</v>
      </c>
      <c r="DY9" s="5">
        <f t="shared" si="119"/>
        <v>8.7895981087470485</v>
      </c>
      <c r="DZ9" s="5">
        <f t="shared" si="77"/>
        <v>0.85106382978723416</v>
      </c>
      <c r="EA9" s="173">
        <f t="shared" si="120"/>
        <v>7.0499999999999993E-2</v>
      </c>
      <c r="EB9" s="173">
        <f t="shared" si="78"/>
        <v>1.1279999999999999</v>
      </c>
      <c r="EC9" s="173">
        <f t="shared" si="79"/>
        <v>2.4786666666666668</v>
      </c>
      <c r="ED9" s="173">
        <f t="shared" si="121"/>
        <v>0.45508337816030114</v>
      </c>
      <c r="EE9" s="460">
        <f t="shared" si="80"/>
        <v>4.0000000000000009</v>
      </c>
      <c r="EF9" s="5">
        <f t="shared" si="81"/>
        <v>0.29298660362490159</v>
      </c>
      <c r="EG9" s="5"/>
      <c r="EH9" s="173">
        <f t="shared" si="122"/>
        <v>0.20439612955674522</v>
      </c>
      <c r="EI9" s="173">
        <f t="shared" si="82"/>
        <v>2.9686759737359414</v>
      </c>
      <c r="EJ9" s="173"/>
      <c r="EK9" s="528">
        <f t="shared" si="83"/>
        <v>5.0968888888888882E-4</v>
      </c>
      <c r="EL9" s="528">
        <f t="shared" si="84"/>
        <v>0.12069599999999997</v>
      </c>
      <c r="EM9" s="528">
        <f t="shared" si="85"/>
        <v>1.3218749999999996E-2</v>
      </c>
      <c r="EN9" s="528">
        <f t="shared" si="86"/>
        <v>1.9371707999999991E-2</v>
      </c>
      <c r="EO9">
        <f t="shared" si="87"/>
        <v>1.0800000000000001E-2</v>
      </c>
      <c r="EP9" s="460">
        <f t="shared" si="123"/>
        <v>24.018749999999997</v>
      </c>
      <c r="EQ9" s="528">
        <f t="shared" si="88"/>
        <v>0.16475371490645177</v>
      </c>
      <c r="ER9" s="460">
        <f t="shared" si="124"/>
        <v>164.75371490645176</v>
      </c>
      <c r="ES9" s="528">
        <f t="shared" si="125"/>
        <v>0.14909999999999998</v>
      </c>
      <c r="ET9" s="528"/>
      <c r="EV9" s="460">
        <f t="shared" si="126"/>
        <v>149.1</v>
      </c>
      <c r="EW9" s="528">
        <f t="shared" si="89"/>
        <v>1.2533333333333333E-3</v>
      </c>
      <c r="EX9" s="528">
        <f t="shared" si="90"/>
        <v>0.26439111111111119</v>
      </c>
      <c r="EY9" s="528">
        <f t="shared" si="91"/>
        <v>1.1803689751620026E-2</v>
      </c>
      <c r="EZ9" s="528">
        <f t="shared" si="92"/>
        <v>0.3486113339944098</v>
      </c>
      <c r="FA9" s="528">
        <f t="shared" si="93"/>
        <v>4.7000000000000002E-3</v>
      </c>
      <c r="FB9" s="460">
        <f t="shared" si="127"/>
        <v>353.31133399440978</v>
      </c>
      <c r="FC9" s="173">
        <f t="shared" si="128"/>
        <v>0.66716504890086159</v>
      </c>
      <c r="FD9" s="5">
        <f t="shared" si="129"/>
        <v>0.96</v>
      </c>
      <c r="FE9" s="173">
        <f t="shared" si="130"/>
        <v>0.58998317389405164</v>
      </c>
      <c r="FF9" s="5">
        <f t="shared" si="131"/>
        <v>58.998317389405166</v>
      </c>
      <c r="FI9" s="562">
        <f t="shared" si="94"/>
        <v>-50</v>
      </c>
      <c r="FJ9">
        <f t="shared" si="95"/>
        <v>-50</v>
      </c>
      <c r="FL9">
        <f t="shared" si="96"/>
        <v>8.9999999999999983E-2</v>
      </c>
    </row>
    <row r="10" spans="2:168">
      <c r="E10" s="170">
        <v>5</v>
      </c>
      <c r="F10" s="217">
        <f t="shared" si="97"/>
        <v>0.30000000000000004</v>
      </c>
      <c r="G10" s="217"/>
      <c r="H10" s="217">
        <f t="shared" si="0"/>
        <v>1.2000000000000002</v>
      </c>
      <c r="I10" s="541">
        <f t="shared" si="1"/>
        <v>23.974046122014119</v>
      </c>
      <c r="J10" s="172">
        <f t="shared" si="2"/>
        <v>19.095209986569245</v>
      </c>
      <c r="K10" s="172">
        <f t="shared" si="3"/>
        <v>43.095209986569245</v>
      </c>
      <c r="L10" s="443"/>
      <c r="M10" s="217">
        <f t="shared" si="4"/>
        <v>0.44368078007492451</v>
      </c>
      <c r="N10" s="172">
        <f t="shared" si="5"/>
        <v>35.775182987773832</v>
      </c>
      <c r="O10" s="172">
        <f t="shared" si="98"/>
        <v>1.2000000000000002</v>
      </c>
      <c r="P10" s="217">
        <f t="shared" si="6"/>
        <v>8.9437957469434579</v>
      </c>
      <c r="Q10" s="217">
        <f t="shared" si="7"/>
        <v>4</v>
      </c>
      <c r="R10" s="217">
        <f t="shared" si="8"/>
        <v>8.8640195708062031</v>
      </c>
      <c r="S10" s="172">
        <f t="shared" si="9"/>
        <v>260.40084705749319</v>
      </c>
      <c r="T10" s="172">
        <f t="shared" si="10"/>
        <v>4</v>
      </c>
      <c r="U10" s="217">
        <f t="shared" si="99"/>
        <v>0.26962936858482417</v>
      </c>
      <c r="V10" s="217">
        <f t="shared" si="11"/>
        <v>0.13496063228337793</v>
      </c>
      <c r="W10" s="217">
        <f t="shared" si="12"/>
        <v>0.16944314439556513</v>
      </c>
      <c r="X10" s="197">
        <f t="shared" si="13"/>
        <v>350</v>
      </c>
      <c r="Y10" s="443">
        <f t="shared" si="14"/>
        <v>350</v>
      </c>
      <c r="AA10" s="217">
        <f t="shared" si="15"/>
        <v>2.5307492335766377</v>
      </c>
      <c r="AB10" s="173">
        <f t="shared" si="16"/>
        <v>1.5903983681918086</v>
      </c>
      <c r="AC10" s="173">
        <f t="shared" si="17"/>
        <v>2.8174296159680678</v>
      </c>
      <c r="AD10" s="173"/>
      <c r="AE10" s="173">
        <f t="shared" si="18"/>
        <v>0.83790647032704646</v>
      </c>
      <c r="AF10" s="545">
        <f t="shared" si="100"/>
        <v>134.26319521806496</v>
      </c>
      <c r="AG10" s="528">
        <f t="shared" si="19"/>
        <v>0.78204603897191016</v>
      </c>
      <c r="AI10" s="173">
        <f t="shared" si="20"/>
        <v>0.82581583009446846</v>
      </c>
      <c r="AJ10" s="173">
        <f t="shared" si="21"/>
        <v>1.3333333333333335</v>
      </c>
      <c r="AK10" s="173">
        <f t="shared" si="22"/>
        <v>1.0767218258388942</v>
      </c>
      <c r="AM10" s="545">
        <f t="shared" si="23"/>
        <v>300.00000000000006</v>
      </c>
      <c r="AN10" s="460">
        <f t="shared" si="24"/>
        <v>134.26319521806496</v>
      </c>
      <c r="AP10">
        <f t="shared" si="25"/>
        <v>300.00000000000006</v>
      </c>
      <c r="AQ10" s="460">
        <f t="shared" si="26"/>
        <v>134.26319521806496</v>
      </c>
      <c r="AR10" s="460"/>
      <c r="AS10" s="5">
        <f t="shared" si="101"/>
        <v>7.448057514018191</v>
      </c>
      <c r="AT10" s="5">
        <f t="shared" si="27"/>
        <v>0.66738838819985558</v>
      </c>
      <c r="AU10" s="5">
        <f t="shared" si="102"/>
        <v>6.7806691258183358</v>
      </c>
      <c r="AV10" s="5">
        <f t="shared" si="28"/>
        <v>0.83790647032704646</v>
      </c>
      <c r="AW10" s="173">
        <f t="shared" si="103"/>
        <v>8.9605697451146937E-2</v>
      </c>
      <c r="AX10" s="173">
        <f t="shared" si="29"/>
        <v>1.4321407489926934</v>
      </c>
      <c r="AY10" s="173">
        <f t="shared" si="30"/>
        <v>2.427718140130275</v>
      </c>
      <c r="AZ10" s="173">
        <f t="shared" si="104"/>
        <v>0.58991228236892546</v>
      </c>
      <c r="BA10" s="460">
        <f t="shared" si="31"/>
        <v>5.005412911498917</v>
      </c>
      <c r="BB10" s="5">
        <f t="shared" si="32"/>
        <v>0.28283373992477645</v>
      </c>
      <c r="BC10" s="5"/>
      <c r="BD10" s="173">
        <f t="shared" si="105"/>
        <v>0.23043366195858331</v>
      </c>
      <c r="BE10" s="173">
        <f t="shared" si="33"/>
        <v>2.9380072703217057</v>
      </c>
      <c r="BF10" s="173"/>
      <c r="BG10" s="528">
        <f t="shared" si="34"/>
        <v>6.4781600527644026E-4</v>
      </c>
      <c r="BH10" s="528">
        <f t="shared" si="35"/>
        <v>0.14465251478475624</v>
      </c>
      <c r="BI10" s="528">
        <f t="shared" si="36"/>
        <v>8.0470800866171865E-2</v>
      </c>
      <c r="BJ10" s="528">
        <f t="shared" si="37"/>
        <v>2.4935321998937526E-2</v>
      </c>
      <c r="BK10">
        <f t="shared" si="38"/>
        <v>1.0788320754906353E-2</v>
      </c>
      <c r="BL10" s="460">
        <f t="shared" si="106"/>
        <v>91.259121621078222</v>
      </c>
      <c r="BM10" s="528">
        <f t="shared" si="39"/>
        <v>0.17043679692673594</v>
      </c>
      <c r="BN10" s="460">
        <f t="shared" si="107"/>
        <v>170.43679692673595</v>
      </c>
      <c r="BO10" s="528">
        <f t="shared" si="108"/>
        <v>0.18637500000000001</v>
      </c>
      <c r="BP10" s="528"/>
      <c r="BR10" s="460">
        <f t="shared" si="109"/>
        <v>186.375</v>
      </c>
      <c r="BS10" s="528">
        <f t="shared" si="40"/>
        <v>1.5929901769092794E-3</v>
      </c>
      <c r="BT10" s="528">
        <f t="shared" si="41"/>
        <v>0.258956601613896</v>
      </c>
      <c r="BU10" s="528">
        <f t="shared" si="42"/>
        <v>1.8000000000000002E-2</v>
      </c>
      <c r="BV10" s="528">
        <f t="shared" si="43"/>
        <v>0.34834232997078624</v>
      </c>
      <c r="BW10" s="528">
        <f t="shared" si="44"/>
        <v>5.967253120802889E-3</v>
      </c>
      <c r="BX10" s="460">
        <f t="shared" si="110"/>
        <v>354.3095830915891</v>
      </c>
      <c r="BY10" s="173">
        <f t="shared" si="45"/>
        <v>0.80238050163940322</v>
      </c>
      <c r="BZ10" s="5">
        <f t="shared" si="111"/>
        <v>1.2000000000000002</v>
      </c>
      <c r="CA10" s="173">
        <f t="shared" si="112"/>
        <v>0.59928669851585525</v>
      </c>
      <c r="CB10" s="5">
        <f t="shared" si="113"/>
        <v>59.928669851585525</v>
      </c>
      <c r="CE10" s="562">
        <f t="shared" si="46"/>
        <v>-50</v>
      </c>
      <c r="CF10">
        <f t="shared" si="47"/>
        <v>-50</v>
      </c>
      <c r="CG10" s="173">
        <f t="shared" si="48"/>
        <v>0.12194709406131825</v>
      </c>
      <c r="CI10" s="170">
        <v>5</v>
      </c>
      <c r="CJ10" s="217">
        <f t="shared" si="114"/>
        <v>0.30000000000000004</v>
      </c>
      <c r="CK10" s="217"/>
      <c r="CL10" s="217">
        <f t="shared" si="49"/>
        <v>1.2000000000000002</v>
      </c>
      <c r="CM10" s="541">
        <f t="shared" si="50"/>
        <v>24</v>
      </c>
      <c r="CN10" s="172">
        <f t="shared" si="51"/>
        <v>18.8</v>
      </c>
      <c r="CO10" s="443">
        <f t="shared" si="52"/>
        <v>42.8</v>
      </c>
      <c r="CP10" s="443"/>
      <c r="CQ10" s="217">
        <f t="shared" si="53"/>
        <v>0.43925233644859818</v>
      </c>
      <c r="CR10" s="172">
        <f t="shared" si="54"/>
        <v>35.456448598130848</v>
      </c>
      <c r="CS10" s="172">
        <f t="shared" si="115"/>
        <v>1.2000000000000002</v>
      </c>
      <c r="CT10" s="217">
        <f t="shared" si="55"/>
        <v>8.864112149532712</v>
      </c>
      <c r="CU10" s="217">
        <f t="shared" si="56"/>
        <v>4</v>
      </c>
      <c r="CV10" s="217">
        <f t="shared" si="57"/>
        <v>8.7850467289719631</v>
      </c>
      <c r="CW10" s="172">
        <f t="shared" si="58"/>
        <v>260.68273505771424</v>
      </c>
      <c r="CX10" s="172">
        <f t="shared" si="59"/>
        <v>4</v>
      </c>
      <c r="CY10" s="217">
        <f t="shared" si="60"/>
        <v>0.2276595744680851</v>
      </c>
      <c r="CZ10" s="217">
        <f t="shared" si="61"/>
        <v>0.11382978723404255</v>
      </c>
      <c r="DA10" s="217">
        <f t="shared" si="62"/>
        <v>0.14531462200090539</v>
      </c>
      <c r="DB10" s="197">
        <f t="shared" si="63"/>
        <v>350</v>
      </c>
      <c r="DC10" s="443">
        <f t="shared" si="116"/>
        <v>350</v>
      </c>
      <c r="DE10" s="217">
        <f t="shared" si="64"/>
        <v>2.5100133511348464</v>
      </c>
      <c r="DF10" s="173">
        <f t="shared" si="65"/>
        <v>1.6021361815754336</v>
      </c>
      <c r="DG10" s="173">
        <f t="shared" si="66"/>
        <v>2.8149682442633783</v>
      </c>
      <c r="DH10" s="173"/>
      <c r="DI10" s="173">
        <f t="shared" si="67"/>
        <v>0.85106382978723416</v>
      </c>
      <c r="DJ10" s="545">
        <f t="shared" si="117"/>
        <v>132.1875</v>
      </c>
      <c r="DK10" s="528">
        <f t="shared" si="68"/>
        <v>0.79432624113475192</v>
      </c>
      <c r="DM10" s="173">
        <f t="shared" si="69"/>
        <v>0.8194074514114279</v>
      </c>
      <c r="DN10" s="173">
        <f t="shared" si="70"/>
        <v>1.3333333333333335</v>
      </c>
      <c r="DO10" s="173">
        <f t="shared" si="71"/>
        <v>1.0755357142857143</v>
      </c>
      <c r="DQ10" s="545">
        <f t="shared" si="72"/>
        <v>300.00000000000006</v>
      </c>
      <c r="DR10" s="460">
        <f t="shared" si="73"/>
        <v>132.1875</v>
      </c>
      <c r="DT10">
        <f t="shared" si="74"/>
        <v>300.00000000000006</v>
      </c>
      <c r="DU10" s="460">
        <f t="shared" si="75"/>
        <v>132.1875</v>
      </c>
      <c r="DV10" s="460"/>
      <c r="DW10" s="5">
        <f t="shared" si="118"/>
        <v>7.5650118203309686</v>
      </c>
      <c r="DX10" s="5">
        <f t="shared" si="76"/>
        <v>0.66666666666666685</v>
      </c>
      <c r="DY10" s="5">
        <f t="shared" si="119"/>
        <v>6.8983451536643017</v>
      </c>
      <c r="DZ10" s="5">
        <f t="shared" si="77"/>
        <v>0.85106382978723416</v>
      </c>
      <c r="EA10" s="173">
        <f t="shared" si="120"/>
        <v>8.8125000000000037E-2</v>
      </c>
      <c r="EB10" s="173">
        <f t="shared" si="78"/>
        <v>1.4100000000000001</v>
      </c>
      <c r="EC10" s="173">
        <f t="shared" si="79"/>
        <v>2.4316666666666671</v>
      </c>
      <c r="ED10" s="173">
        <f t="shared" si="121"/>
        <v>0.57984921178889648</v>
      </c>
      <c r="EE10" s="460">
        <f t="shared" si="80"/>
        <v>5.0000000000000027</v>
      </c>
      <c r="EF10" s="5">
        <f t="shared" si="81"/>
        <v>0.28743104806934588</v>
      </c>
      <c r="EG10" s="5"/>
      <c r="EH10" s="173">
        <f t="shared" si="122"/>
        <v>0.22852182001336821</v>
      </c>
      <c r="EI10" s="173">
        <f t="shared" si="82"/>
        <v>2.9403955390263277</v>
      </c>
      <c r="EJ10" s="173"/>
      <c r="EK10" s="528">
        <f t="shared" si="83"/>
        <v>6.3711111111111141E-4</v>
      </c>
      <c r="EL10" s="528">
        <f t="shared" si="84"/>
        <v>0.15087</v>
      </c>
      <c r="EM10" s="528">
        <f t="shared" si="85"/>
        <v>1.6523437499999998E-2</v>
      </c>
      <c r="EN10" s="528">
        <f t="shared" si="86"/>
        <v>2.4214634999999995E-2</v>
      </c>
      <c r="EO10">
        <f t="shared" si="87"/>
        <v>1.0800000000000001E-2</v>
      </c>
      <c r="EP10" s="460">
        <f t="shared" si="123"/>
        <v>27.323437499999997</v>
      </c>
      <c r="EQ10" s="528">
        <f t="shared" si="88"/>
        <v>0.20324797080113582</v>
      </c>
      <c r="ER10" s="460">
        <f t="shared" si="124"/>
        <v>203.24797080113584</v>
      </c>
      <c r="ES10" s="528">
        <f t="shared" si="125"/>
        <v>0.18637500000000001</v>
      </c>
      <c r="ET10" s="528"/>
      <c r="EV10" s="460">
        <f t="shared" si="126"/>
        <v>186.375</v>
      </c>
      <c r="EW10" s="528">
        <f t="shared" si="89"/>
        <v>1.5666666666666676E-3</v>
      </c>
      <c r="EX10" s="528">
        <f t="shared" si="90"/>
        <v>0.25937777777777782</v>
      </c>
      <c r="EY10" s="528">
        <f t="shared" si="91"/>
        <v>2.0620197398390674E-2</v>
      </c>
      <c r="EZ10" s="528">
        <f t="shared" si="92"/>
        <v>0.35152968599900092</v>
      </c>
      <c r="FA10" s="528">
        <f t="shared" si="93"/>
        <v>5.8750000000000017E-3</v>
      </c>
      <c r="FB10" s="460">
        <f t="shared" si="127"/>
        <v>357.40468599900095</v>
      </c>
      <c r="FC10" s="173">
        <f t="shared" si="128"/>
        <v>0.74702765680013672</v>
      </c>
      <c r="FD10" s="5">
        <f t="shared" si="129"/>
        <v>1.2000000000000002</v>
      </c>
      <c r="FE10" s="173">
        <f t="shared" si="130"/>
        <v>0.61632406494530889</v>
      </c>
      <c r="FF10" s="5">
        <f t="shared" si="131"/>
        <v>61.63240649453089</v>
      </c>
      <c r="FI10" s="562">
        <f t="shared" si="94"/>
        <v>-50</v>
      </c>
      <c r="FJ10">
        <f t="shared" si="95"/>
        <v>-50</v>
      </c>
      <c r="FL10">
        <f t="shared" si="96"/>
        <v>0.1125</v>
      </c>
    </row>
    <row r="11" spans="2:168">
      <c r="E11" s="170">
        <v>6</v>
      </c>
      <c r="F11" s="217">
        <f t="shared" si="97"/>
        <v>0.36</v>
      </c>
      <c r="G11" s="217"/>
      <c r="H11" s="217">
        <f t="shared" si="0"/>
        <v>1.44</v>
      </c>
      <c r="I11" s="541">
        <f t="shared" si="1"/>
        <v>23.974046122014119</v>
      </c>
      <c r="J11" s="172">
        <f t="shared" si="2"/>
        <v>19.095209986569245</v>
      </c>
      <c r="K11" s="172">
        <f t="shared" si="3"/>
        <v>43.095209986569245</v>
      </c>
      <c r="L11" s="443"/>
      <c r="M11" s="217">
        <f t="shared" si="4"/>
        <v>0.44368078007492451</v>
      </c>
      <c r="N11" s="172">
        <f t="shared" si="5"/>
        <v>35.775182987773832</v>
      </c>
      <c r="O11" s="172">
        <f t="shared" si="98"/>
        <v>1.44</v>
      </c>
      <c r="P11" s="217">
        <f t="shared" si="6"/>
        <v>8.9437957469434579</v>
      </c>
      <c r="Q11" s="217">
        <f t="shared" si="7"/>
        <v>4</v>
      </c>
      <c r="R11" s="217">
        <f t="shared" si="8"/>
        <v>8.8640195708062031</v>
      </c>
      <c r="S11" s="172">
        <f t="shared" si="9"/>
        <v>216.00775698772662</v>
      </c>
      <c r="T11" s="172">
        <f t="shared" si="10"/>
        <v>4</v>
      </c>
      <c r="U11" s="217">
        <f t="shared" si="99"/>
        <v>0.32355524230178895</v>
      </c>
      <c r="V11" s="217">
        <f t="shared" si="11"/>
        <v>0.16195275874005349</v>
      </c>
      <c r="W11" s="217">
        <f t="shared" si="12"/>
        <v>0.20333177327467816</v>
      </c>
      <c r="X11" s="197">
        <f t="shared" si="13"/>
        <v>350</v>
      </c>
      <c r="Y11" s="443">
        <f t="shared" si="14"/>
        <v>350</v>
      </c>
      <c r="AA11" s="217">
        <f t="shared" si="15"/>
        <v>2.5307492335766377</v>
      </c>
      <c r="AB11" s="173">
        <f t="shared" si="16"/>
        <v>1.5903983681918086</v>
      </c>
      <c r="AC11" s="173">
        <f t="shared" si="17"/>
        <v>2.8174296159680678</v>
      </c>
      <c r="AD11" s="173"/>
      <c r="AE11" s="173">
        <f t="shared" si="18"/>
        <v>0.83790647032704646</v>
      </c>
      <c r="AF11" s="545">
        <f t="shared" si="100"/>
        <v>161.11583426167792</v>
      </c>
      <c r="AG11" s="528">
        <f t="shared" si="19"/>
        <v>0.78204603897191016</v>
      </c>
      <c r="AI11" s="173">
        <f t="shared" si="20"/>
        <v>0.90463591697518786</v>
      </c>
      <c r="AJ11" s="173">
        <f t="shared" si="21"/>
        <v>1.3333333333333335</v>
      </c>
      <c r="AK11" s="173">
        <f t="shared" si="22"/>
        <v>1.0920661910066731</v>
      </c>
      <c r="AM11" s="545">
        <f t="shared" si="23"/>
        <v>360</v>
      </c>
      <c r="AN11" s="460">
        <f t="shared" si="24"/>
        <v>161.11583426167792</v>
      </c>
      <c r="AP11">
        <f t="shared" si="25"/>
        <v>360</v>
      </c>
      <c r="AQ11" s="460">
        <f t="shared" si="26"/>
        <v>161.11583426167792</v>
      </c>
      <c r="AR11" s="460"/>
      <c r="AS11" s="5">
        <f t="shared" si="101"/>
        <v>6.2067145950151605</v>
      </c>
      <c r="AT11" s="5">
        <f t="shared" si="27"/>
        <v>0.66738838819985558</v>
      </c>
      <c r="AU11" s="5">
        <f t="shared" si="102"/>
        <v>5.5393262068153053</v>
      </c>
      <c r="AV11" s="5">
        <f t="shared" si="28"/>
        <v>0.83790647032704646</v>
      </c>
      <c r="AW11" s="173">
        <f t="shared" si="103"/>
        <v>0.1075268369413763</v>
      </c>
      <c r="AX11" s="173">
        <f t="shared" si="29"/>
        <v>1.7185688987912315</v>
      </c>
      <c r="AY11" s="173">
        <f t="shared" si="30"/>
        <v>2.3799284348229968</v>
      </c>
      <c r="AZ11" s="173">
        <f t="shared" si="104"/>
        <v>0.72210948600185421</v>
      </c>
      <c r="BA11" s="460">
        <f t="shared" si="31"/>
        <v>6.0064954937986998</v>
      </c>
      <c r="BB11" s="5">
        <f t="shared" si="32"/>
        <v>0.27726614916597642</v>
      </c>
      <c r="BC11" s="5"/>
      <c r="BD11" s="173">
        <f t="shared" si="105"/>
        <v>0.25242742932647227</v>
      </c>
      <c r="BE11" s="173">
        <f t="shared" si="33"/>
        <v>2.9089461611139429</v>
      </c>
      <c r="BF11" s="173"/>
      <c r="BG11" s="528">
        <f t="shared" si="34"/>
        <v>7.773792063317281E-4</v>
      </c>
      <c r="BH11" s="528">
        <f t="shared" si="35"/>
        <v>0.17358301774170748</v>
      </c>
      <c r="BI11" s="528">
        <f t="shared" si="36"/>
        <v>9.6564961039406205E-2</v>
      </c>
      <c r="BJ11" s="528">
        <f t="shared" si="37"/>
        <v>2.9922386398725027E-2</v>
      </c>
      <c r="BK11">
        <f t="shared" si="38"/>
        <v>1.0788320754906353E-2</v>
      </c>
      <c r="BL11" s="460">
        <f t="shared" si="106"/>
        <v>107.35328179431255</v>
      </c>
      <c r="BM11" s="528">
        <f t="shared" si="39"/>
        <v>0.20453045359114574</v>
      </c>
      <c r="BN11" s="460">
        <f t="shared" si="107"/>
        <v>204.53045359114574</v>
      </c>
      <c r="BO11" s="528">
        <f t="shared" si="108"/>
        <v>0.22364999999999999</v>
      </c>
      <c r="BP11" s="528"/>
      <c r="BR11" s="460">
        <f t="shared" si="109"/>
        <v>223.64999999999998</v>
      </c>
      <c r="BS11" s="528">
        <f t="shared" si="40"/>
        <v>1.9115882122911346E-3</v>
      </c>
      <c r="BT11" s="528">
        <f t="shared" si="41"/>
        <v>0.2538590330477864</v>
      </c>
      <c r="BU11" s="528">
        <f t="shared" si="42"/>
        <v>2.1599999999999998E-2</v>
      </c>
      <c r="BV11" s="528">
        <f t="shared" si="43"/>
        <v>0.3458318607525937</v>
      </c>
      <c r="BW11" s="528">
        <f t="shared" si="44"/>
        <v>7.1607037449634642E-3</v>
      </c>
      <c r="BX11" s="460">
        <f t="shared" si="110"/>
        <v>352.99256449755717</v>
      </c>
      <c r="BY11" s="173">
        <f t="shared" si="45"/>
        <v>0.88852629988301546</v>
      </c>
      <c r="BZ11" s="5">
        <f t="shared" si="111"/>
        <v>1.44</v>
      </c>
      <c r="CA11" s="173">
        <f t="shared" si="112"/>
        <v>0.61841689315355608</v>
      </c>
      <c r="CB11" s="5">
        <f t="shared" si="113"/>
        <v>61.841689315355609</v>
      </c>
      <c r="CE11" s="562">
        <f t="shared" si="46"/>
        <v>-50</v>
      </c>
      <c r="CF11">
        <f t="shared" si="47"/>
        <v>-50</v>
      </c>
      <c r="CG11" s="173">
        <f t="shared" si="48"/>
        <v>0.14633651287358188</v>
      </c>
      <c r="CI11" s="170">
        <v>6</v>
      </c>
      <c r="CJ11" s="217">
        <f t="shared" si="114"/>
        <v>0.36</v>
      </c>
      <c r="CK11" s="217"/>
      <c r="CL11" s="217">
        <f t="shared" si="49"/>
        <v>1.44</v>
      </c>
      <c r="CM11" s="541">
        <f t="shared" si="50"/>
        <v>24</v>
      </c>
      <c r="CN11" s="172">
        <f t="shared" si="51"/>
        <v>18.8</v>
      </c>
      <c r="CO11" s="443">
        <f t="shared" si="52"/>
        <v>42.8</v>
      </c>
      <c r="CP11" s="443"/>
      <c r="CQ11" s="217">
        <f t="shared" si="53"/>
        <v>0.43925233644859818</v>
      </c>
      <c r="CR11" s="172">
        <f t="shared" si="54"/>
        <v>35.456448598130848</v>
      </c>
      <c r="CS11" s="172">
        <f t="shared" si="115"/>
        <v>1.44</v>
      </c>
      <c r="CT11" s="217">
        <f t="shared" si="55"/>
        <v>8.864112149532712</v>
      </c>
      <c r="CU11" s="217">
        <f t="shared" si="56"/>
        <v>4</v>
      </c>
      <c r="CV11" s="217">
        <f t="shared" si="57"/>
        <v>8.7850467289719631</v>
      </c>
      <c r="CW11" s="172">
        <f t="shared" si="58"/>
        <v>216.24158227277596</v>
      </c>
      <c r="CX11" s="172">
        <f t="shared" si="59"/>
        <v>4</v>
      </c>
      <c r="CY11" s="217">
        <f t="shared" si="60"/>
        <v>0.27319148936170207</v>
      </c>
      <c r="CZ11" s="217">
        <f t="shared" si="61"/>
        <v>0.13659574468085106</v>
      </c>
      <c r="DA11" s="217">
        <f t="shared" si="62"/>
        <v>0.17437754640108644</v>
      </c>
      <c r="DB11" s="197">
        <f t="shared" si="63"/>
        <v>350</v>
      </c>
      <c r="DC11" s="443">
        <f t="shared" si="116"/>
        <v>350</v>
      </c>
      <c r="DE11" s="217">
        <f t="shared" si="64"/>
        <v>2.5100133511348464</v>
      </c>
      <c r="DF11" s="173">
        <f t="shared" si="65"/>
        <v>1.6021361815754336</v>
      </c>
      <c r="DG11" s="173">
        <f t="shared" si="66"/>
        <v>2.8149682442633783</v>
      </c>
      <c r="DH11" s="173"/>
      <c r="DI11" s="173">
        <f t="shared" si="67"/>
        <v>0.85106382978723416</v>
      </c>
      <c r="DJ11" s="545">
        <f t="shared" si="117"/>
        <v>158.62499999999997</v>
      </c>
      <c r="DK11" s="528">
        <f t="shared" si="68"/>
        <v>0.79432624113475192</v>
      </c>
      <c r="DM11" s="173">
        <f t="shared" si="69"/>
        <v>0.89761588985171481</v>
      </c>
      <c r="DN11" s="173">
        <f t="shared" si="70"/>
        <v>1.3333333333333335</v>
      </c>
      <c r="DO11" s="173">
        <f t="shared" si="71"/>
        <v>1.090642857142857</v>
      </c>
      <c r="DQ11" s="545">
        <f t="shared" si="72"/>
        <v>360</v>
      </c>
      <c r="DR11" s="460">
        <f t="shared" si="73"/>
        <v>158.62499999999997</v>
      </c>
      <c r="DT11">
        <f t="shared" si="74"/>
        <v>360</v>
      </c>
      <c r="DU11" s="460">
        <f t="shared" si="75"/>
        <v>158.62499999999997</v>
      </c>
      <c r="DV11" s="460"/>
      <c r="DW11" s="5">
        <f t="shared" si="118"/>
        <v>6.3041765169424755</v>
      </c>
      <c r="DX11" s="5">
        <f t="shared" si="76"/>
        <v>0.66666666666666685</v>
      </c>
      <c r="DY11" s="5">
        <f t="shared" si="119"/>
        <v>5.6375098502758085</v>
      </c>
      <c r="DZ11" s="5">
        <f t="shared" si="77"/>
        <v>0.85106382978723416</v>
      </c>
      <c r="EA11" s="173">
        <f t="shared" si="120"/>
        <v>0.10575000000000001</v>
      </c>
      <c r="EB11" s="173">
        <f t="shared" si="78"/>
        <v>1.6920000000000002</v>
      </c>
      <c r="EC11" s="173">
        <f t="shared" si="79"/>
        <v>2.3846666666666669</v>
      </c>
      <c r="ED11" s="173">
        <f t="shared" si="121"/>
        <v>0.70953312831982107</v>
      </c>
      <c r="EE11" s="460">
        <f t="shared" si="80"/>
        <v>6.0000000000000009</v>
      </c>
      <c r="EF11" s="5">
        <f t="shared" si="81"/>
        <v>0.28187549251379035</v>
      </c>
      <c r="EG11" s="5"/>
      <c r="EH11" s="173">
        <f t="shared" si="122"/>
        <v>0.25033311140691455</v>
      </c>
      <c r="EI11" s="173">
        <f t="shared" si="82"/>
        <v>2.9118404514696228</v>
      </c>
      <c r="EJ11" s="173"/>
      <c r="EK11" s="528">
        <f t="shared" si="83"/>
        <v>7.6453333333333356E-4</v>
      </c>
      <c r="EL11" s="528">
        <f t="shared" si="84"/>
        <v>0.18104399999999995</v>
      </c>
      <c r="EM11" s="528">
        <f t="shared" si="85"/>
        <v>1.9828124999999995E-2</v>
      </c>
      <c r="EN11" s="528">
        <f t="shared" si="86"/>
        <v>2.9057561999999992E-2</v>
      </c>
      <c r="EO11">
        <f t="shared" si="87"/>
        <v>1.0800000000000001E-2</v>
      </c>
      <c r="EP11" s="460">
        <f t="shared" si="123"/>
        <v>30.628124999999997</v>
      </c>
      <c r="EQ11" s="528">
        <f t="shared" si="88"/>
        <v>0.24174455798653455</v>
      </c>
      <c r="ER11" s="460">
        <f t="shared" si="124"/>
        <v>241.74455798653455</v>
      </c>
      <c r="ES11" s="528">
        <f t="shared" si="125"/>
        <v>0.22364999999999999</v>
      </c>
      <c r="ET11" s="528"/>
      <c r="EV11" s="460">
        <f t="shared" si="126"/>
        <v>223.64999999999998</v>
      </c>
      <c r="EW11" s="528">
        <f t="shared" si="89"/>
        <v>1.8800000000000006E-3</v>
      </c>
      <c r="EX11" s="528">
        <f t="shared" si="90"/>
        <v>0.2543644444444445</v>
      </c>
      <c r="EY11" s="528">
        <f t="shared" si="91"/>
        <v>3.2527144095286696E-2</v>
      </c>
      <c r="EZ11" s="528">
        <f t="shared" si="92"/>
        <v>0.35760091503078906</v>
      </c>
      <c r="FA11" s="528">
        <f t="shared" si="93"/>
        <v>7.0499999999999998E-3</v>
      </c>
      <c r="FB11" s="460">
        <f t="shared" si="127"/>
        <v>364.65091503078906</v>
      </c>
      <c r="FC11" s="173">
        <f t="shared" si="128"/>
        <v>0.83004547301732357</v>
      </c>
      <c r="FD11" s="5">
        <f t="shared" si="129"/>
        <v>1.44</v>
      </c>
      <c r="FE11" s="173">
        <f t="shared" si="130"/>
        <v>0.63434852610505865</v>
      </c>
      <c r="FF11" s="5">
        <f t="shared" si="131"/>
        <v>63.434852610505864</v>
      </c>
      <c r="FI11" s="562">
        <f t="shared" si="94"/>
        <v>-50</v>
      </c>
      <c r="FJ11">
        <f t="shared" si="95"/>
        <v>-50</v>
      </c>
      <c r="FL11">
        <f t="shared" si="96"/>
        <v>0.13499999999999998</v>
      </c>
    </row>
    <row r="12" spans="2:168">
      <c r="E12" s="170">
        <v>7</v>
      </c>
      <c r="F12" s="217">
        <f t="shared" si="97"/>
        <v>0.42000000000000004</v>
      </c>
      <c r="G12" s="217"/>
      <c r="H12" s="217">
        <f t="shared" si="0"/>
        <v>1.6800000000000002</v>
      </c>
      <c r="I12" s="541">
        <f t="shared" si="1"/>
        <v>23.974046122014119</v>
      </c>
      <c r="J12" s="172">
        <f t="shared" si="2"/>
        <v>19.095209986569245</v>
      </c>
      <c r="K12" s="172">
        <f t="shared" si="3"/>
        <v>43.095209986569245</v>
      </c>
      <c r="L12" s="443"/>
      <c r="M12" s="217">
        <f t="shared" si="4"/>
        <v>0.44368078007492451</v>
      </c>
      <c r="N12" s="172">
        <f t="shared" si="5"/>
        <v>35.775182987773832</v>
      </c>
      <c r="O12" s="172">
        <f t="shared" si="98"/>
        <v>1.6800000000000002</v>
      </c>
      <c r="P12" s="217">
        <f t="shared" si="6"/>
        <v>8.9437957469434579</v>
      </c>
      <c r="Q12" s="217">
        <f t="shared" si="7"/>
        <v>4</v>
      </c>
      <c r="R12" s="217">
        <f t="shared" si="8"/>
        <v>8.8640195708062031</v>
      </c>
      <c r="S12" s="172">
        <f t="shared" si="9"/>
        <v>184.29937401554218</v>
      </c>
      <c r="T12" s="172">
        <f t="shared" si="10"/>
        <v>4</v>
      </c>
      <c r="U12" s="217">
        <f t="shared" si="99"/>
        <v>0.37748111601875384</v>
      </c>
      <c r="V12" s="217">
        <f t="shared" si="11"/>
        <v>0.18894488519672908</v>
      </c>
      <c r="W12" s="217">
        <f t="shared" si="12"/>
        <v>0.2372204021537912</v>
      </c>
      <c r="X12" s="197">
        <f t="shared" si="13"/>
        <v>350</v>
      </c>
      <c r="Y12" s="443">
        <f t="shared" si="14"/>
        <v>350</v>
      </c>
      <c r="AA12" s="217">
        <f t="shared" si="15"/>
        <v>2.5307492335766377</v>
      </c>
      <c r="AB12" s="173">
        <f t="shared" si="16"/>
        <v>1.5903983681918086</v>
      </c>
      <c r="AC12" s="173">
        <f t="shared" si="17"/>
        <v>2.8174296159680678</v>
      </c>
      <c r="AD12" s="173"/>
      <c r="AE12" s="173">
        <f t="shared" si="18"/>
        <v>0.83790647032704646</v>
      </c>
      <c r="AF12" s="545">
        <f t="shared" si="100"/>
        <v>187.96847330529096</v>
      </c>
      <c r="AG12" s="528">
        <f t="shared" si="19"/>
        <v>0.78204603897191016</v>
      </c>
      <c r="AI12" s="173">
        <f t="shared" si="20"/>
        <v>0.97711846739710251</v>
      </c>
      <c r="AJ12" s="173">
        <f t="shared" si="21"/>
        <v>1.3333333333333335</v>
      </c>
      <c r="AK12" s="173">
        <f t="shared" si="22"/>
        <v>1.1074105561744521</v>
      </c>
      <c r="AM12" s="545">
        <f t="shared" si="23"/>
        <v>420.00000000000006</v>
      </c>
      <c r="AN12" s="460">
        <f t="shared" si="24"/>
        <v>187.96847330529096</v>
      </c>
      <c r="AP12">
        <f t="shared" si="25"/>
        <v>420.00000000000006</v>
      </c>
      <c r="AQ12" s="460">
        <f t="shared" si="26"/>
        <v>187.96847330529096</v>
      </c>
      <c r="AR12" s="460"/>
      <c r="AS12" s="5">
        <f t="shared" si="101"/>
        <v>5.3200410814415644</v>
      </c>
      <c r="AT12" s="5">
        <f t="shared" si="27"/>
        <v>0.66738838819985558</v>
      </c>
      <c r="AU12" s="5">
        <f t="shared" si="102"/>
        <v>4.6526526932417092</v>
      </c>
      <c r="AV12" s="5">
        <f t="shared" si="28"/>
        <v>0.83790647032704646</v>
      </c>
      <c r="AW12" s="173">
        <f t="shared" si="103"/>
        <v>0.12544797643160571</v>
      </c>
      <c r="AX12" s="173">
        <f t="shared" si="29"/>
        <v>2.0049970485897708</v>
      </c>
      <c r="AY12" s="173">
        <f t="shared" si="30"/>
        <v>2.3321387295157185</v>
      </c>
      <c r="AZ12" s="173">
        <f t="shared" si="104"/>
        <v>0.85972460523655014</v>
      </c>
      <c r="BA12" s="460">
        <f t="shared" si="31"/>
        <v>7.0075780760984845</v>
      </c>
      <c r="BB12" s="5">
        <f t="shared" si="32"/>
        <v>0.27169855840717633</v>
      </c>
      <c r="BC12" s="5"/>
      <c r="BD12" s="173">
        <f t="shared" si="105"/>
        <v>0.27265278577175717</v>
      </c>
      <c r="BE12" s="173">
        <f t="shared" si="33"/>
        <v>2.8795917794117778</v>
      </c>
      <c r="BF12" s="173"/>
      <c r="BG12" s="528">
        <f t="shared" si="34"/>
        <v>9.0694240738701637E-4</v>
      </c>
      <c r="BH12" s="528">
        <f t="shared" si="35"/>
        <v>0.20251352069865874</v>
      </c>
      <c r="BI12" s="528">
        <f t="shared" si="36"/>
        <v>0.11265912121264061</v>
      </c>
      <c r="BJ12" s="528">
        <f t="shared" si="37"/>
        <v>3.4909450798512542E-2</v>
      </c>
      <c r="BK12">
        <f t="shared" si="38"/>
        <v>1.0788320754906353E-2</v>
      </c>
      <c r="BL12" s="460">
        <f t="shared" si="106"/>
        <v>123.44744196754696</v>
      </c>
      <c r="BM12" s="528">
        <f t="shared" si="39"/>
        <v>0.23862620980100657</v>
      </c>
      <c r="BN12" s="460">
        <f t="shared" si="107"/>
        <v>238.62620980100658</v>
      </c>
      <c r="BO12" s="528">
        <f t="shared" si="108"/>
        <v>0.26092499999999996</v>
      </c>
      <c r="BP12" s="528"/>
      <c r="BR12" s="460">
        <f t="shared" si="109"/>
        <v>260.92499999999995</v>
      </c>
      <c r="BS12" s="528">
        <f t="shared" si="40"/>
        <v>2.2301862476729914E-3</v>
      </c>
      <c r="BT12" s="528">
        <f t="shared" si="41"/>
        <v>0.24876146448167666</v>
      </c>
      <c r="BU12" s="528">
        <f t="shared" si="42"/>
        <v>2.52E-2</v>
      </c>
      <c r="BV12" s="528">
        <f t="shared" si="43"/>
        <v>0.3433233504616986</v>
      </c>
      <c r="BW12" s="528">
        <f t="shared" si="44"/>
        <v>8.3541543691240446E-3</v>
      </c>
      <c r="BX12" s="460">
        <f t="shared" si="110"/>
        <v>351.67750483082267</v>
      </c>
      <c r="BY12" s="173">
        <f t="shared" si="45"/>
        <v>0.97467615659937612</v>
      </c>
      <c r="BZ12" s="5">
        <f t="shared" si="111"/>
        <v>1.6800000000000002</v>
      </c>
      <c r="CA12" s="173">
        <f t="shared" si="112"/>
        <v>0.63284555286474931</v>
      </c>
      <c r="CB12" s="5">
        <f t="shared" si="113"/>
        <v>63.284555286474934</v>
      </c>
      <c r="CE12" s="562">
        <f t="shared" si="46"/>
        <v>-50</v>
      </c>
      <c r="CF12">
        <f t="shared" si="47"/>
        <v>-50</v>
      </c>
      <c r="CG12" s="173">
        <f t="shared" si="48"/>
        <v>0.17072593168584554</v>
      </c>
      <c r="CI12" s="170">
        <v>7</v>
      </c>
      <c r="CJ12" s="217">
        <f t="shared" si="114"/>
        <v>0.42000000000000004</v>
      </c>
      <c r="CK12" s="217"/>
      <c r="CL12" s="217">
        <f t="shared" si="49"/>
        <v>1.6800000000000002</v>
      </c>
      <c r="CM12" s="541">
        <f t="shared" si="50"/>
        <v>24</v>
      </c>
      <c r="CN12" s="172">
        <f t="shared" si="51"/>
        <v>18.8</v>
      </c>
      <c r="CO12" s="443">
        <f t="shared" si="52"/>
        <v>42.8</v>
      </c>
      <c r="CP12" s="443"/>
      <c r="CQ12" s="217">
        <f t="shared" si="53"/>
        <v>0.43925233644859818</v>
      </c>
      <c r="CR12" s="172">
        <f t="shared" si="54"/>
        <v>35.456448598130848</v>
      </c>
      <c r="CS12" s="172">
        <f t="shared" si="115"/>
        <v>1.6800000000000002</v>
      </c>
      <c r="CT12" s="217">
        <f t="shared" si="55"/>
        <v>8.864112149532712</v>
      </c>
      <c r="CU12" s="217">
        <f t="shared" si="56"/>
        <v>4</v>
      </c>
      <c r="CV12" s="217">
        <f t="shared" si="57"/>
        <v>8.7850467289719631</v>
      </c>
      <c r="CW12" s="172">
        <f t="shared" si="58"/>
        <v>184.49886880045455</v>
      </c>
      <c r="CX12" s="172">
        <f t="shared" si="59"/>
        <v>4</v>
      </c>
      <c r="CY12" s="217">
        <f t="shared" si="60"/>
        <v>0.31872340425531914</v>
      </c>
      <c r="CZ12" s="217">
        <f t="shared" si="61"/>
        <v>0.1593617021276596</v>
      </c>
      <c r="DA12" s="217">
        <f t="shared" si="62"/>
        <v>0.20344047080126754</v>
      </c>
      <c r="DB12" s="197">
        <f t="shared" si="63"/>
        <v>350</v>
      </c>
      <c r="DC12" s="443">
        <f t="shared" si="116"/>
        <v>350</v>
      </c>
      <c r="DE12" s="217">
        <f t="shared" si="64"/>
        <v>2.5100133511348464</v>
      </c>
      <c r="DF12" s="173">
        <f t="shared" si="65"/>
        <v>1.6021361815754336</v>
      </c>
      <c r="DG12" s="173">
        <f t="shared" si="66"/>
        <v>2.8149682442633783</v>
      </c>
      <c r="DH12" s="173"/>
      <c r="DI12" s="173">
        <f t="shared" si="67"/>
        <v>0.85106382978723416</v>
      </c>
      <c r="DJ12" s="545">
        <f t="shared" si="117"/>
        <v>185.06249999999997</v>
      </c>
      <c r="DK12" s="528">
        <f t="shared" si="68"/>
        <v>0.79432624113475192</v>
      </c>
      <c r="DM12" s="173">
        <f t="shared" si="69"/>
        <v>0.96953597148326587</v>
      </c>
      <c r="DN12" s="173">
        <f t="shared" si="70"/>
        <v>1.3333333333333335</v>
      </c>
      <c r="DO12" s="173">
        <f t="shared" si="71"/>
        <v>1.10575</v>
      </c>
      <c r="DQ12" s="545">
        <f t="shared" si="72"/>
        <v>420.00000000000006</v>
      </c>
      <c r="DR12" s="460">
        <f t="shared" si="73"/>
        <v>185.06249999999997</v>
      </c>
      <c r="DT12">
        <f t="shared" si="74"/>
        <v>420.00000000000006</v>
      </c>
      <c r="DU12" s="460">
        <f t="shared" si="75"/>
        <v>185.06249999999997</v>
      </c>
      <c r="DV12" s="460"/>
      <c r="DW12" s="5">
        <f t="shared" si="118"/>
        <v>5.403579871664979</v>
      </c>
      <c r="DX12" s="5">
        <f t="shared" si="76"/>
        <v>0.66666666666666685</v>
      </c>
      <c r="DY12" s="5">
        <f t="shared" si="119"/>
        <v>4.736913204998312</v>
      </c>
      <c r="DZ12" s="5">
        <f t="shared" si="77"/>
        <v>0.85106382978723416</v>
      </c>
      <c r="EA12" s="173">
        <f t="shared" si="120"/>
        <v>0.12337500000000001</v>
      </c>
      <c r="EB12" s="173">
        <f t="shared" si="78"/>
        <v>1.974</v>
      </c>
      <c r="EC12" s="173">
        <f t="shared" si="79"/>
        <v>2.3376666666666668</v>
      </c>
      <c r="ED12" s="173">
        <f t="shared" si="121"/>
        <v>0.84443176957079702</v>
      </c>
      <c r="EE12" s="460">
        <f t="shared" si="80"/>
        <v>7.0000000000000018</v>
      </c>
      <c r="EF12" s="5">
        <f t="shared" si="81"/>
        <v>0.27631993695823487</v>
      </c>
      <c r="EG12" s="5"/>
      <c r="EH12" s="173">
        <f t="shared" si="122"/>
        <v>0.27039066387564331</v>
      </c>
      <c r="EI12" s="173">
        <f t="shared" si="82"/>
        <v>2.8830025500688872</v>
      </c>
      <c r="EJ12" s="173"/>
      <c r="EK12" s="528">
        <f t="shared" si="83"/>
        <v>8.9195555555555571E-4</v>
      </c>
      <c r="EL12" s="528">
        <f t="shared" si="84"/>
        <v>0.21121800000000002</v>
      </c>
      <c r="EM12" s="528">
        <f t="shared" si="85"/>
        <v>2.3132812499999995E-2</v>
      </c>
      <c r="EN12" s="528">
        <f t="shared" si="86"/>
        <v>3.3900488999999985E-2</v>
      </c>
      <c r="EO12">
        <f t="shared" si="87"/>
        <v>1.0800000000000001E-2</v>
      </c>
      <c r="EP12" s="460">
        <f t="shared" si="123"/>
        <v>33.93281249999999</v>
      </c>
      <c r="EQ12" s="528">
        <f t="shared" si="88"/>
        <v>0.280243476674436</v>
      </c>
      <c r="ER12" s="460">
        <f t="shared" si="124"/>
        <v>280.24347667443601</v>
      </c>
      <c r="ES12" s="528">
        <f t="shared" si="125"/>
        <v>0.26092499999999996</v>
      </c>
      <c r="ET12" s="528"/>
      <c r="EV12" s="460">
        <f t="shared" si="126"/>
        <v>260.92499999999995</v>
      </c>
      <c r="EW12" s="528">
        <f t="shared" si="89"/>
        <v>2.1933333333333336E-3</v>
      </c>
      <c r="EX12" s="528">
        <f t="shared" si="90"/>
        <v>0.24935111111111119</v>
      </c>
      <c r="EY12" s="528">
        <f t="shared" si="91"/>
        <v>4.7820367317239786E-2</v>
      </c>
      <c r="EZ12" s="528">
        <f t="shared" si="92"/>
        <v>0.36712330464511611</v>
      </c>
      <c r="FA12" s="528">
        <f t="shared" si="93"/>
        <v>8.2249999999999997E-3</v>
      </c>
      <c r="FB12" s="460">
        <f t="shared" si="127"/>
        <v>375.34830464511612</v>
      </c>
      <c r="FC12" s="173">
        <f t="shared" si="128"/>
        <v>0.91651678131955217</v>
      </c>
      <c r="FD12" s="5">
        <f t="shared" si="129"/>
        <v>1.6800000000000002</v>
      </c>
      <c r="FE12" s="173">
        <f t="shared" si="130"/>
        <v>0.64702065940287223</v>
      </c>
      <c r="FF12" s="5">
        <f t="shared" si="131"/>
        <v>64.702065940287227</v>
      </c>
      <c r="FI12" s="562">
        <f t="shared" si="94"/>
        <v>-50</v>
      </c>
      <c r="FJ12">
        <f t="shared" si="95"/>
        <v>-50</v>
      </c>
      <c r="FL12">
        <f t="shared" si="96"/>
        <v>0.15749999999999997</v>
      </c>
    </row>
    <row r="13" spans="2:168" s="76" customFormat="1">
      <c r="E13" s="189">
        <v>8</v>
      </c>
      <c r="F13" s="217">
        <f t="shared" si="97"/>
        <v>0.48</v>
      </c>
      <c r="G13" s="217"/>
      <c r="H13" s="217">
        <f t="shared" si="0"/>
        <v>1.92</v>
      </c>
      <c r="I13" s="541">
        <f t="shared" si="1"/>
        <v>23.974046122014119</v>
      </c>
      <c r="J13" s="172">
        <f t="shared" si="2"/>
        <v>19.095209986569245</v>
      </c>
      <c r="K13" s="172">
        <f t="shared" si="3"/>
        <v>43.095209986569245</v>
      </c>
      <c r="L13" s="535"/>
      <c r="M13" s="217">
        <f t="shared" si="4"/>
        <v>0.44368078007492451</v>
      </c>
      <c r="N13" s="172">
        <f t="shared" si="5"/>
        <v>35.775182987773832</v>
      </c>
      <c r="O13" s="172">
        <f t="shared" si="98"/>
        <v>1.92</v>
      </c>
      <c r="P13" s="329">
        <f t="shared" si="6"/>
        <v>8.9437957469434579</v>
      </c>
      <c r="Q13" s="217">
        <f t="shared" si="7"/>
        <v>4</v>
      </c>
      <c r="R13" s="217">
        <f t="shared" si="8"/>
        <v>8.8640195708062031</v>
      </c>
      <c r="S13" s="172">
        <f t="shared" si="9"/>
        <v>160.51894322910272</v>
      </c>
      <c r="T13" s="172">
        <f t="shared" si="10"/>
        <v>4</v>
      </c>
      <c r="U13" s="217">
        <f t="shared" si="99"/>
        <v>0.43140698973571856</v>
      </c>
      <c r="V13" s="217">
        <f t="shared" si="11"/>
        <v>0.21593701165340462</v>
      </c>
      <c r="W13" s="217">
        <f t="shared" si="12"/>
        <v>0.27110903103290412</v>
      </c>
      <c r="X13" s="537">
        <f t="shared" si="13"/>
        <v>350</v>
      </c>
      <c r="Y13" s="443">
        <f t="shared" si="14"/>
        <v>350</v>
      </c>
      <c r="AA13" s="329">
        <f t="shared" si="15"/>
        <v>2.5307492335766377</v>
      </c>
      <c r="AB13" s="173">
        <f t="shared" si="16"/>
        <v>1.5903983681918086</v>
      </c>
      <c r="AC13" s="538">
        <f t="shared" si="17"/>
        <v>2.8174296159680678</v>
      </c>
      <c r="AD13" s="538"/>
      <c r="AE13" s="173">
        <f t="shared" si="18"/>
        <v>0.83790647032704646</v>
      </c>
      <c r="AF13" s="545">
        <f t="shared" si="100"/>
        <v>214.82111234890394</v>
      </c>
      <c r="AG13" s="528">
        <f t="shared" si="19"/>
        <v>0.78204603897191016</v>
      </c>
      <c r="AH13"/>
      <c r="AI13" s="173">
        <f t="shared" si="20"/>
        <v>1.0445835803684573</v>
      </c>
      <c r="AJ13" s="173">
        <f t="shared" si="21"/>
        <v>1.3333333333333335</v>
      </c>
      <c r="AK13" s="173">
        <f t="shared" si="22"/>
        <v>1.1227549213422308</v>
      </c>
      <c r="AM13" s="545">
        <f t="shared" si="23"/>
        <v>480</v>
      </c>
      <c r="AN13" s="460">
        <f t="shared" si="24"/>
        <v>214.82111234890394</v>
      </c>
      <c r="AP13">
        <f t="shared" si="25"/>
        <v>480</v>
      </c>
      <c r="AQ13" s="460">
        <f t="shared" si="26"/>
        <v>214.82111234890394</v>
      </c>
      <c r="AR13" s="460"/>
      <c r="AS13" s="5">
        <f t="shared" si="101"/>
        <v>4.6550359462613695</v>
      </c>
      <c r="AT13" s="5">
        <f t="shared" si="27"/>
        <v>0.66738838819985558</v>
      </c>
      <c r="AU13" s="5">
        <f t="shared" si="102"/>
        <v>3.9876475580615138</v>
      </c>
      <c r="AV13" s="5">
        <f t="shared" si="28"/>
        <v>0.83790647032704646</v>
      </c>
      <c r="AW13" s="173">
        <f t="shared" si="103"/>
        <v>0.1433691159218351</v>
      </c>
      <c r="AX13" s="173">
        <f t="shared" si="29"/>
        <v>2.2914251983883092</v>
      </c>
      <c r="AY13" s="173">
        <f t="shared" si="30"/>
        <v>2.2843490242084399</v>
      </c>
      <c r="AZ13" s="173">
        <f t="shared" si="104"/>
        <v>1.0030976764517503</v>
      </c>
      <c r="BA13" s="460">
        <f t="shared" si="31"/>
        <v>8.0086606583982665</v>
      </c>
      <c r="BB13" s="5">
        <f t="shared" si="32"/>
        <v>0.26613096764837629</v>
      </c>
      <c r="BC13" s="5"/>
      <c r="BD13" s="173">
        <f t="shared" si="105"/>
        <v>0.29147808854496804</v>
      </c>
      <c r="BE13" s="173">
        <f t="shared" si="33"/>
        <v>2.8499350630939353</v>
      </c>
      <c r="BF13" s="173"/>
      <c r="BG13" s="528">
        <f t="shared" si="34"/>
        <v>1.0365056084423044E-3</v>
      </c>
      <c r="BH13" s="528">
        <f t="shared" si="35"/>
        <v>0.23144402365561001</v>
      </c>
      <c r="BI13" s="528">
        <f t="shared" si="36"/>
        <v>0.12875328138587497</v>
      </c>
      <c r="BJ13" s="528">
        <f t="shared" si="37"/>
        <v>3.9896515198300044E-2</v>
      </c>
      <c r="BK13">
        <f t="shared" si="38"/>
        <v>1.0788320754906353E-2</v>
      </c>
      <c r="BL13" s="460">
        <f t="shared" si="106"/>
        <v>139.54160214078132</v>
      </c>
      <c r="BM13" s="528">
        <f t="shared" si="39"/>
        <v>0.2727240657502647</v>
      </c>
      <c r="BN13" s="460">
        <f t="shared" si="107"/>
        <v>272.72406575026469</v>
      </c>
      <c r="BO13" s="528">
        <f t="shared" si="108"/>
        <v>0.29819999999999997</v>
      </c>
      <c r="BP13" s="528"/>
      <c r="BR13" s="460">
        <f t="shared" si="109"/>
        <v>298.2</v>
      </c>
      <c r="BS13" s="528">
        <f t="shared" si="40"/>
        <v>2.548784283054847E-3</v>
      </c>
      <c r="BT13" s="528">
        <f t="shared" si="41"/>
        <v>0.243663895915567</v>
      </c>
      <c r="BU13" s="528">
        <f t="shared" si="42"/>
        <v>2.8799999999999999E-2</v>
      </c>
      <c r="BV13" s="528">
        <f t="shared" si="43"/>
        <v>0.34081679680615939</v>
      </c>
      <c r="BW13" s="528">
        <f t="shared" si="44"/>
        <v>9.5476049932846207E-3</v>
      </c>
      <c r="BX13" s="460">
        <f t="shared" si="110"/>
        <v>350.36440179944401</v>
      </c>
      <c r="BY13" s="173">
        <f t="shared" si="45"/>
        <v>1.06083006969049</v>
      </c>
      <c r="BZ13" s="5">
        <f t="shared" si="111"/>
        <v>1.92</v>
      </c>
      <c r="CA13" s="173">
        <f t="shared" si="112"/>
        <v>0.64411588554571997</v>
      </c>
      <c r="CB13" s="5">
        <f t="shared" si="113"/>
        <v>64.411588554571992</v>
      </c>
      <c r="CE13" s="562">
        <f t="shared" si="46"/>
        <v>-50</v>
      </c>
      <c r="CF13">
        <f t="shared" si="47"/>
        <v>-50</v>
      </c>
      <c r="CG13" s="173">
        <f t="shared" si="48"/>
        <v>0.19511535049810916</v>
      </c>
      <c r="CH13"/>
      <c r="CI13" s="189">
        <v>8</v>
      </c>
      <c r="CJ13" s="217">
        <f t="shared" si="114"/>
        <v>0.48</v>
      </c>
      <c r="CK13" s="217"/>
      <c r="CL13" s="217">
        <f t="shared" si="49"/>
        <v>1.92</v>
      </c>
      <c r="CM13" s="541">
        <f t="shared" si="50"/>
        <v>24</v>
      </c>
      <c r="CN13" s="172">
        <f t="shared" si="51"/>
        <v>18.8</v>
      </c>
      <c r="CO13" s="535">
        <f t="shared" si="52"/>
        <v>42.8</v>
      </c>
      <c r="CP13" s="535"/>
      <c r="CQ13" s="329">
        <f t="shared" si="53"/>
        <v>0.43925233644859818</v>
      </c>
      <c r="CR13" s="172">
        <f t="shared" si="54"/>
        <v>35.456448598130848</v>
      </c>
      <c r="CS13" s="172">
        <f t="shared" si="115"/>
        <v>1.92</v>
      </c>
      <c r="CT13" s="329">
        <f t="shared" si="55"/>
        <v>8.864112149532712</v>
      </c>
      <c r="CU13" s="217">
        <f t="shared" si="56"/>
        <v>4</v>
      </c>
      <c r="CV13" s="217">
        <f t="shared" si="57"/>
        <v>8.7850467289719631</v>
      </c>
      <c r="CW13" s="172">
        <f t="shared" si="58"/>
        <v>160.69269015011005</v>
      </c>
      <c r="CX13" s="172">
        <f t="shared" si="59"/>
        <v>4</v>
      </c>
      <c r="CY13" s="217">
        <f t="shared" si="60"/>
        <v>0.36425531914893611</v>
      </c>
      <c r="CZ13" s="329">
        <f t="shared" si="61"/>
        <v>0.18212765957446808</v>
      </c>
      <c r="DA13" s="217">
        <f t="shared" si="62"/>
        <v>0.23250339520144858</v>
      </c>
      <c r="DB13" s="537">
        <f t="shared" si="63"/>
        <v>350</v>
      </c>
      <c r="DC13" s="535">
        <f t="shared" si="116"/>
        <v>350</v>
      </c>
      <c r="DE13" s="329">
        <f t="shared" si="64"/>
        <v>2.5100133511348464</v>
      </c>
      <c r="DF13" s="173">
        <f t="shared" si="65"/>
        <v>1.6021361815754336</v>
      </c>
      <c r="DG13" s="538">
        <f t="shared" si="66"/>
        <v>2.8149682442633783</v>
      </c>
      <c r="DH13" s="538"/>
      <c r="DI13" s="173">
        <f t="shared" si="67"/>
        <v>0.85106382978723416</v>
      </c>
      <c r="DJ13" s="545">
        <f t="shared" si="117"/>
        <v>211.49999999999994</v>
      </c>
      <c r="DK13" s="528">
        <f t="shared" si="68"/>
        <v>0.79432624113475192</v>
      </c>
      <c r="DL13"/>
      <c r="DM13" s="173">
        <f t="shared" si="69"/>
        <v>1.0364775512695459</v>
      </c>
      <c r="DN13" s="173">
        <f t="shared" si="70"/>
        <v>1.3333333333333335</v>
      </c>
      <c r="DO13" s="173">
        <f t="shared" si="71"/>
        <v>1.1208571428571428</v>
      </c>
      <c r="DQ13" s="545">
        <f t="shared" si="72"/>
        <v>480</v>
      </c>
      <c r="DR13" s="460">
        <f t="shared" si="73"/>
        <v>211.49999999999994</v>
      </c>
      <c r="DT13">
        <f t="shared" si="74"/>
        <v>480</v>
      </c>
      <c r="DU13" s="460">
        <f t="shared" si="75"/>
        <v>211.49999999999994</v>
      </c>
      <c r="DV13" s="460"/>
      <c r="DW13" s="5">
        <f t="shared" si="118"/>
        <v>4.7281323877068573</v>
      </c>
      <c r="DX13" s="5">
        <f t="shared" si="76"/>
        <v>0.66666666666666685</v>
      </c>
      <c r="DY13" s="5">
        <f t="shared" si="119"/>
        <v>4.0614657210401903</v>
      </c>
      <c r="DZ13" s="5">
        <f t="shared" si="77"/>
        <v>0.85106382978723416</v>
      </c>
      <c r="EA13" s="173">
        <f t="shared" si="120"/>
        <v>0.14099999999999999</v>
      </c>
      <c r="EB13" s="173">
        <f t="shared" si="78"/>
        <v>2.2559999999999998</v>
      </c>
      <c r="EC13" s="173">
        <f t="shared" si="79"/>
        <v>2.2906666666666671</v>
      </c>
      <c r="ED13" s="173">
        <f t="shared" si="121"/>
        <v>0.98486612339930124</v>
      </c>
      <c r="EE13" s="460">
        <f t="shared" si="80"/>
        <v>8.0000000000000018</v>
      </c>
      <c r="EF13" s="5">
        <f t="shared" si="81"/>
        <v>0.27076438140267933</v>
      </c>
      <c r="EG13" s="5"/>
      <c r="EH13" s="173">
        <f t="shared" si="122"/>
        <v>0.28905977851571735</v>
      </c>
      <c r="EI13" s="173">
        <f t="shared" si="82"/>
        <v>2.8538732614803686</v>
      </c>
      <c r="EJ13" s="173"/>
      <c r="EK13" s="528">
        <f t="shared" si="83"/>
        <v>1.0193777777777779E-3</v>
      </c>
      <c r="EL13" s="528">
        <f t="shared" si="84"/>
        <v>0.24139199999999994</v>
      </c>
      <c r="EM13" s="528">
        <f t="shared" si="85"/>
        <v>2.6437499999999992E-2</v>
      </c>
      <c r="EN13" s="528">
        <f t="shared" si="86"/>
        <v>3.8743415999999982E-2</v>
      </c>
      <c r="EO13">
        <f t="shared" si="87"/>
        <v>1.0800000000000001E-2</v>
      </c>
      <c r="EP13" s="460">
        <f t="shared" si="123"/>
        <v>37.23749999999999</v>
      </c>
      <c r="EQ13" s="528">
        <f t="shared" si="88"/>
        <v>0.31874472707665369</v>
      </c>
      <c r="ER13" s="460">
        <f t="shared" si="124"/>
        <v>318.7447270766537</v>
      </c>
      <c r="ES13" s="528">
        <f t="shared" si="125"/>
        <v>0.29819999999999997</v>
      </c>
      <c r="ET13" s="528"/>
      <c r="EV13" s="460">
        <f t="shared" si="126"/>
        <v>298.2</v>
      </c>
      <c r="EW13" s="528">
        <f t="shared" si="89"/>
        <v>2.506666666666667E-3</v>
      </c>
      <c r="EX13" s="528">
        <f t="shared" si="90"/>
        <v>0.24433777777777788</v>
      </c>
      <c r="EY13" s="528">
        <f t="shared" si="91"/>
        <v>6.6771752531141357E-2</v>
      </c>
      <c r="EZ13" s="528">
        <f t="shared" si="92"/>
        <v>0.38037024621098431</v>
      </c>
      <c r="FA13" s="528">
        <f t="shared" si="93"/>
        <v>9.4000000000000004E-3</v>
      </c>
      <c r="FB13" s="460">
        <f t="shared" si="127"/>
        <v>389.77024621098434</v>
      </c>
      <c r="FC13" s="173">
        <f t="shared" si="128"/>
        <v>1.0067149732876381</v>
      </c>
      <c r="FD13" s="5">
        <f t="shared" si="129"/>
        <v>1.92</v>
      </c>
      <c r="FE13" s="173">
        <f t="shared" si="130"/>
        <v>0.6560256183208798</v>
      </c>
      <c r="FF13" s="5">
        <f t="shared" si="131"/>
        <v>65.602561832087986</v>
      </c>
      <c r="FI13" s="562">
        <f t="shared" si="94"/>
        <v>-50</v>
      </c>
      <c r="FJ13">
        <f t="shared" si="95"/>
        <v>-50</v>
      </c>
      <c r="FL13">
        <f t="shared" si="96"/>
        <v>0.17999999999999997</v>
      </c>
    </row>
    <row r="14" spans="2:168">
      <c r="E14" s="170">
        <v>9</v>
      </c>
      <c r="F14" s="217">
        <f t="shared" si="97"/>
        <v>0.54</v>
      </c>
      <c r="G14" s="217"/>
      <c r="H14" s="217">
        <f t="shared" si="0"/>
        <v>2.16</v>
      </c>
      <c r="I14" s="541">
        <f t="shared" si="1"/>
        <v>23.974046122014119</v>
      </c>
      <c r="J14" s="172">
        <f t="shared" si="2"/>
        <v>19.095209986569245</v>
      </c>
      <c r="K14" s="172">
        <f t="shared" si="3"/>
        <v>43.095209986569245</v>
      </c>
      <c r="L14" s="443"/>
      <c r="M14" s="217">
        <f t="shared" si="4"/>
        <v>0.44368078007492451</v>
      </c>
      <c r="N14" s="172">
        <f t="shared" si="5"/>
        <v>35.775182987773832</v>
      </c>
      <c r="O14" s="172">
        <f t="shared" si="98"/>
        <v>2.16</v>
      </c>
      <c r="P14" s="217">
        <f t="shared" si="6"/>
        <v>8.9437957469434579</v>
      </c>
      <c r="Q14" s="217">
        <f t="shared" si="7"/>
        <v>4</v>
      </c>
      <c r="R14" s="217">
        <f t="shared" si="8"/>
        <v>8.8640195708062031</v>
      </c>
      <c r="S14" s="172">
        <f t="shared" si="9"/>
        <v>142.02382313390422</v>
      </c>
      <c r="T14" s="172">
        <f t="shared" si="10"/>
        <v>4</v>
      </c>
      <c r="U14" s="217">
        <f t="shared" si="99"/>
        <v>0.48533286345268345</v>
      </c>
      <c r="V14" s="217">
        <f t="shared" si="11"/>
        <v>0.24292913811008027</v>
      </c>
      <c r="W14" s="217">
        <f t="shared" si="12"/>
        <v>0.30499765991201722</v>
      </c>
      <c r="X14" s="197">
        <f t="shared" si="13"/>
        <v>350</v>
      </c>
      <c r="Y14" s="443">
        <f t="shared" si="14"/>
        <v>350</v>
      </c>
      <c r="AA14" s="217">
        <f t="shared" si="15"/>
        <v>2.5307492335766377</v>
      </c>
      <c r="AB14" s="173">
        <f t="shared" si="16"/>
        <v>1.5903983681918086</v>
      </c>
      <c r="AC14" s="173">
        <f t="shared" si="17"/>
        <v>2.8174296159680678</v>
      </c>
      <c r="AD14" s="173"/>
      <c r="AE14" s="173">
        <f t="shared" si="18"/>
        <v>0.83790647032704646</v>
      </c>
      <c r="AF14" s="545">
        <f t="shared" si="100"/>
        <v>241.67375139251695</v>
      </c>
      <c r="AG14" s="528">
        <f t="shared" si="19"/>
        <v>0.78204603897191016</v>
      </c>
      <c r="AI14" s="173">
        <f t="shared" si="20"/>
        <v>1.1079481997919889</v>
      </c>
      <c r="AJ14" s="173">
        <f t="shared" si="21"/>
        <v>1.3333333333333335</v>
      </c>
      <c r="AK14" s="173">
        <f t="shared" si="22"/>
        <v>1.1380992865100097</v>
      </c>
      <c r="AM14" s="545">
        <f t="shared" si="23"/>
        <v>540</v>
      </c>
      <c r="AN14" s="460">
        <f t="shared" si="24"/>
        <v>241.67375139251695</v>
      </c>
      <c r="AP14">
        <f t="shared" si="25"/>
        <v>540</v>
      </c>
      <c r="AQ14" s="460">
        <f t="shared" si="26"/>
        <v>241.67375139251695</v>
      </c>
      <c r="AR14" s="460"/>
      <c r="AS14" s="5">
        <f t="shared" si="101"/>
        <v>4.1378097300101064</v>
      </c>
      <c r="AT14" s="5">
        <f t="shared" si="27"/>
        <v>0.66738838819985558</v>
      </c>
      <c r="AU14" s="5">
        <f t="shared" si="102"/>
        <v>3.4704213418102507</v>
      </c>
      <c r="AV14" s="5">
        <f t="shared" si="28"/>
        <v>0.83790647032704646</v>
      </c>
      <c r="AW14" s="173">
        <f t="shared" si="103"/>
        <v>0.16129025541206446</v>
      </c>
      <c r="AX14" s="173">
        <f t="shared" si="29"/>
        <v>2.577853348186848</v>
      </c>
      <c r="AY14" s="173">
        <f t="shared" si="30"/>
        <v>2.2365593189011617</v>
      </c>
      <c r="AZ14" s="173">
        <f t="shared" si="104"/>
        <v>1.1525977989501153</v>
      </c>
      <c r="BA14" s="460">
        <f t="shared" si="31"/>
        <v>9.0097432406980502</v>
      </c>
      <c r="BB14" s="5">
        <f t="shared" si="32"/>
        <v>0.26056337688957631</v>
      </c>
      <c r="BC14" s="5"/>
      <c r="BD14" s="173">
        <f t="shared" si="105"/>
        <v>0.30915919946615972</v>
      </c>
      <c r="BE14" s="173">
        <f t="shared" si="33"/>
        <v>2.8199664734972609</v>
      </c>
      <c r="BF14" s="173"/>
      <c r="BG14" s="528">
        <f t="shared" si="34"/>
        <v>1.1660688094975919E-3</v>
      </c>
      <c r="BH14" s="528">
        <f t="shared" si="35"/>
        <v>0.26037452661256122</v>
      </c>
      <c r="BI14" s="528">
        <f t="shared" si="36"/>
        <v>0.14484744155910936</v>
      </c>
      <c r="BJ14" s="528">
        <f t="shared" si="37"/>
        <v>4.4883579598087552E-2</v>
      </c>
      <c r="BK14">
        <f t="shared" si="38"/>
        <v>1.0788320754906353E-2</v>
      </c>
      <c r="BL14" s="460">
        <f t="shared" si="106"/>
        <v>155.63576231401572</v>
      </c>
      <c r="BM14" s="528">
        <f t="shared" si="39"/>
        <v>0.30682402163289019</v>
      </c>
      <c r="BN14" s="460">
        <f t="shared" si="107"/>
        <v>306.82402163289021</v>
      </c>
      <c r="BO14" s="528">
        <f t="shared" si="108"/>
        <v>0.33547499999999997</v>
      </c>
      <c r="BP14" s="528"/>
      <c r="BR14" s="460">
        <f t="shared" si="109"/>
        <v>335.47499999999997</v>
      </c>
      <c r="BS14" s="528">
        <f t="shared" si="40"/>
        <v>2.8673823184367018E-3</v>
      </c>
      <c r="BT14" s="528">
        <f t="shared" si="41"/>
        <v>0.23856632734945732</v>
      </c>
      <c r="BU14" s="528">
        <f t="shared" si="42"/>
        <v>3.2399999999999998E-2</v>
      </c>
      <c r="BV14" s="528">
        <f t="shared" si="43"/>
        <v>0.33831219749760816</v>
      </c>
      <c r="BW14" s="528">
        <f t="shared" si="44"/>
        <v>1.07410556174452E-2</v>
      </c>
      <c r="BX14" s="460">
        <f t="shared" si="110"/>
        <v>349.05325311505334</v>
      </c>
      <c r="BY14" s="173">
        <f t="shared" si="45"/>
        <v>1.1469880370619594</v>
      </c>
      <c r="BZ14" s="5">
        <f t="shared" si="111"/>
        <v>2.16</v>
      </c>
      <c r="CA14" s="173">
        <f t="shared" si="112"/>
        <v>0.65316232650149453</v>
      </c>
      <c r="CB14" s="5">
        <f t="shared" si="113"/>
        <v>65.316232650149459</v>
      </c>
      <c r="CE14" s="562">
        <f t="shared" si="46"/>
        <v>-50</v>
      </c>
      <c r="CF14">
        <f t="shared" si="47"/>
        <v>-50</v>
      </c>
      <c r="CG14" s="173">
        <f t="shared" si="48"/>
        <v>0.21950476931037285</v>
      </c>
      <c r="CI14" s="170">
        <v>9</v>
      </c>
      <c r="CJ14" s="217">
        <f t="shared" si="114"/>
        <v>0.54</v>
      </c>
      <c r="CK14" s="217"/>
      <c r="CL14" s="217">
        <f t="shared" si="49"/>
        <v>2.16</v>
      </c>
      <c r="CM14" s="541">
        <f t="shared" si="50"/>
        <v>24</v>
      </c>
      <c r="CN14" s="172">
        <f t="shared" si="51"/>
        <v>18.8</v>
      </c>
      <c r="CO14" s="443">
        <f t="shared" si="52"/>
        <v>42.8</v>
      </c>
      <c r="CP14" s="443"/>
      <c r="CQ14" s="217">
        <f t="shared" si="53"/>
        <v>0.43925233644859818</v>
      </c>
      <c r="CR14" s="172">
        <f t="shared" si="54"/>
        <v>35.456448598130848</v>
      </c>
      <c r="CS14" s="172">
        <f t="shared" si="115"/>
        <v>2.16</v>
      </c>
      <c r="CT14" s="217">
        <f t="shared" si="55"/>
        <v>8.864112149532712</v>
      </c>
      <c r="CU14" s="217">
        <f t="shared" si="56"/>
        <v>4</v>
      </c>
      <c r="CV14" s="217">
        <f t="shared" si="57"/>
        <v>8.7850467289719631</v>
      </c>
      <c r="CW14" s="172">
        <f t="shared" si="58"/>
        <v>142.1775439502027</v>
      </c>
      <c r="CX14" s="172">
        <f t="shared" si="59"/>
        <v>4</v>
      </c>
      <c r="CY14" s="217">
        <f t="shared" si="60"/>
        <v>0.40978723404255313</v>
      </c>
      <c r="CZ14" s="217">
        <f t="shared" si="61"/>
        <v>0.20489361702127656</v>
      </c>
      <c r="DA14" s="217">
        <f t="shared" si="62"/>
        <v>0.26156631960162963</v>
      </c>
      <c r="DB14" s="197">
        <f t="shared" si="63"/>
        <v>350</v>
      </c>
      <c r="DC14" s="443">
        <f t="shared" si="116"/>
        <v>350</v>
      </c>
      <c r="DE14" s="217">
        <f t="shared" si="64"/>
        <v>2.5100133511348464</v>
      </c>
      <c r="DF14" s="173">
        <f t="shared" si="65"/>
        <v>1.6021361815754336</v>
      </c>
      <c r="DG14" s="173">
        <f t="shared" si="66"/>
        <v>2.8149682442633783</v>
      </c>
      <c r="DH14" s="173"/>
      <c r="DI14" s="173">
        <f t="shared" si="67"/>
        <v>0.85106382978723416</v>
      </c>
      <c r="DJ14" s="545">
        <f t="shared" si="117"/>
        <v>237.93749999999997</v>
      </c>
      <c r="DK14" s="528">
        <f t="shared" si="68"/>
        <v>0.79432624113475192</v>
      </c>
      <c r="DM14" s="173">
        <f t="shared" si="69"/>
        <v>1.0993504575754851</v>
      </c>
      <c r="DN14" s="173">
        <f t="shared" si="70"/>
        <v>1.3333333333333335</v>
      </c>
      <c r="DO14" s="173">
        <f t="shared" si="71"/>
        <v>1.1359642857142858</v>
      </c>
      <c r="DQ14" s="545">
        <f t="shared" si="72"/>
        <v>540</v>
      </c>
      <c r="DR14" s="460">
        <f t="shared" si="73"/>
        <v>237.93749999999997</v>
      </c>
      <c r="DT14">
        <f t="shared" si="74"/>
        <v>540</v>
      </c>
      <c r="DU14" s="460">
        <f t="shared" si="75"/>
        <v>237.93749999999997</v>
      </c>
      <c r="DV14" s="460"/>
      <c r="DW14" s="5">
        <f t="shared" si="118"/>
        <v>4.2027843446283164</v>
      </c>
      <c r="DX14" s="5">
        <f t="shared" si="76"/>
        <v>0.66666666666666685</v>
      </c>
      <c r="DY14" s="5">
        <f t="shared" si="119"/>
        <v>3.5361176779616494</v>
      </c>
      <c r="DZ14" s="5">
        <f t="shared" si="77"/>
        <v>0.85106382978723416</v>
      </c>
      <c r="EA14" s="173">
        <f t="shared" si="120"/>
        <v>0.15862500000000004</v>
      </c>
      <c r="EB14" s="173">
        <f t="shared" si="78"/>
        <v>2.5380000000000003</v>
      </c>
      <c r="EC14" s="173">
        <f t="shared" si="79"/>
        <v>2.2436666666666669</v>
      </c>
      <c r="ED14" s="173">
        <f t="shared" si="121"/>
        <v>1.1311840736889021</v>
      </c>
      <c r="EE14" s="460">
        <f t="shared" si="80"/>
        <v>9.0000000000000036</v>
      </c>
      <c r="EF14" s="5">
        <f t="shared" si="81"/>
        <v>0.26520882584712374</v>
      </c>
      <c r="EG14" s="5"/>
      <c r="EH14" s="173">
        <f t="shared" si="122"/>
        <v>0.30659419433511792</v>
      </c>
      <c r="EI14" s="173">
        <f t="shared" si="82"/>
        <v>2.824443570242019</v>
      </c>
      <c r="EJ14" s="173"/>
      <c r="EK14" s="528">
        <f t="shared" si="83"/>
        <v>1.1468000000000006E-3</v>
      </c>
      <c r="EL14" s="528">
        <f t="shared" si="84"/>
        <v>0.27156600000000003</v>
      </c>
      <c r="EM14" s="528">
        <f t="shared" si="85"/>
        <v>2.9742187499999993E-2</v>
      </c>
      <c r="EN14" s="528">
        <f t="shared" si="86"/>
        <v>4.3586342999999993E-2</v>
      </c>
      <c r="EO14">
        <f t="shared" si="87"/>
        <v>1.0800000000000001E-2</v>
      </c>
      <c r="EP14" s="460">
        <f t="shared" si="123"/>
        <v>40.54218749999999</v>
      </c>
      <c r="EQ14" s="528">
        <f t="shared" si="88"/>
        <v>0.35724830940502722</v>
      </c>
      <c r="ER14" s="460">
        <f t="shared" si="124"/>
        <v>357.24830940502721</v>
      </c>
      <c r="ES14" s="528">
        <f t="shared" si="125"/>
        <v>0.33547499999999997</v>
      </c>
      <c r="ET14" s="528"/>
      <c r="EV14" s="460">
        <f t="shared" si="126"/>
        <v>335.47499999999997</v>
      </c>
      <c r="EW14" s="528">
        <f t="shared" si="89"/>
        <v>2.8200000000000018E-3</v>
      </c>
      <c r="EX14" s="528">
        <f t="shared" si="90"/>
        <v>0.23932444444444448</v>
      </c>
      <c r="EY14" s="528">
        <f t="shared" si="91"/>
        <v>8.9634269051364748E-2</v>
      </c>
      <c r="EZ14" s="528">
        <f t="shared" si="92"/>
        <v>0.39759542196775888</v>
      </c>
      <c r="FA14" s="528">
        <f t="shared" si="93"/>
        <v>1.0575000000000001E-2</v>
      </c>
      <c r="FB14" s="460">
        <f t="shared" si="127"/>
        <v>408.1704219677589</v>
      </c>
      <c r="FC14" s="173">
        <f t="shared" si="128"/>
        <v>1.100893731372786</v>
      </c>
      <c r="FD14" s="5">
        <f t="shared" si="129"/>
        <v>2.16</v>
      </c>
      <c r="FE14" s="173">
        <f t="shared" si="130"/>
        <v>0.66239509102023797</v>
      </c>
      <c r="FF14" s="5">
        <f t="shared" si="131"/>
        <v>66.239509102023803</v>
      </c>
      <c r="FI14" s="562">
        <f t="shared" si="94"/>
        <v>-50</v>
      </c>
      <c r="FJ14">
        <f t="shared" si="95"/>
        <v>-50</v>
      </c>
      <c r="FL14">
        <f t="shared" si="96"/>
        <v>0.20249999999999999</v>
      </c>
    </row>
    <row r="15" spans="2:168">
      <c r="E15" s="170">
        <v>10</v>
      </c>
      <c r="F15" s="217">
        <f t="shared" si="97"/>
        <v>0.60000000000000009</v>
      </c>
      <c r="G15" s="217"/>
      <c r="H15" s="217">
        <f t="shared" si="0"/>
        <v>2.4000000000000004</v>
      </c>
      <c r="I15" s="541">
        <f t="shared" si="1"/>
        <v>23.974046122014119</v>
      </c>
      <c r="J15" s="172">
        <f t="shared" si="2"/>
        <v>19.095209986569245</v>
      </c>
      <c r="K15" s="172">
        <f t="shared" si="3"/>
        <v>43.095209986569245</v>
      </c>
      <c r="L15" s="443"/>
      <c r="M15" s="217">
        <f t="shared" si="4"/>
        <v>0.44368078007492451</v>
      </c>
      <c r="N15" s="172">
        <f t="shared" si="5"/>
        <v>35.775182987773832</v>
      </c>
      <c r="O15" s="172">
        <f t="shared" si="98"/>
        <v>2.4000000000000004</v>
      </c>
      <c r="P15" s="217">
        <f t="shared" si="6"/>
        <v>8.9437957469434579</v>
      </c>
      <c r="Q15" s="217">
        <f t="shared" si="7"/>
        <v>4</v>
      </c>
      <c r="R15" s="217">
        <f t="shared" si="8"/>
        <v>8.8640195708062031</v>
      </c>
      <c r="S15" s="172">
        <f t="shared" si="9"/>
        <v>127.2284289454643</v>
      </c>
      <c r="T15" s="172">
        <f t="shared" si="10"/>
        <v>4</v>
      </c>
      <c r="U15" s="217">
        <f t="shared" si="99"/>
        <v>0.53925873716964834</v>
      </c>
      <c r="V15" s="217">
        <f t="shared" si="11"/>
        <v>0.26992126456675586</v>
      </c>
      <c r="W15" s="217">
        <f t="shared" si="12"/>
        <v>0.33888628879113025</v>
      </c>
      <c r="X15" s="197">
        <f t="shared" si="13"/>
        <v>350</v>
      </c>
      <c r="Y15" s="443">
        <f t="shared" si="14"/>
        <v>350</v>
      </c>
      <c r="AA15" s="217">
        <f t="shared" si="15"/>
        <v>2.5307492335766377</v>
      </c>
      <c r="AB15" s="173">
        <f t="shared" si="16"/>
        <v>1.5903983681918086</v>
      </c>
      <c r="AC15" s="173">
        <f t="shared" si="17"/>
        <v>2.8174296159680678</v>
      </c>
      <c r="AD15" s="173"/>
      <c r="AE15" s="173">
        <f t="shared" si="18"/>
        <v>0.83790647032704646</v>
      </c>
      <c r="AF15" s="545">
        <f t="shared" si="100"/>
        <v>268.52639043612993</v>
      </c>
      <c r="AG15" s="528">
        <f t="shared" si="19"/>
        <v>0.78204603897191016</v>
      </c>
      <c r="AI15" s="173">
        <f t="shared" si="20"/>
        <v>1.1678799469419929</v>
      </c>
      <c r="AJ15" s="173">
        <f t="shared" si="21"/>
        <v>1.3333333333333335</v>
      </c>
      <c r="AK15" s="173">
        <f t="shared" si="22"/>
        <v>1.1534436516777886</v>
      </c>
      <c r="AM15" s="545">
        <f t="shared" si="23"/>
        <v>600.00000000000011</v>
      </c>
      <c r="AN15" s="460">
        <f t="shared" si="24"/>
        <v>268.52639043612993</v>
      </c>
      <c r="AP15">
        <f t="shared" si="25"/>
        <v>600.00000000000011</v>
      </c>
      <c r="AQ15" s="460">
        <f t="shared" si="26"/>
        <v>268.52639043612993</v>
      </c>
      <c r="AR15" s="460"/>
      <c r="AS15" s="5">
        <f t="shared" si="101"/>
        <v>3.7240287570090955</v>
      </c>
      <c r="AT15" s="5">
        <f t="shared" si="27"/>
        <v>0.66738838819985558</v>
      </c>
      <c r="AU15" s="5">
        <f t="shared" si="102"/>
        <v>3.0566403688092398</v>
      </c>
      <c r="AV15" s="5">
        <f t="shared" si="28"/>
        <v>0.83790647032704646</v>
      </c>
      <c r="AW15" s="173">
        <f t="shared" si="103"/>
        <v>0.17921139490229387</v>
      </c>
      <c r="AX15" s="173">
        <f t="shared" si="29"/>
        <v>2.8642814979853868</v>
      </c>
      <c r="AY15" s="173">
        <f t="shared" si="30"/>
        <v>2.1887696135938834</v>
      </c>
      <c r="AZ15" s="173">
        <f t="shared" si="104"/>
        <v>1.3086263077649074</v>
      </c>
      <c r="BA15" s="460">
        <f t="shared" si="31"/>
        <v>10.010825822997834</v>
      </c>
      <c r="BB15" s="5">
        <f t="shared" si="32"/>
        <v>0.25499578613077628</v>
      </c>
      <c r="BC15" s="5"/>
      <c r="BD15" s="173">
        <f t="shared" si="105"/>
        <v>0.32588240996912565</v>
      </c>
      <c r="BE15" s="173">
        <f t="shared" si="33"/>
        <v>2.7896759595775493</v>
      </c>
      <c r="BF15" s="173"/>
      <c r="BG15" s="528">
        <f t="shared" si="34"/>
        <v>1.2956320105528803E-3</v>
      </c>
      <c r="BH15" s="528">
        <f t="shared" si="35"/>
        <v>0.28930502956951248</v>
      </c>
      <c r="BI15" s="528">
        <f t="shared" si="36"/>
        <v>0.16094160173234373</v>
      </c>
      <c r="BJ15" s="528">
        <f t="shared" si="37"/>
        <v>4.9870643997875053E-2</v>
      </c>
      <c r="BK15">
        <f t="shared" si="38"/>
        <v>1.0788320754906353E-2</v>
      </c>
      <c r="BL15" s="460">
        <f t="shared" si="106"/>
        <v>171.72992248725009</v>
      </c>
      <c r="BM15" s="528">
        <f t="shared" si="39"/>
        <v>0.34092607764287741</v>
      </c>
      <c r="BN15" s="460">
        <f t="shared" si="107"/>
        <v>340.92607764287743</v>
      </c>
      <c r="BO15" s="528">
        <f t="shared" si="108"/>
        <v>0.37275000000000003</v>
      </c>
      <c r="BP15" s="528"/>
      <c r="BR15" s="460">
        <f t="shared" si="109"/>
        <v>372.75</v>
      </c>
      <c r="BS15" s="528">
        <f t="shared" si="40"/>
        <v>3.1859803538185584E-3</v>
      </c>
      <c r="BT15" s="528">
        <f t="shared" si="41"/>
        <v>0.23346875878334761</v>
      </c>
      <c r="BU15" s="528">
        <f t="shared" si="42"/>
        <v>3.6000000000000004E-2</v>
      </c>
      <c r="BV15" s="528">
        <f t="shared" si="43"/>
        <v>0.3358095502512442</v>
      </c>
      <c r="BW15" s="528">
        <f t="shared" si="44"/>
        <v>1.1934506241605778E-2</v>
      </c>
      <c r="BX15" s="460">
        <f t="shared" si="110"/>
        <v>347.74405649285001</v>
      </c>
      <c r="BY15" s="173">
        <f t="shared" si="45"/>
        <v>1.2331500566229776</v>
      </c>
      <c r="BZ15" s="5">
        <f t="shared" si="111"/>
        <v>2.4000000000000004</v>
      </c>
      <c r="CA15" s="173">
        <f t="shared" si="112"/>
        <v>0.66058378062997114</v>
      </c>
      <c r="CB15" s="5">
        <f t="shared" si="113"/>
        <v>66.058378062997107</v>
      </c>
      <c r="CE15" s="562">
        <f t="shared" si="46"/>
        <v>-50</v>
      </c>
      <c r="CF15">
        <f t="shared" si="47"/>
        <v>-50</v>
      </c>
      <c r="CG15" s="173">
        <f t="shared" si="48"/>
        <v>0.2438941881226365</v>
      </c>
      <c r="CI15" s="170">
        <v>10</v>
      </c>
      <c r="CJ15" s="217">
        <f t="shared" si="114"/>
        <v>0.60000000000000009</v>
      </c>
      <c r="CK15" s="217"/>
      <c r="CL15" s="217">
        <f t="shared" si="49"/>
        <v>2.4000000000000004</v>
      </c>
      <c r="CM15" s="541">
        <f t="shared" si="50"/>
        <v>24</v>
      </c>
      <c r="CN15" s="172">
        <f t="shared" si="51"/>
        <v>18.8</v>
      </c>
      <c r="CO15" s="443">
        <f t="shared" si="52"/>
        <v>42.8</v>
      </c>
      <c r="CP15" s="443"/>
      <c r="CQ15" s="217">
        <f t="shared" si="53"/>
        <v>0.43925233644859818</v>
      </c>
      <c r="CR15" s="172">
        <f t="shared" si="54"/>
        <v>35.456448598130848</v>
      </c>
      <c r="CS15" s="172">
        <f t="shared" si="115"/>
        <v>2.4000000000000004</v>
      </c>
      <c r="CT15" s="217">
        <f t="shared" si="55"/>
        <v>8.864112149532712</v>
      </c>
      <c r="CU15" s="217">
        <f t="shared" si="56"/>
        <v>4</v>
      </c>
      <c r="CV15" s="217">
        <f t="shared" si="57"/>
        <v>8.7850467289719631</v>
      </c>
      <c r="CW15" s="172">
        <f t="shared" si="58"/>
        <v>127.36612889010075</v>
      </c>
      <c r="CX15" s="172">
        <f t="shared" si="59"/>
        <v>4</v>
      </c>
      <c r="CY15" s="217">
        <f t="shared" si="60"/>
        <v>0.4553191489361702</v>
      </c>
      <c r="CZ15" s="217">
        <f t="shared" si="61"/>
        <v>0.2276595744680851</v>
      </c>
      <c r="DA15" s="217">
        <f t="shared" si="62"/>
        <v>0.29062924400181078</v>
      </c>
      <c r="DB15" s="197">
        <f t="shared" si="63"/>
        <v>350</v>
      </c>
      <c r="DC15" s="443">
        <f t="shared" si="116"/>
        <v>350</v>
      </c>
      <c r="DE15" s="217">
        <f t="shared" si="64"/>
        <v>2.5100133511348464</v>
      </c>
      <c r="DF15" s="173">
        <f t="shared" si="65"/>
        <v>1.6021361815754336</v>
      </c>
      <c r="DG15" s="173">
        <f t="shared" si="66"/>
        <v>2.8149682442633783</v>
      </c>
      <c r="DH15" s="173"/>
      <c r="DI15" s="173">
        <f t="shared" si="67"/>
        <v>0.85106382978723416</v>
      </c>
      <c r="DJ15" s="545">
        <f t="shared" si="117"/>
        <v>264.375</v>
      </c>
      <c r="DK15" s="528">
        <f t="shared" si="68"/>
        <v>0.79432624113475192</v>
      </c>
      <c r="DM15" s="173">
        <f t="shared" si="69"/>
        <v>1.1588171308956143</v>
      </c>
      <c r="DN15" s="173">
        <f t="shared" si="70"/>
        <v>1.3333333333333335</v>
      </c>
      <c r="DO15" s="173">
        <f t="shared" si="71"/>
        <v>1.1510714285714285</v>
      </c>
      <c r="DQ15" s="545">
        <f t="shared" si="72"/>
        <v>600.00000000000011</v>
      </c>
      <c r="DR15" s="460">
        <f t="shared" si="73"/>
        <v>264.375</v>
      </c>
      <c r="DT15">
        <f t="shared" si="74"/>
        <v>600.00000000000011</v>
      </c>
      <c r="DU15" s="460">
        <f t="shared" si="75"/>
        <v>264.375</v>
      </c>
      <c r="DV15" s="460"/>
      <c r="DW15" s="5">
        <f t="shared" si="118"/>
        <v>3.7825059101654843</v>
      </c>
      <c r="DX15" s="5">
        <f t="shared" si="76"/>
        <v>0.66666666666666685</v>
      </c>
      <c r="DY15" s="5">
        <f t="shared" si="119"/>
        <v>3.1158392434988174</v>
      </c>
      <c r="DZ15" s="5">
        <f t="shared" si="77"/>
        <v>0.85106382978723416</v>
      </c>
      <c r="EA15" s="173">
        <f t="shared" si="120"/>
        <v>0.17625000000000007</v>
      </c>
      <c r="EB15" s="173">
        <f t="shared" si="78"/>
        <v>2.8200000000000003</v>
      </c>
      <c r="EC15" s="173">
        <f t="shared" si="79"/>
        <v>2.1966666666666668</v>
      </c>
      <c r="ED15" s="173">
        <f t="shared" si="121"/>
        <v>1.2837632776934751</v>
      </c>
      <c r="EE15" s="460">
        <f t="shared" si="80"/>
        <v>10.000000000000005</v>
      </c>
      <c r="EF15" s="5">
        <f t="shared" si="81"/>
        <v>0.25965327029156815</v>
      </c>
      <c r="EG15" s="5"/>
      <c r="EH15" s="173">
        <f t="shared" si="122"/>
        <v>0.32317865716108868</v>
      </c>
      <c r="EI15" s="173">
        <f t="shared" si="82"/>
        <v>2.7947039861799987</v>
      </c>
      <c r="EJ15" s="173"/>
      <c r="EK15" s="528">
        <f t="shared" si="83"/>
        <v>1.2742222222222228E-3</v>
      </c>
      <c r="EL15" s="528">
        <f t="shared" si="84"/>
        <v>0.30174000000000001</v>
      </c>
      <c r="EM15" s="528">
        <f t="shared" si="85"/>
        <v>3.3046874999999996E-2</v>
      </c>
      <c r="EN15" s="528">
        <f t="shared" si="86"/>
        <v>4.842926999999999E-2</v>
      </c>
      <c r="EO15">
        <f t="shared" si="87"/>
        <v>1.0800000000000001E-2</v>
      </c>
      <c r="EP15" s="460">
        <f t="shared" si="123"/>
        <v>43.84687499999999</v>
      </c>
      <c r="EQ15" s="528">
        <f t="shared" si="88"/>
        <v>0.39575422387142117</v>
      </c>
      <c r="ER15" s="460">
        <f t="shared" si="124"/>
        <v>395.75422387142117</v>
      </c>
      <c r="ES15" s="528">
        <f t="shared" si="125"/>
        <v>0.37275000000000003</v>
      </c>
      <c r="ET15" s="528"/>
      <c r="EV15" s="460">
        <f t="shared" si="126"/>
        <v>372.75</v>
      </c>
      <c r="EW15" s="528">
        <f t="shared" si="89"/>
        <v>3.1333333333333348E-3</v>
      </c>
      <c r="EX15" s="528">
        <f t="shared" si="90"/>
        <v>0.23431111111111122</v>
      </c>
      <c r="EY15" s="528">
        <f t="shared" si="91"/>
        <v>0.11664545127845792</v>
      </c>
      <c r="EZ15" s="528">
        <f t="shared" si="92"/>
        <v>0.41903639144302468</v>
      </c>
      <c r="FA15" s="528">
        <f t="shared" si="93"/>
        <v>1.1750000000000003E-2</v>
      </c>
      <c r="FB15" s="460">
        <f t="shared" si="127"/>
        <v>430.78639144302468</v>
      </c>
      <c r="FC15" s="173">
        <f t="shared" si="128"/>
        <v>1.1992906153144458</v>
      </c>
      <c r="FD15" s="5">
        <f t="shared" si="129"/>
        <v>2.4000000000000004</v>
      </c>
      <c r="FE15" s="173">
        <f t="shared" si="130"/>
        <v>0.66679806009227405</v>
      </c>
      <c r="FF15" s="5">
        <f t="shared" si="131"/>
        <v>66.679806009227406</v>
      </c>
      <c r="FI15" s="562">
        <f t="shared" si="94"/>
        <v>-50</v>
      </c>
      <c r="FJ15">
        <f t="shared" si="95"/>
        <v>-50</v>
      </c>
      <c r="FL15">
        <f t="shared" si="96"/>
        <v>0.22500000000000001</v>
      </c>
    </row>
    <row r="16" spans="2:168">
      <c r="E16" s="170">
        <v>11</v>
      </c>
      <c r="F16" s="217">
        <f t="shared" si="97"/>
        <v>0.66</v>
      </c>
      <c r="G16" s="217"/>
      <c r="H16" s="217">
        <f t="shared" si="0"/>
        <v>2.64</v>
      </c>
      <c r="I16" s="541">
        <f t="shared" si="1"/>
        <v>23.974046122014119</v>
      </c>
      <c r="J16" s="172">
        <f t="shared" si="2"/>
        <v>19.095209986569245</v>
      </c>
      <c r="K16" s="172">
        <f t="shared" si="3"/>
        <v>43.095209986569245</v>
      </c>
      <c r="L16" s="443"/>
      <c r="M16" s="217">
        <f t="shared" si="4"/>
        <v>0.44368078007492451</v>
      </c>
      <c r="N16" s="172">
        <f t="shared" si="5"/>
        <v>35.775182987773832</v>
      </c>
      <c r="O16" s="172">
        <f t="shared" si="98"/>
        <v>2.64</v>
      </c>
      <c r="P16" s="217">
        <f t="shared" si="6"/>
        <v>8.9437957469434579</v>
      </c>
      <c r="Q16" s="217">
        <f t="shared" si="7"/>
        <v>4</v>
      </c>
      <c r="R16" s="217">
        <f t="shared" si="8"/>
        <v>8.8640195708062031</v>
      </c>
      <c r="S16" s="172">
        <f t="shared" si="9"/>
        <v>115.12375226782012</v>
      </c>
      <c r="T16" s="172">
        <f t="shared" si="10"/>
        <v>4</v>
      </c>
      <c r="U16" s="217">
        <f t="shared" si="99"/>
        <v>0.59318461088661301</v>
      </c>
      <c r="V16" s="217">
        <f t="shared" si="11"/>
        <v>0.29691339102343134</v>
      </c>
      <c r="W16" s="217">
        <f t="shared" si="12"/>
        <v>0.37277491767024323</v>
      </c>
      <c r="X16" s="197">
        <f t="shared" si="13"/>
        <v>350</v>
      </c>
      <c r="Y16" s="443">
        <f t="shared" si="14"/>
        <v>350</v>
      </c>
      <c r="AA16" s="217">
        <f t="shared" si="15"/>
        <v>2.5307492335766377</v>
      </c>
      <c r="AB16" s="173">
        <f t="shared" si="16"/>
        <v>1.5903983681918086</v>
      </c>
      <c r="AC16" s="173">
        <f t="shared" si="17"/>
        <v>2.8174296159680678</v>
      </c>
      <c r="AD16" s="173"/>
      <c r="AE16" s="173">
        <f t="shared" si="18"/>
        <v>0.83790647032704646</v>
      </c>
      <c r="AF16" s="545">
        <f t="shared" si="100"/>
        <v>295.37902947974294</v>
      </c>
      <c r="AG16" s="528">
        <f t="shared" si="19"/>
        <v>0.78204603897191016</v>
      </c>
      <c r="AI16" s="173">
        <f t="shared" si="20"/>
        <v>1.224882821953249</v>
      </c>
      <c r="AJ16" s="173">
        <f t="shared" si="21"/>
        <v>1.3333333333333335</v>
      </c>
      <c r="AK16" s="173">
        <f t="shared" si="22"/>
        <v>1.1687880168455673</v>
      </c>
      <c r="AM16" s="545">
        <f t="shared" si="23"/>
        <v>660</v>
      </c>
      <c r="AN16" s="460">
        <f t="shared" si="24"/>
        <v>295.37902947974294</v>
      </c>
      <c r="AP16">
        <f t="shared" si="25"/>
        <v>660</v>
      </c>
      <c r="AQ16" s="460">
        <f t="shared" si="26"/>
        <v>295.37902947974294</v>
      </c>
      <c r="AR16" s="460"/>
      <c r="AS16" s="5">
        <f t="shared" si="101"/>
        <v>3.3854806881900865</v>
      </c>
      <c r="AT16" s="5">
        <f t="shared" si="27"/>
        <v>0.66738838819985558</v>
      </c>
      <c r="AU16" s="5">
        <f t="shared" si="102"/>
        <v>2.7180922999902308</v>
      </c>
      <c r="AV16" s="5">
        <f t="shared" si="28"/>
        <v>0.83790647032704646</v>
      </c>
      <c r="AW16" s="173">
        <f t="shared" si="103"/>
        <v>0.19713253439252326</v>
      </c>
      <c r="AX16" s="173">
        <f t="shared" si="29"/>
        <v>3.1507096477839251</v>
      </c>
      <c r="AY16" s="173">
        <f t="shared" si="30"/>
        <v>2.1409799082866052</v>
      </c>
      <c r="AZ16" s="173">
        <f t="shared" si="104"/>
        <v>1.4716203713959146</v>
      </c>
      <c r="BA16" s="460">
        <f t="shared" si="31"/>
        <v>11.011908405297618</v>
      </c>
      <c r="BB16" s="5">
        <f t="shared" si="32"/>
        <v>0.24942819537197625</v>
      </c>
      <c r="BC16" s="5"/>
      <c r="BD16" s="173">
        <f t="shared" si="105"/>
        <v>0.34178835503863175</v>
      </c>
      <c r="BE16" s="173">
        <f t="shared" si="33"/>
        <v>2.7590529185286141</v>
      </c>
      <c r="BF16" s="173"/>
      <c r="BG16" s="528">
        <f t="shared" si="34"/>
        <v>1.425195211608168E-3</v>
      </c>
      <c r="BH16" s="528">
        <f t="shared" si="35"/>
        <v>0.31823553252646375</v>
      </c>
      <c r="BI16" s="528">
        <f t="shared" si="36"/>
        <v>0.17703576190557813</v>
      </c>
      <c r="BJ16" s="528">
        <f t="shared" si="37"/>
        <v>5.4857708397662568E-2</v>
      </c>
      <c r="BK16">
        <f t="shared" si="38"/>
        <v>1.0788320754906353E-2</v>
      </c>
      <c r="BL16" s="460">
        <f t="shared" si="106"/>
        <v>187.82408266048446</v>
      </c>
      <c r="BM16" s="528">
        <f t="shared" si="39"/>
        <v>0.37503023397424429</v>
      </c>
      <c r="BN16" s="460">
        <f t="shared" si="107"/>
        <v>375.03023397424431</v>
      </c>
      <c r="BO16" s="528">
        <f t="shared" si="108"/>
        <v>0.41002499999999997</v>
      </c>
      <c r="BP16" s="528"/>
      <c r="BR16" s="460">
        <f t="shared" si="109"/>
        <v>410.02499999999998</v>
      </c>
      <c r="BS16" s="528">
        <f t="shared" si="40"/>
        <v>3.5045783892004136E-3</v>
      </c>
      <c r="BT16" s="528">
        <f t="shared" si="41"/>
        <v>0.2283711902172379</v>
      </c>
      <c r="BU16" s="528">
        <f t="shared" si="42"/>
        <v>3.9600000000000003E-2</v>
      </c>
      <c r="BV16" s="528">
        <f t="shared" si="43"/>
        <v>0.333308852785827</v>
      </c>
      <c r="BW16" s="528">
        <f t="shared" si="44"/>
        <v>1.3127956865766356E-2</v>
      </c>
      <c r="BX16" s="460">
        <f t="shared" si="110"/>
        <v>346.43680965159336</v>
      </c>
      <c r="BY16" s="173">
        <f t="shared" si="45"/>
        <v>1.319316126286322</v>
      </c>
      <c r="BZ16" s="5">
        <f t="shared" si="111"/>
        <v>2.64</v>
      </c>
      <c r="CA16" s="173">
        <f t="shared" si="112"/>
        <v>0.66678181680739224</v>
      </c>
      <c r="CB16" s="5">
        <f t="shared" si="113"/>
        <v>66.678181680739229</v>
      </c>
      <c r="CE16" s="562">
        <f t="shared" si="46"/>
        <v>-50</v>
      </c>
      <c r="CF16">
        <f t="shared" si="47"/>
        <v>-50</v>
      </c>
      <c r="CG16" s="173">
        <f t="shared" si="48"/>
        <v>0.26828360693490017</v>
      </c>
      <c r="CI16" s="170">
        <v>11</v>
      </c>
      <c r="CJ16" s="217">
        <f t="shared" si="114"/>
        <v>0.66</v>
      </c>
      <c r="CK16" s="217"/>
      <c r="CL16" s="217">
        <f t="shared" si="49"/>
        <v>2.64</v>
      </c>
      <c r="CM16" s="541">
        <f t="shared" si="50"/>
        <v>24</v>
      </c>
      <c r="CN16" s="172">
        <f t="shared" si="51"/>
        <v>18.8</v>
      </c>
      <c r="CO16" s="443">
        <f t="shared" si="52"/>
        <v>42.8</v>
      </c>
      <c r="CP16" s="443"/>
      <c r="CQ16" s="217">
        <f t="shared" si="53"/>
        <v>0.43925233644859818</v>
      </c>
      <c r="CR16" s="172">
        <f t="shared" si="54"/>
        <v>35.456448598130848</v>
      </c>
      <c r="CS16" s="172">
        <f t="shared" si="115"/>
        <v>2.64</v>
      </c>
      <c r="CT16" s="217">
        <f t="shared" si="55"/>
        <v>8.864112149532712</v>
      </c>
      <c r="CU16" s="217">
        <f t="shared" si="56"/>
        <v>4</v>
      </c>
      <c r="CV16" s="217">
        <f t="shared" si="57"/>
        <v>8.7850467289719631</v>
      </c>
      <c r="CW16" s="172">
        <f t="shared" si="58"/>
        <v>115.2483442390869</v>
      </c>
      <c r="CX16" s="172">
        <f t="shared" si="59"/>
        <v>4</v>
      </c>
      <c r="CY16" s="217">
        <f t="shared" si="60"/>
        <v>0.50085106382978717</v>
      </c>
      <c r="CZ16" s="217">
        <f t="shared" si="61"/>
        <v>0.25042553191489364</v>
      </c>
      <c r="DA16" s="217">
        <f t="shared" si="62"/>
        <v>0.31969216840199183</v>
      </c>
      <c r="DB16" s="197">
        <f t="shared" si="63"/>
        <v>350</v>
      </c>
      <c r="DC16" s="443">
        <f t="shared" si="116"/>
        <v>350</v>
      </c>
      <c r="DE16" s="217">
        <f t="shared" si="64"/>
        <v>2.5100133511348464</v>
      </c>
      <c r="DF16" s="173">
        <f t="shared" si="65"/>
        <v>1.6021361815754336</v>
      </c>
      <c r="DG16" s="173">
        <f t="shared" si="66"/>
        <v>2.8149682442633783</v>
      </c>
      <c r="DH16" s="173"/>
      <c r="DI16" s="173">
        <f t="shared" si="67"/>
        <v>0.85106382978723416</v>
      </c>
      <c r="DJ16" s="545">
        <f t="shared" si="117"/>
        <v>290.81249999999994</v>
      </c>
      <c r="DK16" s="528">
        <f t="shared" si="68"/>
        <v>0.79432624113475192</v>
      </c>
      <c r="DM16" s="173">
        <f t="shared" si="69"/>
        <v>1.2153776602944688</v>
      </c>
      <c r="DN16" s="173">
        <f t="shared" si="70"/>
        <v>1.3333333333333335</v>
      </c>
      <c r="DO16" s="173">
        <f t="shared" si="71"/>
        <v>1.1661785714285715</v>
      </c>
      <c r="DQ16" s="545">
        <f t="shared" si="72"/>
        <v>660</v>
      </c>
      <c r="DR16" s="460">
        <f t="shared" si="73"/>
        <v>290.81249999999994</v>
      </c>
      <c r="DT16">
        <f t="shared" si="74"/>
        <v>660</v>
      </c>
      <c r="DU16" s="460">
        <f t="shared" si="75"/>
        <v>290.81249999999994</v>
      </c>
      <c r="DV16" s="460"/>
      <c r="DW16" s="5">
        <f t="shared" si="118"/>
        <v>3.4386417365140778</v>
      </c>
      <c r="DX16" s="5">
        <f t="shared" si="76"/>
        <v>0.66666666666666685</v>
      </c>
      <c r="DY16" s="5">
        <f t="shared" si="119"/>
        <v>2.7719750698474108</v>
      </c>
      <c r="DZ16" s="5">
        <f t="shared" si="77"/>
        <v>0.85106382978723416</v>
      </c>
      <c r="EA16" s="173">
        <f t="shared" si="120"/>
        <v>0.19387500000000002</v>
      </c>
      <c r="EB16" s="173">
        <f t="shared" si="78"/>
        <v>3.1020000000000003</v>
      </c>
      <c r="EC16" s="173">
        <f t="shared" si="79"/>
        <v>2.1496666666666671</v>
      </c>
      <c r="ED16" s="173">
        <f t="shared" si="121"/>
        <v>1.4430144208404403</v>
      </c>
      <c r="EE16" s="460">
        <f t="shared" si="80"/>
        <v>11.000000000000005</v>
      </c>
      <c r="EF16" s="5">
        <f t="shared" si="81"/>
        <v>0.25409771473601261</v>
      </c>
      <c r="EG16" s="5"/>
      <c r="EH16" s="173">
        <f t="shared" si="122"/>
        <v>0.33895263517029767</v>
      </c>
      <c r="EI16" s="173">
        <f t="shared" si="82"/>
        <v>2.7646445086591624</v>
      </c>
      <c r="EJ16" s="173"/>
      <c r="EK16" s="528">
        <f t="shared" si="83"/>
        <v>1.4016444444444446E-3</v>
      </c>
      <c r="EL16" s="528">
        <f t="shared" si="84"/>
        <v>0.33191399999999993</v>
      </c>
      <c r="EM16" s="528">
        <f t="shared" si="85"/>
        <v>3.6351562499999997E-2</v>
      </c>
      <c r="EN16" s="528">
        <f t="shared" si="86"/>
        <v>5.3272196999999986E-2</v>
      </c>
      <c r="EO16">
        <f t="shared" si="87"/>
        <v>1.0800000000000001E-2</v>
      </c>
      <c r="EP16" s="460">
        <f t="shared" si="123"/>
        <v>47.151562499999997</v>
      </c>
      <c r="EQ16" s="528">
        <f t="shared" si="88"/>
        <v>0.43426247068772644</v>
      </c>
      <c r="ER16" s="460">
        <f t="shared" si="124"/>
        <v>434.26247068772642</v>
      </c>
      <c r="ES16" s="528">
        <f t="shared" si="125"/>
        <v>0.41002499999999997</v>
      </c>
      <c r="ET16" s="528"/>
      <c r="EV16" s="460">
        <f t="shared" si="126"/>
        <v>410.02499999999998</v>
      </c>
      <c r="EW16" s="528">
        <f t="shared" si="89"/>
        <v>3.4466666666666673E-3</v>
      </c>
      <c r="EX16" s="528">
        <f t="shared" si="90"/>
        <v>0.22929777777777785</v>
      </c>
      <c r="EY16" s="528">
        <f t="shared" si="91"/>
        <v>0.14802992549357291</v>
      </c>
      <c r="EZ16" s="528">
        <f t="shared" si="92"/>
        <v>0.44491719707321087</v>
      </c>
      <c r="FA16" s="528">
        <f t="shared" si="93"/>
        <v>1.2925000000000001E-2</v>
      </c>
      <c r="FB16" s="460">
        <f t="shared" si="127"/>
        <v>457.84219707321091</v>
      </c>
      <c r="FC16" s="173">
        <f t="shared" si="128"/>
        <v>1.3021296677609373</v>
      </c>
      <c r="FD16" s="5">
        <f t="shared" si="129"/>
        <v>2.64</v>
      </c>
      <c r="FE16" s="173">
        <f t="shared" si="130"/>
        <v>0.66968877802020021</v>
      </c>
      <c r="FF16" s="5">
        <f t="shared" si="131"/>
        <v>66.968877802020017</v>
      </c>
      <c r="FI16" s="562">
        <f t="shared" si="94"/>
        <v>-50</v>
      </c>
      <c r="FJ16">
        <f t="shared" si="95"/>
        <v>-50</v>
      </c>
      <c r="FL16">
        <f t="shared" si="96"/>
        <v>0.24749999999999997</v>
      </c>
    </row>
    <row r="17" spans="5:168">
      <c r="E17" s="170">
        <v>12</v>
      </c>
      <c r="F17" s="217">
        <f t="shared" si="97"/>
        <v>0.72</v>
      </c>
      <c r="G17" s="217"/>
      <c r="H17" s="217">
        <f t="shared" si="0"/>
        <v>2.88</v>
      </c>
      <c r="I17" s="541">
        <f t="shared" si="1"/>
        <v>23.974046122014119</v>
      </c>
      <c r="J17" s="172">
        <f t="shared" si="2"/>
        <v>19.095209986569245</v>
      </c>
      <c r="K17" s="172">
        <f t="shared" si="3"/>
        <v>43.095209986569245</v>
      </c>
      <c r="L17" s="443"/>
      <c r="M17" s="217">
        <f t="shared" si="4"/>
        <v>0.44368078007492451</v>
      </c>
      <c r="N17" s="172">
        <f t="shared" si="5"/>
        <v>35.775182987773832</v>
      </c>
      <c r="O17" s="172">
        <f t="shared" si="98"/>
        <v>2.88</v>
      </c>
      <c r="P17" s="217">
        <f t="shared" si="6"/>
        <v>8.9437957469434579</v>
      </c>
      <c r="Q17" s="217">
        <f t="shared" si="7"/>
        <v>4</v>
      </c>
      <c r="R17" s="217">
        <f t="shared" si="8"/>
        <v>8.8640195708062031</v>
      </c>
      <c r="S17" s="172">
        <f t="shared" si="9"/>
        <v>105.03712093278001</v>
      </c>
      <c r="T17" s="172">
        <f t="shared" si="10"/>
        <v>4</v>
      </c>
      <c r="U17" s="217">
        <f t="shared" si="99"/>
        <v>0.6471104846035779</v>
      </c>
      <c r="V17" s="217">
        <f t="shared" si="11"/>
        <v>0.32390551748010699</v>
      </c>
      <c r="W17" s="217">
        <f t="shared" si="12"/>
        <v>0.40666354654935633</v>
      </c>
      <c r="X17" s="197">
        <f t="shared" si="13"/>
        <v>350</v>
      </c>
      <c r="Y17" s="443">
        <f t="shared" si="14"/>
        <v>350</v>
      </c>
      <c r="AA17" s="217">
        <f t="shared" si="15"/>
        <v>2.5307492335766377</v>
      </c>
      <c r="AB17" s="173">
        <f t="shared" si="16"/>
        <v>1.5903983681918086</v>
      </c>
      <c r="AC17" s="173">
        <f t="shared" si="17"/>
        <v>2.8174296159680678</v>
      </c>
      <c r="AD17" s="173"/>
      <c r="AE17" s="173">
        <f t="shared" si="18"/>
        <v>0.83790647032704646</v>
      </c>
      <c r="AF17" s="545">
        <f t="shared" si="100"/>
        <v>322.23166852335584</v>
      </c>
      <c r="AG17" s="528">
        <f t="shared" si="19"/>
        <v>0.78204603897191016</v>
      </c>
      <c r="AI17" s="173">
        <f t="shared" si="20"/>
        <v>1.2793483827961318</v>
      </c>
      <c r="AJ17" s="173">
        <f t="shared" si="21"/>
        <v>1.3333333333333335</v>
      </c>
      <c r="AK17" s="173">
        <f t="shared" si="22"/>
        <v>1.1841323820133463</v>
      </c>
      <c r="AM17" s="545">
        <f t="shared" si="23"/>
        <v>720</v>
      </c>
      <c r="AN17" s="460">
        <f t="shared" si="24"/>
        <v>322.23166852335584</v>
      </c>
      <c r="AP17">
        <f t="shared" si="25"/>
        <v>720</v>
      </c>
      <c r="AQ17" s="460">
        <f t="shared" si="26"/>
        <v>322.23166852335584</v>
      </c>
      <c r="AR17" s="460"/>
      <c r="AS17" s="5">
        <f t="shared" si="101"/>
        <v>3.1033572975075803</v>
      </c>
      <c r="AT17" s="5">
        <f t="shared" si="27"/>
        <v>0.66738838819985558</v>
      </c>
      <c r="AU17" s="5">
        <f t="shared" si="102"/>
        <v>2.4359689093077246</v>
      </c>
      <c r="AV17" s="5">
        <f t="shared" si="28"/>
        <v>0.83790647032704646</v>
      </c>
      <c r="AW17" s="173">
        <f t="shared" si="103"/>
        <v>0.21505367388275259</v>
      </c>
      <c r="AX17" s="173">
        <f t="shared" si="29"/>
        <v>3.4371377975824631</v>
      </c>
      <c r="AY17" s="173">
        <f t="shared" si="30"/>
        <v>2.0931902029793266</v>
      </c>
      <c r="AZ17" s="173">
        <f t="shared" si="104"/>
        <v>1.6420570823856517</v>
      </c>
      <c r="BA17" s="460">
        <f t="shared" si="31"/>
        <v>12.0129909875974</v>
      </c>
      <c r="BB17" s="5">
        <f t="shared" si="32"/>
        <v>0.2438606046131763</v>
      </c>
      <c r="BC17" s="5"/>
      <c r="BD17" s="173">
        <f t="shared" si="105"/>
        <v>0.35698629406847304</v>
      </c>
      <c r="BE17" s="173">
        <f t="shared" si="33"/>
        <v>2.7280861524221711</v>
      </c>
      <c r="BF17" s="173"/>
      <c r="BG17" s="528">
        <f t="shared" si="34"/>
        <v>1.5547584126634562E-3</v>
      </c>
      <c r="BH17" s="528">
        <f t="shared" si="35"/>
        <v>0.34716603548341496</v>
      </c>
      <c r="BI17" s="528">
        <f t="shared" si="36"/>
        <v>0.19312992207881241</v>
      </c>
      <c r="BJ17" s="528">
        <f t="shared" si="37"/>
        <v>5.9844772797450055E-2</v>
      </c>
      <c r="BK17">
        <f t="shared" si="38"/>
        <v>1.0788320754906353E-2</v>
      </c>
      <c r="BL17" s="460">
        <f t="shared" si="106"/>
        <v>203.91824283371875</v>
      </c>
      <c r="BM17" s="528">
        <f t="shared" si="39"/>
        <v>0.40913649082103271</v>
      </c>
      <c r="BN17" s="460">
        <f t="shared" si="107"/>
        <v>409.13649082103268</v>
      </c>
      <c r="BO17" s="528">
        <f t="shared" si="108"/>
        <v>0.44729999999999998</v>
      </c>
      <c r="BP17" s="528"/>
      <c r="BR17" s="460">
        <f t="shared" si="109"/>
        <v>447.29999999999995</v>
      </c>
      <c r="BS17" s="528">
        <f t="shared" si="40"/>
        <v>3.8231764245822693E-3</v>
      </c>
      <c r="BT17" s="528">
        <f t="shared" si="41"/>
        <v>0.22327362165112816</v>
      </c>
      <c r="BU17" s="528">
        <f t="shared" si="42"/>
        <v>4.3199999999999995E-2</v>
      </c>
      <c r="BV17" s="528">
        <f t="shared" si="43"/>
        <v>0.33081010282366907</v>
      </c>
      <c r="BW17" s="528">
        <f t="shared" si="44"/>
        <v>1.4321407489926928E-2</v>
      </c>
      <c r="BX17" s="460">
        <f t="shared" si="110"/>
        <v>345.13151031359604</v>
      </c>
      <c r="BY17" s="173">
        <f t="shared" si="45"/>
        <v>1.4054862439683475</v>
      </c>
      <c r="BZ17" s="5">
        <f t="shared" si="111"/>
        <v>2.88</v>
      </c>
      <c r="CA17" s="173">
        <f t="shared" si="112"/>
        <v>0.6720357588484821</v>
      </c>
      <c r="CB17" s="5">
        <f t="shared" si="113"/>
        <v>67.203575884848206</v>
      </c>
      <c r="CE17" s="562">
        <f t="shared" si="46"/>
        <v>-50</v>
      </c>
      <c r="CF17">
        <f t="shared" si="47"/>
        <v>-50</v>
      </c>
      <c r="CG17" s="173">
        <f t="shared" si="48"/>
        <v>0.29267302574716375</v>
      </c>
      <c r="CI17" s="170">
        <v>12</v>
      </c>
      <c r="CJ17" s="217">
        <f t="shared" si="114"/>
        <v>0.72</v>
      </c>
      <c r="CK17" s="217"/>
      <c r="CL17" s="217">
        <f t="shared" si="49"/>
        <v>2.88</v>
      </c>
      <c r="CM17" s="541">
        <f t="shared" si="50"/>
        <v>24</v>
      </c>
      <c r="CN17" s="172">
        <f t="shared" si="51"/>
        <v>18.8</v>
      </c>
      <c r="CO17" s="443">
        <f t="shared" si="52"/>
        <v>42.8</v>
      </c>
      <c r="CP17" s="443"/>
      <c r="CQ17" s="217">
        <f t="shared" si="53"/>
        <v>0.43925233644859818</v>
      </c>
      <c r="CR17" s="172">
        <f t="shared" si="54"/>
        <v>35.456448598130848</v>
      </c>
      <c r="CS17" s="172">
        <f t="shared" si="115"/>
        <v>2.88</v>
      </c>
      <c r="CT17" s="217">
        <f t="shared" si="55"/>
        <v>8.864112149532712</v>
      </c>
      <c r="CU17" s="217">
        <f t="shared" si="56"/>
        <v>4</v>
      </c>
      <c r="CV17" s="217">
        <f t="shared" si="57"/>
        <v>8.7850467289719631</v>
      </c>
      <c r="CW17" s="172">
        <f t="shared" si="58"/>
        <v>105.1507896058643</v>
      </c>
      <c r="CX17" s="172">
        <f t="shared" si="59"/>
        <v>4</v>
      </c>
      <c r="CY17" s="217">
        <f t="shared" si="60"/>
        <v>0.54638297872340413</v>
      </c>
      <c r="CZ17" s="217">
        <f t="shared" si="61"/>
        <v>0.27319148936170212</v>
      </c>
      <c r="DA17" s="217">
        <f t="shared" si="62"/>
        <v>0.34875509280217287</v>
      </c>
      <c r="DB17" s="197">
        <f t="shared" si="63"/>
        <v>350</v>
      </c>
      <c r="DC17" s="443">
        <f t="shared" si="116"/>
        <v>350</v>
      </c>
      <c r="DE17" s="217">
        <f t="shared" si="64"/>
        <v>2.5100133511348464</v>
      </c>
      <c r="DF17" s="173">
        <f t="shared" si="65"/>
        <v>1.6021361815754336</v>
      </c>
      <c r="DG17" s="173">
        <f t="shared" si="66"/>
        <v>2.8149682442633783</v>
      </c>
      <c r="DH17" s="173"/>
      <c r="DI17" s="173">
        <f t="shared" si="67"/>
        <v>0.85106382978723416</v>
      </c>
      <c r="DJ17" s="545">
        <f t="shared" si="117"/>
        <v>317.24999999999994</v>
      </c>
      <c r="DK17" s="528">
        <f t="shared" si="68"/>
        <v>0.79432624113475192</v>
      </c>
      <c r="DM17" s="173">
        <f t="shared" si="69"/>
        <v>1.2694205652298893</v>
      </c>
      <c r="DN17" s="173">
        <f t="shared" si="70"/>
        <v>1.3333333333333335</v>
      </c>
      <c r="DO17" s="173">
        <f t="shared" si="71"/>
        <v>1.1812857142857143</v>
      </c>
      <c r="DQ17" s="545">
        <f t="shared" si="72"/>
        <v>720</v>
      </c>
      <c r="DR17" s="460">
        <f t="shared" si="73"/>
        <v>317.24999999999994</v>
      </c>
      <c r="DT17">
        <f t="shared" si="74"/>
        <v>720</v>
      </c>
      <c r="DU17" s="460">
        <f t="shared" si="75"/>
        <v>317.24999999999994</v>
      </c>
      <c r="DV17" s="460"/>
      <c r="DW17" s="5">
        <f t="shared" si="118"/>
        <v>3.1520882584712377</v>
      </c>
      <c r="DX17" s="5">
        <f t="shared" si="76"/>
        <v>0.66666666666666685</v>
      </c>
      <c r="DY17" s="5">
        <f t="shared" si="119"/>
        <v>2.4854215918045708</v>
      </c>
      <c r="DZ17" s="5">
        <f t="shared" si="77"/>
        <v>0.85106382978723416</v>
      </c>
      <c r="EA17" s="173">
        <f t="shared" si="120"/>
        <v>0.21150000000000002</v>
      </c>
      <c r="EB17" s="173">
        <f t="shared" si="78"/>
        <v>3.3840000000000003</v>
      </c>
      <c r="EC17" s="173">
        <f t="shared" si="79"/>
        <v>2.1026666666666669</v>
      </c>
      <c r="ED17" s="173">
        <f t="shared" si="121"/>
        <v>1.6093849080532656</v>
      </c>
      <c r="EE17" s="460">
        <f t="shared" si="80"/>
        <v>12.000000000000002</v>
      </c>
      <c r="EF17" s="5">
        <f t="shared" si="81"/>
        <v>0.24854215918045705</v>
      </c>
      <c r="EG17" s="5"/>
      <c r="EH17" s="173">
        <f t="shared" si="122"/>
        <v>0.35402448126271346</v>
      </c>
      <c r="EI17" s="173">
        <f t="shared" si="82"/>
        <v>2.7342545872958044</v>
      </c>
      <c r="EJ17" s="173"/>
      <c r="EK17" s="528">
        <f t="shared" si="83"/>
        <v>1.5290666666666667E-3</v>
      </c>
      <c r="EL17" s="528">
        <f t="shared" si="84"/>
        <v>0.36208799999999991</v>
      </c>
      <c r="EM17" s="528">
        <f t="shared" si="85"/>
        <v>3.965624999999999E-2</v>
      </c>
      <c r="EN17" s="528">
        <f t="shared" si="86"/>
        <v>5.8115123999999983E-2</v>
      </c>
      <c r="EO17">
        <f t="shared" si="87"/>
        <v>1.0800000000000001E-2</v>
      </c>
      <c r="EP17" s="460">
        <f t="shared" si="123"/>
        <v>50.456249999999997</v>
      </c>
      <c r="EQ17" s="528">
        <f t="shared" si="88"/>
        <v>0.47277305006585929</v>
      </c>
      <c r="ER17" s="460">
        <f t="shared" si="124"/>
        <v>472.77305006585931</v>
      </c>
      <c r="ES17" s="528">
        <f t="shared" si="125"/>
        <v>0.44729999999999998</v>
      </c>
      <c r="ET17" s="528"/>
      <c r="EV17" s="460">
        <f t="shared" si="126"/>
        <v>447.29999999999995</v>
      </c>
      <c r="EW17" s="528">
        <f t="shared" si="89"/>
        <v>3.7600000000000003E-3</v>
      </c>
      <c r="EX17" s="528">
        <f t="shared" si="90"/>
        <v>0.22428444444444448</v>
      </c>
      <c r="EY17" s="528">
        <f t="shared" si="91"/>
        <v>0.18400131329927374</v>
      </c>
      <c r="EZ17" s="528">
        <f t="shared" si="92"/>
        <v>0.47545032889957139</v>
      </c>
      <c r="FA17" s="528">
        <f t="shared" si="93"/>
        <v>1.41E-2</v>
      </c>
      <c r="FB17" s="460">
        <f t="shared" si="127"/>
        <v>489.55032889957141</v>
      </c>
      <c r="FC17" s="173">
        <f t="shared" si="128"/>
        <v>1.4096233789654307</v>
      </c>
      <c r="FD17" s="5">
        <f t="shared" si="129"/>
        <v>2.88</v>
      </c>
      <c r="FE17" s="173">
        <f t="shared" si="130"/>
        <v>0.67138761274995595</v>
      </c>
      <c r="FF17" s="5">
        <f t="shared" si="131"/>
        <v>67.138761274995602</v>
      </c>
      <c r="FI17" s="562">
        <f t="shared" si="94"/>
        <v>-50</v>
      </c>
      <c r="FJ17">
        <f t="shared" si="95"/>
        <v>-50</v>
      </c>
      <c r="FL17">
        <f t="shared" si="96"/>
        <v>0.26999999999999996</v>
      </c>
    </row>
    <row r="18" spans="5:168">
      <c r="E18" s="170">
        <v>13</v>
      </c>
      <c r="F18" s="217">
        <f t="shared" si="97"/>
        <v>0.78</v>
      </c>
      <c r="G18" s="217"/>
      <c r="H18" s="217">
        <f t="shared" si="0"/>
        <v>3.12</v>
      </c>
      <c r="I18" s="541">
        <f t="shared" si="1"/>
        <v>23.974046122014119</v>
      </c>
      <c r="J18" s="172">
        <f t="shared" si="2"/>
        <v>19.095209986569245</v>
      </c>
      <c r="K18" s="172">
        <f t="shared" si="3"/>
        <v>43.095209986569245</v>
      </c>
      <c r="L18" s="443"/>
      <c r="M18" s="217">
        <f t="shared" si="4"/>
        <v>0.44368078007492451</v>
      </c>
      <c r="N18" s="172">
        <f t="shared" si="5"/>
        <v>35.775182987773832</v>
      </c>
      <c r="O18" s="172">
        <f t="shared" si="98"/>
        <v>3.12</v>
      </c>
      <c r="P18" s="217">
        <f t="shared" si="6"/>
        <v>8.9437957469434579</v>
      </c>
      <c r="Q18" s="217">
        <f t="shared" si="7"/>
        <v>4</v>
      </c>
      <c r="R18" s="217">
        <f t="shared" si="8"/>
        <v>8.8640195708062031</v>
      </c>
      <c r="S18" s="172">
        <f t="shared" si="9"/>
        <v>96.50283891336845</v>
      </c>
      <c r="T18" s="172">
        <f t="shared" si="10"/>
        <v>4</v>
      </c>
      <c r="U18" s="217">
        <f t="shared" si="99"/>
        <v>0.70103635832054267</v>
      </c>
      <c r="V18" s="217">
        <f t="shared" si="11"/>
        <v>0.35089764393678252</v>
      </c>
      <c r="W18" s="217">
        <f t="shared" si="12"/>
        <v>0.44055217542846925</v>
      </c>
      <c r="X18" s="197">
        <f t="shared" si="13"/>
        <v>350</v>
      </c>
      <c r="Y18" s="443">
        <f t="shared" si="14"/>
        <v>350</v>
      </c>
      <c r="AA18" s="217">
        <f t="shared" si="15"/>
        <v>2.5307492335766377</v>
      </c>
      <c r="AB18" s="173">
        <f t="shared" si="16"/>
        <v>1.5903983681918086</v>
      </c>
      <c r="AC18" s="173">
        <f t="shared" si="17"/>
        <v>2.8174296159680678</v>
      </c>
      <c r="AD18" s="173"/>
      <c r="AE18" s="173">
        <f t="shared" si="18"/>
        <v>0.83790647032704646</v>
      </c>
      <c r="AF18" s="545">
        <f t="shared" si="100"/>
        <v>349.0843075669689</v>
      </c>
      <c r="AG18" s="528">
        <f t="shared" si="19"/>
        <v>0.78204603897191016</v>
      </c>
      <c r="AI18" s="173">
        <f t="shared" si="20"/>
        <v>1.3315880149693453</v>
      </c>
      <c r="AJ18" s="173">
        <f t="shared" si="21"/>
        <v>1.3333333333333335</v>
      </c>
      <c r="AK18" s="173">
        <f t="shared" si="22"/>
        <v>1.1994767471811252</v>
      </c>
      <c r="AM18" s="545">
        <f t="shared" si="23"/>
        <v>780</v>
      </c>
      <c r="AN18" s="460">
        <f t="shared" si="24"/>
        <v>349.0843075669689</v>
      </c>
      <c r="AP18">
        <f t="shared" si="25"/>
        <v>780</v>
      </c>
      <c r="AQ18" s="460">
        <f t="shared" si="26"/>
        <v>349.0843075669689</v>
      </c>
      <c r="AR18" s="460"/>
      <c r="AS18" s="5">
        <f t="shared" si="101"/>
        <v>2.8646375053916118</v>
      </c>
      <c r="AT18" s="5">
        <f t="shared" si="27"/>
        <v>0.66738838819985558</v>
      </c>
      <c r="AU18" s="5">
        <f t="shared" si="102"/>
        <v>2.1972491171917561</v>
      </c>
      <c r="AV18" s="5">
        <f t="shared" si="28"/>
        <v>0.83790647032704646</v>
      </c>
      <c r="AW18" s="173">
        <f t="shared" si="103"/>
        <v>0.23297481337298204</v>
      </c>
      <c r="AX18" s="173">
        <f t="shared" si="29"/>
        <v>3.7235659473810023</v>
      </c>
      <c r="AY18" s="173">
        <f t="shared" si="30"/>
        <v>2.0454004976720479</v>
      </c>
      <c r="AZ18" s="173">
        <f t="shared" si="104"/>
        <v>1.8204581213405109</v>
      </c>
      <c r="BA18" s="460">
        <f t="shared" si="31"/>
        <v>13.014073569897182</v>
      </c>
      <c r="BB18" s="5">
        <f t="shared" si="32"/>
        <v>0.23829301385437623</v>
      </c>
      <c r="BC18" s="5"/>
      <c r="BD18" s="173">
        <f t="shared" si="105"/>
        <v>0.37156311531887937</v>
      </c>
      <c r="BE18" s="173">
        <f t="shared" si="33"/>
        <v>2.6967638203658013</v>
      </c>
      <c r="BF18" s="173"/>
      <c r="BG18" s="528">
        <f t="shared" si="34"/>
        <v>1.6843216137187441E-3</v>
      </c>
      <c r="BH18" s="528">
        <f t="shared" si="35"/>
        <v>0.37609653844036628</v>
      </c>
      <c r="BI18" s="528">
        <f t="shared" si="36"/>
        <v>0.20922408225204686</v>
      </c>
      <c r="BJ18" s="528">
        <f t="shared" si="37"/>
        <v>6.4831837197237577E-2</v>
      </c>
      <c r="BK18">
        <f t="shared" si="38"/>
        <v>1.0788320754906353E-2</v>
      </c>
      <c r="BL18" s="460">
        <f t="shared" si="106"/>
        <v>220.01240300695321</v>
      </c>
      <c r="BM18" s="528">
        <f t="shared" si="39"/>
        <v>0.44324484837730865</v>
      </c>
      <c r="BN18" s="460">
        <f t="shared" si="107"/>
        <v>443.24484837730864</v>
      </c>
      <c r="BO18" s="528">
        <f t="shared" si="108"/>
        <v>0.48457499999999992</v>
      </c>
      <c r="BP18" s="528"/>
      <c r="BR18" s="460">
        <f t="shared" si="109"/>
        <v>484.57499999999993</v>
      </c>
      <c r="BS18" s="528">
        <f t="shared" si="40"/>
        <v>4.1417744599641249E-3</v>
      </c>
      <c r="BT18" s="528">
        <f t="shared" si="41"/>
        <v>0.21817605308501853</v>
      </c>
      <c r="BU18" s="528">
        <f t="shared" si="42"/>
        <v>4.6800000000000001E-2</v>
      </c>
      <c r="BV18" s="528">
        <f t="shared" si="43"/>
        <v>0.32831329809062948</v>
      </c>
      <c r="BW18" s="528">
        <f t="shared" si="44"/>
        <v>1.551485811408751E-2</v>
      </c>
      <c r="BX18" s="460">
        <f t="shared" si="110"/>
        <v>343.82815620471695</v>
      </c>
      <c r="BY18" s="173">
        <f t="shared" si="45"/>
        <v>1.4916604075889788</v>
      </c>
      <c r="BZ18" s="5">
        <f t="shared" si="111"/>
        <v>3.12</v>
      </c>
      <c r="CA18" s="173">
        <f t="shared" si="112"/>
        <v>0.67654591280522458</v>
      </c>
      <c r="CB18" s="5">
        <f t="shared" si="113"/>
        <v>67.654591280522453</v>
      </c>
      <c r="CE18" s="562">
        <f t="shared" si="46"/>
        <v>-50</v>
      </c>
      <c r="CF18">
        <f t="shared" si="47"/>
        <v>-50</v>
      </c>
      <c r="CG18" s="173">
        <f t="shared" si="48"/>
        <v>0.31706244455942739</v>
      </c>
      <c r="CI18" s="170">
        <v>13</v>
      </c>
      <c r="CJ18" s="217">
        <f t="shared" si="114"/>
        <v>0.78</v>
      </c>
      <c r="CK18" s="217"/>
      <c r="CL18" s="217">
        <f t="shared" si="49"/>
        <v>3.12</v>
      </c>
      <c r="CM18" s="541">
        <f t="shared" si="50"/>
        <v>24</v>
      </c>
      <c r="CN18" s="172">
        <f t="shared" si="51"/>
        <v>18.8</v>
      </c>
      <c r="CO18" s="443">
        <f t="shared" si="52"/>
        <v>42.8</v>
      </c>
      <c r="CP18" s="443"/>
      <c r="CQ18" s="217">
        <f t="shared" si="53"/>
        <v>0.43925233644859818</v>
      </c>
      <c r="CR18" s="172">
        <f t="shared" si="54"/>
        <v>35.456448598130848</v>
      </c>
      <c r="CS18" s="172">
        <f t="shared" si="115"/>
        <v>3.12</v>
      </c>
      <c r="CT18" s="217">
        <f t="shared" si="55"/>
        <v>8.864112149532712</v>
      </c>
      <c r="CU18" s="217">
        <f t="shared" si="56"/>
        <v>4</v>
      </c>
      <c r="CV18" s="217">
        <f t="shared" si="57"/>
        <v>8.7850467289719631</v>
      </c>
      <c r="CW18" s="172">
        <f t="shared" si="58"/>
        <v>96.607264809061775</v>
      </c>
      <c r="CX18" s="172">
        <f t="shared" si="59"/>
        <v>4</v>
      </c>
      <c r="CY18" s="217">
        <f t="shared" si="60"/>
        <v>0.59191489361702121</v>
      </c>
      <c r="CZ18" s="217">
        <f t="shared" si="61"/>
        <v>0.2959574468085106</v>
      </c>
      <c r="DA18" s="217">
        <f t="shared" si="62"/>
        <v>0.37781801720235392</v>
      </c>
      <c r="DB18" s="197">
        <f t="shared" si="63"/>
        <v>350</v>
      </c>
      <c r="DC18" s="443">
        <f t="shared" si="116"/>
        <v>350</v>
      </c>
      <c r="DE18" s="217">
        <f t="shared" si="64"/>
        <v>2.5100133511348464</v>
      </c>
      <c r="DF18" s="173">
        <f t="shared" si="65"/>
        <v>1.6021361815754336</v>
      </c>
      <c r="DG18" s="173">
        <f t="shared" si="66"/>
        <v>2.8149682442633783</v>
      </c>
      <c r="DH18" s="173"/>
      <c r="DI18" s="173">
        <f t="shared" si="67"/>
        <v>0.85106382978723416</v>
      </c>
      <c r="DJ18" s="545">
        <f t="shared" si="117"/>
        <v>343.68749999999994</v>
      </c>
      <c r="DK18" s="528">
        <f t="shared" si="68"/>
        <v>0.79432624113475192</v>
      </c>
      <c r="DM18" s="173">
        <f t="shared" si="69"/>
        <v>1.3212548148310703</v>
      </c>
      <c r="DN18" s="173">
        <f t="shared" si="70"/>
        <v>1.3333333333333335</v>
      </c>
      <c r="DO18" s="173">
        <f t="shared" si="71"/>
        <v>1.196392857142857</v>
      </c>
      <c r="DQ18" s="545">
        <f t="shared" si="72"/>
        <v>780</v>
      </c>
      <c r="DR18" s="460">
        <f t="shared" si="73"/>
        <v>343.68749999999994</v>
      </c>
      <c r="DT18">
        <f t="shared" si="74"/>
        <v>780</v>
      </c>
      <c r="DU18" s="460">
        <f t="shared" si="75"/>
        <v>343.68749999999994</v>
      </c>
      <c r="DV18" s="460"/>
      <c r="DW18" s="5">
        <f t="shared" si="118"/>
        <v>2.9096199308965272</v>
      </c>
      <c r="DX18" s="5">
        <f t="shared" si="76"/>
        <v>0.66666666666666685</v>
      </c>
      <c r="DY18" s="5">
        <f t="shared" si="119"/>
        <v>2.2429532642298602</v>
      </c>
      <c r="DZ18" s="5">
        <f t="shared" si="77"/>
        <v>0.85106382978723416</v>
      </c>
      <c r="EA18" s="173">
        <f t="shared" si="120"/>
        <v>0.22912500000000002</v>
      </c>
      <c r="EB18" s="173">
        <f t="shared" si="78"/>
        <v>3.6659999999999999</v>
      </c>
      <c r="EC18" s="173">
        <f t="shared" si="79"/>
        <v>2.0556666666666668</v>
      </c>
      <c r="ED18" s="173">
        <f t="shared" si="121"/>
        <v>1.7833630614561373</v>
      </c>
      <c r="EE18" s="460">
        <f t="shared" si="80"/>
        <v>13.000000000000004</v>
      </c>
      <c r="EF18" s="5">
        <f t="shared" si="81"/>
        <v>0.24298660362490149</v>
      </c>
      <c r="EG18" s="5"/>
      <c r="EH18" s="173">
        <f t="shared" si="122"/>
        <v>0.36848036281161284</v>
      </c>
      <c r="EI18" s="173">
        <f t="shared" si="82"/>
        <v>2.7035230786951012</v>
      </c>
      <c r="EJ18" s="173"/>
      <c r="EK18" s="528">
        <f t="shared" si="83"/>
        <v>1.6564888888888894E-3</v>
      </c>
      <c r="EL18" s="528">
        <f t="shared" si="84"/>
        <v>0.392262</v>
      </c>
      <c r="EM18" s="528">
        <f t="shared" si="85"/>
        <v>4.296093749999999E-2</v>
      </c>
      <c r="EN18" s="528">
        <f t="shared" si="86"/>
        <v>6.2958050999999987E-2</v>
      </c>
      <c r="EO18">
        <f t="shared" si="87"/>
        <v>1.0800000000000001E-2</v>
      </c>
      <c r="EP18" s="460">
        <f t="shared" si="123"/>
        <v>53.760937499999997</v>
      </c>
      <c r="EQ18" s="528">
        <f t="shared" si="88"/>
        <v>0.51128596221776179</v>
      </c>
      <c r="ER18" s="460">
        <f t="shared" si="124"/>
        <v>511.28596221776178</v>
      </c>
      <c r="ES18" s="528">
        <f t="shared" si="125"/>
        <v>0.48457499999999992</v>
      </c>
      <c r="ET18" s="528"/>
      <c r="EV18" s="460">
        <f t="shared" si="126"/>
        <v>484.57499999999993</v>
      </c>
      <c r="EW18" s="528">
        <f t="shared" si="89"/>
        <v>4.0733333333333351E-3</v>
      </c>
      <c r="EX18" s="528">
        <f t="shared" si="90"/>
        <v>0.21927111111111114</v>
      </c>
      <c r="EY18" s="528">
        <f t="shared" si="91"/>
        <v>0.2247637081254307</v>
      </c>
      <c r="EZ18" s="528">
        <f t="shared" si="92"/>
        <v>0.51083825004919858</v>
      </c>
      <c r="FA18" s="528">
        <f t="shared" si="93"/>
        <v>1.5275000000000002E-2</v>
      </c>
      <c r="FB18" s="460">
        <f t="shared" si="127"/>
        <v>526.11325004919865</v>
      </c>
      <c r="FC18" s="173">
        <f t="shared" si="128"/>
        <v>1.5219742122669602</v>
      </c>
      <c r="FD18" s="5">
        <f t="shared" si="129"/>
        <v>3.12</v>
      </c>
      <c r="FE18" s="173">
        <f t="shared" si="130"/>
        <v>0.67212781832243584</v>
      </c>
      <c r="FF18" s="5">
        <f t="shared" si="131"/>
        <v>67.212781832243579</v>
      </c>
      <c r="FI18" s="562">
        <f t="shared" si="94"/>
        <v>-50</v>
      </c>
      <c r="FJ18">
        <f t="shared" si="95"/>
        <v>-50</v>
      </c>
      <c r="FL18">
        <f t="shared" si="96"/>
        <v>0.29249999999999998</v>
      </c>
    </row>
    <row r="19" spans="5:168">
      <c r="E19" s="170">
        <v>14</v>
      </c>
      <c r="F19" s="217">
        <f t="shared" si="97"/>
        <v>0.84000000000000008</v>
      </c>
      <c r="G19" s="217"/>
      <c r="H19" s="217">
        <f t="shared" si="0"/>
        <v>3.3600000000000003</v>
      </c>
      <c r="I19" s="541">
        <f t="shared" si="1"/>
        <v>23.973310376548177</v>
      </c>
      <c r="J19" s="172">
        <f t="shared" si="2"/>
        <v>19.103578655376165</v>
      </c>
      <c r="K19" s="172">
        <f t="shared" si="3"/>
        <v>43.103578655376168</v>
      </c>
      <c r="L19" s="443"/>
      <c r="M19" s="217">
        <f t="shared" si="4"/>
        <v>0.44380543773076597</v>
      </c>
      <c r="N19" s="172">
        <f t="shared" si="5"/>
        <v>35.78413625023051</v>
      </c>
      <c r="O19" s="172">
        <f t="shared" si="98"/>
        <v>3.3600000000000003</v>
      </c>
      <c r="P19" s="217">
        <f t="shared" si="6"/>
        <v>8.9460340625576276</v>
      </c>
      <c r="Q19" s="217">
        <f t="shared" si="7"/>
        <v>4</v>
      </c>
      <c r="R19" s="217">
        <f t="shared" si="8"/>
        <v>8.866237921266233</v>
      </c>
      <c r="S19" s="172">
        <f t="shared" si="9"/>
        <v>89.185530573975925</v>
      </c>
      <c r="T19" s="172">
        <f t="shared" si="10"/>
        <v>4</v>
      </c>
      <c r="U19" s="217">
        <f t="shared" si="99"/>
        <v>0.75513143869373722</v>
      </c>
      <c r="V19" s="217">
        <f t="shared" si="11"/>
        <v>0.37798606542003932</v>
      </c>
      <c r="W19" s="217">
        <f t="shared" si="12"/>
        <v>0.47433925484818634</v>
      </c>
      <c r="X19" s="197">
        <f t="shared" si="13"/>
        <v>350</v>
      </c>
      <c r="Y19" s="443">
        <f t="shared" si="14"/>
        <v>350</v>
      </c>
      <c r="AA19" s="217">
        <f t="shared" si="15"/>
        <v>2.5313320453613333</v>
      </c>
      <c r="AB19" s="173">
        <f t="shared" si="16"/>
        <v>1.5900677612457461</v>
      </c>
      <c r="AC19" s="173">
        <f t="shared" si="17"/>
        <v>2.8174926348361176</v>
      </c>
      <c r="AD19" s="173"/>
      <c r="AE19" s="173">
        <f t="shared" si="18"/>
        <v>0.83753941021397338</v>
      </c>
      <c r="AF19" s="545">
        <f t="shared" si="100"/>
        <v>376.10170477771817</v>
      </c>
      <c r="AG19" s="528">
        <f t="shared" si="19"/>
        <v>0.78170344953304194</v>
      </c>
      <c r="AI19" s="173">
        <f t="shared" si="20"/>
        <v>1.3821569612520919</v>
      </c>
      <c r="AJ19" s="173">
        <f t="shared" si="21"/>
        <v>1.3821569612520919</v>
      </c>
      <c r="AK19" s="173">
        <f t="shared" si="22"/>
        <v>1.2361656503101914</v>
      </c>
      <c r="AM19" s="545">
        <f t="shared" si="23"/>
        <v>840.00000000000011</v>
      </c>
      <c r="AN19" s="460">
        <f t="shared" si="24"/>
        <v>350</v>
      </c>
      <c r="AP19">
        <f t="shared" si="25"/>
        <v>840.00000000000011</v>
      </c>
      <c r="AQ19" s="460">
        <f t="shared" si="26"/>
        <v>350</v>
      </c>
      <c r="AR19" s="460"/>
      <c r="AS19" s="5">
        <f t="shared" si="101"/>
        <v>2.8571428571428572</v>
      </c>
      <c r="AT19" s="5">
        <f t="shared" si="27"/>
        <v>0.69184786224810213</v>
      </c>
      <c r="AU19" s="5">
        <f t="shared" si="102"/>
        <v>2.1652949948947553</v>
      </c>
      <c r="AV19" s="5">
        <f t="shared" si="28"/>
        <v>0.86820819461266086</v>
      </c>
      <c r="AW19" s="173">
        <f t="shared" si="103"/>
        <v>0.24214675178683573</v>
      </c>
      <c r="AX19" s="173">
        <f t="shared" si="29"/>
        <v>4.0117515176289951</v>
      </c>
      <c r="AY19" s="173">
        <f t="shared" si="30"/>
        <v>2.0949442852506688</v>
      </c>
      <c r="AZ19" s="173">
        <f t="shared" si="104"/>
        <v>1.9149681191397281</v>
      </c>
      <c r="BA19" s="460">
        <f t="shared" si="31"/>
        <v>14.528805107210145</v>
      </c>
      <c r="BB19" s="5">
        <f t="shared" si="32"/>
        <v>0.25289899018853301</v>
      </c>
      <c r="BC19" s="5"/>
      <c r="BD19" s="173">
        <f t="shared" si="105"/>
        <v>0.39267754026697554</v>
      </c>
      <c r="BE19" s="173">
        <f t="shared" si="33"/>
        <v>2.7787487962724038</v>
      </c>
      <c r="BF19" s="173"/>
      <c r="BG19" s="528">
        <f t="shared" si="34"/>
        <v>1.8811869376874906E-3</v>
      </c>
      <c r="BH19" s="528">
        <f t="shared" si="35"/>
        <v>0.39096691786297194</v>
      </c>
      <c r="BI19" s="528">
        <f t="shared" si="36"/>
        <v>0.20976646579479655</v>
      </c>
      <c r="BJ19" s="528">
        <f t="shared" si="37"/>
        <v>6.5027147251506989E-2</v>
      </c>
      <c r="BK19">
        <f t="shared" si="38"/>
        <v>1.078798966944668E-2</v>
      </c>
      <c r="BL19" s="460">
        <f t="shared" si="106"/>
        <v>220.55445546424323</v>
      </c>
      <c r="BM19" s="528">
        <f t="shared" si="39"/>
        <v>0.45858814767722772</v>
      </c>
      <c r="BN19" s="460">
        <f t="shared" si="107"/>
        <v>458.58814767722771</v>
      </c>
      <c r="BO19" s="528">
        <f t="shared" si="108"/>
        <v>0.52184999999999993</v>
      </c>
      <c r="BP19" s="528"/>
      <c r="BR19" s="460">
        <f t="shared" si="109"/>
        <v>521.84999999999991</v>
      </c>
      <c r="BS19" s="528">
        <f t="shared" si="40"/>
        <v>4.625869518903666E-3</v>
      </c>
      <c r="BT19" s="528">
        <f t="shared" si="41"/>
        <v>0.23164334618355997</v>
      </c>
      <c r="BU19" s="528">
        <f t="shared" si="42"/>
        <v>5.04E-2</v>
      </c>
      <c r="BV19" s="528">
        <f t="shared" si="43"/>
        <v>0.34998916062996743</v>
      </c>
      <c r="BW19" s="528">
        <f t="shared" si="44"/>
        <v>1.6715631323454144E-2</v>
      </c>
      <c r="BX19" s="460">
        <f t="shared" si="110"/>
        <v>366.70479195342159</v>
      </c>
      <c r="BY19" s="173">
        <f t="shared" si="45"/>
        <v>1.5676973950948927</v>
      </c>
      <c r="BZ19" s="5">
        <f t="shared" si="111"/>
        <v>3.3600000000000003</v>
      </c>
      <c r="CA19" s="173">
        <f t="shared" si="112"/>
        <v>0.68186005158202223</v>
      </c>
      <c r="CB19" s="5">
        <f t="shared" si="113"/>
        <v>68.186005158202221</v>
      </c>
      <c r="CE19" s="562">
        <f t="shared" si="46"/>
        <v>-50</v>
      </c>
      <c r="CF19">
        <f t="shared" si="47"/>
        <v>-50</v>
      </c>
      <c r="CG19" s="173">
        <f t="shared" si="48"/>
        <v>0.33203915431767983</v>
      </c>
      <c r="CI19" s="170">
        <v>14</v>
      </c>
      <c r="CJ19" s="217">
        <f t="shared" si="114"/>
        <v>0.84000000000000008</v>
      </c>
      <c r="CK19" s="217"/>
      <c r="CL19" s="217">
        <f t="shared" si="49"/>
        <v>3.3600000000000003</v>
      </c>
      <c r="CM19" s="541">
        <f t="shared" si="50"/>
        <v>24</v>
      </c>
      <c r="CN19" s="172">
        <f t="shared" si="51"/>
        <v>18.8</v>
      </c>
      <c r="CO19" s="443">
        <f t="shared" si="52"/>
        <v>42.8</v>
      </c>
      <c r="CP19" s="443"/>
      <c r="CQ19" s="217">
        <f t="shared" si="53"/>
        <v>0.43925233644859818</v>
      </c>
      <c r="CR19" s="172">
        <f t="shared" si="54"/>
        <v>35.456448598130848</v>
      </c>
      <c r="CS19" s="172">
        <f t="shared" si="115"/>
        <v>3.3600000000000003</v>
      </c>
      <c r="CT19" s="217">
        <f t="shared" si="55"/>
        <v>8.864112149532712</v>
      </c>
      <c r="CU19" s="217">
        <f t="shared" si="56"/>
        <v>4</v>
      </c>
      <c r="CV19" s="217">
        <f t="shared" si="57"/>
        <v>8.7850467289719631</v>
      </c>
      <c r="CW19" s="172">
        <f t="shared" si="58"/>
        <v>89.28476980323758</v>
      </c>
      <c r="CX19" s="172">
        <f t="shared" si="59"/>
        <v>4</v>
      </c>
      <c r="CY19" s="217">
        <f t="shared" si="60"/>
        <v>0.63744680851063829</v>
      </c>
      <c r="CZ19" s="217">
        <f t="shared" si="61"/>
        <v>0.3187234042553192</v>
      </c>
      <c r="DA19" s="217">
        <f t="shared" si="62"/>
        <v>0.40688094160253507</v>
      </c>
      <c r="DB19" s="197">
        <f t="shared" si="63"/>
        <v>350</v>
      </c>
      <c r="DC19" s="443">
        <f t="shared" si="116"/>
        <v>350</v>
      </c>
      <c r="DE19" s="217">
        <f t="shared" si="64"/>
        <v>2.5100133511348464</v>
      </c>
      <c r="DF19" s="173">
        <f t="shared" si="65"/>
        <v>1.6021361815754336</v>
      </c>
      <c r="DG19" s="173">
        <f t="shared" si="66"/>
        <v>2.8149682442633783</v>
      </c>
      <c r="DH19" s="173"/>
      <c r="DI19" s="173">
        <f t="shared" si="67"/>
        <v>0.85106382978723416</v>
      </c>
      <c r="DJ19" s="545">
        <f t="shared" si="117"/>
        <v>370.12499999999994</v>
      </c>
      <c r="DK19" s="528">
        <f t="shared" si="68"/>
        <v>0.79432624113475192</v>
      </c>
      <c r="DM19" s="173">
        <f t="shared" si="69"/>
        <v>1.3711309200802089</v>
      </c>
      <c r="DN19" s="173">
        <f t="shared" si="70"/>
        <v>1.3711309200802089</v>
      </c>
      <c r="DO19" s="173">
        <f t="shared" si="71"/>
        <v>1.2279982124050928</v>
      </c>
      <c r="DQ19" s="545">
        <f t="shared" si="72"/>
        <v>840.00000000000011</v>
      </c>
      <c r="DR19" s="460">
        <f t="shared" si="73"/>
        <v>350</v>
      </c>
      <c r="DT19">
        <f t="shared" si="74"/>
        <v>840.00000000000011</v>
      </c>
      <c r="DU19" s="460">
        <f t="shared" si="75"/>
        <v>350</v>
      </c>
      <c r="DV19" s="460"/>
      <c r="DW19" s="5">
        <f t="shared" si="118"/>
        <v>2.8571428571428572</v>
      </c>
      <c r="DX19" s="5">
        <f t="shared" si="76"/>
        <v>0.68556546004010444</v>
      </c>
      <c r="DY19" s="5">
        <f t="shared" si="119"/>
        <v>2.1715773971027525</v>
      </c>
      <c r="DZ19" s="5">
        <f t="shared" si="77"/>
        <v>0.87518994898736746</v>
      </c>
      <c r="EA19" s="173">
        <f t="shared" si="120"/>
        <v>0.23994791101403654</v>
      </c>
      <c r="EB19" s="173">
        <f t="shared" si="78"/>
        <v>3.948</v>
      </c>
      <c r="EC19" s="173">
        <f t="shared" si="79"/>
        <v>2.0842618401604178</v>
      </c>
      <c r="ED19" s="173">
        <f t="shared" si="121"/>
        <v>1.89419578861365</v>
      </c>
      <c r="EE19" s="460">
        <f t="shared" si="80"/>
        <v>14.396874660842194</v>
      </c>
      <c r="EF19" s="5">
        <f t="shared" si="81"/>
        <v>0.25335069632865442</v>
      </c>
      <c r="EG19" s="5"/>
      <c r="EH19" s="173">
        <f t="shared" si="122"/>
        <v>0.38777230118820538</v>
      </c>
      <c r="EI19" s="173">
        <f t="shared" si="82"/>
        <v>2.7605776470814813</v>
      </c>
      <c r="EJ19" s="173"/>
      <c r="EK19" s="528">
        <f t="shared" si="83"/>
        <v>1.8344817623393143E-3</v>
      </c>
      <c r="EL19" s="528">
        <f t="shared" si="84"/>
        <v>0.41079082365603053</v>
      </c>
      <c r="EM19" s="528">
        <f t="shared" si="85"/>
        <v>4.3749999999999997E-2</v>
      </c>
      <c r="EN19" s="528">
        <f t="shared" si="86"/>
        <v>6.4114399999999988E-2</v>
      </c>
      <c r="EO19">
        <f t="shared" si="87"/>
        <v>1.0800000000000001E-2</v>
      </c>
      <c r="EP19" s="460">
        <f t="shared" si="123"/>
        <v>54.550000000000004</v>
      </c>
      <c r="EQ19" s="528">
        <f t="shared" si="88"/>
        <v>0.53201690722870509</v>
      </c>
      <c r="ER19" s="460">
        <f t="shared" si="124"/>
        <v>532.01690722870512</v>
      </c>
      <c r="ES19" s="528">
        <f t="shared" si="125"/>
        <v>0.52184999999999993</v>
      </c>
      <c r="ET19" s="528"/>
      <c r="EV19" s="460">
        <f t="shared" si="126"/>
        <v>521.84999999999991</v>
      </c>
      <c r="EW19" s="528">
        <f t="shared" si="89"/>
        <v>4.5110207270638875E-3</v>
      </c>
      <c r="EX19" s="528">
        <f t="shared" si="90"/>
        <v>0.22862366836697784</v>
      </c>
      <c r="EY19" s="528">
        <f t="shared" si="91"/>
        <v>0.25225363128877276</v>
      </c>
      <c r="EZ19" s="528">
        <f t="shared" si="92"/>
        <v>0.55162895332773099</v>
      </c>
      <c r="FA19" s="528">
        <f t="shared" si="93"/>
        <v>1.6449999999999999E-2</v>
      </c>
      <c r="FB19" s="460">
        <f t="shared" si="127"/>
        <v>568.07895332773091</v>
      </c>
      <c r="FC19" s="173">
        <f t="shared" si="128"/>
        <v>1.6219458605564361</v>
      </c>
      <c r="FD19" s="5">
        <f t="shared" si="129"/>
        <v>3.3600000000000003</v>
      </c>
      <c r="FE19" s="173">
        <f t="shared" si="130"/>
        <v>0.67443526968089529</v>
      </c>
      <c r="FF19" s="5">
        <f t="shared" si="131"/>
        <v>67.443526968089529</v>
      </c>
      <c r="FI19" s="562">
        <f t="shared" si="94"/>
        <v>-50</v>
      </c>
      <c r="FJ19">
        <f t="shared" si="95"/>
        <v>-50</v>
      </c>
      <c r="FL19">
        <f t="shared" si="96"/>
        <v>0.30631648214557861</v>
      </c>
    </row>
    <row r="20" spans="5:168">
      <c r="E20" s="170">
        <v>15</v>
      </c>
      <c r="F20" s="217">
        <f t="shared" si="97"/>
        <v>0.89999999999999991</v>
      </c>
      <c r="G20" s="217"/>
      <c r="H20" s="217">
        <f t="shared" si="0"/>
        <v>3.5999999999999996</v>
      </c>
      <c r="I20" s="541">
        <f t="shared" si="1"/>
        <v>23.972373615096124</v>
      </c>
      <c r="J20" s="172">
        <f t="shared" si="2"/>
        <v>19.114233761939829</v>
      </c>
      <c r="K20" s="172">
        <f t="shared" si="3"/>
        <v>43.114233761939829</v>
      </c>
      <c r="L20" s="443"/>
      <c r="M20" s="217">
        <f t="shared" si="4"/>
        <v>0.4439640838496372</v>
      </c>
      <c r="N20" s="172">
        <f t="shared" si="5"/>
        <v>35.79552915244971</v>
      </c>
      <c r="O20" s="172">
        <f t="shared" si="98"/>
        <v>3.5999999999999996</v>
      </c>
      <c r="P20" s="217">
        <f t="shared" si="6"/>
        <v>8.9488822881124275</v>
      </c>
      <c r="Q20" s="217">
        <f t="shared" si="7"/>
        <v>4</v>
      </c>
      <c r="R20" s="217">
        <f t="shared" si="8"/>
        <v>8.8690607414394727</v>
      </c>
      <c r="S20" s="172">
        <f t="shared" si="9"/>
        <v>82.843690767862654</v>
      </c>
      <c r="T20" s="172">
        <f t="shared" si="10"/>
        <v>4</v>
      </c>
      <c r="U20" s="217">
        <f t="shared" si="99"/>
        <v>0.80930023930020967</v>
      </c>
      <c r="V20" s="217">
        <f t="shared" si="11"/>
        <v>0.40511644893965892</v>
      </c>
      <c r="W20" s="217">
        <f t="shared" si="12"/>
        <v>0.50808224868214247</v>
      </c>
      <c r="X20" s="197">
        <f t="shared" si="13"/>
        <v>350</v>
      </c>
      <c r="Y20" s="443">
        <f t="shared" si="14"/>
        <v>350</v>
      </c>
      <c r="AA20" s="217">
        <f t="shared" si="15"/>
        <v>2.5320736922012408</v>
      </c>
      <c r="AB20" s="173">
        <f t="shared" si="16"/>
        <v>1.5896469973552969</v>
      </c>
      <c r="AC20" s="173">
        <f t="shared" si="17"/>
        <v>2.8175723393230299</v>
      </c>
      <c r="AD20" s="173"/>
      <c r="AE20" s="173">
        <f t="shared" si="18"/>
        <v>0.83707252926136788</v>
      </c>
      <c r="AF20" s="545">
        <f t="shared" si="100"/>
        <v>403.19086841591809</v>
      </c>
      <c r="AG20" s="528">
        <f t="shared" si="19"/>
        <v>0.7812676939772768</v>
      </c>
      <c r="AI20" s="173">
        <f t="shared" si="20"/>
        <v>1.4310673000773568</v>
      </c>
      <c r="AJ20" s="173">
        <f t="shared" si="21"/>
        <v>1.4310673000773568</v>
      </c>
      <c r="AK20" s="173">
        <f t="shared" si="22"/>
        <v>1.2723955309214987</v>
      </c>
      <c r="AM20" s="545">
        <f t="shared" si="23"/>
        <v>899.99999999999989</v>
      </c>
      <c r="AN20" s="460">
        <f t="shared" si="24"/>
        <v>350</v>
      </c>
      <c r="AP20">
        <f t="shared" si="25"/>
        <v>899.99999999999989</v>
      </c>
      <c r="AQ20" s="460">
        <f t="shared" si="26"/>
        <v>350</v>
      </c>
      <c r="AR20" s="460"/>
      <c r="AS20" s="5">
        <f t="shared" si="101"/>
        <v>2.8571428571428572</v>
      </c>
      <c r="AT20" s="5">
        <f t="shared" si="27"/>
        <v>0.71635824956916438</v>
      </c>
      <c r="AU20" s="5">
        <f t="shared" si="102"/>
        <v>2.1407846075736927</v>
      </c>
      <c r="AV20" s="5">
        <f t="shared" si="28"/>
        <v>0.89843034331424232</v>
      </c>
      <c r="AW20" s="173">
        <f t="shared" si="103"/>
        <v>0.25072538734920752</v>
      </c>
      <c r="AX20" s="173">
        <f t="shared" si="29"/>
        <v>4.3007025964364614</v>
      </c>
      <c r="AY20" s="173">
        <f t="shared" si="30"/>
        <v>2.144524793885354</v>
      </c>
      <c r="AZ20" s="173">
        <f t="shared" si="104"/>
        <v>2.0054338418930757</v>
      </c>
      <c r="BA20" s="460">
        <f t="shared" si="31"/>
        <v>16.118060615306199</v>
      </c>
      <c r="BB20" s="5">
        <f t="shared" si="32"/>
        <v>0.26790646290764997</v>
      </c>
      <c r="BC20" s="5"/>
      <c r="BD20" s="173">
        <f t="shared" si="105"/>
        <v>0.41371244602318646</v>
      </c>
      <c r="BE20" s="173">
        <f t="shared" si="33"/>
        <v>2.8607501611684367</v>
      </c>
      <c r="BF20" s="173"/>
      <c r="BG20" s="528">
        <f t="shared" si="34"/>
        <v>2.088127453532753E-3</v>
      </c>
      <c r="BH20" s="528">
        <f t="shared" si="35"/>
        <v>0.40490211631145884</v>
      </c>
      <c r="BI20" s="528">
        <f t="shared" si="36"/>
        <v>0.20975826913209106</v>
      </c>
      <c r="BJ20" s="528">
        <f t="shared" si="37"/>
        <v>6.5059300350771732E-2</v>
      </c>
      <c r="BK20">
        <f t="shared" si="38"/>
        <v>1.0787568126793256E-2</v>
      </c>
      <c r="BL20" s="460">
        <f t="shared" si="106"/>
        <v>220.54583725888432</v>
      </c>
      <c r="BM20" s="528">
        <f t="shared" si="39"/>
        <v>0.4728479368699951</v>
      </c>
      <c r="BN20" s="460">
        <f t="shared" si="107"/>
        <v>472.84793686999512</v>
      </c>
      <c r="BO20" s="528">
        <f t="shared" si="108"/>
        <v>0.55912499999999987</v>
      </c>
      <c r="BP20" s="528"/>
      <c r="BR20" s="460">
        <f t="shared" si="109"/>
        <v>559.12499999999989</v>
      </c>
      <c r="BS20" s="528">
        <f t="shared" si="40"/>
        <v>5.1347396398346394E-3</v>
      </c>
      <c r="BT20" s="528">
        <f t="shared" si="41"/>
        <v>0.2455167445387571</v>
      </c>
      <c r="BU20" s="528">
        <f t="shared" si="42"/>
        <v>5.3999999999999992E-2</v>
      </c>
      <c r="BV20" s="528">
        <f t="shared" si="43"/>
        <v>0.37227269669715851</v>
      </c>
      <c r="BW20" s="528">
        <f t="shared" si="44"/>
        <v>1.7919594151818589E-2</v>
      </c>
      <c r="BX20" s="460">
        <f t="shared" si="110"/>
        <v>390.19229084897711</v>
      </c>
      <c r="BY20" s="173">
        <f t="shared" si="45"/>
        <v>1.6427110649778567</v>
      </c>
      <c r="BZ20" s="5">
        <f t="shared" si="111"/>
        <v>3.5999999999999996</v>
      </c>
      <c r="CA20" s="173">
        <f t="shared" si="112"/>
        <v>0.68666763347852078</v>
      </c>
      <c r="CB20" s="5">
        <f t="shared" si="113"/>
        <v>68.666763347852083</v>
      </c>
      <c r="CE20" s="562">
        <f t="shared" si="46"/>
        <v>-50</v>
      </c>
      <c r="CF20">
        <f t="shared" si="47"/>
        <v>-50</v>
      </c>
      <c r="CG20" s="173">
        <f t="shared" si="48"/>
        <v>0.34369317712168801</v>
      </c>
      <c r="CI20" s="170">
        <v>15</v>
      </c>
      <c r="CJ20" s="217">
        <f t="shared" si="114"/>
        <v>0.89999999999999991</v>
      </c>
      <c r="CK20" s="217"/>
      <c r="CL20" s="217">
        <f t="shared" si="49"/>
        <v>3.5999999999999996</v>
      </c>
      <c r="CM20" s="541">
        <f t="shared" si="50"/>
        <v>24</v>
      </c>
      <c r="CN20" s="172">
        <f t="shared" si="51"/>
        <v>18.8</v>
      </c>
      <c r="CO20" s="443">
        <f t="shared" si="52"/>
        <v>42.8</v>
      </c>
      <c r="CP20" s="443"/>
      <c r="CQ20" s="217">
        <f t="shared" si="53"/>
        <v>0.43925233644859818</v>
      </c>
      <c r="CR20" s="172">
        <f t="shared" si="54"/>
        <v>35.456448598130848</v>
      </c>
      <c r="CS20" s="172">
        <f t="shared" si="115"/>
        <v>3.5999999999999996</v>
      </c>
      <c r="CT20" s="217">
        <f t="shared" si="55"/>
        <v>8.864112149532712</v>
      </c>
      <c r="CU20" s="217">
        <f t="shared" si="56"/>
        <v>4</v>
      </c>
      <c r="CV20" s="217">
        <f t="shared" si="57"/>
        <v>8.7850467289719631</v>
      </c>
      <c r="CW20" s="172">
        <f t="shared" si="58"/>
        <v>82.93910463448249</v>
      </c>
      <c r="CX20" s="172">
        <f t="shared" si="59"/>
        <v>4</v>
      </c>
      <c r="CY20" s="217">
        <f t="shared" si="60"/>
        <v>0.68297872340425514</v>
      </c>
      <c r="CZ20" s="217">
        <f t="shared" si="61"/>
        <v>0.34148936170212757</v>
      </c>
      <c r="DA20" s="217">
        <f t="shared" si="62"/>
        <v>0.43594386600271601</v>
      </c>
      <c r="DB20" s="197">
        <f t="shared" si="63"/>
        <v>350</v>
      </c>
      <c r="DC20" s="443">
        <f t="shared" si="116"/>
        <v>350</v>
      </c>
      <c r="DE20" s="217">
        <f t="shared" si="64"/>
        <v>2.5100133511348464</v>
      </c>
      <c r="DF20" s="173">
        <f t="shared" si="65"/>
        <v>1.6021361815754336</v>
      </c>
      <c r="DG20" s="173">
        <f t="shared" si="66"/>
        <v>2.8149682442633783</v>
      </c>
      <c r="DH20" s="173"/>
      <c r="DI20" s="173">
        <f t="shared" si="67"/>
        <v>0.85106382978723416</v>
      </c>
      <c r="DJ20" s="545">
        <f t="shared" si="117"/>
        <v>396.56249999999989</v>
      </c>
      <c r="DK20" s="528">
        <f t="shared" si="68"/>
        <v>0.79432624113475192</v>
      </c>
      <c r="DM20" s="173">
        <f t="shared" si="69"/>
        <v>1.4192553379451192</v>
      </c>
      <c r="DN20" s="173">
        <f t="shared" si="70"/>
        <v>1.4192553379451192</v>
      </c>
      <c r="DO20" s="173">
        <f t="shared" si="71"/>
        <v>1.2636459293420634</v>
      </c>
      <c r="DQ20" s="545">
        <f t="shared" si="72"/>
        <v>899.99999999999989</v>
      </c>
      <c r="DR20" s="460">
        <f t="shared" si="73"/>
        <v>350</v>
      </c>
      <c r="DT20">
        <f t="shared" si="74"/>
        <v>899.99999999999989</v>
      </c>
      <c r="DU20" s="460">
        <f t="shared" si="75"/>
        <v>350</v>
      </c>
      <c r="DV20" s="460"/>
      <c r="DW20" s="5">
        <f t="shared" si="118"/>
        <v>2.8571428571428572</v>
      </c>
      <c r="DX20" s="5">
        <f t="shared" si="76"/>
        <v>0.70962766897255969</v>
      </c>
      <c r="DY20" s="5">
        <f t="shared" si="119"/>
        <v>2.1475151881702974</v>
      </c>
      <c r="DZ20" s="5">
        <f t="shared" si="77"/>
        <v>0.90590766251816124</v>
      </c>
      <c r="EA20" s="173">
        <f t="shared" si="120"/>
        <v>0.2483696841403959</v>
      </c>
      <c r="EB20" s="173">
        <f t="shared" si="78"/>
        <v>4.2300000000000004</v>
      </c>
      <c r="EC20" s="173">
        <f t="shared" si="79"/>
        <v>2.1335106758902378</v>
      </c>
      <c r="ED20" s="173">
        <f t="shared" si="121"/>
        <v>1.9826476838392066</v>
      </c>
      <c r="EE20" s="460">
        <f t="shared" si="80"/>
        <v>15.966622551882592</v>
      </c>
      <c r="EF20" s="5">
        <f t="shared" si="81"/>
        <v>0.26843939852128712</v>
      </c>
      <c r="EG20" s="5"/>
      <c r="EH20" s="173">
        <f t="shared" si="122"/>
        <v>0.40836564768421885</v>
      </c>
      <c r="EI20" s="173">
        <f t="shared" si="82"/>
        <v>2.8415941137890046</v>
      </c>
      <c r="EJ20" s="173"/>
      <c r="EK20" s="528">
        <f t="shared" si="83"/>
        <v>2.0345025269443285E-3</v>
      </c>
      <c r="EL20" s="528">
        <f t="shared" si="84"/>
        <v>0.42520889924835764</v>
      </c>
      <c r="EM20" s="528">
        <f t="shared" si="85"/>
        <v>4.3749999999999997E-2</v>
      </c>
      <c r="EN20" s="528">
        <f t="shared" si="86"/>
        <v>6.4114399999999988E-2</v>
      </c>
      <c r="EO20">
        <f t="shared" si="87"/>
        <v>1.0800000000000001E-2</v>
      </c>
      <c r="EP20" s="460">
        <f t="shared" si="123"/>
        <v>54.550000000000004</v>
      </c>
      <c r="EQ20" s="528">
        <f t="shared" si="88"/>
        <v>0.5467214013804369</v>
      </c>
      <c r="ER20" s="460">
        <f t="shared" si="124"/>
        <v>546.72140138043687</v>
      </c>
      <c r="ES20" s="528">
        <f t="shared" si="125"/>
        <v>0.55912499999999987</v>
      </c>
      <c r="ET20" s="528"/>
      <c r="EV20" s="460">
        <f t="shared" si="126"/>
        <v>559.12499999999989</v>
      </c>
      <c r="EW20" s="528">
        <f t="shared" si="89"/>
        <v>5.0028750662565458E-3</v>
      </c>
      <c r="EX20" s="528">
        <f t="shared" si="90"/>
        <v>0.24223971322560953</v>
      </c>
      <c r="EY20" s="528">
        <f t="shared" si="91"/>
        <v>0.27497388900434971</v>
      </c>
      <c r="EZ20" s="528">
        <f t="shared" si="92"/>
        <v>0.5932896152936139</v>
      </c>
      <c r="FA20" s="528">
        <f t="shared" si="93"/>
        <v>1.7625000000000002E-2</v>
      </c>
      <c r="FB20" s="460">
        <f t="shared" si="127"/>
        <v>610.91461529361391</v>
      </c>
      <c r="FC20" s="173">
        <f t="shared" si="128"/>
        <v>1.7167610166740508</v>
      </c>
      <c r="FD20" s="5">
        <f t="shared" si="129"/>
        <v>3.5999999999999996</v>
      </c>
      <c r="FE20" s="173">
        <f t="shared" si="130"/>
        <v>0.67710397151760893</v>
      </c>
      <c r="FF20" s="5">
        <f t="shared" si="131"/>
        <v>67.710397151760887</v>
      </c>
      <c r="FI20" s="562">
        <f t="shared" si="94"/>
        <v>-50</v>
      </c>
      <c r="FJ20">
        <f t="shared" si="95"/>
        <v>-50</v>
      </c>
      <c r="FL20">
        <f t="shared" si="96"/>
        <v>0.31706768188135637</v>
      </c>
    </row>
    <row r="21" spans="5:168" s="76" customFormat="1">
      <c r="E21" s="189">
        <v>16</v>
      </c>
      <c r="F21" s="329">
        <f t="shared" si="97"/>
        <v>0.96</v>
      </c>
      <c r="G21" s="217"/>
      <c r="H21" s="217">
        <f t="shared" si="0"/>
        <v>3.84</v>
      </c>
      <c r="I21" s="541">
        <f t="shared" si="1"/>
        <v>23.971467592360366</v>
      </c>
      <c r="J21" s="172">
        <f t="shared" si="2"/>
        <v>19.124539233815749</v>
      </c>
      <c r="K21" s="172">
        <f t="shared" si="3"/>
        <v>43.124539233815753</v>
      </c>
      <c r="L21" s="535"/>
      <c r="M21" s="217">
        <f t="shared" si="4"/>
        <v>0.44411744989674962</v>
      </c>
      <c r="N21" s="172">
        <f t="shared" si="5"/>
        <v>35.806541269727589</v>
      </c>
      <c r="O21" s="172">
        <f t="shared" si="98"/>
        <v>3.84</v>
      </c>
      <c r="P21" s="329">
        <f t="shared" si="6"/>
        <v>8.9516353174318972</v>
      </c>
      <c r="Q21" s="217">
        <f t="shared" si="7"/>
        <v>4</v>
      </c>
      <c r="R21" s="217">
        <f t="shared" si="8"/>
        <v>8.8717892145013852</v>
      </c>
      <c r="S21" s="172">
        <f t="shared" si="9"/>
        <v>77.295181037162962</v>
      </c>
      <c r="T21" s="172">
        <f t="shared" si="10"/>
        <v>4</v>
      </c>
      <c r="U21" s="217">
        <f t="shared" si="99"/>
        <v>0.8634917572261338</v>
      </c>
      <c r="V21" s="217">
        <f t="shared" si="11"/>
        <v>0.43225977077915384</v>
      </c>
      <c r="W21" s="217">
        <f t="shared" si="12"/>
        <v>0.54181180315141053</v>
      </c>
      <c r="X21" s="537">
        <f t="shared" si="13"/>
        <v>350</v>
      </c>
      <c r="Y21" s="443">
        <f t="shared" si="14"/>
        <v>350</v>
      </c>
      <c r="AA21" s="329">
        <f t="shared" si="15"/>
        <v>2.532790579654312</v>
      </c>
      <c r="AB21" s="173">
        <f t="shared" si="16"/>
        <v>1.589240220862963</v>
      </c>
      <c r="AC21" s="538">
        <f t="shared" si="17"/>
        <v>2.8176488621466151</v>
      </c>
      <c r="AD21" s="538"/>
      <c r="AE21" s="173">
        <f t="shared" si="18"/>
        <v>0.83662146336623999</v>
      </c>
      <c r="AF21" s="545">
        <f t="shared" si="100"/>
        <v>430.30213276085419</v>
      </c>
      <c r="AG21" s="528">
        <f t="shared" si="19"/>
        <v>0.78084669914182414</v>
      </c>
      <c r="AH21"/>
      <c r="AI21" s="173">
        <f t="shared" si="20"/>
        <v>1.4783983315472864</v>
      </c>
      <c r="AJ21" s="173">
        <f t="shared" si="21"/>
        <v>1.4783983315472864</v>
      </c>
      <c r="AK21" s="173">
        <f t="shared" si="22"/>
        <v>1.3074555542325577</v>
      </c>
      <c r="AM21" s="545">
        <f t="shared" si="23"/>
        <v>960</v>
      </c>
      <c r="AN21" s="460">
        <f t="shared" si="24"/>
        <v>350</v>
      </c>
      <c r="AP21">
        <f t="shared" si="25"/>
        <v>960</v>
      </c>
      <c r="AQ21" s="460">
        <f t="shared" si="26"/>
        <v>350</v>
      </c>
      <c r="AR21" s="460"/>
      <c r="AS21" s="5">
        <f t="shared" si="101"/>
        <v>2.8571428571428572</v>
      </c>
      <c r="AT21" s="5">
        <f t="shared" si="27"/>
        <v>0.74007900893900092</v>
      </c>
      <c r="AU21" s="5">
        <f t="shared" si="102"/>
        <v>2.1170638482038564</v>
      </c>
      <c r="AV21" s="5">
        <f t="shared" si="28"/>
        <v>0.92764483168297374</v>
      </c>
      <c r="AW21" s="173">
        <f t="shared" si="103"/>
        <v>0.25902765312865034</v>
      </c>
      <c r="AX21" s="173">
        <f t="shared" si="29"/>
        <v>4.5898894161157804</v>
      </c>
      <c r="AY21" s="173">
        <f t="shared" si="30"/>
        <v>2.1909045626745609</v>
      </c>
      <c r="AZ21" s="173">
        <f t="shared" si="104"/>
        <v>2.0949746028702605</v>
      </c>
      <c r="BA21" s="460">
        <f t="shared" si="31"/>
        <v>17.761896214536019</v>
      </c>
      <c r="BB21" s="5">
        <f t="shared" si="32"/>
        <v>0.2826111621305733</v>
      </c>
      <c r="BC21" s="5"/>
      <c r="BD21" s="173">
        <f t="shared" si="105"/>
        <v>0.4344140888227484</v>
      </c>
      <c r="BE21" s="173">
        <f t="shared" si="33"/>
        <v>2.9389474986974085</v>
      </c>
      <c r="BF21" s="173"/>
      <c r="BG21" s="528">
        <f t="shared" si="34"/>
        <v>2.3023303269259243E-3</v>
      </c>
      <c r="BH21" s="528">
        <f t="shared" si="35"/>
        <v>0.41839380746637272</v>
      </c>
      <c r="BI21" s="528">
        <f t="shared" si="36"/>
        <v>0.20975034143315319</v>
      </c>
      <c r="BJ21" s="528">
        <f t="shared" si="37"/>
        <v>6.5090405944512E-2</v>
      </c>
      <c r="BK21">
        <f t="shared" si="38"/>
        <v>1.0787160416562164E-2</v>
      </c>
      <c r="BL21" s="460">
        <f t="shared" si="106"/>
        <v>220.53750184971534</v>
      </c>
      <c r="BM21" s="528">
        <f t="shared" si="39"/>
        <v>0.48667440021695624</v>
      </c>
      <c r="BN21" s="460">
        <f t="shared" si="107"/>
        <v>486.67440021695626</v>
      </c>
      <c r="BO21" s="528">
        <f t="shared" si="108"/>
        <v>0.59639999999999993</v>
      </c>
      <c r="BP21" s="528"/>
      <c r="BR21" s="460">
        <f t="shared" si="109"/>
        <v>596.4</v>
      </c>
      <c r="BS21" s="528">
        <f t="shared" si="40"/>
        <v>5.6614680170309619E-3</v>
      </c>
      <c r="BT21" s="528">
        <f t="shared" si="41"/>
        <v>0.2591223720029926</v>
      </c>
      <c r="BU21" s="528">
        <f t="shared" si="42"/>
        <v>5.7599999999999998E-2</v>
      </c>
      <c r="BV21" s="528">
        <f t="shared" si="43"/>
        <v>0.39428396337529514</v>
      </c>
      <c r="BW21" s="528">
        <f t="shared" si="44"/>
        <v>1.9124539233815754E-2</v>
      </c>
      <c r="BX21" s="460">
        <f t="shared" si="110"/>
        <v>413.40850260911088</v>
      </c>
      <c r="BY21" s="173">
        <f t="shared" si="45"/>
        <v>1.7170204046757822</v>
      </c>
      <c r="BZ21" s="5">
        <f t="shared" si="111"/>
        <v>3.84</v>
      </c>
      <c r="CA21" s="173">
        <f t="shared" si="112"/>
        <v>0.69101779737374203</v>
      </c>
      <c r="CB21" s="5">
        <f t="shared" si="113"/>
        <v>69.101779737374201</v>
      </c>
      <c r="CE21" s="562">
        <f t="shared" si="46"/>
        <v>-50</v>
      </c>
      <c r="CF21">
        <f t="shared" si="47"/>
        <v>-50</v>
      </c>
      <c r="CG21" s="173">
        <f t="shared" si="48"/>
        <v>0.35496478698597694</v>
      </c>
      <c r="CH21"/>
      <c r="CI21" s="189">
        <v>16</v>
      </c>
      <c r="CJ21" s="329">
        <f t="shared" si="114"/>
        <v>0.96</v>
      </c>
      <c r="CK21" s="217"/>
      <c r="CL21" s="217">
        <f t="shared" si="49"/>
        <v>3.84</v>
      </c>
      <c r="CM21" s="541">
        <f t="shared" si="50"/>
        <v>24</v>
      </c>
      <c r="CN21" s="172">
        <f t="shared" si="51"/>
        <v>18.8</v>
      </c>
      <c r="CO21" s="535">
        <f t="shared" si="52"/>
        <v>42.8</v>
      </c>
      <c r="CP21" s="535"/>
      <c r="CQ21" s="329">
        <f t="shared" si="53"/>
        <v>0.43925233644859818</v>
      </c>
      <c r="CR21" s="172">
        <f t="shared" si="54"/>
        <v>35.456448598130848</v>
      </c>
      <c r="CS21" s="172">
        <f t="shared" si="115"/>
        <v>3.84</v>
      </c>
      <c r="CT21" s="329">
        <f t="shared" si="55"/>
        <v>8.864112149532712</v>
      </c>
      <c r="CU21" s="217">
        <f t="shared" si="56"/>
        <v>4</v>
      </c>
      <c r="CV21" s="217">
        <f t="shared" si="57"/>
        <v>8.7850467289719631</v>
      </c>
      <c r="CW21" s="172">
        <f t="shared" si="58"/>
        <v>77.387119412671268</v>
      </c>
      <c r="CX21" s="172">
        <f t="shared" si="59"/>
        <v>4</v>
      </c>
      <c r="CY21" s="217">
        <f t="shared" si="60"/>
        <v>0.72851063829787222</v>
      </c>
      <c r="CZ21" s="329">
        <f t="shared" si="61"/>
        <v>0.36425531914893616</v>
      </c>
      <c r="DA21" s="217">
        <f t="shared" si="62"/>
        <v>0.46500679040289716</v>
      </c>
      <c r="DB21" s="537">
        <f t="shared" si="63"/>
        <v>350</v>
      </c>
      <c r="DC21" s="535">
        <f t="shared" si="116"/>
        <v>350</v>
      </c>
      <c r="DE21" s="329">
        <f t="shared" si="64"/>
        <v>2.5100133511348464</v>
      </c>
      <c r="DF21" s="173">
        <f t="shared" si="65"/>
        <v>1.6021361815754336</v>
      </c>
      <c r="DG21" s="538">
        <f t="shared" si="66"/>
        <v>2.8149682442633783</v>
      </c>
      <c r="DH21" s="538"/>
      <c r="DI21" s="173">
        <f t="shared" si="67"/>
        <v>0.85106382978723416</v>
      </c>
      <c r="DJ21" s="545">
        <f t="shared" si="117"/>
        <v>422.99999999999989</v>
      </c>
      <c r="DK21" s="528">
        <f t="shared" si="68"/>
        <v>0.79432624113475192</v>
      </c>
      <c r="DL21"/>
      <c r="DM21" s="173">
        <f t="shared" si="69"/>
        <v>1.4658006101006469</v>
      </c>
      <c r="DN21" s="173">
        <f t="shared" si="70"/>
        <v>1.4658006101006469</v>
      </c>
      <c r="DO21" s="173">
        <f t="shared" si="71"/>
        <v>1.2981239087165284</v>
      </c>
      <c r="DQ21" s="545">
        <f t="shared" si="72"/>
        <v>960</v>
      </c>
      <c r="DR21" s="460">
        <f t="shared" si="73"/>
        <v>350</v>
      </c>
      <c r="DT21">
        <f t="shared" si="74"/>
        <v>960</v>
      </c>
      <c r="DU21" s="460">
        <f t="shared" si="75"/>
        <v>350</v>
      </c>
      <c r="DV21" s="460"/>
      <c r="DW21" s="5">
        <f t="shared" si="118"/>
        <v>2.8571428571428572</v>
      </c>
      <c r="DX21" s="5">
        <f t="shared" si="76"/>
        <v>0.73290030505032344</v>
      </c>
      <c r="DY21" s="5">
        <f t="shared" si="119"/>
        <v>2.1242425520925337</v>
      </c>
      <c r="DZ21" s="5">
        <f t="shared" si="77"/>
        <v>0.93561741070254045</v>
      </c>
      <c r="EA21" s="173">
        <f t="shared" si="120"/>
        <v>0.25651510676761319</v>
      </c>
      <c r="EB21" s="173">
        <f t="shared" si="78"/>
        <v>4.5120000000000005</v>
      </c>
      <c r="EC21" s="173">
        <f t="shared" si="79"/>
        <v>2.1796012202012935</v>
      </c>
      <c r="ED21" s="173">
        <f t="shared" si="121"/>
        <v>2.0701034474477411</v>
      </c>
      <c r="EE21" s="460">
        <f t="shared" si="80"/>
        <v>17.589607321207762</v>
      </c>
      <c r="EF21" s="5">
        <f t="shared" si="81"/>
        <v>0.28323234027900446</v>
      </c>
      <c r="EG21" s="5"/>
      <c r="EH21" s="173">
        <f t="shared" si="122"/>
        <v>0.42861833426248552</v>
      </c>
      <c r="EI21" s="173">
        <f t="shared" si="82"/>
        <v>2.9188403169054067</v>
      </c>
      <c r="EJ21" s="173"/>
      <c r="EK21" s="528">
        <f t="shared" si="83"/>
        <v>2.2413068528845627E-3</v>
      </c>
      <c r="EL21" s="528">
        <f t="shared" si="84"/>
        <v>0.43915386278615381</v>
      </c>
      <c r="EM21" s="528">
        <f t="shared" si="85"/>
        <v>4.3749999999999997E-2</v>
      </c>
      <c r="EN21" s="528">
        <f t="shared" si="86"/>
        <v>6.4114399999999988E-2</v>
      </c>
      <c r="EO21">
        <f t="shared" si="87"/>
        <v>1.0800000000000001E-2</v>
      </c>
      <c r="EP21" s="460">
        <f t="shared" si="123"/>
        <v>54.550000000000004</v>
      </c>
      <c r="EQ21" s="528">
        <f t="shared" si="88"/>
        <v>0.56096345488690913</v>
      </c>
      <c r="ER21" s="460">
        <f t="shared" si="124"/>
        <v>560.96345488690918</v>
      </c>
      <c r="ES21" s="528">
        <f t="shared" si="125"/>
        <v>0.59639999999999993</v>
      </c>
      <c r="ET21" s="528"/>
      <c r="EV21" s="460">
        <f t="shared" si="126"/>
        <v>596.4</v>
      </c>
      <c r="EW21" s="528">
        <f t="shared" si="89"/>
        <v>5.5114102939784332E-3</v>
      </c>
      <c r="EX21" s="528">
        <f t="shared" si="90"/>
        <v>0.25558886386777363</v>
      </c>
      <c r="EY21" s="528">
        <f t="shared" si="91"/>
        <v>0.2980762408331567</v>
      </c>
      <c r="EZ21" s="528">
        <f t="shared" si="92"/>
        <v>0.63510670354718013</v>
      </c>
      <c r="FA21" s="528">
        <f t="shared" si="93"/>
        <v>1.8800000000000004E-2</v>
      </c>
      <c r="FB21" s="460">
        <f t="shared" si="127"/>
        <v>653.9067035471802</v>
      </c>
      <c r="FC21" s="173">
        <f t="shared" si="128"/>
        <v>1.8112701584340891</v>
      </c>
      <c r="FD21" s="5">
        <f t="shared" si="129"/>
        <v>3.84</v>
      </c>
      <c r="FE21" s="173">
        <f t="shared" si="130"/>
        <v>0.67949326299134594</v>
      </c>
      <c r="FF21" s="5">
        <f t="shared" si="131"/>
        <v>67.949326299134597</v>
      </c>
      <c r="FI21" s="562">
        <f t="shared" si="94"/>
        <v>-50</v>
      </c>
      <c r="FJ21">
        <f t="shared" si="95"/>
        <v>-50</v>
      </c>
      <c r="FL21">
        <f t="shared" si="96"/>
        <v>0.3274660937458892</v>
      </c>
    </row>
    <row r="22" spans="5:168">
      <c r="E22" s="170">
        <v>17</v>
      </c>
      <c r="F22" s="217">
        <f t="shared" si="97"/>
        <v>1.02</v>
      </c>
      <c r="G22" s="217"/>
      <c r="H22" s="217">
        <f t="shared" si="0"/>
        <v>4.08</v>
      </c>
      <c r="I22" s="541">
        <f t="shared" si="1"/>
        <v>23.97058946738715</v>
      </c>
      <c r="J22" s="172">
        <f t="shared" si="2"/>
        <v>19.134527385169843</v>
      </c>
      <c r="K22" s="172">
        <f t="shared" si="3"/>
        <v>43.134527385169847</v>
      </c>
      <c r="L22" s="443"/>
      <c r="M22" s="217">
        <f t="shared" si="4"/>
        <v>0.44426602392017078</v>
      </c>
      <c r="N22" s="172">
        <f t="shared" si="5"/>
        <v>35.817207799873671</v>
      </c>
      <c r="O22" s="172">
        <f t="shared" si="98"/>
        <v>4.08</v>
      </c>
      <c r="P22" s="217">
        <f t="shared" si="6"/>
        <v>8.9543019499684178</v>
      </c>
      <c r="Q22" s="217">
        <f t="shared" si="7"/>
        <v>4</v>
      </c>
      <c r="R22" s="217">
        <f t="shared" si="8"/>
        <v>8.8744320614156784</v>
      </c>
      <c r="S22" s="172">
        <f t="shared" si="9"/>
        <v>72.399997464591067</v>
      </c>
      <c r="T22" s="172">
        <f t="shared" si="10"/>
        <v>4</v>
      </c>
      <c r="U22" s="217">
        <f t="shared" si="99"/>
        <v>0.91770527257944778</v>
      </c>
      <c r="V22" s="217">
        <f t="shared" si="11"/>
        <v>0.45941562204534964</v>
      </c>
      <c r="W22" s="217">
        <f t="shared" si="12"/>
        <v>0.57552836551837439</v>
      </c>
      <c r="X22" s="197">
        <f t="shared" si="13"/>
        <v>350</v>
      </c>
      <c r="Y22" s="443">
        <f t="shared" si="14"/>
        <v>350</v>
      </c>
      <c r="AA22" s="217">
        <f t="shared" si="15"/>
        <v>2.5334849963088111</v>
      </c>
      <c r="AB22" s="173">
        <f t="shared" si="16"/>
        <v>1.5888461389053472</v>
      </c>
      <c r="AC22" s="173">
        <f t="shared" si="17"/>
        <v>2.8177224980519178</v>
      </c>
      <c r="AD22" s="173"/>
      <c r="AE22" s="173">
        <f t="shared" si="18"/>
        <v>0.8361847501078471</v>
      </c>
      <c r="AF22" s="545">
        <f t="shared" si="100"/>
        <v>457.43479530171646</v>
      </c>
      <c r="AG22" s="528">
        <f t="shared" si="19"/>
        <v>0.78043910010065731</v>
      </c>
      <c r="AI22" s="173">
        <f t="shared" si="20"/>
        <v>1.5242960097507481</v>
      </c>
      <c r="AJ22" s="173">
        <f t="shared" si="21"/>
        <v>1.5242960097507481</v>
      </c>
      <c r="AK22" s="173">
        <f t="shared" si="22"/>
        <v>1.34145383438327</v>
      </c>
      <c r="AM22" s="545">
        <f t="shared" si="23"/>
        <v>1020</v>
      </c>
      <c r="AN22" s="460">
        <f t="shared" si="24"/>
        <v>350</v>
      </c>
      <c r="AP22">
        <f t="shared" si="25"/>
        <v>1020</v>
      </c>
      <c r="AQ22" s="460">
        <f t="shared" si="26"/>
        <v>350</v>
      </c>
      <c r="AR22" s="460"/>
      <c r="AS22" s="5">
        <f t="shared" si="101"/>
        <v>2.8571428571428572</v>
      </c>
      <c r="AT22" s="5">
        <f t="shared" si="27"/>
        <v>0.76308311657897654</v>
      </c>
      <c r="AU22" s="5">
        <f t="shared" si="102"/>
        <v>2.0940597405638806</v>
      </c>
      <c r="AV22" s="5">
        <f t="shared" si="28"/>
        <v>0.95594480850286323</v>
      </c>
      <c r="AW22" s="173">
        <f t="shared" si="103"/>
        <v>0.26707909080264181</v>
      </c>
      <c r="AX22" s="173">
        <f t="shared" si="29"/>
        <v>4.879304483218311</v>
      </c>
      <c r="AY22" s="173">
        <f t="shared" si="30"/>
        <v>2.2343768347048467</v>
      </c>
      <c r="AZ22" s="173">
        <f t="shared" si="104"/>
        <v>2.1837428706885289</v>
      </c>
      <c r="BA22" s="460">
        <f t="shared" si="31"/>
        <v>19.4586194727639</v>
      </c>
      <c r="BB22" s="5">
        <f t="shared" si="32"/>
        <v>0.29702244609394945</v>
      </c>
      <c r="BC22" s="5"/>
      <c r="BD22" s="173">
        <f t="shared" si="105"/>
        <v>0.45480855995755703</v>
      </c>
      <c r="BE22" s="173">
        <f t="shared" si="33"/>
        <v>3.0136806702856909</v>
      </c>
      <c r="BF22" s="173"/>
      <c r="BG22" s="528">
        <f t="shared" si="34"/>
        <v>2.5235800797701342E-3</v>
      </c>
      <c r="BH22" s="528">
        <f t="shared" si="35"/>
        <v>0.43148298359052312</v>
      </c>
      <c r="BI22" s="528">
        <f t="shared" si="36"/>
        <v>0.20974265783963755</v>
      </c>
      <c r="BJ22" s="528">
        <f t="shared" si="37"/>
        <v>6.5120560845968872E-2</v>
      </c>
      <c r="BK22">
        <f t="shared" si="38"/>
        <v>1.0786765260324217E-2</v>
      </c>
      <c r="BL22" s="460">
        <f t="shared" si="106"/>
        <v>220.52942309996178</v>
      </c>
      <c r="BM22" s="528">
        <f t="shared" si="39"/>
        <v>0.50010835742267201</v>
      </c>
      <c r="BN22" s="460">
        <f t="shared" si="107"/>
        <v>500.10835742267199</v>
      </c>
      <c r="BO22" s="528">
        <f t="shared" si="108"/>
        <v>0.63367499999999999</v>
      </c>
      <c r="BP22" s="528"/>
      <c r="BR22" s="460">
        <f t="shared" si="109"/>
        <v>633.67499999999995</v>
      </c>
      <c r="BS22" s="528">
        <f t="shared" si="40"/>
        <v>6.2055247863200026E-3</v>
      </c>
      <c r="BT22" s="528">
        <f t="shared" si="41"/>
        <v>0.27246813547360832</v>
      </c>
      <c r="BU22" s="528">
        <f t="shared" si="42"/>
        <v>6.1199999999999997E-2</v>
      </c>
      <c r="BV22" s="528">
        <f t="shared" si="43"/>
        <v>0.41603027303966317</v>
      </c>
      <c r="BW22" s="528">
        <f t="shared" si="44"/>
        <v>2.0330435346742958E-2</v>
      </c>
      <c r="BX22" s="460">
        <f t="shared" si="110"/>
        <v>436.36070838640609</v>
      </c>
      <c r="BY22" s="173">
        <f t="shared" si="45"/>
        <v>1.7906734889090401</v>
      </c>
      <c r="BZ22" s="5">
        <f t="shared" si="111"/>
        <v>4.08</v>
      </c>
      <c r="CA22" s="173">
        <f t="shared" si="112"/>
        <v>0.69497988735159499</v>
      </c>
      <c r="CB22" s="5">
        <f t="shared" si="113"/>
        <v>69.497988735159495</v>
      </c>
      <c r="CE22" s="562">
        <f t="shared" si="46"/>
        <v>-50</v>
      </c>
      <c r="CF22">
        <f t="shared" si="47"/>
        <v>-50</v>
      </c>
      <c r="CG22" s="173">
        <f t="shared" si="48"/>
        <v>0.36588932752951409</v>
      </c>
      <c r="CI22" s="170">
        <v>17</v>
      </c>
      <c r="CJ22" s="217">
        <f t="shared" si="114"/>
        <v>1.02</v>
      </c>
      <c r="CK22" s="217"/>
      <c r="CL22" s="217">
        <f t="shared" si="49"/>
        <v>4.08</v>
      </c>
      <c r="CM22" s="541">
        <f t="shared" si="50"/>
        <v>24</v>
      </c>
      <c r="CN22" s="172">
        <f t="shared" si="51"/>
        <v>18.8</v>
      </c>
      <c r="CO22" s="443">
        <f t="shared" si="52"/>
        <v>42.8</v>
      </c>
      <c r="CP22" s="443"/>
      <c r="CQ22" s="217">
        <f t="shared" si="53"/>
        <v>0.43925233644859818</v>
      </c>
      <c r="CR22" s="172">
        <f t="shared" si="54"/>
        <v>35.456448598130848</v>
      </c>
      <c r="CS22" s="172">
        <f t="shared" si="115"/>
        <v>4.08</v>
      </c>
      <c r="CT22" s="217">
        <f t="shared" si="55"/>
        <v>8.864112149532712</v>
      </c>
      <c r="CU22" s="217">
        <f t="shared" si="56"/>
        <v>4</v>
      </c>
      <c r="CV22" s="217">
        <f t="shared" si="57"/>
        <v>8.7850467289719631</v>
      </c>
      <c r="CW22" s="172">
        <f t="shared" si="58"/>
        <v>72.488758411154407</v>
      </c>
      <c r="CX22" s="172">
        <f t="shared" si="59"/>
        <v>4</v>
      </c>
      <c r="CY22" s="217">
        <f t="shared" si="60"/>
        <v>0.77404255319148918</v>
      </c>
      <c r="CZ22" s="217">
        <f t="shared" si="61"/>
        <v>0.38702127659574465</v>
      </c>
      <c r="DA22" s="217">
        <f t="shared" si="62"/>
        <v>0.49406971480307821</v>
      </c>
      <c r="DB22" s="197">
        <f t="shared" si="63"/>
        <v>350</v>
      </c>
      <c r="DC22" s="443">
        <f t="shared" si="116"/>
        <v>350</v>
      </c>
      <c r="DE22" s="217">
        <f t="shared" si="64"/>
        <v>2.5100133511348464</v>
      </c>
      <c r="DF22" s="173">
        <f t="shared" si="65"/>
        <v>1.6021361815754336</v>
      </c>
      <c r="DG22" s="173">
        <f t="shared" si="66"/>
        <v>2.8149682442633783</v>
      </c>
      <c r="DH22" s="173"/>
      <c r="DI22" s="173">
        <f t="shared" si="67"/>
        <v>0.85106382978723416</v>
      </c>
      <c r="DJ22" s="545">
        <f t="shared" si="117"/>
        <v>449.43749999999989</v>
      </c>
      <c r="DK22" s="528">
        <f t="shared" si="68"/>
        <v>0.79432624113475192</v>
      </c>
      <c r="DM22" s="173">
        <f t="shared" si="69"/>
        <v>1.5109126853849439</v>
      </c>
      <c r="DN22" s="173">
        <f t="shared" si="70"/>
        <v>1.5109126853849439</v>
      </c>
      <c r="DO22" s="173">
        <f t="shared" si="71"/>
        <v>1.3315402607789706</v>
      </c>
      <c r="DQ22" s="545">
        <f t="shared" si="72"/>
        <v>1020</v>
      </c>
      <c r="DR22" s="460">
        <f t="shared" si="73"/>
        <v>350</v>
      </c>
      <c r="DT22">
        <f t="shared" si="74"/>
        <v>1020</v>
      </c>
      <c r="DU22" s="460">
        <f t="shared" si="75"/>
        <v>350</v>
      </c>
      <c r="DV22" s="460"/>
      <c r="DW22" s="5">
        <f t="shared" si="118"/>
        <v>2.8571428571428572</v>
      </c>
      <c r="DX22" s="5">
        <f t="shared" si="76"/>
        <v>0.75545634269247197</v>
      </c>
      <c r="DY22" s="5">
        <f t="shared" si="119"/>
        <v>2.1016865144503853</v>
      </c>
      <c r="DZ22" s="5">
        <f t="shared" si="77"/>
        <v>0.96441235237336842</v>
      </c>
      <c r="EA22" s="173">
        <f t="shared" si="120"/>
        <v>0.26440971994236517</v>
      </c>
      <c r="EB22" s="173">
        <f t="shared" si="78"/>
        <v>4.7939999999999996</v>
      </c>
      <c r="EC22" s="173">
        <f t="shared" si="79"/>
        <v>2.222825370769888</v>
      </c>
      <c r="ED22" s="173">
        <f t="shared" si="121"/>
        <v>2.1567146313160763</v>
      </c>
      <c r="EE22" s="460">
        <f t="shared" si="80"/>
        <v>19.264136738658035</v>
      </c>
      <c r="EF22" s="5">
        <f t="shared" si="81"/>
        <v>0.29773892288047127</v>
      </c>
      <c r="EG22" s="5"/>
      <c r="EH22" s="173">
        <f t="shared" si="122"/>
        <v>0.44855680346762661</v>
      </c>
      <c r="EI22" s="173">
        <f t="shared" si="82"/>
        <v>2.9926554763695359</v>
      </c>
      <c r="EJ22" s="173"/>
      <c r="EK22" s="528">
        <f t="shared" si="83"/>
        <v>2.4546791124325589E-3</v>
      </c>
      <c r="EL22" s="528">
        <f t="shared" si="84"/>
        <v>0.45266944054132918</v>
      </c>
      <c r="EM22" s="528">
        <f t="shared" si="85"/>
        <v>4.3749999999999997E-2</v>
      </c>
      <c r="EN22" s="528">
        <f t="shared" si="86"/>
        <v>6.4114399999999988E-2</v>
      </c>
      <c r="EO22">
        <f t="shared" si="87"/>
        <v>1.0800000000000001E-2</v>
      </c>
      <c r="EP22" s="460">
        <f t="shared" si="123"/>
        <v>54.550000000000004</v>
      </c>
      <c r="EQ22" s="528">
        <f t="shared" si="88"/>
        <v>0.57478651676425629</v>
      </c>
      <c r="ER22" s="460">
        <f t="shared" si="124"/>
        <v>574.78651676425625</v>
      </c>
      <c r="ES22" s="528">
        <f t="shared" si="125"/>
        <v>0.63367499999999999</v>
      </c>
      <c r="ET22" s="528"/>
      <c r="EV22" s="460">
        <f t="shared" si="126"/>
        <v>633.67499999999995</v>
      </c>
      <c r="EW22" s="528">
        <f t="shared" si="89"/>
        <v>6.0360961781128503E-3</v>
      </c>
      <c r="EX22" s="528">
        <f t="shared" si="90"/>
        <v>0.2686796040073372</v>
      </c>
      <c r="EY22" s="528">
        <f t="shared" si="91"/>
        <v>0.32154261092865549</v>
      </c>
      <c r="EZ22" s="528">
        <f t="shared" si="92"/>
        <v>0.67707022482971879</v>
      </c>
      <c r="FA22" s="528">
        <f t="shared" si="93"/>
        <v>1.9974999999999996E-2</v>
      </c>
      <c r="FB22" s="460">
        <f t="shared" si="127"/>
        <v>697.04522482971879</v>
      </c>
      <c r="FC22" s="173">
        <f t="shared" si="128"/>
        <v>1.905506741593975</v>
      </c>
      <c r="FD22" s="5">
        <f t="shared" si="129"/>
        <v>4.08</v>
      </c>
      <c r="FE22" s="173">
        <f t="shared" si="130"/>
        <v>0.68164654659021784</v>
      </c>
      <c r="FF22" s="5">
        <f t="shared" si="131"/>
        <v>68.164654659021778</v>
      </c>
      <c r="FI22" s="562">
        <f t="shared" si="94"/>
        <v>-50</v>
      </c>
      <c r="FJ22">
        <f t="shared" si="95"/>
        <v>-50</v>
      </c>
      <c r="FL22">
        <f t="shared" si="96"/>
        <v>0.33754432333067902</v>
      </c>
    </row>
    <row r="23" spans="5:168">
      <c r="E23" s="170">
        <v>18</v>
      </c>
      <c r="F23" s="217">
        <f t="shared" si="97"/>
        <v>1.08</v>
      </c>
      <c r="G23" s="217"/>
      <c r="H23" s="217">
        <f t="shared" si="0"/>
        <v>4.32</v>
      </c>
      <c r="I23" s="541">
        <f t="shared" si="1"/>
        <v>23.969736811611654</v>
      </c>
      <c r="J23" s="172">
        <f t="shared" si="2"/>
        <v>19.144225839488307</v>
      </c>
      <c r="K23" s="172">
        <f t="shared" si="3"/>
        <v>43.144225839488307</v>
      </c>
      <c r="L23" s="443"/>
      <c r="M23" s="217">
        <f t="shared" si="4"/>
        <v>0.44441022312209399</v>
      </c>
      <c r="N23" s="172">
        <f t="shared" si="5"/>
        <v>35.827558831292798</v>
      </c>
      <c r="O23" s="172">
        <f t="shared" si="98"/>
        <v>4.32</v>
      </c>
      <c r="P23" s="217">
        <f t="shared" si="6"/>
        <v>8.9568897078231995</v>
      </c>
      <c r="Q23" s="217">
        <f t="shared" si="7"/>
        <v>4</v>
      </c>
      <c r="R23" s="217">
        <f t="shared" si="8"/>
        <v>8.8769967371885041</v>
      </c>
      <c r="S23" s="172">
        <f t="shared" si="9"/>
        <v>68.049249510306225</v>
      </c>
      <c r="T23" s="172">
        <f t="shared" si="10"/>
        <v>4</v>
      </c>
      <c r="U23" s="217">
        <f t="shared" si="99"/>
        <v>0.97194013006230684</v>
      </c>
      <c r="V23" s="217">
        <f t="shared" si="11"/>
        <v>0.48658363053438458</v>
      </c>
      <c r="W23" s="217">
        <f t="shared" si="12"/>
        <v>0.6092323428764681</v>
      </c>
      <c r="X23" s="197">
        <f t="shared" si="13"/>
        <v>350</v>
      </c>
      <c r="Y23" s="443">
        <f t="shared" si="14"/>
        <v>350</v>
      </c>
      <c r="AA23" s="217">
        <f t="shared" si="15"/>
        <v>2.534158898536929</v>
      </c>
      <c r="AB23" s="173">
        <f t="shared" si="16"/>
        <v>1.5884636462926283</v>
      </c>
      <c r="AC23" s="173">
        <f t="shared" si="17"/>
        <v>2.8177934989784164</v>
      </c>
      <c r="AD23" s="173"/>
      <c r="AE23" s="173">
        <f t="shared" si="18"/>
        <v>0.83576113937170593</v>
      </c>
      <c r="AF23" s="545">
        <f t="shared" si="100"/>
        <v>484.58821656204771</v>
      </c>
      <c r="AG23" s="528">
        <f t="shared" si="19"/>
        <v>0.78004373008025896</v>
      </c>
      <c r="AI23" s="173">
        <f t="shared" si="20"/>
        <v>1.568885102573502</v>
      </c>
      <c r="AJ23" s="173">
        <f t="shared" si="21"/>
        <v>1.568885102573502</v>
      </c>
      <c r="AK23" s="173">
        <f t="shared" si="22"/>
        <v>1.3744827920297544</v>
      </c>
      <c r="AM23" s="545">
        <f t="shared" si="23"/>
        <v>1080</v>
      </c>
      <c r="AN23" s="460">
        <f t="shared" si="24"/>
        <v>350</v>
      </c>
      <c r="AP23">
        <f t="shared" si="25"/>
        <v>1080</v>
      </c>
      <c r="AQ23" s="460">
        <f t="shared" si="26"/>
        <v>350</v>
      </c>
      <c r="AR23" s="460"/>
      <c r="AS23" s="5">
        <f t="shared" si="101"/>
        <v>2.8571428571428572</v>
      </c>
      <c r="AT23" s="5">
        <f t="shared" si="27"/>
        <v>0.78543295568276117</v>
      </c>
      <c r="AU23" s="5">
        <f t="shared" si="102"/>
        <v>2.0717099014600961</v>
      </c>
      <c r="AV23" s="5">
        <f t="shared" si="28"/>
        <v>0.98340990065259426</v>
      </c>
      <c r="AW23" s="173">
        <f t="shared" si="103"/>
        <v>0.27490153448896643</v>
      </c>
      <c r="AX23" s="173">
        <f t="shared" si="29"/>
        <v>5.1689409766618422</v>
      </c>
      <c r="AY23" s="173">
        <f t="shared" si="30"/>
        <v>2.2751923608783335</v>
      </c>
      <c r="AZ23" s="173">
        <f t="shared" si="104"/>
        <v>2.2718698715507215</v>
      </c>
      <c r="BA23" s="460">
        <f t="shared" si="31"/>
        <v>21.206689803434553</v>
      </c>
      <c r="BB23" s="5">
        <f t="shared" si="32"/>
        <v>0.31114883337573374</v>
      </c>
      <c r="BC23" s="5"/>
      <c r="BD23" s="173">
        <f t="shared" si="105"/>
        <v>0.47491850698884525</v>
      </c>
      <c r="BE23" s="173">
        <f t="shared" si="33"/>
        <v>3.0852403041885528</v>
      </c>
      <c r="BF23" s="173"/>
      <c r="BG23" s="528">
        <f t="shared" si="34"/>
        <v>2.7516805770222688E-3</v>
      </c>
      <c r="BH23" s="528">
        <f t="shared" si="35"/>
        <v>0.44420468650451217</v>
      </c>
      <c r="BI23" s="528">
        <f t="shared" si="36"/>
        <v>0.20973519710160196</v>
      </c>
      <c r="BJ23" s="528">
        <f t="shared" si="37"/>
        <v>6.5149847815106979E-2</v>
      </c>
      <c r="BK23">
        <f t="shared" si="38"/>
        <v>1.0786381565225244E-2</v>
      </c>
      <c r="BL23" s="460">
        <f t="shared" si="106"/>
        <v>220.5215786668272</v>
      </c>
      <c r="BM23" s="528">
        <f t="shared" si="39"/>
        <v>0.5131846884451311</v>
      </c>
      <c r="BN23" s="460">
        <f t="shared" si="107"/>
        <v>513.18468844513109</v>
      </c>
      <c r="BO23" s="528">
        <f t="shared" si="108"/>
        <v>0.67094999999999994</v>
      </c>
      <c r="BP23" s="528"/>
      <c r="BR23" s="460">
        <f t="shared" si="109"/>
        <v>670.94999999999993</v>
      </c>
      <c r="BS23" s="528">
        <f t="shared" si="40"/>
        <v>6.7664276484154153E-3</v>
      </c>
      <c r="BT23" s="528">
        <f t="shared" si="41"/>
        <v>0.28556123203768419</v>
      </c>
      <c r="BU23" s="528">
        <f t="shared" si="42"/>
        <v>6.4799999999999996E-2</v>
      </c>
      <c r="BV23" s="528">
        <f t="shared" si="43"/>
        <v>0.43751819153078658</v>
      </c>
      <c r="BW23" s="528">
        <f t="shared" si="44"/>
        <v>2.1537254069424343E-2</v>
      </c>
      <c r="BX23" s="460">
        <f t="shared" si="110"/>
        <v>459.05544560021093</v>
      </c>
      <c r="BY23" s="173">
        <f t="shared" si="45"/>
        <v>1.863711712712169</v>
      </c>
      <c r="BZ23" s="5">
        <f t="shared" si="111"/>
        <v>4.32</v>
      </c>
      <c r="CA23" s="173">
        <f t="shared" si="112"/>
        <v>0.6986095407907128</v>
      </c>
      <c r="CB23" s="5">
        <f t="shared" si="113"/>
        <v>69.860954079071277</v>
      </c>
      <c r="CE23" s="562">
        <f t="shared" si="46"/>
        <v>-50</v>
      </c>
      <c r="CF23">
        <f t="shared" si="47"/>
        <v>-50</v>
      </c>
      <c r="CG23" s="173">
        <f t="shared" si="48"/>
        <v>0.37649701194033403</v>
      </c>
      <c r="CI23" s="170">
        <v>18</v>
      </c>
      <c r="CJ23" s="217">
        <f t="shared" si="114"/>
        <v>1.08</v>
      </c>
      <c r="CK23" s="217"/>
      <c r="CL23" s="217">
        <f t="shared" si="49"/>
        <v>4.32</v>
      </c>
      <c r="CM23" s="541">
        <f t="shared" si="50"/>
        <v>24</v>
      </c>
      <c r="CN23" s="172">
        <f t="shared" si="51"/>
        <v>18.8</v>
      </c>
      <c r="CO23" s="443">
        <f t="shared" si="52"/>
        <v>42.8</v>
      </c>
      <c r="CP23" s="443"/>
      <c r="CQ23" s="217">
        <f t="shared" si="53"/>
        <v>0.43925233644859818</v>
      </c>
      <c r="CR23" s="172">
        <f t="shared" si="54"/>
        <v>35.456448598130848</v>
      </c>
      <c r="CS23" s="172">
        <f t="shared" si="115"/>
        <v>4.32</v>
      </c>
      <c r="CT23" s="217">
        <f t="shared" si="55"/>
        <v>8.864112149532712</v>
      </c>
      <c r="CU23" s="217">
        <f t="shared" si="56"/>
        <v>4</v>
      </c>
      <c r="CV23" s="217">
        <f t="shared" si="57"/>
        <v>8.7850467289719631</v>
      </c>
      <c r="CW23" s="172">
        <f t="shared" si="58"/>
        <v>68.135089466551193</v>
      </c>
      <c r="CX23" s="172">
        <f t="shared" si="59"/>
        <v>4</v>
      </c>
      <c r="CY23" s="217">
        <f t="shared" si="60"/>
        <v>0.81957446808510626</v>
      </c>
      <c r="CZ23" s="217">
        <f t="shared" si="61"/>
        <v>0.40978723404255313</v>
      </c>
      <c r="DA23" s="217">
        <f t="shared" si="62"/>
        <v>0.52313263920325925</v>
      </c>
      <c r="DB23" s="197">
        <f t="shared" si="63"/>
        <v>350</v>
      </c>
      <c r="DC23" s="443">
        <f t="shared" si="116"/>
        <v>350</v>
      </c>
      <c r="DE23" s="217">
        <f t="shared" si="64"/>
        <v>2.5100133511348464</v>
      </c>
      <c r="DF23" s="173">
        <f t="shared" si="65"/>
        <v>1.6021361815754336</v>
      </c>
      <c r="DG23" s="173">
        <f t="shared" si="66"/>
        <v>2.8149682442633783</v>
      </c>
      <c r="DH23" s="173"/>
      <c r="DI23" s="173">
        <f t="shared" si="67"/>
        <v>0.85106382978723416</v>
      </c>
      <c r="DJ23" s="545">
        <f t="shared" si="117"/>
        <v>475.87499999999994</v>
      </c>
      <c r="DK23" s="528">
        <f t="shared" si="68"/>
        <v>0.79432624113475192</v>
      </c>
      <c r="DM23" s="173">
        <f t="shared" si="69"/>
        <v>1.5547163269043189</v>
      </c>
      <c r="DN23" s="173">
        <f t="shared" si="70"/>
        <v>1.5547163269043189</v>
      </c>
      <c r="DO23" s="173">
        <f t="shared" si="71"/>
        <v>1.3639874026451744</v>
      </c>
      <c r="DQ23" s="545">
        <f t="shared" si="72"/>
        <v>1080</v>
      </c>
      <c r="DR23" s="460">
        <f t="shared" si="73"/>
        <v>350</v>
      </c>
      <c r="DT23">
        <f t="shared" si="74"/>
        <v>1080</v>
      </c>
      <c r="DU23" s="460">
        <f t="shared" si="75"/>
        <v>350</v>
      </c>
      <c r="DV23" s="460"/>
      <c r="DW23" s="5">
        <f t="shared" si="118"/>
        <v>2.8571428571428572</v>
      </c>
      <c r="DX23" s="5">
        <f t="shared" si="76"/>
        <v>0.77735816345215958</v>
      </c>
      <c r="DY23" s="5">
        <f t="shared" si="119"/>
        <v>2.0797846936906978</v>
      </c>
      <c r="DZ23" s="5">
        <f t="shared" si="77"/>
        <v>0.99237212355594839</v>
      </c>
      <c r="EA23" s="173">
        <f t="shared" si="120"/>
        <v>0.27207535720825582</v>
      </c>
      <c r="EB23" s="173">
        <f t="shared" si="78"/>
        <v>5.0759999999999996</v>
      </c>
      <c r="EC23" s="173">
        <f t="shared" si="79"/>
        <v>2.2634326538086378</v>
      </c>
      <c r="ED23" s="173">
        <f t="shared" si="121"/>
        <v>2.2426114563023134</v>
      </c>
      <c r="EE23" s="460">
        <f t="shared" si="80"/>
        <v>20.988670413208308</v>
      </c>
      <c r="EF23" s="5">
        <f t="shared" si="81"/>
        <v>0.31196770405360469</v>
      </c>
      <c r="EG23" s="5"/>
      <c r="EH23" s="173">
        <f t="shared" si="122"/>
        <v>0.4682040175965056</v>
      </c>
      <c r="EI23" s="173">
        <f t="shared" si="82"/>
        <v>3.0633296489167514</v>
      </c>
      <c r="EJ23" s="173"/>
      <c r="EK23" s="528">
        <f t="shared" si="83"/>
        <v>2.6744230255408086E-3</v>
      </c>
      <c r="EL23" s="528">
        <f t="shared" si="84"/>
        <v>0.46579301154053399</v>
      </c>
      <c r="EM23" s="528">
        <f t="shared" si="85"/>
        <v>4.3749999999999997E-2</v>
      </c>
      <c r="EN23" s="528">
        <f t="shared" si="86"/>
        <v>6.4114399999999988E-2</v>
      </c>
      <c r="EO23">
        <f t="shared" si="87"/>
        <v>1.0800000000000001E-2</v>
      </c>
      <c r="EP23" s="460">
        <f t="shared" si="123"/>
        <v>54.550000000000004</v>
      </c>
      <c r="EQ23" s="528">
        <f t="shared" si="88"/>
        <v>0.58822771391375372</v>
      </c>
      <c r="ER23" s="460">
        <f t="shared" si="124"/>
        <v>588.22771391375375</v>
      </c>
      <c r="ES23" s="528">
        <f t="shared" si="125"/>
        <v>0.67094999999999994</v>
      </c>
      <c r="ET23" s="528"/>
      <c r="EV23" s="460">
        <f t="shared" si="126"/>
        <v>670.94999999999993</v>
      </c>
      <c r="EW23" s="528">
        <f t="shared" si="89"/>
        <v>6.5764500628052672E-3</v>
      </c>
      <c r="EX23" s="528">
        <f t="shared" si="90"/>
        <v>0.28151965613797281</v>
      </c>
      <c r="EY23" s="528">
        <f t="shared" si="91"/>
        <v>0.34535680157670817</v>
      </c>
      <c r="EZ23" s="528">
        <f t="shared" si="92"/>
        <v>0.71917120722513495</v>
      </c>
      <c r="FA23" s="528">
        <f t="shared" si="93"/>
        <v>2.1149999999999999E-2</v>
      </c>
      <c r="FB23" s="460">
        <f t="shared" si="127"/>
        <v>740.32120722513491</v>
      </c>
      <c r="FC23" s="173">
        <f t="shared" si="128"/>
        <v>1.9994989211388887</v>
      </c>
      <c r="FD23" s="5">
        <f t="shared" si="129"/>
        <v>4.32</v>
      </c>
      <c r="FE23" s="173">
        <f t="shared" si="130"/>
        <v>0.6835985026517668</v>
      </c>
      <c r="FF23" s="5">
        <f t="shared" si="131"/>
        <v>68.359850265176675</v>
      </c>
      <c r="FI23" s="562">
        <f t="shared" si="94"/>
        <v>-50</v>
      </c>
      <c r="FJ23">
        <f t="shared" si="95"/>
        <v>-50</v>
      </c>
      <c r="FL23">
        <f t="shared" si="96"/>
        <v>0.34733024324458189</v>
      </c>
    </row>
    <row r="24" spans="5:168">
      <c r="E24" s="170">
        <v>19</v>
      </c>
      <c r="F24" s="217">
        <f t="shared" si="97"/>
        <v>1.1400000000000001</v>
      </c>
      <c r="G24" s="217"/>
      <c r="H24" s="217">
        <f t="shared" si="0"/>
        <v>4.5600000000000005</v>
      </c>
      <c r="I24" s="541">
        <f t="shared" si="1"/>
        <v>23.968907529620733</v>
      </c>
      <c r="J24" s="172">
        <f t="shared" si="2"/>
        <v>19.153658430854243</v>
      </c>
      <c r="K24" s="172">
        <f t="shared" si="3"/>
        <v>43.153658430854243</v>
      </c>
      <c r="L24" s="443"/>
      <c r="M24" s="217">
        <f t="shared" si="4"/>
        <v>0.44455040747143004</v>
      </c>
      <c r="N24" s="172">
        <f t="shared" si="5"/>
        <v>35.837620324727887</v>
      </c>
      <c r="O24" s="172">
        <f t="shared" si="98"/>
        <v>4.5600000000000005</v>
      </c>
      <c r="P24" s="217">
        <f t="shared" si="6"/>
        <v>8.9594050811819717</v>
      </c>
      <c r="Q24" s="217">
        <f t="shared" si="7"/>
        <v>4</v>
      </c>
      <c r="R24" s="217">
        <f t="shared" si="8"/>
        <v>8.8794896741149358</v>
      </c>
      <c r="S24" s="172">
        <f t="shared" si="9"/>
        <v>64.156972042707935</v>
      </c>
      <c r="T24" s="172">
        <f t="shared" si="10"/>
        <v>4</v>
      </c>
      <c r="U24" s="217">
        <f t="shared" si="99"/>
        <v>1.0261957298504663</v>
      </c>
      <c r="V24" s="217">
        <f t="shared" si="11"/>
        <v>0.51376345555121972</v>
      </c>
      <c r="W24" s="217">
        <f t="shared" si="12"/>
        <v>0.64292410782311227</v>
      </c>
      <c r="X24" s="197">
        <f t="shared" si="13"/>
        <v>350</v>
      </c>
      <c r="Y24" s="443">
        <f t="shared" si="14"/>
        <v>350</v>
      </c>
      <c r="AA24" s="217">
        <f t="shared" si="15"/>
        <v>2.5348139743280864</v>
      </c>
      <c r="AB24" s="173">
        <f t="shared" si="16"/>
        <v>1.5880917894483106</v>
      </c>
      <c r="AC24" s="173">
        <f t="shared" si="17"/>
        <v>2.8178620822864926</v>
      </c>
      <c r="AD24" s="173"/>
      <c r="AE24" s="173">
        <f t="shared" si="18"/>
        <v>0.83534955255471843</v>
      </c>
      <c r="AF24" s="545">
        <f t="shared" si="100"/>
        <v>511.76181119938678</v>
      </c>
      <c r="AG24" s="528">
        <f t="shared" si="19"/>
        <v>0.77965958238440392</v>
      </c>
      <c r="AI24" s="173">
        <f t="shared" si="20"/>
        <v>1.612273262433757</v>
      </c>
      <c r="AJ24" s="173">
        <f t="shared" si="21"/>
        <v>1.612273262433757</v>
      </c>
      <c r="AK24" s="173">
        <f t="shared" si="22"/>
        <v>1.4066221697040173</v>
      </c>
      <c r="AM24" s="545">
        <f t="shared" si="23"/>
        <v>1140.0000000000002</v>
      </c>
      <c r="AN24" s="460">
        <f t="shared" si="24"/>
        <v>350</v>
      </c>
      <c r="AP24">
        <f t="shared" si="25"/>
        <v>1140.0000000000002</v>
      </c>
      <c r="AQ24" s="460">
        <f t="shared" si="26"/>
        <v>350</v>
      </c>
      <c r="AR24" s="460"/>
      <c r="AS24" s="5">
        <f t="shared" si="101"/>
        <v>2.8571428571428572</v>
      </c>
      <c r="AT24" s="5">
        <f t="shared" si="27"/>
        <v>0.80718235177367814</v>
      </c>
      <c r="AU24" s="5">
        <f t="shared" si="102"/>
        <v>2.049960505369179</v>
      </c>
      <c r="AV24" s="5">
        <f t="shared" si="28"/>
        <v>1.0101088112774812</v>
      </c>
      <c r="AW24" s="173">
        <f t="shared" si="103"/>
        <v>0.28251382312078732</v>
      </c>
      <c r="AX24" s="173">
        <f t="shared" si="29"/>
        <v>5.4587926527934583</v>
      </c>
      <c r="AY24" s="173">
        <f t="shared" si="30"/>
        <v>2.3135675582963438</v>
      </c>
      <c r="AZ24" s="173">
        <f t="shared" si="104"/>
        <v>2.3594697432622991</v>
      </c>
      <c r="BA24" s="460">
        <f t="shared" si="31"/>
        <v>23.004697025549831</v>
      </c>
      <c r="BB24" s="5">
        <f t="shared" si="32"/>
        <v>0.32499812145281121</v>
      </c>
      <c r="BC24" s="5"/>
      <c r="BD24" s="173">
        <f t="shared" si="105"/>
        <v>0.49476375346257151</v>
      </c>
      <c r="BE24" s="173">
        <f t="shared" si="33"/>
        <v>3.1538772392407615</v>
      </c>
      <c r="BF24" s="173"/>
      <c r="BG24" s="528">
        <f t="shared" si="34"/>
        <v>2.9864522952325412E-3</v>
      </c>
      <c r="BH24" s="528">
        <f t="shared" si="35"/>
        <v>0.45658915092174152</v>
      </c>
      <c r="BI24" s="528">
        <f t="shared" si="36"/>
        <v>0.20972794088418142</v>
      </c>
      <c r="BJ24" s="528">
        <f t="shared" si="37"/>
        <v>6.5178338258839313E-2</v>
      </c>
      <c r="BK24">
        <f t="shared" si="38"/>
        <v>1.078600838832933E-2</v>
      </c>
      <c r="BL24" s="460">
        <f t="shared" si="106"/>
        <v>220.51394927251076</v>
      </c>
      <c r="BM24" s="528">
        <f t="shared" si="39"/>
        <v>0.52593347603175045</v>
      </c>
      <c r="BN24" s="460">
        <f t="shared" si="107"/>
        <v>525.9334760317505</v>
      </c>
      <c r="BO24" s="528">
        <f t="shared" si="108"/>
        <v>0.70822499999999999</v>
      </c>
      <c r="BP24" s="528"/>
      <c r="BR24" s="460">
        <f t="shared" si="109"/>
        <v>708.22500000000002</v>
      </c>
      <c r="BS24" s="528">
        <f t="shared" si="40"/>
        <v>7.343735152211167E-3</v>
      </c>
      <c r="BT24" s="528">
        <f t="shared" si="41"/>
        <v>0.29840824920602782</v>
      </c>
      <c r="BU24" s="528">
        <f t="shared" si="42"/>
        <v>6.8400000000000002E-2</v>
      </c>
      <c r="BV24" s="528">
        <f t="shared" si="43"/>
        <v>0.45875364765231852</v>
      </c>
      <c r="BW24" s="528">
        <f t="shared" si="44"/>
        <v>2.2744969386639415E-2</v>
      </c>
      <c r="BX24" s="460">
        <f t="shared" si="110"/>
        <v>481.49861703895789</v>
      </c>
      <c r="BY24" s="173">
        <f t="shared" si="45"/>
        <v>1.9361710423432192</v>
      </c>
      <c r="BZ24" s="5">
        <f t="shared" si="111"/>
        <v>4.5600000000000005</v>
      </c>
      <c r="CA24" s="173">
        <f t="shared" si="112"/>
        <v>0.70195196066684429</v>
      </c>
      <c r="CB24" s="5">
        <f t="shared" si="113"/>
        <v>70.195196066684431</v>
      </c>
      <c r="CE24" s="562">
        <f t="shared" si="46"/>
        <v>-50</v>
      </c>
      <c r="CF24">
        <f t="shared" si="47"/>
        <v>-50</v>
      </c>
      <c r="CG24" s="173">
        <f t="shared" si="48"/>
        <v>0.38681390874682886</v>
      </c>
      <c r="CI24" s="170">
        <v>19</v>
      </c>
      <c r="CJ24" s="217">
        <f t="shared" si="114"/>
        <v>1.1400000000000001</v>
      </c>
      <c r="CK24" s="217"/>
      <c r="CL24" s="217">
        <f t="shared" si="49"/>
        <v>4.5600000000000005</v>
      </c>
      <c r="CM24" s="541">
        <f t="shared" si="50"/>
        <v>24</v>
      </c>
      <c r="CN24" s="172">
        <f t="shared" si="51"/>
        <v>18.8</v>
      </c>
      <c r="CO24" s="443">
        <f t="shared" si="52"/>
        <v>42.8</v>
      </c>
      <c r="CP24" s="443"/>
      <c r="CQ24" s="217">
        <f t="shared" si="53"/>
        <v>0.43925233644859818</v>
      </c>
      <c r="CR24" s="172">
        <f t="shared" si="54"/>
        <v>35.456448598130848</v>
      </c>
      <c r="CS24" s="172">
        <f t="shared" si="115"/>
        <v>4.5600000000000005</v>
      </c>
      <c r="CT24" s="217">
        <f t="shared" si="55"/>
        <v>8.864112149532712</v>
      </c>
      <c r="CU24" s="217">
        <f t="shared" si="56"/>
        <v>4</v>
      </c>
      <c r="CV24" s="217">
        <f t="shared" si="57"/>
        <v>8.7850467289719631</v>
      </c>
      <c r="CW24" s="172">
        <f t="shared" si="58"/>
        <v>64.24011356808019</v>
      </c>
      <c r="CX24" s="172">
        <f t="shared" si="59"/>
        <v>4</v>
      </c>
      <c r="CY24" s="217">
        <f t="shared" si="60"/>
        <v>0.86510638297872333</v>
      </c>
      <c r="CZ24" s="217">
        <f t="shared" si="61"/>
        <v>0.43255319148936167</v>
      </c>
      <c r="DA24" s="217">
        <f t="shared" si="62"/>
        <v>0.55219556360344046</v>
      </c>
      <c r="DB24" s="197">
        <f t="shared" si="63"/>
        <v>350</v>
      </c>
      <c r="DC24" s="443">
        <f t="shared" si="116"/>
        <v>350</v>
      </c>
      <c r="DE24" s="217">
        <f t="shared" si="64"/>
        <v>2.5100133511348464</v>
      </c>
      <c r="DF24" s="173">
        <f t="shared" si="65"/>
        <v>1.6021361815754336</v>
      </c>
      <c r="DG24" s="173">
        <f t="shared" si="66"/>
        <v>2.8149682442633783</v>
      </c>
      <c r="DH24" s="173"/>
      <c r="DI24" s="173">
        <f t="shared" si="67"/>
        <v>0.85106382978723416</v>
      </c>
      <c r="DJ24" s="545">
        <f t="shared" si="117"/>
        <v>502.31249999999994</v>
      </c>
      <c r="DK24" s="528">
        <f t="shared" si="68"/>
        <v>0.79432624113475192</v>
      </c>
      <c r="DM24" s="173">
        <f t="shared" si="69"/>
        <v>1.5973191827022464</v>
      </c>
      <c r="DN24" s="173">
        <f t="shared" si="70"/>
        <v>1.5973191827022464</v>
      </c>
      <c r="DO24" s="173">
        <f t="shared" si="71"/>
        <v>1.3955450736066022</v>
      </c>
      <c r="DQ24" s="545">
        <f t="shared" si="72"/>
        <v>1140.0000000000002</v>
      </c>
      <c r="DR24" s="460">
        <f t="shared" si="73"/>
        <v>350</v>
      </c>
      <c r="DT24">
        <f t="shared" si="74"/>
        <v>1140.0000000000002</v>
      </c>
      <c r="DU24" s="460">
        <f t="shared" si="75"/>
        <v>350</v>
      </c>
      <c r="DV24" s="460"/>
      <c r="DW24" s="5">
        <f t="shared" si="118"/>
        <v>2.8571428571428572</v>
      </c>
      <c r="DX24" s="5">
        <f t="shared" si="76"/>
        <v>0.7986595913511233</v>
      </c>
      <c r="DY24" s="5">
        <f t="shared" si="119"/>
        <v>2.0584832657917338</v>
      </c>
      <c r="DZ24" s="5">
        <f t="shared" si="77"/>
        <v>1.0195654357673913</v>
      </c>
      <c r="EA24" s="173">
        <f t="shared" si="120"/>
        <v>0.27953085697289315</v>
      </c>
      <c r="EB24" s="173">
        <f t="shared" si="78"/>
        <v>5.3580000000000023</v>
      </c>
      <c r="EC24" s="173">
        <f t="shared" si="79"/>
        <v>2.3016383654044925</v>
      </c>
      <c r="ED24" s="173">
        <f t="shared" si="121"/>
        <v>2.3279069729350734</v>
      </c>
      <c r="EE24" s="460">
        <f t="shared" si="80"/>
        <v>22.761798353507018</v>
      </c>
      <c r="EF24" s="5">
        <f t="shared" si="81"/>
        <v>0.32592651708369119</v>
      </c>
      <c r="EG24" s="5"/>
      <c r="EH24" s="173">
        <f t="shared" si="122"/>
        <v>0.48758008404656067</v>
      </c>
      <c r="EI24" s="173">
        <f t="shared" si="82"/>
        <v>3.131113162100251</v>
      </c>
      <c r="EJ24" s="173"/>
      <c r="EK24" s="528">
        <f t="shared" si="83"/>
        <v>2.900358927977984E-3</v>
      </c>
      <c r="EL24" s="528">
        <f t="shared" si="84"/>
        <v>0.47855682713759295</v>
      </c>
      <c r="EM24" s="528">
        <f t="shared" si="85"/>
        <v>4.3749999999999997E-2</v>
      </c>
      <c r="EN24" s="528">
        <f t="shared" si="86"/>
        <v>6.4114399999999988E-2</v>
      </c>
      <c r="EO24">
        <f t="shared" si="87"/>
        <v>1.0800000000000001E-2</v>
      </c>
      <c r="EP24" s="460">
        <f t="shared" si="123"/>
        <v>54.550000000000004</v>
      </c>
      <c r="EQ24" s="528">
        <f t="shared" si="88"/>
        <v>0.60131906714741656</v>
      </c>
      <c r="ER24" s="460">
        <f t="shared" si="124"/>
        <v>601.3190671474166</v>
      </c>
      <c r="ES24" s="528">
        <f t="shared" si="125"/>
        <v>0.70822499999999999</v>
      </c>
      <c r="ET24" s="528"/>
      <c r="EV24" s="460">
        <f t="shared" si="126"/>
        <v>708.22500000000002</v>
      </c>
      <c r="EW24" s="528">
        <f t="shared" si="89"/>
        <v>7.1320301507655347E-3</v>
      </c>
      <c r="EX24" s="528">
        <f t="shared" si="90"/>
        <v>0.29411608901632297</v>
      </c>
      <c r="EY24" s="528">
        <f t="shared" si="91"/>
        <v>0.36950420355773067</v>
      </c>
      <c r="EZ24" s="528">
        <f t="shared" si="92"/>
        <v>0.76140153372209785</v>
      </c>
      <c r="FA24" s="528">
        <f t="shared" si="93"/>
        <v>2.2325000000000012E-2</v>
      </c>
      <c r="FB24" s="460">
        <f t="shared" si="127"/>
        <v>783.72653372209788</v>
      </c>
      <c r="FC24" s="173">
        <f t="shared" si="128"/>
        <v>2.0932706008695141</v>
      </c>
      <c r="FD24" s="5">
        <f t="shared" si="129"/>
        <v>4.5600000000000005</v>
      </c>
      <c r="FE24" s="173">
        <f t="shared" si="130"/>
        <v>0.6853772037175303</v>
      </c>
      <c r="FF24" s="5">
        <f t="shared" si="131"/>
        <v>68.537720371753025</v>
      </c>
      <c r="FI24" s="562">
        <f t="shared" si="94"/>
        <v>-50</v>
      </c>
      <c r="FJ24">
        <f t="shared" si="95"/>
        <v>-50</v>
      </c>
      <c r="FL24">
        <f t="shared" si="96"/>
        <v>0.35684790251858695</v>
      </c>
    </row>
    <row r="25" spans="5:168">
      <c r="E25" s="170">
        <v>20</v>
      </c>
      <c r="F25" s="217">
        <f t="shared" si="97"/>
        <v>1.2000000000000002</v>
      </c>
      <c r="G25" s="217"/>
      <c r="H25" s="217">
        <f t="shared" si="0"/>
        <v>4.8000000000000007</v>
      </c>
      <c r="I25" s="541">
        <f t="shared" si="1"/>
        <v>23.968099798478022</v>
      </c>
      <c r="J25" s="172">
        <f t="shared" si="2"/>
        <v>19.162845894088857</v>
      </c>
      <c r="K25" s="172">
        <f t="shared" si="3"/>
        <v>43.162845894088861</v>
      </c>
      <c r="L25" s="443"/>
      <c r="M25" s="217">
        <f t="shared" si="4"/>
        <v>0.44468689012746104</v>
      </c>
      <c r="N25" s="172">
        <f t="shared" si="5"/>
        <v>35.847414865015551</v>
      </c>
      <c r="O25" s="172">
        <f t="shared" si="98"/>
        <v>4.8000000000000007</v>
      </c>
      <c r="P25" s="217">
        <f t="shared" si="6"/>
        <v>8.9618537162538878</v>
      </c>
      <c r="Q25" s="217">
        <f t="shared" si="7"/>
        <v>4</v>
      </c>
      <c r="R25" s="217">
        <f t="shared" si="8"/>
        <v>8.8819164680415152</v>
      </c>
      <c r="S25" s="172">
        <f t="shared" si="9"/>
        <v>60.654393812854273</v>
      </c>
      <c r="T25" s="172">
        <f t="shared" si="10"/>
        <v>4</v>
      </c>
      <c r="U25" s="217">
        <f t="shared" si="99"/>
        <v>1.0804715201802424</v>
      </c>
      <c r="V25" s="217">
        <f t="shared" si="11"/>
        <v>0.54095478369904937</v>
      </c>
      <c r="W25" s="217">
        <f t="shared" si="12"/>
        <v>0.67660400307046309</v>
      </c>
      <c r="X25" s="197">
        <f t="shared" si="13"/>
        <v>350</v>
      </c>
      <c r="Y25" s="443">
        <f t="shared" si="14"/>
        <v>350</v>
      </c>
      <c r="AA25" s="217">
        <f t="shared" si="15"/>
        <v>2.5354516921683992</v>
      </c>
      <c r="AB25" s="173">
        <f t="shared" si="16"/>
        <v>1.5877297387965785</v>
      </c>
      <c r="AC25" s="173">
        <f t="shared" si="17"/>
        <v>2.8179284370565125</v>
      </c>
      <c r="AD25" s="173"/>
      <c r="AE25" s="173">
        <f t="shared" si="18"/>
        <v>0.8349490513272616</v>
      </c>
      <c r="AF25" s="545">
        <f t="shared" si="100"/>
        <v>538.95504077124906</v>
      </c>
      <c r="AG25" s="528">
        <f t="shared" si="19"/>
        <v>0.77928578123877756</v>
      </c>
      <c r="AI25" s="173">
        <f t="shared" si="20"/>
        <v>1.6545541433997455</v>
      </c>
      <c r="AJ25" s="173">
        <f t="shared" si="21"/>
        <v>1.6545541433997455</v>
      </c>
      <c r="AK25" s="173">
        <f t="shared" si="22"/>
        <v>1.4379413407899349</v>
      </c>
      <c r="AM25" s="545">
        <f t="shared" si="23"/>
        <v>1200.0000000000002</v>
      </c>
      <c r="AN25" s="460">
        <f t="shared" si="24"/>
        <v>350</v>
      </c>
      <c r="AP25">
        <f t="shared" si="25"/>
        <v>1200.0000000000002</v>
      </c>
      <c r="AQ25" s="460">
        <f t="shared" si="26"/>
        <v>350</v>
      </c>
      <c r="AR25" s="460"/>
      <c r="AS25" s="5">
        <f t="shared" si="101"/>
        <v>2.8571428571428572</v>
      </c>
      <c r="AT25" s="5">
        <f t="shared" si="27"/>
        <v>0.8283781312550158</v>
      </c>
      <c r="AU25" s="5">
        <f t="shared" si="102"/>
        <v>2.0287647258878412</v>
      </c>
      <c r="AV25" s="5">
        <f t="shared" si="28"/>
        <v>1.0361013093009055</v>
      </c>
      <c r="AW25" s="173">
        <f t="shared" si="103"/>
        <v>0.28993234593925554</v>
      </c>
      <c r="AX25" s="173">
        <f t="shared" si="29"/>
        <v>5.7488537682266587</v>
      </c>
      <c r="AY25" s="173">
        <f t="shared" si="30"/>
        <v>2.3496907582406839</v>
      </c>
      <c r="AZ25" s="173">
        <f t="shared" si="104"/>
        <v>2.4466427116269021</v>
      </c>
      <c r="BA25" s="460">
        <f t="shared" si="31"/>
        <v>24.851343937650476</v>
      </c>
      <c r="BB25" s="5">
        <f t="shared" si="32"/>
        <v>0.33857748306216051</v>
      </c>
      <c r="BC25" s="5"/>
      <c r="BD25" s="173">
        <f t="shared" si="105"/>
        <v>0.51436178045018699</v>
      </c>
      <c r="BE25" s="173">
        <f t="shared" si="33"/>
        <v>3.2198097582539305</v>
      </c>
      <c r="BF25" s="173"/>
      <c r="BG25" s="528">
        <f t="shared" si="34"/>
        <v>3.2277301024922133E-3</v>
      </c>
      <c r="BH25" s="528">
        <f t="shared" si="35"/>
        <v>0.46866267994211797</v>
      </c>
      <c r="BI25" s="528">
        <f t="shared" si="36"/>
        <v>0.20972087323668268</v>
      </c>
      <c r="BJ25" s="528">
        <f t="shared" si="37"/>
        <v>6.5206094298690218E-2</v>
      </c>
      <c r="BK25">
        <f t="shared" si="38"/>
        <v>1.078564490931511E-2</v>
      </c>
      <c r="BL25" s="460">
        <f t="shared" si="106"/>
        <v>220.50651814599777</v>
      </c>
      <c r="BM25" s="528">
        <f t="shared" si="39"/>
        <v>0.53838088043720922</v>
      </c>
      <c r="BN25" s="460">
        <f t="shared" si="107"/>
        <v>538.38088043720927</v>
      </c>
      <c r="BO25" s="528">
        <f t="shared" si="108"/>
        <v>0.74550000000000005</v>
      </c>
      <c r="BP25" s="528"/>
      <c r="BR25" s="460">
        <f t="shared" si="109"/>
        <v>745.5</v>
      </c>
      <c r="BS25" s="528">
        <f t="shared" si="40"/>
        <v>7.9370412356365907E-3</v>
      </c>
      <c r="BT25" s="528">
        <f t="shared" si="41"/>
        <v>0.311015246380417</v>
      </c>
      <c r="BU25" s="528">
        <f t="shared" si="42"/>
        <v>7.2000000000000008E-2</v>
      </c>
      <c r="BV25" s="528">
        <f t="shared" si="43"/>
        <v>0.47974202187121645</v>
      </c>
      <c r="BW25" s="528">
        <f t="shared" si="44"/>
        <v>2.3953557367611074E-2</v>
      </c>
      <c r="BX25" s="460">
        <f t="shared" si="110"/>
        <v>503.69557923882758</v>
      </c>
      <c r="BY25" s="173">
        <f t="shared" si="45"/>
        <v>2.0080829778220348</v>
      </c>
      <c r="BZ25" s="5">
        <f t="shared" si="111"/>
        <v>4.8000000000000007</v>
      </c>
      <c r="CA25" s="173">
        <f t="shared" si="112"/>
        <v>0.70504428568753463</v>
      </c>
      <c r="CB25" s="5">
        <f t="shared" si="113"/>
        <v>70.504428568753468</v>
      </c>
      <c r="CE25" s="562">
        <f t="shared" si="46"/>
        <v>-50</v>
      </c>
      <c r="CF25">
        <f t="shared" si="47"/>
        <v>-50</v>
      </c>
      <c r="CG25" s="173">
        <f t="shared" si="48"/>
        <v>0.39686269665968865</v>
      </c>
      <c r="CI25" s="170">
        <v>20</v>
      </c>
      <c r="CJ25" s="217">
        <f t="shared" si="114"/>
        <v>1.2000000000000002</v>
      </c>
      <c r="CK25" s="217"/>
      <c r="CL25" s="217">
        <f t="shared" si="49"/>
        <v>4.8000000000000007</v>
      </c>
      <c r="CM25" s="541">
        <f t="shared" si="50"/>
        <v>24</v>
      </c>
      <c r="CN25" s="172">
        <f t="shared" si="51"/>
        <v>18.8</v>
      </c>
      <c r="CO25" s="443">
        <f t="shared" si="52"/>
        <v>42.8</v>
      </c>
      <c r="CP25" s="443"/>
      <c r="CQ25" s="217">
        <f t="shared" si="53"/>
        <v>0.43925233644859818</v>
      </c>
      <c r="CR25" s="172">
        <f t="shared" si="54"/>
        <v>35.456448598130848</v>
      </c>
      <c r="CS25" s="172">
        <f t="shared" si="115"/>
        <v>4.8000000000000007</v>
      </c>
      <c r="CT25" s="217">
        <f t="shared" si="55"/>
        <v>8.864112149532712</v>
      </c>
      <c r="CU25" s="217">
        <f t="shared" si="56"/>
        <v>4</v>
      </c>
      <c r="CV25" s="217">
        <f t="shared" si="57"/>
        <v>8.7850467289719631</v>
      </c>
      <c r="CW25" s="172">
        <f t="shared" si="58"/>
        <v>60.735031570088381</v>
      </c>
      <c r="CX25" s="172">
        <f t="shared" si="59"/>
        <v>4</v>
      </c>
      <c r="CY25" s="217">
        <f t="shared" si="60"/>
        <v>0.91063829787234041</v>
      </c>
      <c r="CZ25" s="217">
        <f t="shared" si="61"/>
        <v>0.4553191489361702</v>
      </c>
      <c r="DA25" s="217">
        <f t="shared" si="62"/>
        <v>0.58125848800362157</v>
      </c>
      <c r="DB25" s="197">
        <f t="shared" si="63"/>
        <v>350</v>
      </c>
      <c r="DC25" s="443">
        <f t="shared" si="116"/>
        <v>350</v>
      </c>
      <c r="DE25" s="217">
        <f t="shared" si="64"/>
        <v>2.5100133511348464</v>
      </c>
      <c r="DF25" s="173">
        <f t="shared" si="65"/>
        <v>1.6021361815754336</v>
      </c>
      <c r="DG25" s="173">
        <f t="shared" si="66"/>
        <v>2.8149682442633783</v>
      </c>
      <c r="DH25" s="173"/>
      <c r="DI25" s="173">
        <f t="shared" si="67"/>
        <v>0.85106382978723416</v>
      </c>
      <c r="DJ25" s="545">
        <f t="shared" si="117"/>
        <v>528.75</v>
      </c>
      <c r="DK25" s="528">
        <f t="shared" si="68"/>
        <v>0.79432624113475192</v>
      </c>
      <c r="DM25" s="173">
        <f t="shared" si="69"/>
        <v>1.6388149028228558</v>
      </c>
      <c r="DN25" s="173">
        <f t="shared" si="70"/>
        <v>1.6388149028228558</v>
      </c>
      <c r="DO25" s="173">
        <f t="shared" si="71"/>
        <v>1.4262826440663128</v>
      </c>
      <c r="DQ25" s="545">
        <f t="shared" si="72"/>
        <v>1200.0000000000002</v>
      </c>
      <c r="DR25" s="460">
        <f t="shared" si="73"/>
        <v>350</v>
      </c>
      <c r="DT25">
        <f t="shared" si="74"/>
        <v>1200.0000000000002</v>
      </c>
      <c r="DU25" s="460">
        <f t="shared" si="75"/>
        <v>350</v>
      </c>
      <c r="DV25" s="460"/>
      <c r="DW25" s="5">
        <f t="shared" si="118"/>
        <v>2.8571428571428572</v>
      </c>
      <c r="DX25" s="5">
        <f t="shared" si="76"/>
        <v>0.8194074514114279</v>
      </c>
      <c r="DY25" s="5">
        <f t="shared" si="119"/>
        <v>2.0377354057314294</v>
      </c>
      <c r="DZ25" s="5">
        <f t="shared" si="77"/>
        <v>1.0460520656316101</v>
      </c>
      <c r="EA25" s="173">
        <f t="shared" si="120"/>
        <v>0.28679260799399975</v>
      </c>
      <c r="EB25" s="173">
        <f t="shared" si="78"/>
        <v>5.6400000000000015</v>
      </c>
      <c r="EC25" s="173">
        <f t="shared" si="79"/>
        <v>2.3376298056457117</v>
      </c>
      <c r="ED25" s="173">
        <f t="shared" si="121"/>
        <v>2.4127002429463347</v>
      </c>
      <c r="EE25" s="460">
        <f t="shared" si="80"/>
        <v>24.582223542342842</v>
      </c>
      <c r="EF25" s="5">
        <f t="shared" si="81"/>
        <v>0.3396225676219049</v>
      </c>
      <c r="EG25" s="5"/>
      <c r="EH25" s="173">
        <f t="shared" si="122"/>
        <v>0.50670274136708016</v>
      </c>
      <c r="EI25" s="173">
        <f t="shared" si="82"/>
        <v>3.1962238397939062</v>
      </c>
      <c r="EJ25" s="173"/>
      <c r="EK25" s="528">
        <f t="shared" si="83"/>
        <v>3.1323215509287522E-3</v>
      </c>
      <c r="EL25" s="528">
        <f t="shared" si="84"/>
        <v>0.49098894488572753</v>
      </c>
      <c r="EM25" s="528">
        <f t="shared" si="85"/>
        <v>4.3749999999999997E-2</v>
      </c>
      <c r="EN25" s="528">
        <f t="shared" si="86"/>
        <v>6.4114399999999988E-2</v>
      </c>
      <c r="EO25">
        <f t="shared" si="87"/>
        <v>1.0800000000000001E-2</v>
      </c>
      <c r="EP25" s="460">
        <f t="shared" si="123"/>
        <v>54.550000000000004</v>
      </c>
      <c r="EQ25" s="528">
        <f t="shared" si="88"/>
        <v>0.61408842217740045</v>
      </c>
      <c r="ER25" s="460">
        <f t="shared" si="124"/>
        <v>614.0884221774005</v>
      </c>
      <c r="ES25" s="528">
        <f t="shared" si="125"/>
        <v>0.74550000000000005</v>
      </c>
      <c r="ET25" s="528"/>
      <c r="EV25" s="460">
        <f t="shared" si="126"/>
        <v>745.5</v>
      </c>
      <c r="EW25" s="528">
        <f t="shared" si="89"/>
        <v>7.7024300432674241E-3</v>
      </c>
      <c r="EX25" s="528">
        <f t="shared" si="90"/>
        <v>0.30647540502200704</v>
      </c>
      <c r="EY25" s="528">
        <f t="shared" si="91"/>
        <v>0.39397156421421103</v>
      </c>
      <c r="EZ25" s="528">
        <f t="shared" si="92"/>
        <v>0.80375381025773052</v>
      </c>
      <c r="FA25" s="528">
        <f t="shared" si="93"/>
        <v>2.350000000000001E-2</v>
      </c>
      <c r="FB25" s="460">
        <f t="shared" si="127"/>
        <v>827.25381025773049</v>
      </c>
      <c r="FC25" s="173">
        <f t="shared" si="128"/>
        <v>2.1868422324351311</v>
      </c>
      <c r="FD25" s="5">
        <f t="shared" si="129"/>
        <v>4.8000000000000007</v>
      </c>
      <c r="FE25" s="173">
        <f t="shared" si="130"/>
        <v>0.68700563721288599</v>
      </c>
      <c r="FF25" s="5">
        <f t="shared" si="131"/>
        <v>68.700563721288603</v>
      </c>
      <c r="FI25" s="562">
        <f t="shared" si="94"/>
        <v>-50</v>
      </c>
      <c r="FJ25">
        <f t="shared" si="95"/>
        <v>-50</v>
      </c>
      <c r="FL25">
        <f t="shared" si="96"/>
        <v>0.36611822297106356</v>
      </c>
    </row>
    <row r="26" spans="5:168">
      <c r="E26" s="170">
        <v>21</v>
      </c>
      <c r="F26" s="217">
        <f t="shared" si="97"/>
        <v>1.26</v>
      </c>
      <c r="G26" s="217"/>
      <c r="H26" s="217">
        <f t="shared" si="0"/>
        <v>5.04</v>
      </c>
      <c r="I26" s="541">
        <f t="shared" si="1"/>
        <v>23.967312020558008</v>
      </c>
      <c r="J26" s="172">
        <f t="shared" si="2"/>
        <v>19.171806401235912</v>
      </c>
      <c r="K26" s="172">
        <f t="shared" si="3"/>
        <v>43.171806401235912</v>
      </c>
      <c r="L26" s="443"/>
      <c r="M26" s="217">
        <f t="shared" si="4"/>
        <v>0.44481994554270404</v>
      </c>
      <c r="N26" s="172">
        <f t="shared" si="5"/>
        <v>35.856962245465716</v>
      </c>
      <c r="O26" s="172">
        <f t="shared" si="98"/>
        <v>5.04</v>
      </c>
      <c r="P26" s="217">
        <f t="shared" si="6"/>
        <v>8.9642405613664291</v>
      </c>
      <c r="Q26" s="217">
        <f t="shared" si="7"/>
        <v>4</v>
      </c>
      <c r="R26" s="217">
        <f t="shared" si="8"/>
        <v>8.8842820231580077</v>
      </c>
      <c r="S26" s="172">
        <f t="shared" si="9"/>
        <v>57.485843544309809</v>
      </c>
      <c r="T26" s="172">
        <f t="shared" si="10"/>
        <v>4</v>
      </c>
      <c r="U26" s="217">
        <f t="shared" si="99"/>
        <v>1.1347669912526714</v>
      </c>
      <c r="V26" s="217">
        <f t="shared" si="11"/>
        <v>0.56815732541687924</v>
      </c>
      <c r="W26" s="217">
        <f t="shared" si="12"/>
        <v>0.71027234523681726</v>
      </c>
      <c r="X26" s="197">
        <f t="shared" si="13"/>
        <v>350</v>
      </c>
      <c r="Y26" s="443">
        <f t="shared" si="14"/>
        <v>350</v>
      </c>
      <c r="AA26" s="217">
        <f t="shared" si="15"/>
        <v>2.5360733390372885</v>
      </c>
      <c r="AB26" s="173">
        <f t="shared" si="16"/>
        <v>1.5873767672975043</v>
      </c>
      <c r="AC26" s="173">
        <f t="shared" si="17"/>
        <v>2.8179927289852791</v>
      </c>
      <c r="AD26" s="173"/>
      <c r="AE26" s="173">
        <f t="shared" si="18"/>
        <v>0.8345588133504499</v>
      </c>
      <c r="AF26" s="545">
        <f t="shared" si="100"/>
        <v>566.16740778649785</v>
      </c>
      <c r="AG26" s="528">
        <f t="shared" si="19"/>
        <v>0.77892155912708683</v>
      </c>
      <c r="AI26" s="173">
        <f t="shared" si="20"/>
        <v>1.6958098242979329</v>
      </c>
      <c r="AJ26" s="173">
        <f t="shared" si="21"/>
        <v>1.6958098242979329</v>
      </c>
      <c r="AK26" s="173">
        <f t="shared" si="22"/>
        <v>1.4685011044182217</v>
      </c>
      <c r="AM26" s="545">
        <f t="shared" si="23"/>
        <v>1260</v>
      </c>
      <c r="AN26" s="460">
        <f t="shared" si="24"/>
        <v>350</v>
      </c>
      <c r="AP26">
        <f t="shared" si="25"/>
        <v>1260</v>
      </c>
      <c r="AQ26" s="460">
        <f t="shared" si="26"/>
        <v>350</v>
      </c>
      <c r="AR26" s="460"/>
      <c r="AS26" s="5">
        <f t="shared" si="101"/>
        <v>2.8571428571428572</v>
      </c>
      <c r="AT26" s="5">
        <f t="shared" si="27"/>
        <v>0.84906133295716213</v>
      </c>
      <c r="AU26" s="5">
        <f t="shared" si="102"/>
        <v>2.0080815241856951</v>
      </c>
      <c r="AV26" s="5">
        <f t="shared" si="28"/>
        <v>1.0614397759755883</v>
      </c>
      <c r="AW26" s="173">
        <f t="shared" si="103"/>
        <v>0.29717146653500676</v>
      </c>
      <c r="AX26" s="173">
        <f t="shared" si="29"/>
        <v>6.0391190163893116</v>
      </c>
      <c r="AY26" s="173">
        <f t="shared" si="30"/>
        <v>2.3837270636936885</v>
      </c>
      <c r="AZ26" s="173">
        <f t="shared" si="104"/>
        <v>2.5334775563740233</v>
      </c>
      <c r="BA26" s="460">
        <f t="shared" si="31"/>
        <v>26.74543198815061</v>
      </c>
      <c r="BB26" s="5">
        <f t="shared" si="32"/>
        <v>0.35189354543995954</v>
      </c>
      <c r="BC26" s="5"/>
      <c r="BD26" s="173">
        <f t="shared" si="105"/>
        <v>0.53372810607932686</v>
      </c>
      <c r="BE26" s="173">
        <f t="shared" si="33"/>
        <v>3.2832292124498896</v>
      </c>
      <c r="BF26" s="173"/>
      <c r="BG26" s="528">
        <f t="shared" si="34"/>
        <v>3.4753614328721068E-3</v>
      </c>
      <c r="BH26" s="528">
        <f t="shared" si="35"/>
        <v>0.48044832562062162</v>
      </c>
      <c r="BI26" s="528">
        <f t="shared" si="36"/>
        <v>0.20971398017988255</v>
      </c>
      <c r="BJ26" s="528">
        <f t="shared" si="37"/>
        <v>6.5233170378102792E-2</v>
      </c>
      <c r="BK26">
        <f t="shared" si="38"/>
        <v>1.0785290409251103E-2</v>
      </c>
      <c r="BL26" s="460">
        <f t="shared" si="106"/>
        <v>220.49927058913366</v>
      </c>
      <c r="BM26" s="528">
        <f t="shared" si="39"/>
        <v>0.5505498192615077</v>
      </c>
      <c r="BN26" s="460">
        <f t="shared" si="107"/>
        <v>550.54981926150765</v>
      </c>
      <c r="BO26" s="528">
        <f t="shared" si="108"/>
        <v>0.78277499999999989</v>
      </c>
      <c r="BP26" s="528"/>
      <c r="BR26" s="460">
        <f t="shared" si="109"/>
        <v>782.77499999999986</v>
      </c>
      <c r="BS26" s="528">
        <f t="shared" si="40"/>
        <v>8.545970736570754E-3</v>
      </c>
      <c r="BT26" s="528">
        <f t="shared" si="41"/>
        <v>0.32338782184452969</v>
      </c>
      <c r="BU26" s="528">
        <f t="shared" si="42"/>
        <v>7.5600000000000001E-2</v>
      </c>
      <c r="BV26" s="528">
        <f t="shared" si="43"/>
        <v>0.50048821901494789</v>
      </c>
      <c r="BW26" s="528">
        <f t="shared" si="44"/>
        <v>2.5162995901622128E-2</v>
      </c>
      <c r="BX26" s="460">
        <f t="shared" si="110"/>
        <v>525.65121491656998</v>
      </c>
      <c r="BY26" s="173">
        <f t="shared" si="45"/>
        <v>2.0794753047672114</v>
      </c>
      <c r="BZ26" s="5">
        <f t="shared" si="111"/>
        <v>5.04</v>
      </c>
      <c r="CA26" s="173">
        <f t="shared" si="112"/>
        <v>0.70791733719831962</v>
      </c>
      <c r="CB26" s="5">
        <f t="shared" si="113"/>
        <v>70.791733719831967</v>
      </c>
      <c r="CE26" s="562">
        <f t="shared" si="46"/>
        <v>-50</v>
      </c>
      <c r="CF26">
        <f t="shared" si="47"/>
        <v>-50</v>
      </c>
      <c r="CG26" s="173">
        <f t="shared" si="48"/>
        <v>0.40666325135177878</v>
      </c>
      <c r="CI26" s="170">
        <v>21</v>
      </c>
      <c r="CJ26" s="217">
        <f t="shared" si="114"/>
        <v>1.26</v>
      </c>
      <c r="CK26" s="217"/>
      <c r="CL26" s="217">
        <f t="shared" si="49"/>
        <v>5.04</v>
      </c>
      <c r="CM26" s="541">
        <f t="shared" si="50"/>
        <v>24</v>
      </c>
      <c r="CN26" s="172">
        <f t="shared" si="51"/>
        <v>18.8</v>
      </c>
      <c r="CO26" s="443">
        <f t="shared" si="52"/>
        <v>42.8</v>
      </c>
      <c r="CP26" s="443"/>
      <c r="CQ26" s="217">
        <f t="shared" si="53"/>
        <v>0.43925233644859818</v>
      </c>
      <c r="CR26" s="172">
        <f t="shared" si="54"/>
        <v>35.456448598130848</v>
      </c>
      <c r="CS26" s="172">
        <f t="shared" si="115"/>
        <v>5.04</v>
      </c>
      <c r="CT26" s="217">
        <f t="shared" si="55"/>
        <v>8.864112149532712</v>
      </c>
      <c r="CU26" s="217">
        <f t="shared" si="56"/>
        <v>4</v>
      </c>
      <c r="CV26" s="217">
        <f t="shared" si="57"/>
        <v>8.7850467289719631</v>
      </c>
      <c r="CW26" s="172">
        <f t="shared" si="58"/>
        <v>57.564148986712311</v>
      </c>
      <c r="CX26" s="172">
        <f t="shared" si="59"/>
        <v>4</v>
      </c>
      <c r="CY26" s="217">
        <f t="shared" si="60"/>
        <v>0.95617021276595726</v>
      </c>
      <c r="CZ26" s="217">
        <f t="shared" si="61"/>
        <v>0.47808510638297863</v>
      </c>
      <c r="DA26" s="217">
        <f t="shared" si="62"/>
        <v>0.61032141240380244</v>
      </c>
      <c r="DB26" s="197">
        <f t="shared" si="63"/>
        <v>350</v>
      </c>
      <c r="DC26" s="443">
        <f t="shared" si="116"/>
        <v>350</v>
      </c>
      <c r="DE26" s="217">
        <f t="shared" si="64"/>
        <v>2.5100133511348464</v>
      </c>
      <c r="DF26" s="173">
        <f t="shared" si="65"/>
        <v>1.6021361815754336</v>
      </c>
      <c r="DG26" s="173">
        <f t="shared" si="66"/>
        <v>2.8149682442633783</v>
      </c>
      <c r="DH26" s="173"/>
      <c r="DI26" s="173">
        <f t="shared" si="67"/>
        <v>0.85106382978723416</v>
      </c>
      <c r="DJ26" s="545">
        <f t="shared" si="117"/>
        <v>555.18749999999989</v>
      </c>
      <c r="DK26" s="528">
        <f t="shared" si="68"/>
        <v>0.79432624113475192</v>
      </c>
      <c r="DM26" s="173">
        <f t="shared" si="69"/>
        <v>1.6792855623746665</v>
      </c>
      <c r="DN26" s="173">
        <f t="shared" si="70"/>
        <v>1.6792855623746665</v>
      </c>
      <c r="DO26" s="173">
        <f t="shared" si="71"/>
        <v>1.4562609104009874</v>
      </c>
      <c r="DQ26" s="545">
        <f t="shared" si="72"/>
        <v>1260</v>
      </c>
      <c r="DR26" s="460">
        <f t="shared" si="73"/>
        <v>350</v>
      </c>
      <c r="DT26">
        <f t="shared" si="74"/>
        <v>1260</v>
      </c>
      <c r="DU26" s="460">
        <f t="shared" si="75"/>
        <v>350</v>
      </c>
      <c r="DV26" s="460"/>
      <c r="DW26" s="5">
        <f t="shared" si="118"/>
        <v>2.8571428571428572</v>
      </c>
      <c r="DX26" s="5">
        <f t="shared" si="76"/>
        <v>0.83964278118733326</v>
      </c>
      <c r="DY26" s="5">
        <f t="shared" si="119"/>
        <v>2.0175000759555237</v>
      </c>
      <c r="DZ26" s="5">
        <f t="shared" si="77"/>
        <v>1.0718844015157445</v>
      </c>
      <c r="EA26" s="173">
        <f t="shared" si="120"/>
        <v>0.29387497341556662</v>
      </c>
      <c r="EB26" s="173">
        <f t="shared" si="78"/>
        <v>5.9220000000000006</v>
      </c>
      <c r="EC26" s="173">
        <f t="shared" si="79"/>
        <v>2.3715711247493334</v>
      </c>
      <c r="ED26" s="173">
        <f t="shared" si="121"/>
        <v>2.4970788091484857</v>
      </c>
      <c r="EE26" s="460">
        <f t="shared" si="80"/>
        <v>26.448747607400996</v>
      </c>
      <c r="EF26" s="5">
        <f t="shared" si="81"/>
        <v>0.35306251329221661</v>
      </c>
      <c r="EG26" s="5"/>
      <c r="EH26" s="173">
        <f t="shared" si="122"/>
        <v>0.52558774244709383</v>
      </c>
      <c r="EI26" s="173">
        <f t="shared" si="82"/>
        <v>3.2588526201456056</v>
      </c>
      <c r="EJ26" s="173"/>
      <c r="EK26" s="528">
        <f t="shared" si="83"/>
        <v>3.3701581951297182E-3</v>
      </c>
      <c r="EL26" s="528">
        <f t="shared" si="84"/>
        <v>0.50311395448745011</v>
      </c>
      <c r="EM26" s="528">
        <f t="shared" si="85"/>
        <v>4.3749999999999997E-2</v>
      </c>
      <c r="EN26" s="528">
        <f t="shared" si="86"/>
        <v>6.4114399999999988E-2</v>
      </c>
      <c r="EO26">
        <f t="shared" si="87"/>
        <v>1.0800000000000001E-2</v>
      </c>
      <c r="EP26" s="460">
        <f t="shared" si="123"/>
        <v>54.550000000000004</v>
      </c>
      <c r="EQ26" s="528">
        <f t="shared" si="88"/>
        <v>0.62656017319528357</v>
      </c>
      <c r="ER26" s="460">
        <f t="shared" si="124"/>
        <v>626.5601731952836</v>
      </c>
      <c r="ES26" s="528">
        <f t="shared" si="125"/>
        <v>0.78277499999999989</v>
      </c>
      <c r="ET26" s="528"/>
      <c r="EV26" s="460">
        <f t="shared" si="126"/>
        <v>782.77499999999986</v>
      </c>
      <c r="EW26" s="528">
        <f t="shared" si="89"/>
        <v>8.2872742503189798E-3</v>
      </c>
      <c r="EX26" s="528">
        <f t="shared" si="90"/>
        <v>0.3186036119948964</v>
      </c>
      <c r="EY26" s="528">
        <f t="shared" si="91"/>
        <v>0.41874679938905418</v>
      </c>
      <c r="EZ26" s="528">
        <f t="shared" si="92"/>
        <v>0.84622125973753293</v>
      </c>
      <c r="FA26" s="528">
        <f t="shared" si="93"/>
        <v>2.4674999999999999E-2</v>
      </c>
      <c r="FB26" s="460">
        <f t="shared" si="127"/>
        <v>870.89625973753289</v>
      </c>
      <c r="FC26" s="173">
        <f t="shared" si="128"/>
        <v>2.2802314329328159</v>
      </c>
      <c r="FD26" s="5">
        <f t="shared" si="129"/>
        <v>5.04</v>
      </c>
      <c r="FE26" s="173">
        <f t="shared" si="130"/>
        <v>0.68850282210008595</v>
      </c>
      <c r="FF26" s="5">
        <f t="shared" si="131"/>
        <v>68.850282210008601</v>
      </c>
      <c r="FI26" s="562">
        <f t="shared" si="94"/>
        <v>-50</v>
      </c>
      <c r="FJ26">
        <f t="shared" si="95"/>
        <v>-50</v>
      </c>
      <c r="FL26">
        <f t="shared" si="96"/>
        <v>0.37515954053051059</v>
      </c>
    </row>
    <row r="27" spans="5:168">
      <c r="E27" s="170">
        <v>22</v>
      </c>
      <c r="F27" s="217">
        <f t="shared" si="97"/>
        <v>1.32</v>
      </c>
      <c r="G27" s="217"/>
      <c r="H27" s="217">
        <f t="shared" si="0"/>
        <v>5.28</v>
      </c>
      <c r="I27" s="541">
        <f t="shared" si="1"/>
        <v>23.966542786385336</v>
      </c>
      <c r="J27" s="172">
        <f t="shared" si="2"/>
        <v>19.180555984242606</v>
      </c>
      <c r="K27" s="172">
        <f t="shared" si="3"/>
        <v>43.180555984242602</v>
      </c>
      <c r="L27" s="443"/>
      <c r="M27" s="217">
        <f t="shared" si="4"/>
        <v>0.44494981584691684</v>
      </c>
      <c r="N27" s="172">
        <f t="shared" si="5"/>
        <v>35.866279928276711</v>
      </c>
      <c r="O27" s="172">
        <f t="shared" si="98"/>
        <v>5.28</v>
      </c>
      <c r="P27" s="217">
        <f t="shared" si="6"/>
        <v>8.9665699820691778</v>
      </c>
      <c r="Q27" s="217">
        <f t="shared" si="7"/>
        <v>4</v>
      </c>
      <c r="R27" s="217">
        <f t="shared" si="8"/>
        <v>8.8865906660745075</v>
      </c>
      <c r="S27" s="172">
        <f t="shared" si="9"/>
        <v>54.605772569920994</v>
      </c>
      <c r="T27" s="172">
        <f t="shared" si="10"/>
        <v>4</v>
      </c>
      <c r="U27" s="217">
        <f t="shared" si="99"/>
        <v>1.1890816701683529</v>
      </c>
      <c r="V27" s="217">
        <f t="shared" si="11"/>
        <v>0.59537081210252851</v>
      </c>
      <c r="W27" s="217">
        <f t="shared" si="12"/>
        <v>0.74392942799690598</v>
      </c>
      <c r="X27" s="197">
        <f t="shared" si="13"/>
        <v>350</v>
      </c>
      <c r="Y27" s="443">
        <f t="shared" si="14"/>
        <v>350</v>
      </c>
      <c r="AA27" s="217">
        <f t="shared" si="15"/>
        <v>2.5366800503438829</v>
      </c>
      <c r="AB27" s="173">
        <f t="shared" si="16"/>
        <v>1.5870322335355707</v>
      </c>
      <c r="AC27" s="173">
        <f t="shared" si="17"/>
        <v>2.8180551042436637</v>
      </c>
      <c r="AD27" s="173"/>
      <c r="AE27" s="173">
        <f t="shared" si="18"/>
        <v>0.83417811314460732</v>
      </c>
      <c r="AF27" s="545">
        <f t="shared" si="100"/>
        <v>593.39845076250538</v>
      </c>
      <c r="AG27" s="528">
        <f t="shared" si="19"/>
        <v>0.77856623893496701</v>
      </c>
      <c r="AI27" s="173">
        <f t="shared" si="20"/>
        <v>1.7361127178131059</v>
      </c>
      <c r="AJ27" s="173">
        <f t="shared" si="21"/>
        <v>1.7361127178131059</v>
      </c>
      <c r="AK27" s="173">
        <f t="shared" si="22"/>
        <v>1.4983550996146462</v>
      </c>
      <c r="AM27" s="545">
        <f t="shared" si="23"/>
        <v>1320</v>
      </c>
      <c r="AN27" s="460">
        <f t="shared" si="24"/>
        <v>350</v>
      </c>
      <c r="AP27">
        <f t="shared" si="25"/>
        <v>1320</v>
      </c>
      <c r="AQ27" s="460">
        <f t="shared" si="26"/>
        <v>350</v>
      </c>
      <c r="AR27" s="460"/>
      <c r="AS27" s="5">
        <f t="shared" si="101"/>
        <v>2.8571428571428572</v>
      </c>
      <c r="AT27" s="5">
        <f t="shared" si="27"/>
        <v>0.86926816268185614</v>
      </c>
      <c r="AU27" s="5">
        <f t="shared" si="102"/>
        <v>1.9878746944610011</v>
      </c>
      <c r="AV27" s="5">
        <f t="shared" si="28"/>
        <v>1.0861704233637695</v>
      </c>
      <c r="AW27" s="173">
        <f t="shared" si="103"/>
        <v>0.30424385693864964</v>
      </c>
      <c r="AX27" s="173">
        <f t="shared" si="29"/>
        <v>6.3295834748000592</v>
      </c>
      <c r="AY27" s="173">
        <f t="shared" si="30"/>
        <v>2.4158221769308104</v>
      </c>
      <c r="AZ27" s="173">
        <f t="shared" si="104"/>
        <v>2.6200535516407504</v>
      </c>
      <c r="BA27" s="460">
        <f t="shared" si="31"/>
        <v>28.685849368501252</v>
      </c>
      <c r="BB27" s="5">
        <f t="shared" si="32"/>
        <v>0.36495245616306032</v>
      </c>
      <c r="BC27" s="5"/>
      <c r="BD27" s="173">
        <f t="shared" si="105"/>
        <v>0.55287658848370724</v>
      </c>
      <c r="BE27" s="173">
        <f t="shared" si="33"/>
        <v>3.3443044539812354</v>
      </c>
      <c r="BF27" s="173"/>
      <c r="BG27" s="528">
        <f t="shared" si="34"/>
        <v>3.7292047695392672E-3</v>
      </c>
      <c r="BH27" s="528">
        <f t="shared" si="35"/>
        <v>0.4919664251675539</v>
      </c>
      <c r="BI27" s="528">
        <f t="shared" si="36"/>
        <v>0.20970724938087168</v>
      </c>
      <c r="BJ27" s="528">
        <f t="shared" si="37"/>
        <v>6.5259614528790824E-2</v>
      </c>
      <c r="BK27">
        <f t="shared" si="38"/>
        <v>1.0784944253873401E-2</v>
      </c>
      <c r="BL27" s="460">
        <f t="shared" si="106"/>
        <v>220.49219363474509</v>
      </c>
      <c r="BM27" s="528">
        <f t="shared" si="39"/>
        <v>0.56246050297441152</v>
      </c>
      <c r="BN27" s="460">
        <f t="shared" si="107"/>
        <v>562.4605029744115</v>
      </c>
      <c r="BO27" s="528">
        <f t="shared" si="108"/>
        <v>0.82004999999999995</v>
      </c>
      <c r="BP27" s="528"/>
      <c r="BR27" s="460">
        <f t="shared" si="109"/>
        <v>820.05</v>
      </c>
      <c r="BS27" s="528">
        <f t="shared" si="40"/>
        <v>9.1701756628014778E-3</v>
      </c>
      <c r="BT27" s="528">
        <f t="shared" si="41"/>
        <v>0.33553116842756187</v>
      </c>
      <c r="BU27" s="528">
        <f t="shared" si="42"/>
        <v>7.9200000000000007E-2</v>
      </c>
      <c r="BV27" s="528">
        <f t="shared" si="43"/>
        <v>0.52099672847789147</v>
      </c>
      <c r="BW27" s="528">
        <f t="shared" si="44"/>
        <v>2.6373264478333582E-2</v>
      </c>
      <c r="BX27" s="460">
        <f t="shared" si="110"/>
        <v>547.36999295622502</v>
      </c>
      <c r="BY27" s="173">
        <f>SUM(BM27,BO27:BQ27,BV27, BW27)+BK27+BI27</f>
        <v>2.1503726895653816</v>
      </c>
      <c r="BZ27" s="5">
        <f t="shared" si="111"/>
        <v>5.28</v>
      </c>
      <c r="CA27" s="173">
        <f t="shared" si="112"/>
        <v>0.71059692704442778</v>
      </c>
      <c r="CB27" s="5">
        <f t="shared" si="113"/>
        <v>71.059692704442782</v>
      </c>
      <c r="CE27" s="562">
        <f t="shared" si="46"/>
        <v>-50</v>
      </c>
      <c r="CF27">
        <f t="shared" si="47"/>
        <v>-50</v>
      </c>
      <c r="CG27" s="173">
        <f t="shared" si="48"/>
        <v>0.41623310776534828</v>
      </c>
      <c r="CI27" s="170">
        <v>22</v>
      </c>
      <c r="CJ27" s="217">
        <f t="shared" si="114"/>
        <v>1.32</v>
      </c>
      <c r="CK27" s="217"/>
      <c r="CL27" s="217">
        <f t="shared" si="49"/>
        <v>5.28</v>
      </c>
      <c r="CM27" s="541">
        <f t="shared" si="50"/>
        <v>24</v>
      </c>
      <c r="CN27" s="172">
        <f t="shared" si="51"/>
        <v>18.8</v>
      </c>
      <c r="CO27" s="443">
        <f t="shared" si="52"/>
        <v>42.8</v>
      </c>
      <c r="CP27" s="443"/>
      <c r="CQ27" s="217">
        <f t="shared" si="53"/>
        <v>0.43925233644859818</v>
      </c>
      <c r="CR27" s="172">
        <f t="shared" si="54"/>
        <v>35.456448598130848</v>
      </c>
      <c r="CS27" s="172">
        <f t="shared" si="115"/>
        <v>5.28</v>
      </c>
      <c r="CT27" s="217">
        <f t="shared" si="55"/>
        <v>8.864112149532712</v>
      </c>
      <c r="CU27" s="217">
        <f t="shared" si="56"/>
        <v>4</v>
      </c>
      <c r="CV27" s="217">
        <f t="shared" si="57"/>
        <v>8.7850467289719631</v>
      </c>
      <c r="CW27" s="172">
        <f t="shared" si="58"/>
        <v>54.681897660719329</v>
      </c>
      <c r="CX27" s="172">
        <f t="shared" si="59"/>
        <v>4</v>
      </c>
      <c r="CY27" s="217">
        <f t="shared" si="60"/>
        <v>1.0017021276595743</v>
      </c>
      <c r="CZ27" s="217">
        <f t="shared" si="61"/>
        <v>0.50085106382978728</v>
      </c>
      <c r="DA27" s="217">
        <f t="shared" si="62"/>
        <v>0.63938433680398365</v>
      </c>
      <c r="DB27" s="197">
        <f t="shared" si="63"/>
        <v>350</v>
      </c>
      <c r="DC27" s="443">
        <f t="shared" si="116"/>
        <v>350</v>
      </c>
      <c r="DE27" s="217">
        <f t="shared" si="64"/>
        <v>2.5100133511348464</v>
      </c>
      <c r="DF27" s="173">
        <f t="shared" si="65"/>
        <v>1.6021361815754336</v>
      </c>
      <c r="DG27" s="173">
        <f t="shared" si="66"/>
        <v>2.8149682442633783</v>
      </c>
      <c r="DH27" s="173"/>
      <c r="DI27" s="173">
        <f t="shared" si="67"/>
        <v>0.85106382978723416</v>
      </c>
      <c r="DJ27" s="545">
        <f t="shared" si="117"/>
        <v>581.62499999999989</v>
      </c>
      <c r="DK27" s="528">
        <f t="shared" si="68"/>
        <v>0.79432624113475192</v>
      </c>
      <c r="DM27" s="173">
        <f t="shared" si="69"/>
        <v>1.7188035705937181</v>
      </c>
      <c r="DN27" s="173">
        <f t="shared" si="70"/>
        <v>1.7188035705937181</v>
      </c>
      <c r="DO27" s="173">
        <f t="shared" si="71"/>
        <v>1.4855335090817663</v>
      </c>
      <c r="DQ27" s="545">
        <f t="shared" si="72"/>
        <v>1320</v>
      </c>
      <c r="DR27" s="460">
        <f t="shared" si="73"/>
        <v>350</v>
      </c>
      <c r="DT27">
        <f t="shared" si="74"/>
        <v>1320</v>
      </c>
      <c r="DU27" s="460">
        <f t="shared" si="75"/>
        <v>350</v>
      </c>
      <c r="DV27" s="460"/>
      <c r="DW27" s="5">
        <f t="shared" si="118"/>
        <v>2.8571428571428572</v>
      </c>
      <c r="DX27" s="5">
        <f t="shared" si="76"/>
        <v>0.85940178529685907</v>
      </c>
      <c r="DY27" s="5">
        <f t="shared" si="119"/>
        <v>1.997741071845998</v>
      </c>
      <c r="DZ27" s="5">
        <f t="shared" si="77"/>
        <v>1.0971086620810968</v>
      </c>
      <c r="EA27" s="173">
        <f t="shared" si="120"/>
        <v>0.30079062485390068</v>
      </c>
      <c r="EB27" s="173">
        <f t="shared" si="78"/>
        <v>6.2040000000000015</v>
      </c>
      <c r="EC27" s="173">
        <f t="shared" si="79"/>
        <v>2.403607141187436</v>
      </c>
      <c r="ED27" s="173">
        <f t="shared" si="121"/>
        <v>2.5811206389306558</v>
      </c>
      <c r="EE27" s="460">
        <f t="shared" si="80"/>
        <v>28.360258914796351</v>
      </c>
      <c r="EF27" s="5">
        <f t="shared" si="81"/>
        <v>0.36625252983843293</v>
      </c>
      <c r="EG27" s="5"/>
      <c r="EH27" s="173">
        <f t="shared" si="122"/>
        <v>0.5442491604638916</v>
      </c>
      <c r="EI27" s="173">
        <f t="shared" si="82"/>
        <v>3.3191679827239935</v>
      </c>
      <c r="EJ27" s="173"/>
      <c r="EK27" s="528">
        <f t="shared" si="83"/>
        <v>3.61372721372094E-3</v>
      </c>
      <c r="EL27" s="528">
        <f t="shared" si="84"/>
        <v>0.51495354974987795</v>
      </c>
      <c r="EM27" s="528">
        <f t="shared" si="85"/>
        <v>4.3749999999999997E-2</v>
      </c>
      <c r="EN27" s="528">
        <f t="shared" si="86"/>
        <v>6.4114399999999988E-2</v>
      </c>
      <c r="EO27">
        <f t="shared" si="87"/>
        <v>1.0800000000000001E-2</v>
      </c>
      <c r="EP27" s="460">
        <f t="shared" si="123"/>
        <v>54.550000000000004</v>
      </c>
      <c r="EQ27" s="528">
        <f t="shared" si="88"/>
        <v>0.63875583285756576</v>
      </c>
      <c r="ER27" s="460">
        <f t="shared" si="124"/>
        <v>638.75583285756579</v>
      </c>
      <c r="ES27" s="528">
        <f t="shared" si="125"/>
        <v>0.82004999999999995</v>
      </c>
      <c r="ET27" s="528"/>
      <c r="EV27" s="460">
        <f t="shared" si="126"/>
        <v>820.05</v>
      </c>
      <c r="EW27" s="528">
        <f t="shared" si="89"/>
        <v>8.8862144599695242E-3</v>
      </c>
      <c r="EX27" s="528">
        <f t="shared" si="90"/>
        <v>0.33050628292620193</v>
      </c>
      <c r="EY27" s="528">
        <f t="shared" si="91"/>
        <v>0.44381883922396348</v>
      </c>
      <c r="EZ27" s="528">
        <f t="shared" si="92"/>
        <v>0.88879763592912919</v>
      </c>
      <c r="FA27" s="528">
        <f t="shared" si="93"/>
        <v>2.5850000000000008E-2</v>
      </c>
      <c r="FB27" s="460">
        <f t="shared" si="127"/>
        <v>914.64763592912925</v>
      </c>
      <c r="FC27" s="173">
        <f t="shared" si="128"/>
        <v>2.3734534687866953</v>
      </c>
      <c r="FD27" s="5">
        <f t="shared" si="129"/>
        <v>5.28</v>
      </c>
      <c r="FE27" s="173">
        <f t="shared" si="130"/>
        <v>0.68988464116670722</v>
      </c>
      <c r="FF27" s="5">
        <f t="shared" si="131"/>
        <v>68.988464116670727</v>
      </c>
      <c r="FI27" s="562">
        <f t="shared" si="94"/>
        <v>-50</v>
      </c>
      <c r="FJ27">
        <f t="shared" si="95"/>
        <v>-50</v>
      </c>
      <c r="FL27">
        <f t="shared" si="96"/>
        <v>0.38398803172838381</v>
      </c>
    </row>
    <row r="28" spans="5:168">
      <c r="E28" s="170">
        <v>23</v>
      </c>
      <c r="F28" s="217">
        <f t="shared" si="97"/>
        <v>1.3800000000000001</v>
      </c>
      <c r="G28" s="217"/>
      <c r="H28" s="217">
        <f t="shared" si="0"/>
        <v>5.5200000000000005</v>
      </c>
      <c r="I28" s="541">
        <f t="shared" si="1"/>
        <v>23.965790845001457</v>
      </c>
      <c r="J28" s="172">
        <f t="shared" si="2"/>
        <v>19.189108872021333</v>
      </c>
      <c r="K28" s="172">
        <f t="shared" si="3"/>
        <v>43.189108872021336</v>
      </c>
      <c r="L28" s="443"/>
      <c r="M28" s="217">
        <f t="shared" si="4"/>
        <v>0.4450767159379394</v>
      </c>
      <c r="N28" s="172">
        <f t="shared" si="5"/>
        <v>35.875383411687068</v>
      </c>
      <c r="O28" s="172">
        <f t="shared" si="98"/>
        <v>5.5200000000000005</v>
      </c>
      <c r="P28" s="217">
        <f t="shared" si="6"/>
        <v>8.9688458529217669</v>
      </c>
      <c r="Q28" s="217">
        <f t="shared" si="7"/>
        <v>4</v>
      </c>
      <c r="R28" s="217">
        <f t="shared" si="8"/>
        <v>8.888846236790652</v>
      </c>
      <c r="S28" s="172">
        <f t="shared" si="9"/>
        <v>51.97655419076137</v>
      </c>
      <c r="T28" s="172">
        <f t="shared" si="10"/>
        <v>4</v>
      </c>
      <c r="U28" s="217">
        <f t="shared" si="99"/>
        <v>1.2434151166791425</v>
      </c>
      <c r="V28" s="217">
        <f t="shared" si="11"/>
        <v>0.62259499369960403</v>
      </c>
      <c r="W28" s="217">
        <f t="shared" si="12"/>
        <v>0.77757552472409164</v>
      </c>
      <c r="X28" s="197">
        <f t="shared" si="13"/>
        <v>350</v>
      </c>
      <c r="Y28" s="443">
        <f t="shared" si="14"/>
        <v>350</v>
      </c>
      <c r="AA28" s="217">
        <f t="shared" si="15"/>
        <v>2.5372728337993991</v>
      </c>
      <c r="AB28" s="173">
        <f t="shared" si="16"/>
        <v>1.5866955682338337</v>
      </c>
      <c r="AC28" s="173">
        <f t="shared" si="17"/>
        <v>2.8181156925527251</v>
      </c>
      <c r="AD28" s="173"/>
      <c r="AE28" s="173">
        <f t="shared" si="18"/>
        <v>0.83380630683318457</v>
      </c>
      <c r="AF28" s="545">
        <f t="shared" si="100"/>
        <v>620.64774007943981</v>
      </c>
      <c r="AG28" s="528">
        <f t="shared" si="19"/>
        <v>0.7782192197109723</v>
      </c>
      <c r="AI28" s="173">
        <f t="shared" si="20"/>
        <v>1.775527092878721</v>
      </c>
      <c r="AJ28" s="173">
        <f t="shared" si="21"/>
        <v>1.775527092878721</v>
      </c>
      <c r="AK28" s="173">
        <f t="shared" si="22"/>
        <v>1.5275509329965833</v>
      </c>
      <c r="AM28" s="545">
        <f t="shared" si="23"/>
        <v>1380.0000000000002</v>
      </c>
      <c r="AN28" s="460">
        <f t="shared" si="24"/>
        <v>350</v>
      </c>
      <c r="AP28">
        <f t="shared" si="25"/>
        <v>1380.0000000000002</v>
      </c>
      <c r="AQ28" s="460">
        <f t="shared" si="26"/>
        <v>350</v>
      </c>
      <c r="AR28" s="460"/>
      <c r="AS28" s="5">
        <f t="shared" si="101"/>
        <v>2.8571428571428572</v>
      </c>
      <c r="AT28" s="5">
        <f t="shared" si="27"/>
        <v>0.88903075439250567</v>
      </c>
      <c r="AU28" s="5">
        <f t="shared" si="102"/>
        <v>1.9681121027503514</v>
      </c>
      <c r="AV28" s="5">
        <f t="shared" si="28"/>
        <v>1.1103342659966002</v>
      </c>
      <c r="AW28" s="173">
        <f t="shared" si="103"/>
        <v>0.31116076403737697</v>
      </c>
      <c r="AX28" s="173">
        <f t="shared" si="29"/>
        <v>6.6202425608473616</v>
      </c>
      <c r="AY28" s="173">
        <f t="shared" si="30"/>
        <v>2.4461054521790304</v>
      </c>
      <c r="AZ28" s="173">
        <f t="shared" si="104"/>
        <v>2.7064420117088339</v>
      </c>
      <c r="BA28" s="460">
        <f t="shared" si="31"/>
        <v>30.67156102654145</v>
      </c>
      <c r="BB28" s="5">
        <f t="shared" si="32"/>
        <v>0.37775993837231814</v>
      </c>
      <c r="BC28" s="5"/>
      <c r="BD28" s="173">
        <f t="shared" si="105"/>
        <v>0.57181967039596515</v>
      </c>
      <c r="BE28" s="173">
        <f t="shared" si="33"/>
        <v>3.4031853715334495</v>
      </c>
      <c r="BF28" s="173"/>
      <c r="BG28" s="528">
        <f t="shared" si="34"/>
        <v>3.9891283725113523E-3</v>
      </c>
      <c r="BH28" s="528">
        <f t="shared" si="35"/>
        <v>0.50323502853462965</v>
      </c>
      <c r="BI28" s="528">
        <f t="shared" si="36"/>
        <v>0.20970066989376274</v>
      </c>
      <c r="BJ28" s="528">
        <f t="shared" si="37"/>
        <v>6.5285469380575931E-2</v>
      </c>
      <c r="BK28">
        <f t="shared" si="38"/>
        <v>1.0784605880250656E-2</v>
      </c>
      <c r="BL28" s="460">
        <f t="shared" si="106"/>
        <v>220.48527577401339</v>
      </c>
      <c r="BM28" s="528">
        <f t="shared" si="39"/>
        <v>0.57413086188275042</v>
      </c>
      <c r="BN28" s="460">
        <f t="shared" si="107"/>
        <v>574.13086188275042</v>
      </c>
      <c r="BO28" s="528">
        <f t="shared" si="108"/>
        <v>0.85732499999999989</v>
      </c>
      <c r="BP28" s="528"/>
      <c r="BR28" s="460">
        <f t="shared" si="109"/>
        <v>857.32499999999993</v>
      </c>
      <c r="BS28" s="528">
        <f t="shared" si="40"/>
        <v>9.8093320635525075E-3</v>
      </c>
      <c r="BT28" s="528">
        <f t="shared" si="41"/>
        <v>0.34745012019057786</v>
      </c>
      <c r="BU28" s="528">
        <f t="shared" si="42"/>
        <v>8.2799999999999999E-2</v>
      </c>
      <c r="BV28" s="528">
        <f t="shared" si="43"/>
        <v>0.54127167455283542</v>
      </c>
      <c r="BW28" s="528">
        <f t="shared" si="44"/>
        <v>2.7584344003530673E-2</v>
      </c>
      <c r="BX28" s="460">
        <f t="shared" si="110"/>
        <v>568.85601855636617</v>
      </c>
      <c r="BY28" s="173">
        <f t="shared" si="45"/>
        <v>2.2207971562131297</v>
      </c>
      <c r="BZ28" s="5">
        <f t="shared" si="111"/>
        <v>5.5200000000000005</v>
      </c>
      <c r="CA28" s="173">
        <f t="shared" si="112"/>
        <v>0.71310485065086449</v>
      </c>
      <c r="CB28" s="5">
        <f t="shared" si="113"/>
        <v>71.310485065086453</v>
      </c>
      <c r="CE28" s="562">
        <f t="shared" si="46"/>
        <v>-50</v>
      </c>
      <c r="CF28">
        <f t="shared" si="47"/>
        <v>-50</v>
      </c>
      <c r="CG28" s="173">
        <f t="shared" si="48"/>
        <v>0.42558782877333329</v>
      </c>
      <c r="CI28" s="170">
        <v>23</v>
      </c>
      <c r="CJ28" s="217">
        <f t="shared" si="114"/>
        <v>1.3800000000000001</v>
      </c>
      <c r="CK28" s="217"/>
      <c r="CL28" s="217">
        <f t="shared" si="49"/>
        <v>5.5200000000000005</v>
      </c>
      <c r="CM28" s="541">
        <f t="shared" si="50"/>
        <v>24</v>
      </c>
      <c r="CN28" s="172">
        <f t="shared" si="51"/>
        <v>18.8</v>
      </c>
      <c r="CO28" s="443">
        <f t="shared" si="52"/>
        <v>42.8</v>
      </c>
      <c r="CP28" s="443"/>
      <c r="CQ28" s="217">
        <f t="shared" si="53"/>
        <v>0.43925233644859818</v>
      </c>
      <c r="CR28" s="172">
        <f t="shared" si="54"/>
        <v>35.456448598130848</v>
      </c>
      <c r="CS28" s="172">
        <f t="shared" si="115"/>
        <v>5.5200000000000005</v>
      </c>
      <c r="CT28" s="217">
        <f t="shared" si="55"/>
        <v>8.864112149532712</v>
      </c>
      <c r="CU28" s="217">
        <f t="shared" si="56"/>
        <v>4</v>
      </c>
      <c r="CV28" s="217">
        <f t="shared" si="57"/>
        <v>8.7850467289719631</v>
      </c>
      <c r="CW28" s="172">
        <f t="shared" si="58"/>
        <v>52.050634388299969</v>
      </c>
      <c r="CX28" s="172">
        <f t="shared" si="59"/>
        <v>4</v>
      </c>
      <c r="CY28" s="217">
        <f t="shared" si="60"/>
        <v>1.0472340425531914</v>
      </c>
      <c r="CZ28" s="217">
        <f t="shared" si="61"/>
        <v>0.52361702127659571</v>
      </c>
      <c r="DA28" s="217">
        <f t="shared" si="62"/>
        <v>0.66844726120416476</v>
      </c>
      <c r="DB28" s="197">
        <f t="shared" si="63"/>
        <v>350</v>
      </c>
      <c r="DC28" s="443">
        <f t="shared" si="116"/>
        <v>350</v>
      </c>
      <c r="DE28" s="217">
        <f t="shared" si="64"/>
        <v>2.5100133511348464</v>
      </c>
      <c r="DF28" s="173">
        <f t="shared" si="65"/>
        <v>1.6021361815754336</v>
      </c>
      <c r="DG28" s="173">
        <f t="shared" si="66"/>
        <v>2.8149682442633783</v>
      </c>
      <c r="DH28" s="173"/>
      <c r="DI28" s="173">
        <f t="shared" si="67"/>
        <v>0.85106382978723416</v>
      </c>
      <c r="DJ28" s="545">
        <f t="shared" si="117"/>
        <v>608.06249999999989</v>
      </c>
      <c r="DK28" s="528">
        <f t="shared" si="68"/>
        <v>0.79432624113475192</v>
      </c>
      <c r="DM28" s="173">
        <f t="shared" si="69"/>
        <v>1.7574331932029248</v>
      </c>
      <c r="DN28" s="173">
        <f t="shared" si="70"/>
        <v>1.7574331932029248</v>
      </c>
      <c r="DO28" s="173">
        <f t="shared" si="71"/>
        <v>1.5141480443478454</v>
      </c>
      <c r="DQ28" s="545">
        <f t="shared" si="72"/>
        <v>1380.0000000000002</v>
      </c>
      <c r="DR28" s="460">
        <f t="shared" si="73"/>
        <v>350</v>
      </c>
      <c r="DT28">
        <f t="shared" si="74"/>
        <v>1380.0000000000002</v>
      </c>
      <c r="DU28" s="460">
        <f t="shared" si="75"/>
        <v>350</v>
      </c>
      <c r="DV28" s="460"/>
      <c r="DW28" s="5">
        <f t="shared" si="118"/>
        <v>2.8571428571428572</v>
      </c>
      <c r="DX28" s="5">
        <f t="shared" si="76"/>
        <v>0.87871659660146229</v>
      </c>
      <c r="DY28" s="5">
        <f t="shared" si="119"/>
        <v>1.9784262605413949</v>
      </c>
      <c r="DZ28" s="5">
        <f t="shared" si="77"/>
        <v>1.1217658680018667</v>
      </c>
      <c r="EA28" s="173">
        <f t="shared" si="120"/>
        <v>0.30755080881051178</v>
      </c>
      <c r="EB28" s="173">
        <f t="shared" si="78"/>
        <v>6.4860000000000015</v>
      </c>
      <c r="EC28" s="173">
        <f t="shared" si="79"/>
        <v>2.4338663864058496</v>
      </c>
      <c r="ED28" s="173">
        <f t="shared" si="121"/>
        <v>2.664895672263274</v>
      </c>
      <c r="EE28" s="460">
        <f t="shared" si="80"/>
        <v>30.315722582750457</v>
      </c>
      <c r="EF28" s="5">
        <f t="shared" si="81"/>
        <v>0.37919836660376732</v>
      </c>
      <c r="EG28" s="5"/>
      <c r="EH28" s="173">
        <f t="shared" si="122"/>
        <v>0.56269963595929839</v>
      </c>
      <c r="EI28" s="173">
        <f t="shared" si="82"/>
        <v>3.3773194796230519</v>
      </c>
      <c r="EJ28" s="173"/>
      <c r="EK28" s="528">
        <f t="shared" si="83"/>
        <v>3.8628967397664683E-3</v>
      </c>
      <c r="EL28" s="528">
        <f t="shared" si="84"/>
        <v>0.52652698468359627</v>
      </c>
      <c r="EM28" s="528">
        <f t="shared" si="85"/>
        <v>4.3749999999999997E-2</v>
      </c>
      <c r="EN28" s="528">
        <f t="shared" si="86"/>
        <v>6.4114399999999988E-2</v>
      </c>
      <c r="EO28">
        <f t="shared" si="87"/>
        <v>1.0800000000000001E-2</v>
      </c>
      <c r="EP28" s="460">
        <f t="shared" si="123"/>
        <v>54.550000000000004</v>
      </c>
      <c r="EQ28" s="528">
        <f t="shared" si="88"/>
        <v>0.65069448673236419</v>
      </c>
      <c r="ER28" s="460">
        <f t="shared" si="124"/>
        <v>650.69448673236423</v>
      </c>
      <c r="ES28" s="528">
        <f t="shared" si="125"/>
        <v>0.85732499999999989</v>
      </c>
      <c r="ET28" s="528"/>
      <c r="EV28" s="460">
        <f t="shared" si="126"/>
        <v>857.32499999999993</v>
      </c>
      <c r="EW28" s="528">
        <f t="shared" si="89"/>
        <v>9.498926409261808E-3</v>
      </c>
      <c r="EX28" s="528">
        <f t="shared" si="90"/>
        <v>0.34218860602323964</v>
      </c>
      <c r="EY28" s="528">
        <f t="shared" si="91"/>
        <v>0.46917750044661338</v>
      </c>
      <c r="EZ28" s="528">
        <f t="shared" si="92"/>
        <v>0.93147715277299403</v>
      </c>
      <c r="FA28" s="528">
        <f t="shared" si="93"/>
        <v>2.7025000000000004E-2</v>
      </c>
      <c r="FB28" s="460">
        <f t="shared" si="127"/>
        <v>958.50215277299401</v>
      </c>
      <c r="FC28" s="173">
        <f t="shared" si="128"/>
        <v>2.4665216395053582</v>
      </c>
      <c r="FD28" s="5">
        <f t="shared" si="129"/>
        <v>5.5200000000000005</v>
      </c>
      <c r="FE28" s="173">
        <f t="shared" si="130"/>
        <v>0.69116447048678864</v>
      </c>
      <c r="FF28" s="5">
        <f t="shared" si="131"/>
        <v>69.116447048678864</v>
      </c>
      <c r="FI28" s="562">
        <f t="shared" si="94"/>
        <v>-50</v>
      </c>
      <c r="FJ28">
        <f t="shared" si="95"/>
        <v>-50</v>
      </c>
      <c r="FL28">
        <f t="shared" si="96"/>
        <v>0.3926180538006534</v>
      </c>
    </row>
    <row r="29" spans="5:168">
      <c r="E29" s="170">
        <v>24</v>
      </c>
      <c r="F29" s="217">
        <f t="shared" si="97"/>
        <v>1.44</v>
      </c>
      <c r="G29" s="217"/>
      <c r="H29" s="217">
        <f t="shared" si="0"/>
        <v>5.76</v>
      </c>
      <c r="I29" s="541">
        <f t="shared" si="1"/>
        <v>23.965055080074904</v>
      </c>
      <c r="J29" s="172">
        <f t="shared" si="2"/>
        <v>19.197477762181197</v>
      </c>
      <c r="K29" s="172">
        <f t="shared" si="3"/>
        <v>43.197477762181194</v>
      </c>
      <c r="L29" s="443"/>
      <c r="M29" s="217">
        <f t="shared" si="4"/>
        <v>0.44520083758580692</v>
      </c>
      <c r="N29" s="172">
        <f t="shared" si="5"/>
        <v>35.884286525964328</v>
      </c>
      <c r="O29" s="172">
        <f t="shared" si="98"/>
        <v>5.76</v>
      </c>
      <c r="P29" s="217">
        <f t="shared" si="6"/>
        <v>8.9710716314910819</v>
      </c>
      <c r="Q29" s="217">
        <f t="shared" si="7"/>
        <v>4</v>
      </c>
      <c r="R29" s="217">
        <f t="shared" si="8"/>
        <v>8.8910521620327891</v>
      </c>
      <c r="S29" s="172">
        <f t="shared" si="9"/>
        <v>49.566833209047978</v>
      </c>
      <c r="T29" s="172">
        <f t="shared" si="10"/>
        <v>4</v>
      </c>
      <c r="U29" s="217">
        <f t="shared" si="99"/>
        <v>1.2977669195947235</v>
      </c>
      <c r="V29" s="217">
        <f t="shared" si="11"/>
        <v>0.64982963665644145</v>
      </c>
      <c r="W29" s="217">
        <f t="shared" si="12"/>
        <v>0.81121089072522368</v>
      </c>
      <c r="X29" s="197">
        <f t="shared" si="13"/>
        <v>350</v>
      </c>
      <c r="Y29" s="443">
        <f t="shared" si="14"/>
        <v>350</v>
      </c>
      <c r="AA29" s="217">
        <f t="shared" si="15"/>
        <v>2.5378525886624796</v>
      </c>
      <c r="AB29" s="173">
        <f t="shared" si="16"/>
        <v>1.5863662633819651</v>
      </c>
      <c r="AC29" s="173">
        <f t="shared" si="17"/>
        <v>2.8181746096635214</v>
      </c>
      <c r="AD29" s="173"/>
      <c r="AE29" s="173">
        <f t="shared" si="18"/>
        <v>0.83344281984375113</v>
      </c>
      <c r="AF29" s="545">
        <f t="shared" si="100"/>
        <v>647.91487447361521</v>
      </c>
      <c r="AG29" s="528">
        <f t="shared" si="19"/>
        <v>0.77787996518750124</v>
      </c>
      <c r="AI29" s="173">
        <f t="shared" si="20"/>
        <v>1.8141103019944764</v>
      </c>
      <c r="AJ29" s="173">
        <f t="shared" si="21"/>
        <v>1.8141103019944764</v>
      </c>
      <c r="AK29" s="173">
        <f t="shared" si="22"/>
        <v>1.5561310878971428</v>
      </c>
      <c r="AM29" s="545">
        <f t="shared" si="23"/>
        <v>1440</v>
      </c>
      <c r="AN29" s="460">
        <f t="shared" si="24"/>
        <v>350</v>
      </c>
      <c r="AP29">
        <f t="shared" si="25"/>
        <v>1440</v>
      </c>
      <c r="AQ29" s="460">
        <f t="shared" si="26"/>
        <v>350</v>
      </c>
      <c r="AR29" s="460"/>
      <c r="AS29" s="5">
        <f t="shared" si="101"/>
        <v>2.8571428571428572</v>
      </c>
      <c r="AT29" s="5">
        <f t="shared" si="27"/>
        <v>0.90837778386886447</v>
      </c>
      <c r="AU29" s="5">
        <f t="shared" si="102"/>
        <v>1.9487650732739927</v>
      </c>
      <c r="AV29" s="5">
        <f t="shared" si="28"/>
        <v>1.1339679042014064</v>
      </c>
      <c r="AW29" s="173">
        <f t="shared" si="103"/>
        <v>0.31793222435410257</v>
      </c>
      <c r="AX29" s="173">
        <f t="shared" si="29"/>
        <v>6.91109199438523</v>
      </c>
      <c r="AY29" s="173">
        <f t="shared" si="30"/>
        <v>2.4746923569153596</v>
      </c>
      <c r="AZ29" s="173">
        <f t="shared" si="104"/>
        <v>2.792707535978221</v>
      </c>
      <c r="BA29" s="460">
        <f t="shared" si="31"/>
        <v>32.701600219279122</v>
      </c>
      <c r="BB29" s="5">
        <f t="shared" si="32"/>
        <v>0.39032133748327386</v>
      </c>
      <c r="BC29" s="5"/>
      <c r="BD29" s="173">
        <f t="shared" si="105"/>
        <v>0.59056857866774393</v>
      </c>
      <c r="BE29" s="173">
        <f t="shared" si="33"/>
        <v>3.4600057414006877</v>
      </c>
      <c r="BF29" s="173"/>
      <c r="BG29" s="528">
        <f t="shared" si="34"/>
        <v>4.2550092025375984E-3</v>
      </c>
      <c r="BH29" s="528">
        <f t="shared" si="35"/>
        <v>0.51427024312486069</v>
      </c>
      <c r="BI29" s="528">
        <f t="shared" si="36"/>
        <v>0.2096942319506554</v>
      </c>
      <c r="BJ29" s="528">
        <f t="shared" si="37"/>
        <v>6.5310772975494855E-2</v>
      </c>
      <c r="BK29">
        <f t="shared" si="38"/>
        <v>1.0784274786033707E-2</v>
      </c>
      <c r="BL29" s="460">
        <f t="shared" si="106"/>
        <v>220.47850673668913</v>
      </c>
      <c r="BM29" s="528">
        <f t="shared" si="39"/>
        <v>0.58557689027710302</v>
      </c>
      <c r="BN29" s="460">
        <f t="shared" si="107"/>
        <v>585.57689027710308</v>
      </c>
      <c r="BO29" s="528">
        <f t="shared" si="108"/>
        <v>0.89459999999999995</v>
      </c>
      <c r="BP29" s="528"/>
      <c r="BR29" s="460">
        <f t="shared" si="109"/>
        <v>894.59999999999991</v>
      </c>
      <c r="BS29" s="528">
        <f t="shared" si="40"/>
        <v>1.0463137383289176E-2</v>
      </c>
      <c r="BT29" s="528">
        <f t="shared" si="41"/>
        <v>0.35914919191577166</v>
      </c>
      <c r="BU29" s="528">
        <f t="shared" si="42"/>
        <v>8.6399999999999991E-2</v>
      </c>
      <c r="BV29" s="528">
        <f t="shared" si="43"/>
        <v>0.56131685886523652</v>
      </c>
      <c r="BW29" s="528">
        <f t="shared" si="44"/>
        <v>2.8796216643271793E-2</v>
      </c>
      <c r="BX29" s="460">
        <f t="shared" si="110"/>
        <v>590.11307550850836</v>
      </c>
      <c r="BY29" s="173">
        <f t="shared" si="45"/>
        <v>2.2907684725222999</v>
      </c>
      <c r="BZ29" s="5">
        <f t="shared" si="111"/>
        <v>5.76</v>
      </c>
      <c r="CA29" s="173">
        <f t="shared" si="112"/>
        <v>0.71545965079721086</v>
      </c>
      <c r="CB29" s="5">
        <f t="shared" si="113"/>
        <v>71.545965079721086</v>
      </c>
      <c r="CE29" s="562">
        <f t="shared" si="46"/>
        <v>-50</v>
      </c>
      <c r="CF29">
        <f t="shared" si="47"/>
        <v>-50</v>
      </c>
      <c r="CG29" s="173">
        <f t="shared" si="48"/>
        <v>0.43474130238568315</v>
      </c>
      <c r="CI29" s="170">
        <v>24</v>
      </c>
      <c r="CJ29" s="217">
        <f t="shared" si="114"/>
        <v>1.44</v>
      </c>
      <c r="CK29" s="217"/>
      <c r="CL29" s="217">
        <f t="shared" si="49"/>
        <v>5.76</v>
      </c>
      <c r="CM29" s="541">
        <f t="shared" si="50"/>
        <v>24</v>
      </c>
      <c r="CN29" s="172">
        <f t="shared" si="51"/>
        <v>18.8</v>
      </c>
      <c r="CO29" s="443">
        <f t="shared" si="52"/>
        <v>42.8</v>
      </c>
      <c r="CP29" s="443"/>
      <c r="CQ29" s="217">
        <f t="shared" si="53"/>
        <v>0.43925233644859818</v>
      </c>
      <c r="CR29" s="172">
        <f t="shared" si="54"/>
        <v>35.456448598130848</v>
      </c>
      <c r="CS29" s="172">
        <f t="shared" si="115"/>
        <v>5.76</v>
      </c>
      <c r="CT29" s="217">
        <f t="shared" si="55"/>
        <v>8.864112149532712</v>
      </c>
      <c r="CU29" s="217">
        <f t="shared" si="56"/>
        <v>4</v>
      </c>
      <c r="CV29" s="217">
        <f t="shared" si="57"/>
        <v>8.7850467289719631</v>
      </c>
      <c r="CW29" s="172">
        <f t="shared" si="58"/>
        <v>49.638989887658234</v>
      </c>
      <c r="CX29" s="172">
        <f t="shared" si="59"/>
        <v>4</v>
      </c>
      <c r="CY29" s="217">
        <f t="shared" si="60"/>
        <v>1.0927659574468083</v>
      </c>
      <c r="CZ29" s="217">
        <f t="shared" si="61"/>
        <v>0.54638297872340424</v>
      </c>
      <c r="DA29" s="217">
        <f t="shared" si="62"/>
        <v>0.69751018560434574</v>
      </c>
      <c r="DB29" s="197">
        <f t="shared" si="63"/>
        <v>350</v>
      </c>
      <c r="DC29" s="443">
        <f t="shared" si="116"/>
        <v>350</v>
      </c>
      <c r="DE29" s="217">
        <f t="shared" si="64"/>
        <v>2.5100133511348464</v>
      </c>
      <c r="DF29" s="173">
        <f t="shared" si="65"/>
        <v>1.6021361815754336</v>
      </c>
      <c r="DG29" s="173">
        <f t="shared" si="66"/>
        <v>2.8149682442633783</v>
      </c>
      <c r="DH29" s="173"/>
      <c r="DI29" s="173">
        <f t="shared" si="67"/>
        <v>0.85106382978723416</v>
      </c>
      <c r="DJ29" s="545">
        <f t="shared" si="117"/>
        <v>634.49999999999989</v>
      </c>
      <c r="DK29" s="528">
        <f t="shared" si="68"/>
        <v>0.79432624113475192</v>
      </c>
      <c r="DM29" s="173">
        <f t="shared" si="69"/>
        <v>1.7952317797034296</v>
      </c>
      <c r="DN29" s="173">
        <f t="shared" si="70"/>
        <v>1.7952317797034296</v>
      </c>
      <c r="DO29" s="173">
        <f t="shared" si="71"/>
        <v>1.5421469973111823</v>
      </c>
      <c r="DQ29" s="545">
        <f t="shared" si="72"/>
        <v>1440</v>
      </c>
      <c r="DR29" s="460">
        <f t="shared" si="73"/>
        <v>350</v>
      </c>
      <c r="DT29">
        <f t="shared" si="74"/>
        <v>1440</v>
      </c>
      <c r="DU29" s="460">
        <f t="shared" si="75"/>
        <v>350</v>
      </c>
      <c r="DV29" s="460"/>
      <c r="DW29" s="5">
        <f t="shared" si="118"/>
        <v>2.8571428571428572</v>
      </c>
      <c r="DX29" s="5">
        <f t="shared" si="76"/>
        <v>0.89761588985171481</v>
      </c>
      <c r="DY29" s="5">
        <f t="shared" si="119"/>
        <v>1.9595269672911424</v>
      </c>
      <c r="DZ29" s="5">
        <f t="shared" si="77"/>
        <v>1.1458926253426147</v>
      </c>
      <c r="EA29" s="173">
        <f t="shared" si="120"/>
        <v>0.31416556144810015</v>
      </c>
      <c r="EB29" s="173">
        <f t="shared" si="78"/>
        <v>6.7680000000000016</v>
      </c>
      <c r="EC29" s="173">
        <f t="shared" si="79"/>
        <v>2.4624635594068591</v>
      </c>
      <c r="ED29" s="173">
        <f t="shared" si="121"/>
        <v>2.7484670683330759</v>
      </c>
      <c r="EE29" s="460">
        <f t="shared" si="80"/>
        <v>32.31417203466173</v>
      </c>
      <c r="EF29" s="5">
        <f t="shared" si="81"/>
        <v>0.39190539345822845</v>
      </c>
      <c r="EG29" s="5"/>
      <c r="EH29" s="173">
        <f t="shared" si="122"/>
        <v>0.58095057843524422</v>
      </c>
      <c r="EI29" s="173">
        <f t="shared" si="82"/>
        <v>3.4334405827425516</v>
      </c>
      <c r="EJ29" s="173"/>
      <c r="EK29" s="528">
        <f t="shared" si="83"/>
        <v>4.1175436099277866E-3</v>
      </c>
      <c r="EL29" s="528">
        <f t="shared" si="84"/>
        <v>0.53785144119914752</v>
      </c>
      <c r="EM29" s="528">
        <f t="shared" si="85"/>
        <v>4.3749999999999997E-2</v>
      </c>
      <c r="EN29" s="528">
        <f t="shared" si="86"/>
        <v>6.4114399999999988E-2</v>
      </c>
      <c r="EO29">
        <f t="shared" si="87"/>
        <v>1.0800000000000001E-2</v>
      </c>
      <c r="EP29" s="460">
        <f t="shared" si="123"/>
        <v>54.550000000000004</v>
      </c>
      <c r="EQ29" s="528">
        <f t="shared" si="88"/>
        <v>0.66239315959839939</v>
      </c>
      <c r="ER29" s="460">
        <f t="shared" si="124"/>
        <v>662.39315959839939</v>
      </c>
      <c r="ES29" s="528">
        <f t="shared" si="125"/>
        <v>0.89459999999999995</v>
      </c>
      <c r="ET29" s="528"/>
      <c r="EV29" s="460">
        <f t="shared" si="126"/>
        <v>894.59999999999991</v>
      </c>
      <c r="EW29" s="528">
        <f t="shared" si="89"/>
        <v>1.0125107237527345E-2</v>
      </c>
      <c r="EX29" s="528">
        <f t="shared" si="90"/>
        <v>0.35365542705670538</v>
      </c>
      <c r="EY29" s="528">
        <f t="shared" si="91"/>
        <v>0.49481337963343996</v>
      </c>
      <c r="EZ29" s="528">
        <f t="shared" si="92"/>
        <v>0.97425442580285526</v>
      </c>
      <c r="FA29" s="528">
        <f t="shared" si="93"/>
        <v>2.8200000000000003E-2</v>
      </c>
      <c r="FB29" s="460">
        <f t="shared" si="127"/>
        <v>1002.4544258028553</v>
      </c>
      <c r="FC29" s="173">
        <f t="shared" si="128"/>
        <v>2.5594475854012546</v>
      </c>
      <c r="FD29" s="5">
        <f t="shared" si="129"/>
        <v>5.76</v>
      </c>
      <c r="FE29" s="173">
        <f t="shared" si="130"/>
        <v>0.69235366181133162</v>
      </c>
      <c r="FF29" s="5">
        <f t="shared" si="131"/>
        <v>69.235366181133159</v>
      </c>
      <c r="FI29" s="562">
        <f t="shared" si="94"/>
        <v>-50</v>
      </c>
      <c r="FJ29">
        <f t="shared" si="95"/>
        <v>-50</v>
      </c>
      <c r="FL29">
        <f t="shared" si="96"/>
        <v>0.40106241886991512</v>
      </c>
    </row>
    <row r="30" spans="5:168">
      <c r="E30" s="170">
        <v>25</v>
      </c>
      <c r="F30" s="217">
        <f t="shared" si="97"/>
        <v>1.5</v>
      </c>
      <c r="G30" s="217"/>
      <c r="H30" s="217">
        <f t="shared" si="0"/>
        <v>6</v>
      </c>
      <c r="I30" s="541">
        <f t="shared" si="1"/>
        <v>23.964334490450458</v>
      </c>
      <c r="J30" s="172">
        <f t="shared" si="2"/>
        <v>19.205674042269688</v>
      </c>
      <c r="K30" s="172">
        <f t="shared" si="3"/>
        <v>43.205674042269692</v>
      </c>
      <c r="L30" s="443"/>
      <c r="M30" s="217">
        <f t="shared" si="4"/>
        <v>0.4453223527742825</v>
      </c>
      <c r="N30" s="172">
        <f t="shared" si="5"/>
        <v>35.893001674396331</v>
      </c>
      <c r="O30" s="172">
        <f t="shared" si="98"/>
        <v>6</v>
      </c>
      <c r="P30" s="217">
        <f t="shared" si="6"/>
        <v>8.9732504185990827</v>
      </c>
      <c r="Q30" s="217">
        <f t="shared" si="7"/>
        <v>4</v>
      </c>
      <c r="R30" s="217">
        <f t="shared" si="8"/>
        <v>8.8932115149644027</v>
      </c>
      <c r="S30" s="172">
        <f t="shared" si="9"/>
        <v>47.35027158334119</v>
      </c>
      <c r="T30" s="172">
        <f t="shared" si="10"/>
        <v>4</v>
      </c>
      <c r="U30" s="217">
        <f t="shared" si="99"/>
        <v>1.352136693719693</v>
      </c>
      <c r="V30" s="217">
        <f t="shared" si="11"/>
        <v>0.67707452218637942</v>
      </c>
      <c r="W30" s="217">
        <f t="shared" si="12"/>
        <v>0.8448357651455175</v>
      </c>
      <c r="X30" s="197">
        <f t="shared" si="13"/>
        <v>350</v>
      </c>
      <c r="Y30" s="443">
        <f t="shared" si="14"/>
        <v>350</v>
      </c>
      <c r="AA30" s="217">
        <f t="shared" si="15"/>
        <v>2.5384201214085662</v>
      </c>
      <c r="AB30" s="173">
        <f t="shared" si="16"/>
        <v>1.5860438633843945</v>
      </c>
      <c r="AC30" s="173">
        <f t="shared" si="17"/>
        <v>2.8182319593760679</v>
      </c>
      <c r="AD30" s="173"/>
      <c r="AE30" s="173">
        <f t="shared" si="18"/>
        <v>0.83308713689431935</v>
      </c>
      <c r="AF30" s="545">
        <f t="shared" si="100"/>
        <v>675.19947804854348</v>
      </c>
      <c r="AG30" s="528">
        <f t="shared" si="19"/>
        <v>0.77754799443469813</v>
      </c>
      <c r="AI30" s="173">
        <f t="shared" si="20"/>
        <v>1.8519137804998649</v>
      </c>
      <c r="AJ30" s="173">
        <f t="shared" si="21"/>
        <v>1.8519137804998649</v>
      </c>
      <c r="AK30" s="173">
        <f t="shared" si="22"/>
        <v>1.584133664567801</v>
      </c>
      <c r="AM30" s="545">
        <f t="shared" si="23"/>
        <v>1500</v>
      </c>
      <c r="AN30" s="460">
        <f t="shared" si="24"/>
        <v>350</v>
      </c>
      <c r="AP30">
        <f t="shared" si="25"/>
        <v>1500</v>
      </c>
      <c r="AQ30" s="460">
        <f t="shared" si="26"/>
        <v>350</v>
      </c>
      <c r="AR30" s="460"/>
      <c r="AS30" s="5">
        <f t="shared" si="101"/>
        <v>2.8571428571428572</v>
      </c>
      <c r="AT30" s="5">
        <f t="shared" si="27"/>
        <v>0.92733496834030593</v>
      </c>
      <c r="AU30" s="5">
        <f t="shared" si="102"/>
        <v>1.9298078888025514</v>
      </c>
      <c r="AV30" s="5">
        <f t="shared" si="28"/>
        <v>1.1571041618788254</v>
      </c>
      <c r="AW30" s="173">
        <f t="shared" si="103"/>
        <v>0.32456723891910705</v>
      </c>
      <c r="AX30" s="173">
        <f t="shared" si="29"/>
        <v>7.2021277658511345</v>
      </c>
      <c r="AY30" s="173">
        <f t="shared" si="30"/>
        <v>2.5016864760935573</v>
      </c>
      <c r="AZ30" s="173">
        <f t="shared" si="104"/>
        <v>2.8789090218441071</v>
      </c>
      <c r="BA30" s="460">
        <f t="shared" si="31"/>
        <v>34.775061312761473</v>
      </c>
      <c r="BB30" s="5">
        <f t="shared" si="32"/>
        <v>0.40264166100075921</v>
      </c>
      <c r="BC30" s="5"/>
      <c r="BD30" s="173">
        <f t="shared" si="105"/>
        <v>0.60913348855058025</v>
      </c>
      <c r="BE30" s="173">
        <f t="shared" si="33"/>
        <v>3.5148855494189486</v>
      </c>
      <c r="BF30" s="173"/>
      <c r="BG30" s="528">
        <f t="shared" si="34"/>
        <v>4.5267320038603585E-3</v>
      </c>
      <c r="BH30" s="528">
        <f t="shared" si="35"/>
        <v>0.525086514452486</v>
      </c>
      <c r="BI30" s="528">
        <f t="shared" si="36"/>
        <v>0.20968792679144152</v>
      </c>
      <c r="BJ30" s="528">
        <f t="shared" si="37"/>
        <v>6.5335559430640011E-2</v>
      </c>
      <c r="BK30">
        <f t="shared" si="38"/>
        <v>1.0783950520702705E-2</v>
      </c>
      <c r="BL30" s="460">
        <f t="shared" si="106"/>
        <v>220.47187731214424</v>
      </c>
      <c r="BM30" s="528">
        <f t="shared" si="39"/>
        <v>0.59681292658082563</v>
      </c>
      <c r="BN30" s="460">
        <f t="shared" si="107"/>
        <v>596.81292658082566</v>
      </c>
      <c r="BO30" s="528">
        <f t="shared" si="108"/>
        <v>0.93187499999999979</v>
      </c>
      <c r="BP30" s="528"/>
      <c r="BR30" s="460">
        <f t="shared" si="109"/>
        <v>931.87499999999977</v>
      </c>
      <c r="BS30" s="528">
        <f t="shared" si="40"/>
        <v>1.1131308206213997E-2</v>
      </c>
      <c r="BT30" s="528">
        <f t="shared" si="41"/>
        <v>0.37063261276542431</v>
      </c>
      <c r="BU30" s="528">
        <f t="shared" si="42"/>
        <v>0.09</v>
      </c>
      <c r="BV30" s="528">
        <f t="shared" si="43"/>
        <v>0.58113579642566648</v>
      </c>
      <c r="BW30" s="528">
        <f t="shared" si="44"/>
        <v>3.0008865691046393E-2</v>
      </c>
      <c r="BX30" s="460">
        <f t="shared" si="110"/>
        <v>611.14466211671288</v>
      </c>
      <c r="BY30" s="173">
        <f t="shared" si="45"/>
        <v>2.3603044660096826</v>
      </c>
      <c r="BZ30" s="5">
        <f t="shared" si="111"/>
        <v>6</v>
      </c>
      <c r="CA30" s="173">
        <f t="shared" si="112"/>
        <v>0.71767721192380918</v>
      </c>
      <c r="CB30" s="5">
        <f t="shared" si="113"/>
        <v>71.767721192380918</v>
      </c>
      <c r="CE30" s="562">
        <f t="shared" si="46"/>
        <v>-50</v>
      </c>
      <c r="CF30">
        <f t="shared" si="47"/>
        <v>-50</v>
      </c>
      <c r="CG30" s="173">
        <f t="shared" si="48"/>
        <v>0.44370598373247122</v>
      </c>
      <c r="CI30" s="170">
        <v>25</v>
      </c>
      <c r="CJ30" s="217">
        <f t="shared" si="114"/>
        <v>1.5</v>
      </c>
      <c r="CK30" s="217"/>
      <c r="CL30" s="217">
        <f t="shared" si="49"/>
        <v>6</v>
      </c>
      <c r="CM30" s="541">
        <f t="shared" si="50"/>
        <v>24</v>
      </c>
      <c r="CN30" s="172">
        <f t="shared" si="51"/>
        <v>18.8</v>
      </c>
      <c r="CO30" s="443">
        <f t="shared" si="52"/>
        <v>42.8</v>
      </c>
      <c r="CP30" s="443"/>
      <c r="CQ30" s="217">
        <f t="shared" si="53"/>
        <v>0.43925233644859818</v>
      </c>
      <c r="CR30" s="172">
        <f t="shared" si="54"/>
        <v>35.456448598130848</v>
      </c>
      <c r="CS30" s="172">
        <f t="shared" si="115"/>
        <v>6</v>
      </c>
      <c r="CT30" s="217">
        <f t="shared" si="55"/>
        <v>8.864112149532712</v>
      </c>
      <c r="CU30" s="217">
        <f t="shared" si="56"/>
        <v>4</v>
      </c>
      <c r="CV30" s="217">
        <f t="shared" si="57"/>
        <v>8.7850467289719631</v>
      </c>
      <c r="CW30" s="172">
        <f t="shared" si="58"/>
        <v>47.420614015135925</v>
      </c>
      <c r="CX30" s="172">
        <f t="shared" si="59"/>
        <v>4</v>
      </c>
      <c r="CY30" s="217">
        <f t="shared" si="60"/>
        <v>1.1382978723404253</v>
      </c>
      <c r="CZ30" s="217">
        <f t="shared" si="61"/>
        <v>0.56914893617021267</v>
      </c>
      <c r="DA30" s="217">
        <f t="shared" si="62"/>
        <v>0.72657311000452673</v>
      </c>
      <c r="DB30" s="197">
        <f t="shared" si="63"/>
        <v>350</v>
      </c>
      <c r="DC30" s="443">
        <f t="shared" si="116"/>
        <v>350</v>
      </c>
      <c r="DE30" s="217">
        <f t="shared" si="64"/>
        <v>2.5100133511348464</v>
      </c>
      <c r="DF30" s="173">
        <f t="shared" si="65"/>
        <v>1.6021361815754336</v>
      </c>
      <c r="DG30" s="173">
        <f t="shared" si="66"/>
        <v>2.8149682442633783</v>
      </c>
      <c r="DH30" s="173"/>
      <c r="DI30" s="173">
        <f t="shared" si="67"/>
        <v>0.85106382978723416</v>
      </c>
      <c r="DJ30" s="545">
        <f t="shared" si="117"/>
        <v>660.93749999999989</v>
      </c>
      <c r="DK30" s="528">
        <f t="shared" si="68"/>
        <v>0.79432624113475192</v>
      </c>
      <c r="DM30" s="173">
        <f t="shared" si="69"/>
        <v>1.8322507626258087</v>
      </c>
      <c r="DN30" s="173">
        <f t="shared" si="70"/>
        <v>1.8322507626258087</v>
      </c>
      <c r="DO30" s="173">
        <f t="shared" si="71"/>
        <v>1.5695684661425742</v>
      </c>
      <c r="DQ30" s="545">
        <f t="shared" si="72"/>
        <v>1500</v>
      </c>
      <c r="DR30" s="460">
        <f t="shared" si="73"/>
        <v>350</v>
      </c>
      <c r="DT30">
        <f t="shared" si="74"/>
        <v>1500</v>
      </c>
      <c r="DU30" s="460">
        <f t="shared" si="75"/>
        <v>350</v>
      </c>
      <c r="DV30" s="460"/>
      <c r="DW30" s="5">
        <f t="shared" si="118"/>
        <v>2.8571428571428572</v>
      </c>
      <c r="DX30" s="5">
        <f t="shared" si="76"/>
        <v>0.91612538131290433</v>
      </c>
      <c r="DY30" s="5">
        <f t="shared" si="119"/>
        <v>1.9410174758299528</v>
      </c>
      <c r="DZ30" s="5">
        <f t="shared" si="77"/>
        <v>1.1695217633781756</v>
      </c>
      <c r="EA30" s="173">
        <f t="shared" si="120"/>
        <v>0.3206438834595165</v>
      </c>
      <c r="EB30" s="173">
        <f t="shared" si="78"/>
        <v>7.0500000000000016</v>
      </c>
      <c r="EC30" s="173">
        <f t="shared" si="79"/>
        <v>2.4895015252516175</v>
      </c>
      <c r="ED30" s="173">
        <f t="shared" si="121"/>
        <v>2.8318922195829739</v>
      </c>
      <c r="EE30" s="460">
        <f t="shared" si="80"/>
        <v>34.354701799233908</v>
      </c>
      <c r="EF30" s="5">
        <f t="shared" si="81"/>
        <v>0.40437864079790675</v>
      </c>
      <c r="EG30" s="5"/>
      <c r="EH30" s="173">
        <f t="shared" si="122"/>
        <v>0.59901233238352802</v>
      </c>
      <c r="EI30" s="173">
        <f t="shared" si="82"/>
        <v>3.4876510024945215</v>
      </c>
      <c r="EJ30" s="173"/>
      <c r="EK30" s="528">
        <f t="shared" si="83"/>
        <v>4.3775524470401617E-3</v>
      </c>
      <c r="EL30" s="528">
        <f t="shared" si="84"/>
        <v>0.5489423284826922</v>
      </c>
      <c r="EM30" s="528">
        <f t="shared" si="85"/>
        <v>4.3749999999999997E-2</v>
      </c>
      <c r="EN30" s="528">
        <f t="shared" si="86"/>
        <v>6.4114399999999988E-2</v>
      </c>
      <c r="EO30">
        <f t="shared" si="87"/>
        <v>1.0800000000000001E-2</v>
      </c>
      <c r="EP30" s="460">
        <f t="shared" si="123"/>
        <v>54.550000000000004</v>
      </c>
      <c r="EQ30" s="528">
        <f t="shared" si="88"/>
        <v>0.67386711362945551</v>
      </c>
      <c r="ER30" s="460">
        <f t="shared" si="124"/>
        <v>673.8671136294555</v>
      </c>
      <c r="ES30" s="528">
        <f t="shared" si="125"/>
        <v>0.93187499999999979</v>
      </c>
      <c r="ET30" s="528"/>
      <c r="EV30" s="460">
        <f t="shared" si="126"/>
        <v>931.87499999999977</v>
      </c>
      <c r="EW30" s="528">
        <f t="shared" si="89"/>
        <v>1.0764473230426628E-2</v>
      </c>
      <c r="EX30" s="528">
        <f t="shared" si="90"/>
        <v>0.36491128545603124</v>
      </c>
      <c r="EY30" s="528">
        <f t="shared" si="91"/>
        <v>0.52071776326604458</v>
      </c>
      <c r="EZ30" s="528">
        <f t="shared" si="92"/>
        <v>1.0171244231859655</v>
      </c>
      <c r="FA30" s="528">
        <f t="shared" si="93"/>
        <v>2.9375000000000005E-2</v>
      </c>
      <c r="FB30" s="460">
        <f t="shared" si="127"/>
        <v>1046.4994231859655</v>
      </c>
      <c r="FC30" s="173">
        <f t="shared" si="128"/>
        <v>2.6522415368154206</v>
      </c>
      <c r="FD30" s="5">
        <f t="shared" si="129"/>
        <v>6</v>
      </c>
      <c r="FE30" s="173">
        <f t="shared" si="130"/>
        <v>0.69346191671486601</v>
      </c>
      <c r="FF30" s="5">
        <f t="shared" si="131"/>
        <v>69.346191671486608</v>
      </c>
      <c r="FI30" s="562">
        <f t="shared" si="94"/>
        <v>-50</v>
      </c>
      <c r="FJ30">
        <f t="shared" si="95"/>
        <v>-50</v>
      </c>
      <c r="FL30">
        <f t="shared" si="96"/>
        <v>0.40933261718236147</v>
      </c>
    </row>
    <row r="31" spans="5:168">
      <c r="E31" s="170">
        <v>26</v>
      </c>
      <c r="F31" s="217">
        <f t="shared" si="97"/>
        <v>1.56</v>
      </c>
      <c r="G31" s="217"/>
      <c r="H31" s="217">
        <f t="shared" si="0"/>
        <v>6.24</v>
      </c>
      <c r="I31" s="541">
        <f t="shared" si="1"/>
        <v>23.963628174168928</v>
      </c>
      <c r="J31" s="172">
        <f t="shared" si="2"/>
        <v>19.213707971538241</v>
      </c>
      <c r="K31" s="172">
        <f t="shared" si="3"/>
        <v>43.213707971538241</v>
      </c>
      <c r="L31" s="443"/>
      <c r="M31" s="217">
        <f t="shared" si="4"/>
        <v>0.4454414164461557</v>
      </c>
      <c r="N31" s="172">
        <f t="shared" si="5"/>
        <v>35.901540031282089</v>
      </c>
      <c r="O31" s="172">
        <f t="shared" si="98"/>
        <v>6.24</v>
      </c>
      <c r="P31" s="217">
        <f t="shared" si="6"/>
        <v>8.9753850078205222</v>
      </c>
      <c r="Q31" s="217">
        <f t="shared" si="7"/>
        <v>4</v>
      </c>
      <c r="R31" s="217">
        <f t="shared" si="8"/>
        <v>8.895327064242343</v>
      </c>
      <c r="S31" s="172">
        <f t="shared" si="9"/>
        <v>45.304583555594533</v>
      </c>
      <c r="T31" s="172">
        <f t="shared" si="10"/>
        <v>4</v>
      </c>
      <c r="U31" s="217">
        <f t="shared" si="99"/>
        <v>1.4065240772245062</v>
      </c>
      <c r="V31" s="217">
        <f t="shared" si="11"/>
        <v>0.7043294447744628</v>
      </c>
      <c r="W31" s="217">
        <f t="shared" si="12"/>
        <v>0.8784503726035765</v>
      </c>
      <c r="X31" s="197">
        <f t="shared" si="13"/>
        <v>350</v>
      </c>
      <c r="Y31" s="443">
        <f t="shared" si="14"/>
        <v>350</v>
      </c>
      <c r="AA31" s="217">
        <f t="shared" si="15"/>
        <v>2.5389761586033752</v>
      </c>
      <c r="AB31" s="173">
        <f t="shared" si="16"/>
        <v>1.585727957787904</v>
      </c>
      <c r="AC31" s="173">
        <f t="shared" si="17"/>
        <v>2.8182878351980154</v>
      </c>
      <c r="AD31" s="173"/>
      <c r="AE31" s="173">
        <f t="shared" si="18"/>
        <v>0.83273879376647197</v>
      </c>
      <c r="AF31" s="545">
        <f t="shared" si="100"/>
        <v>702.50119770936681</v>
      </c>
      <c r="AG31" s="528">
        <f t="shared" si="19"/>
        <v>0.77722287418204061</v>
      </c>
      <c r="AI31" s="173">
        <f t="shared" si="20"/>
        <v>1.888983867548133</v>
      </c>
      <c r="AJ31" s="173">
        <f t="shared" si="21"/>
        <v>1.888983867548133</v>
      </c>
      <c r="AK31" s="173">
        <f t="shared" si="22"/>
        <v>1.6115929883072588</v>
      </c>
      <c r="AM31" s="545">
        <f t="shared" si="23"/>
        <v>1560</v>
      </c>
      <c r="AN31" s="460">
        <f t="shared" si="24"/>
        <v>350</v>
      </c>
      <c r="AP31">
        <f t="shared" si="25"/>
        <v>1560</v>
      </c>
      <c r="AQ31" s="460">
        <f t="shared" si="26"/>
        <v>350</v>
      </c>
      <c r="AR31" s="460"/>
      <c r="AS31" s="5">
        <f t="shared" si="101"/>
        <v>2.8571428571428572</v>
      </c>
      <c r="AT31" s="5">
        <f t="shared" si="27"/>
        <v>0.94592547696979645</v>
      </c>
      <c r="AU31" s="5">
        <f t="shared" si="102"/>
        <v>1.9112173801730608</v>
      </c>
      <c r="AV31" s="5">
        <f t="shared" si="28"/>
        <v>1.1797726104797679</v>
      </c>
      <c r="AW31" s="173">
        <f t="shared" si="103"/>
        <v>0.33107391693942873</v>
      </c>
      <c r="AX31" s="173">
        <f t="shared" si="29"/>
        <v>7.4933461088999147</v>
      </c>
      <c r="AY31" s="173">
        <f t="shared" si="30"/>
        <v>2.5271811589671631</v>
      </c>
      <c r="AZ31" s="173">
        <f t="shared" si="104"/>
        <v>2.9651004963816603</v>
      </c>
      <c r="BA31" s="460">
        <f t="shared" si="31"/>
        <v>36.891093601822064</v>
      </c>
      <c r="BB31" s="5">
        <f t="shared" si="32"/>
        <v>0.41472561269385411</v>
      </c>
      <c r="BC31" s="5"/>
      <c r="BD31" s="173">
        <f t="shared" si="105"/>
        <v>0.62752366011883565</v>
      </c>
      <c r="BE31" s="173">
        <f t="shared" si="33"/>
        <v>3.5679328990927188</v>
      </c>
      <c r="BF31" s="173"/>
      <c r="BG31" s="528">
        <f t="shared" si="34"/>
        <v>4.8041885169090668E-3</v>
      </c>
      <c r="BH31" s="528">
        <f t="shared" si="35"/>
        <v>0.53569685672456557</v>
      </c>
      <c r="BI31" s="528">
        <f t="shared" si="36"/>
        <v>0.20968174652397814</v>
      </c>
      <c r="BJ31" s="528">
        <f t="shared" si="37"/>
        <v>6.5359859482728586E-2</v>
      </c>
      <c r="BK31">
        <f t="shared" si="38"/>
        <v>1.0783632678376018E-2</v>
      </c>
      <c r="BL31" s="460">
        <f t="shared" si="106"/>
        <v>220.46537920235414</v>
      </c>
      <c r="BM31" s="528">
        <f t="shared" si="39"/>
        <v>0.60785188346892649</v>
      </c>
      <c r="BN31" s="460">
        <f t="shared" si="107"/>
        <v>607.85188346892653</v>
      </c>
      <c r="BO31" s="528">
        <f t="shared" si="108"/>
        <v>0.96914999999999984</v>
      </c>
      <c r="BP31" s="528"/>
      <c r="BR31" s="460">
        <f t="shared" si="109"/>
        <v>969.14999999999986</v>
      </c>
      <c r="BS31" s="528">
        <f t="shared" si="40"/>
        <v>1.1813578320268199E-2</v>
      </c>
      <c r="BT31" s="528">
        <f t="shared" si="41"/>
        <v>0.38190435517284521</v>
      </c>
      <c r="BU31" s="528">
        <f t="shared" si="42"/>
        <v>9.3600000000000003E-2</v>
      </c>
      <c r="BV31" s="528">
        <f t="shared" si="43"/>
        <v>0.60073174647595839</v>
      </c>
      <c r="BW31" s="528">
        <f t="shared" si="44"/>
        <v>3.1222275453749646E-2</v>
      </c>
      <c r="BX31" s="460">
        <f t="shared" si="110"/>
        <v>631.95402192970812</v>
      </c>
      <c r="BY31" s="173">
        <f t="shared" si="45"/>
        <v>2.4294212846009882</v>
      </c>
      <c r="BZ31" s="5">
        <f t="shared" si="111"/>
        <v>6.24</v>
      </c>
      <c r="CA31" s="173">
        <f t="shared" si="112"/>
        <v>0.71977122753092715</v>
      </c>
      <c r="CB31" s="5">
        <f t="shared" si="113"/>
        <v>71.977122753092715</v>
      </c>
      <c r="CE31" s="562">
        <f t="shared" si="46"/>
        <v>-50</v>
      </c>
      <c r="CF31">
        <f t="shared" si="47"/>
        <v>-50</v>
      </c>
      <c r="CG31" s="173">
        <f t="shared" si="48"/>
        <v>0.45249309386995068</v>
      </c>
      <c r="CI31" s="170">
        <v>26</v>
      </c>
      <c r="CJ31" s="217">
        <f t="shared" si="114"/>
        <v>1.56</v>
      </c>
      <c r="CK31" s="217"/>
      <c r="CL31" s="217">
        <f t="shared" si="49"/>
        <v>6.24</v>
      </c>
      <c r="CM31" s="541">
        <f t="shared" si="50"/>
        <v>24</v>
      </c>
      <c r="CN31" s="172">
        <f t="shared" si="51"/>
        <v>18.8</v>
      </c>
      <c r="CO31" s="443">
        <f t="shared" si="52"/>
        <v>42.8</v>
      </c>
      <c r="CP31" s="443"/>
      <c r="CQ31" s="217">
        <f t="shared" si="53"/>
        <v>0.43925233644859818</v>
      </c>
      <c r="CR31" s="172">
        <f t="shared" si="54"/>
        <v>35.456448598130848</v>
      </c>
      <c r="CS31" s="172">
        <f t="shared" si="115"/>
        <v>6.24</v>
      </c>
      <c r="CT31" s="217">
        <f t="shared" si="55"/>
        <v>8.864112149532712</v>
      </c>
      <c r="CU31" s="217">
        <f t="shared" si="56"/>
        <v>4</v>
      </c>
      <c r="CV31" s="217">
        <f t="shared" si="57"/>
        <v>8.7850467289719631</v>
      </c>
      <c r="CW31" s="172">
        <f t="shared" si="58"/>
        <v>45.373210546842046</v>
      </c>
      <c r="CX31" s="172">
        <f t="shared" si="59"/>
        <v>4</v>
      </c>
      <c r="CY31" s="217">
        <f t="shared" si="60"/>
        <v>1.1838297872340424</v>
      </c>
      <c r="CZ31" s="217">
        <f t="shared" si="61"/>
        <v>0.59191489361702121</v>
      </c>
      <c r="DA31" s="217">
        <f t="shared" si="62"/>
        <v>0.75563603440470783</v>
      </c>
      <c r="DB31" s="197">
        <f t="shared" si="63"/>
        <v>350</v>
      </c>
      <c r="DC31" s="443">
        <f t="shared" si="116"/>
        <v>350</v>
      </c>
      <c r="DE31" s="217">
        <f t="shared" si="64"/>
        <v>2.5100133511348464</v>
      </c>
      <c r="DF31" s="173">
        <f t="shared" si="65"/>
        <v>1.6021361815754336</v>
      </c>
      <c r="DG31" s="173">
        <f t="shared" si="66"/>
        <v>2.8149682442633783</v>
      </c>
      <c r="DH31" s="173"/>
      <c r="DI31" s="173">
        <f t="shared" si="67"/>
        <v>0.85106382978723416</v>
      </c>
      <c r="DJ31" s="545">
        <f t="shared" si="117"/>
        <v>687.37499999999989</v>
      </c>
      <c r="DK31" s="528">
        <f t="shared" si="68"/>
        <v>0.79432624113475192</v>
      </c>
      <c r="DM31" s="173">
        <f t="shared" si="69"/>
        <v>1.8685364784848519</v>
      </c>
      <c r="DN31" s="173">
        <f t="shared" si="70"/>
        <v>1.8685364784848519</v>
      </c>
      <c r="DO31" s="173">
        <f t="shared" si="71"/>
        <v>1.59644677418631</v>
      </c>
      <c r="DQ31" s="545">
        <f t="shared" si="72"/>
        <v>1560</v>
      </c>
      <c r="DR31" s="460">
        <f t="shared" si="73"/>
        <v>350</v>
      </c>
      <c r="DT31">
        <f t="shared" si="74"/>
        <v>1560</v>
      </c>
      <c r="DU31" s="460">
        <f t="shared" si="75"/>
        <v>350</v>
      </c>
      <c r="DV31" s="460"/>
      <c r="DW31" s="5">
        <f t="shared" si="118"/>
        <v>2.8571428571428572</v>
      </c>
      <c r="DX31" s="5">
        <f t="shared" si="76"/>
        <v>0.93426823924242597</v>
      </c>
      <c r="DY31" s="5">
        <f t="shared" si="119"/>
        <v>1.9228746179004312</v>
      </c>
      <c r="DZ31" s="5">
        <f t="shared" si="77"/>
        <v>1.1926828586073521</v>
      </c>
      <c r="EA31" s="173">
        <f t="shared" si="120"/>
        <v>0.32699388373484906</v>
      </c>
      <c r="EB31" s="173">
        <f t="shared" si="78"/>
        <v>7.3319999999999999</v>
      </c>
      <c r="EC31" s="173">
        <f t="shared" si="79"/>
        <v>2.5150729569697039</v>
      </c>
      <c r="ED31" s="173">
        <f t="shared" si="121"/>
        <v>2.9152235841436545</v>
      </c>
      <c r="EE31" s="460">
        <f t="shared" si="80"/>
        <v>36.436461330454613</v>
      </c>
      <c r="EF31" s="5">
        <f t="shared" si="81"/>
        <v>0.41662283387842675</v>
      </c>
      <c r="EG31" s="5"/>
      <c r="EH31" s="173">
        <f t="shared" si="122"/>
        <v>0.61689431519351967</v>
      </c>
      <c r="EI31" s="173">
        <f t="shared" si="82"/>
        <v>3.5400585931680677</v>
      </c>
      <c r="EJ31" s="173"/>
      <c r="EK31" s="528">
        <f t="shared" si="83"/>
        <v>4.6428148726405946E-3</v>
      </c>
      <c r="EL31" s="528">
        <f t="shared" si="84"/>
        <v>0.55981352895406167</v>
      </c>
      <c r="EM31" s="528">
        <f t="shared" si="85"/>
        <v>4.3749999999999997E-2</v>
      </c>
      <c r="EN31" s="528">
        <f t="shared" si="86"/>
        <v>6.4114399999999988E-2</v>
      </c>
      <c r="EO31">
        <f t="shared" si="87"/>
        <v>1.0800000000000001E-2</v>
      </c>
      <c r="EP31" s="460">
        <f t="shared" si="123"/>
        <v>54.550000000000004</v>
      </c>
      <c r="EQ31" s="528">
        <f t="shared" si="88"/>
        <v>0.6851300933299479</v>
      </c>
      <c r="ER31" s="460">
        <f t="shared" si="124"/>
        <v>685.13009332994795</v>
      </c>
      <c r="ES31" s="528">
        <f t="shared" si="125"/>
        <v>0.96914999999999984</v>
      </c>
      <c r="ET31" s="528"/>
      <c r="EV31" s="460">
        <f t="shared" si="126"/>
        <v>969.14999999999986</v>
      </c>
      <c r="EW31" s="528">
        <f t="shared" si="89"/>
        <v>1.1416757883542447E-2</v>
      </c>
      <c r="EX31" s="528">
        <f t="shared" si="90"/>
        <v>0.37596044529189238</v>
      </c>
      <c r="EY31" s="528">
        <f t="shared" si="91"/>
        <v>0.54688255136816555</v>
      </c>
      <c r="EZ31" s="528">
        <f t="shared" si="92"/>
        <v>1.060082424484277</v>
      </c>
      <c r="FA31" s="528">
        <f t="shared" si="93"/>
        <v>3.0550000000000004E-2</v>
      </c>
      <c r="FB31" s="460">
        <f t="shared" si="127"/>
        <v>1090.6324244842772</v>
      </c>
      <c r="FC31" s="173">
        <f t="shared" si="128"/>
        <v>2.7449125178142246</v>
      </c>
      <c r="FD31" s="5">
        <f t="shared" si="129"/>
        <v>6.24</v>
      </c>
      <c r="FE31" s="173">
        <f t="shared" si="130"/>
        <v>0.69449757998512107</v>
      </c>
      <c r="FF31" s="5">
        <f t="shared" si="131"/>
        <v>69.449757998512112</v>
      </c>
      <c r="FI31" s="562">
        <f t="shared" si="94"/>
        <v>-50</v>
      </c>
      <c r="FJ31">
        <f t="shared" si="95"/>
        <v>-50</v>
      </c>
      <c r="FL31">
        <f t="shared" si="96"/>
        <v>0.41743900051257332</v>
      </c>
    </row>
    <row r="32" spans="5:168">
      <c r="E32" s="170">
        <v>27</v>
      </c>
      <c r="F32" s="217">
        <f t="shared" si="97"/>
        <v>1.62</v>
      </c>
      <c r="G32" s="217"/>
      <c r="H32" s="217">
        <f t="shared" si="0"/>
        <v>6.48</v>
      </c>
      <c r="I32" s="541">
        <f t="shared" si="1"/>
        <v>23.962935315229416</v>
      </c>
      <c r="J32" s="172">
        <f t="shared" si="2"/>
        <v>19.221588831513767</v>
      </c>
      <c r="K32" s="172">
        <f t="shared" si="3"/>
        <v>43.22158883151377</v>
      </c>
      <c r="L32" s="443"/>
      <c r="M32" s="217">
        <f t="shared" si="4"/>
        <v>0.44555816877739868</v>
      </c>
      <c r="N32" s="172">
        <f t="shared" si="5"/>
        <v>35.909911705943799</v>
      </c>
      <c r="O32" s="172">
        <f t="shared" si="98"/>
        <v>6.48</v>
      </c>
      <c r="P32" s="217">
        <f t="shared" si="6"/>
        <v>8.9774779264859497</v>
      </c>
      <c r="Q32" s="217">
        <f t="shared" si="7"/>
        <v>4</v>
      </c>
      <c r="R32" s="217">
        <f t="shared" si="8"/>
        <v>8.8974013146540649</v>
      </c>
      <c r="S32" s="172">
        <f t="shared" si="9"/>
        <v>43.41078520025556</v>
      </c>
      <c r="T32" s="172">
        <f t="shared" si="10"/>
        <v>4</v>
      </c>
      <c r="U32" s="217">
        <f t="shared" si="99"/>
        <v>1.4609287293743087</v>
      </c>
      <c r="V32" s="217">
        <f t="shared" si="11"/>
        <v>0.73159421088742638</v>
      </c>
      <c r="W32" s="217">
        <f t="shared" si="12"/>
        <v>0.91205492460380899</v>
      </c>
      <c r="X32" s="197">
        <f t="shared" si="13"/>
        <v>350</v>
      </c>
      <c r="Y32" s="443">
        <f t="shared" si="14"/>
        <v>350</v>
      </c>
      <c r="AA32" s="217">
        <f t="shared" si="15"/>
        <v>2.5395213575670414</v>
      </c>
      <c r="AB32" s="173">
        <f t="shared" si="16"/>
        <v>1.5854181752572918</v>
      </c>
      <c r="AC32" s="173">
        <f t="shared" si="17"/>
        <v>2.8183423217186014</v>
      </c>
      <c r="AD32" s="173"/>
      <c r="AE32" s="173">
        <f t="shared" si="18"/>
        <v>0.83239737049041573</v>
      </c>
      <c r="AF32" s="545">
        <f t="shared" si="100"/>
        <v>729.81970094653821</v>
      </c>
      <c r="AG32" s="528">
        <f t="shared" si="19"/>
        <v>0.77690421245772145</v>
      </c>
      <c r="AI32" s="173">
        <f t="shared" si="20"/>
        <v>1.9253624861881236</v>
      </c>
      <c r="AJ32" s="173">
        <f t="shared" si="21"/>
        <v>1.9253624861881236</v>
      </c>
      <c r="AK32" s="173">
        <f t="shared" si="22"/>
        <v>1.6385401132257704</v>
      </c>
      <c r="AM32" s="545">
        <f t="shared" si="23"/>
        <v>1620</v>
      </c>
      <c r="AN32" s="460">
        <f t="shared" si="24"/>
        <v>350</v>
      </c>
      <c r="AP32">
        <f t="shared" si="25"/>
        <v>1620</v>
      </c>
      <c r="AQ32" s="460">
        <f t="shared" si="26"/>
        <v>350</v>
      </c>
      <c r="AR32" s="460"/>
      <c r="AS32" s="5">
        <f t="shared" si="101"/>
        <v>2.8571428571428572</v>
      </c>
      <c r="AT32" s="5">
        <f t="shared" si="27"/>
        <v>0.96417027089221974</v>
      </c>
      <c r="AU32" s="5">
        <f t="shared" si="102"/>
        <v>1.8929725862506375</v>
      </c>
      <c r="AV32" s="5">
        <f t="shared" si="28"/>
        <v>1.2020000030579125</v>
      </c>
      <c r="AW32" s="173">
        <f t="shared" si="103"/>
        <v>0.33745959481227689</v>
      </c>
      <c r="AX32" s="173">
        <f t="shared" si="29"/>
        <v>7.7847434767630759</v>
      </c>
      <c r="AY32" s="173">
        <f t="shared" si="30"/>
        <v>2.5512608834646424</v>
      </c>
      <c r="AZ32" s="173">
        <f t="shared" si="104"/>
        <v>3.0513318050764382</v>
      </c>
      <c r="BA32" s="460">
        <f t="shared" si="31"/>
        <v>39.048895971134904</v>
      </c>
      <c r="BB32" s="5">
        <f t="shared" si="32"/>
        <v>0.42657762211864386</v>
      </c>
      <c r="BC32" s="5"/>
      <c r="BD32" s="173">
        <f t="shared" si="105"/>
        <v>0.64574755244587534</v>
      </c>
      <c r="BE32" s="173">
        <f t="shared" si="33"/>
        <v>3.6192455926622764</v>
      </c>
      <c r="BF32" s="173"/>
      <c r="BG32" s="528">
        <f t="shared" si="34"/>
        <v>5.0872767981760296E-3</v>
      </c>
      <c r="BH32" s="528">
        <f t="shared" si="35"/>
        <v>0.54611304385078996</v>
      </c>
      <c r="BI32" s="528">
        <f t="shared" si="36"/>
        <v>0.2096756840082574</v>
      </c>
      <c r="BJ32" s="528">
        <f t="shared" si="37"/>
        <v>6.5383700939215264E-2</v>
      </c>
      <c r="BK32">
        <f t="shared" si="38"/>
        <v>1.0783320891853236E-2</v>
      </c>
      <c r="BL32" s="460">
        <f t="shared" si="106"/>
        <v>220.45900490011064</v>
      </c>
      <c r="BM32" s="528">
        <f t="shared" si="39"/>
        <v>0.61870543845899073</v>
      </c>
      <c r="BN32" s="460">
        <f t="shared" si="107"/>
        <v>618.70543845899078</v>
      </c>
      <c r="BO32" s="528">
        <f t="shared" si="108"/>
        <v>1.0064249999999999</v>
      </c>
      <c r="BP32" s="528"/>
      <c r="BR32" s="460">
        <f t="shared" si="109"/>
        <v>1006.425</v>
      </c>
      <c r="BS32" s="528">
        <f t="shared" si="40"/>
        <v>1.2509697044695154E-2</v>
      </c>
      <c r="BT32" s="528">
        <f t="shared" si="41"/>
        <v>0.39296815980015937</v>
      </c>
      <c r="BU32" s="528">
        <f t="shared" si="42"/>
        <v>9.7200000000000009E-2</v>
      </c>
      <c r="BV32" s="528">
        <f t="shared" si="43"/>
        <v>0.62010773905108707</v>
      </c>
      <c r="BW32" s="528">
        <f t="shared" si="44"/>
        <v>3.2436431153179492E-2</v>
      </c>
      <c r="BX32" s="460">
        <f t="shared" si="110"/>
        <v>652.54417020426661</v>
      </c>
      <c r="BY32" s="173">
        <f t="shared" si="45"/>
        <v>2.4981336135633678</v>
      </c>
      <c r="BZ32" s="5">
        <f t="shared" si="111"/>
        <v>6.48</v>
      </c>
      <c r="CA32" s="173">
        <f t="shared" si="112"/>
        <v>0.72175357138933538</v>
      </c>
      <c r="CB32" s="5">
        <f t="shared" si="113"/>
        <v>72.175357138933535</v>
      </c>
      <c r="CE32" s="562">
        <f t="shared" si="46"/>
        <v>-50</v>
      </c>
      <c r="CF32">
        <f t="shared" si="47"/>
        <v>-50</v>
      </c>
      <c r="CG32" s="173">
        <f t="shared" si="48"/>
        <v>0.46111278446818199</v>
      </c>
      <c r="CI32" s="170">
        <v>27</v>
      </c>
      <c r="CJ32" s="217">
        <f t="shared" si="114"/>
        <v>1.62</v>
      </c>
      <c r="CK32" s="217"/>
      <c r="CL32" s="217">
        <f t="shared" si="49"/>
        <v>6.48</v>
      </c>
      <c r="CM32" s="541">
        <f t="shared" si="50"/>
        <v>24</v>
      </c>
      <c r="CN32" s="172">
        <f t="shared" si="51"/>
        <v>18.8</v>
      </c>
      <c r="CO32" s="443">
        <f t="shared" si="52"/>
        <v>42.8</v>
      </c>
      <c r="CP32" s="443"/>
      <c r="CQ32" s="217">
        <f t="shared" si="53"/>
        <v>0.43925233644859818</v>
      </c>
      <c r="CR32" s="172">
        <f t="shared" si="54"/>
        <v>35.456448598130848</v>
      </c>
      <c r="CS32" s="172">
        <f t="shared" si="115"/>
        <v>6.48</v>
      </c>
      <c r="CT32" s="217">
        <f t="shared" si="55"/>
        <v>8.864112149532712</v>
      </c>
      <c r="CU32" s="217">
        <f t="shared" si="56"/>
        <v>4</v>
      </c>
      <c r="CV32" s="217">
        <f t="shared" si="57"/>
        <v>8.7850467289719631</v>
      </c>
      <c r="CW32" s="172">
        <f t="shared" si="58"/>
        <v>43.477786453248342</v>
      </c>
      <c r="CX32" s="172">
        <f t="shared" si="59"/>
        <v>4</v>
      </c>
      <c r="CY32" s="217">
        <f t="shared" si="60"/>
        <v>1.2293617021276595</v>
      </c>
      <c r="CZ32" s="217">
        <f t="shared" si="61"/>
        <v>0.61468085106382975</v>
      </c>
      <c r="DA32" s="217">
        <f t="shared" si="62"/>
        <v>0.78469895880488905</v>
      </c>
      <c r="DB32" s="197">
        <f t="shared" si="63"/>
        <v>350</v>
      </c>
      <c r="DC32" s="443">
        <f t="shared" si="116"/>
        <v>350</v>
      </c>
      <c r="DE32" s="217">
        <f t="shared" si="64"/>
        <v>2.5100133511348464</v>
      </c>
      <c r="DF32" s="173">
        <f t="shared" si="65"/>
        <v>1.6021361815754336</v>
      </c>
      <c r="DG32" s="173">
        <f t="shared" si="66"/>
        <v>2.8149682442633783</v>
      </c>
      <c r="DH32" s="173"/>
      <c r="DI32" s="173">
        <f t="shared" si="67"/>
        <v>0.85106382978723416</v>
      </c>
      <c r="DJ32" s="545">
        <f t="shared" si="117"/>
        <v>713.81249999999989</v>
      </c>
      <c r="DK32" s="528">
        <f t="shared" si="68"/>
        <v>0.79432624113475192</v>
      </c>
      <c r="DM32" s="173">
        <f t="shared" si="69"/>
        <v>1.904130847844834</v>
      </c>
      <c r="DN32" s="173">
        <f t="shared" si="70"/>
        <v>1.904130847844834</v>
      </c>
      <c r="DO32" s="173">
        <f t="shared" si="71"/>
        <v>1.6228129737122226</v>
      </c>
      <c r="DQ32" s="545">
        <f t="shared" si="72"/>
        <v>1620</v>
      </c>
      <c r="DR32" s="460">
        <f t="shared" si="73"/>
        <v>350</v>
      </c>
      <c r="DT32">
        <f t="shared" si="74"/>
        <v>1620</v>
      </c>
      <c r="DU32" s="460">
        <f t="shared" si="75"/>
        <v>350</v>
      </c>
      <c r="DV32" s="460"/>
      <c r="DW32" s="5">
        <f t="shared" si="118"/>
        <v>2.8571428571428572</v>
      </c>
      <c r="DX32" s="5">
        <f t="shared" si="76"/>
        <v>0.952065423922417</v>
      </c>
      <c r="DY32" s="5">
        <f t="shared" si="119"/>
        <v>1.9050774332204403</v>
      </c>
      <c r="DZ32" s="5">
        <f t="shared" si="77"/>
        <v>1.215402668837128</v>
      </c>
      <c r="EA32" s="173">
        <f t="shared" si="120"/>
        <v>0.33322289837284597</v>
      </c>
      <c r="EB32" s="173">
        <f t="shared" si="78"/>
        <v>7.6140000000000017</v>
      </c>
      <c r="EC32" s="173">
        <f t="shared" si="79"/>
        <v>2.5392616956896674</v>
      </c>
      <c r="ED32" s="173">
        <f t="shared" si="121"/>
        <v>2.998509374959097</v>
      </c>
      <c r="EE32" s="460">
        <f t="shared" si="80"/>
        <v>38.558649668857896</v>
      </c>
      <c r="EF32" s="5">
        <f t="shared" si="81"/>
        <v>0.42864242247459905</v>
      </c>
      <c r="EG32" s="5"/>
      <c r="EH32" s="173">
        <f t="shared" si="122"/>
        <v>0.63460513259757245</v>
      </c>
      <c r="EI32" s="173">
        <f t="shared" si="82"/>
        <v>3.5907609316182469</v>
      </c>
      <c r="EJ32" s="173"/>
      <c r="EK32" s="528">
        <f t="shared" si="83"/>
        <v>4.9132288266940261E-3</v>
      </c>
      <c r="EL32" s="528">
        <f t="shared" si="84"/>
        <v>0.57047760201431219</v>
      </c>
      <c r="EM32" s="528">
        <f t="shared" si="85"/>
        <v>4.3749999999999997E-2</v>
      </c>
      <c r="EN32" s="528">
        <f t="shared" si="86"/>
        <v>6.4114399999999988E-2</v>
      </c>
      <c r="EO32">
        <f t="shared" si="87"/>
        <v>1.0800000000000001E-2</v>
      </c>
      <c r="EP32" s="460">
        <f t="shared" si="123"/>
        <v>54.550000000000004</v>
      </c>
      <c r="EQ32" s="528">
        <f t="shared" si="88"/>
        <v>0.69619452839917151</v>
      </c>
      <c r="ER32" s="460">
        <f t="shared" si="124"/>
        <v>696.19452839917153</v>
      </c>
      <c r="ES32" s="528">
        <f t="shared" si="125"/>
        <v>1.0064249999999999</v>
      </c>
      <c r="ET32" s="528"/>
      <c r="EV32" s="460">
        <f t="shared" si="126"/>
        <v>1006.425</v>
      </c>
      <c r="EW32" s="528">
        <f t="shared" si="89"/>
        <v>1.2081710229575474E-2</v>
      </c>
      <c r="EX32" s="528">
        <f t="shared" si="90"/>
        <v>0.38680692204107819</v>
      </c>
      <c r="EY32" s="528">
        <f t="shared" si="91"/>
        <v>0.57330019222571182</v>
      </c>
      <c r="EZ32" s="528">
        <f t="shared" si="92"/>
        <v>1.1031239856708583</v>
      </c>
      <c r="FA32" s="528">
        <f t="shared" si="93"/>
        <v>3.172500000000001E-2</v>
      </c>
      <c r="FB32" s="460">
        <f t="shared" si="127"/>
        <v>1134.8489856708584</v>
      </c>
      <c r="FC32" s="173">
        <f t="shared" si="128"/>
        <v>2.83746851407003</v>
      </c>
      <c r="FD32" s="5">
        <f t="shared" si="129"/>
        <v>6.48</v>
      </c>
      <c r="FE32" s="173">
        <f t="shared" si="130"/>
        <v>0.69546787200995053</v>
      </c>
      <c r="FF32" s="5">
        <f t="shared" si="131"/>
        <v>69.546787200995055</v>
      </c>
      <c r="FI32" s="562">
        <f t="shared" si="94"/>
        <v>-50</v>
      </c>
      <c r="FJ32">
        <f t="shared" si="95"/>
        <v>-50</v>
      </c>
      <c r="FL32">
        <f t="shared" si="96"/>
        <v>0.42539093409299483</v>
      </c>
    </row>
    <row r="33" spans="5:168">
      <c r="E33" s="170">
        <v>28</v>
      </c>
      <c r="F33" s="217">
        <f t="shared" si="97"/>
        <v>1.6800000000000002</v>
      </c>
      <c r="G33" s="217"/>
      <c r="H33" s="217">
        <f t="shared" si="0"/>
        <v>6.7200000000000006</v>
      </c>
      <c r="I33" s="541">
        <f t="shared" si="1"/>
        <v>23.962255172539802</v>
      </c>
      <c r="J33" s="172">
        <f t="shared" si="2"/>
        <v>19.229325051679961</v>
      </c>
      <c r="K33" s="172">
        <f t="shared" si="3"/>
        <v>43.229325051679965</v>
      </c>
      <c r="L33" s="443"/>
      <c r="M33" s="217">
        <f t="shared" si="4"/>
        <v>0.44567273707538962</v>
      </c>
      <c r="N33" s="172">
        <f t="shared" si="5"/>
        <v>35.91812587962643</v>
      </c>
      <c r="O33" s="172">
        <f t="shared" si="98"/>
        <v>6.7200000000000006</v>
      </c>
      <c r="P33" s="217">
        <f t="shared" si="6"/>
        <v>8.9795314699066076</v>
      </c>
      <c r="Q33" s="217">
        <f t="shared" si="7"/>
        <v>4</v>
      </c>
      <c r="R33" s="217">
        <f t="shared" si="8"/>
        <v>8.8994365410372716</v>
      </c>
      <c r="S33" s="172">
        <f t="shared" si="9"/>
        <v>41.65260478877174</v>
      </c>
      <c r="T33" s="172">
        <f t="shared" si="10"/>
        <v>4</v>
      </c>
      <c r="U33" s="217">
        <f t="shared" si="99"/>
        <v>1.5153503285553569</v>
      </c>
      <c r="V33" s="217">
        <f t="shared" si="11"/>
        <v>0.75886863785270797</v>
      </c>
      <c r="W33" s="217">
        <f t="shared" si="12"/>
        <v>0.94564962076376313</v>
      </c>
      <c r="X33" s="197">
        <f t="shared" si="13"/>
        <v>350</v>
      </c>
      <c r="Y33" s="443">
        <f t="shared" si="14"/>
        <v>350</v>
      </c>
      <c r="AA33" s="217">
        <f t="shared" si="15"/>
        <v>2.5400563152754145</v>
      </c>
      <c r="AB33" s="173">
        <f t="shared" si="16"/>
        <v>1.5851141785468983</v>
      </c>
      <c r="AC33" s="173">
        <f t="shared" si="17"/>
        <v>2.8183954957554551</v>
      </c>
      <c r="AD33" s="173"/>
      <c r="AE33" s="173">
        <f t="shared" si="18"/>
        <v>0.83206248565662322</v>
      </c>
      <c r="AF33" s="545">
        <f t="shared" si="100"/>
        <v>757.15467390989829</v>
      </c>
      <c r="AG33" s="528">
        <f t="shared" si="19"/>
        <v>0.77659165327951507</v>
      </c>
      <c r="AI33" s="173">
        <f t="shared" si="20"/>
        <v>1.961087711025693</v>
      </c>
      <c r="AJ33" s="173">
        <f t="shared" si="21"/>
        <v>1.961087711025693</v>
      </c>
      <c r="AK33" s="173">
        <f t="shared" si="22"/>
        <v>1.6650032427350812</v>
      </c>
      <c r="AM33" s="545">
        <f t="shared" si="23"/>
        <v>1680.0000000000002</v>
      </c>
      <c r="AN33" s="460">
        <f t="shared" si="24"/>
        <v>350</v>
      </c>
      <c r="AP33">
        <f t="shared" si="25"/>
        <v>1680.0000000000002</v>
      </c>
      <c r="AQ33" s="460">
        <f t="shared" si="26"/>
        <v>350</v>
      </c>
      <c r="AR33" s="460"/>
      <c r="AS33" s="5">
        <f t="shared" si="101"/>
        <v>2.8571428571428572</v>
      </c>
      <c r="AT33" s="5">
        <f t="shared" si="27"/>
        <v>0.98208838704282975</v>
      </c>
      <c r="AU33" s="5">
        <f t="shared" si="102"/>
        <v>1.8750544701000273</v>
      </c>
      <c r="AV33" s="5">
        <f t="shared" si="28"/>
        <v>1.2238106365700216</v>
      </c>
      <c r="AW33" s="173">
        <f t="shared" si="103"/>
        <v>0.34373093546499039</v>
      </c>
      <c r="AX33" s="173">
        <f t="shared" si="29"/>
        <v>8.0763165217055839</v>
      </c>
      <c r="AY33" s="173">
        <f t="shared" si="30"/>
        <v>2.5740023951718696</v>
      </c>
      <c r="AZ33" s="173">
        <f t="shared" si="104"/>
        <v>3.1376491866730829</v>
      </c>
      <c r="BA33" s="460">
        <f t="shared" si="31"/>
        <v>41.247712255798852</v>
      </c>
      <c r="BB33" s="5">
        <f t="shared" si="32"/>
        <v>0.43820187027276386</v>
      </c>
      <c r="BC33" s="5"/>
      <c r="BD33" s="173">
        <f t="shared" si="105"/>
        <v>0.66381291984887469</v>
      </c>
      <c r="BE33" s="173">
        <f t="shared" si="33"/>
        <v>3.6689124511485245</v>
      </c>
      <c r="BF33" s="173"/>
      <c r="BG33" s="528">
        <f t="shared" si="34"/>
        <v>5.3759006292111201E-3</v>
      </c>
      <c r="BH33" s="528">
        <f t="shared" si="35"/>
        <v>0.55634576887827469</v>
      </c>
      <c r="BI33" s="528">
        <f t="shared" si="36"/>
        <v>0.20966973275972325</v>
      </c>
      <c r="BJ33" s="528">
        <f t="shared" si="37"/>
        <v>6.5407109054833171E-2</v>
      </c>
      <c r="BK33">
        <f t="shared" si="38"/>
        <v>1.0783014827642911E-2</v>
      </c>
      <c r="BL33" s="460">
        <f t="shared" si="106"/>
        <v>220.45274758736616</v>
      </c>
      <c r="BM33" s="528">
        <f t="shared" si="39"/>
        <v>0.62938419296665282</v>
      </c>
      <c r="BN33" s="460">
        <f t="shared" si="107"/>
        <v>629.38419296665279</v>
      </c>
      <c r="BO33" s="528">
        <f t="shared" si="108"/>
        <v>1.0436999999999999</v>
      </c>
      <c r="BP33" s="528"/>
      <c r="BR33" s="460">
        <f t="shared" si="109"/>
        <v>1043.6999999999998</v>
      </c>
      <c r="BS33" s="528">
        <f t="shared" si="40"/>
        <v>1.3219427776748656E-2</v>
      </c>
      <c r="BT33" s="528">
        <f t="shared" si="41"/>
        <v>0.40382755722578018</v>
      </c>
      <c r="BU33" s="528">
        <f t="shared" si="42"/>
        <v>0.1008</v>
      </c>
      <c r="BV33" s="528">
        <f t="shared" si="43"/>
        <v>0.6392665979874137</v>
      </c>
      <c r="BW33" s="528">
        <f t="shared" si="44"/>
        <v>3.3651318840439932E-2</v>
      </c>
      <c r="BX33" s="460">
        <f t="shared" si="110"/>
        <v>672.91791682785367</v>
      </c>
      <c r="BY33" s="173">
        <f t="shared" si="45"/>
        <v>2.5664548573818728</v>
      </c>
      <c r="BZ33" s="5">
        <f t="shared" si="111"/>
        <v>6.7200000000000006</v>
      </c>
      <c r="CA33" s="173">
        <f t="shared" si="112"/>
        <v>0.7236345950315175</v>
      </c>
      <c r="CB33" s="5">
        <f t="shared" si="113"/>
        <v>72.363459503151745</v>
      </c>
      <c r="CE33" s="562">
        <f t="shared" si="46"/>
        <v>-50</v>
      </c>
      <c r="CF33">
        <f t="shared" si="47"/>
        <v>-50</v>
      </c>
      <c r="CG33" s="173">
        <f t="shared" si="48"/>
        <v>0.46957427527495588</v>
      </c>
      <c r="CI33" s="170">
        <v>28</v>
      </c>
      <c r="CJ33" s="217">
        <f t="shared" si="114"/>
        <v>1.6800000000000002</v>
      </c>
      <c r="CK33" s="217"/>
      <c r="CL33" s="217">
        <f t="shared" si="49"/>
        <v>6.7200000000000006</v>
      </c>
      <c r="CM33" s="541">
        <f t="shared" si="50"/>
        <v>24</v>
      </c>
      <c r="CN33" s="172">
        <f t="shared" si="51"/>
        <v>18.8</v>
      </c>
      <c r="CO33" s="443">
        <f t="shared" si="52"/>
        <v>42.8</v>
      </c>
      <c r="CP33" s="443"/>
      <c r="CQ33" s="217">
        <f t="shared" si="53"/>
        <v>0.43925233644859818</v>
      </c>
      <c r="CR33" s="172">
        <f t="shared" si="54"/>
        <v>35.456448598130848</v>
      </c>
      <c r="CS33" s="172">
        <f t="shared" si="115"/>
        <v>6.7200000000000006</v>
      </c>
      <c r="CT33" s="217">
        <f t="shared" si="55"/>
        <v>8.864112149532712</v>
      </c>
      <c r="CU33" s="217">
        <f t="shared" si="56"/>
        <v>4</v>
      </c>
      <c r="CV33" s="217">
        <f t="shared" si="57"/>
        <v>8.7850467289719631</v>
      </c>
      <c r="CW33" s="172">
        <f t="shared" si="58"/>
        <v>41.718062043508866</v>
      </c>
      <c r="CX33" s="172">
        <f t="shared" si="59"/>
        <v>4</v>
      </c>
      <c r="CY33" s="217">
        <f t="shared" si="60"/>
        <v>1.2748936170212766</v>
      </c>
      <c r="CZ33" s="217">
        <f t="shared" si="61"/>
        <v>0.6374468085106384</v>
      </c>
      <c r="DA33" s="217">
        <f t="shared" si="62"/>
        <v>0.81376188320507015</v>
      </c>
      <c r="DB33" s="197">
        <f t="shared" si="63"/>
        <v>350</v>
      </c>
      <c r="DC33" s="443">
        <f t="shared" si="116"/>
        <v>350</v>
      </c>
      <c r="DE33" s="217">
        <f t="shared" si="64"/>
        <v>2.5100133511348464</v>
      </c>
      <c r="DF33" s="173">
        <f t="shared" si="65"/>
        <v>1.6021361815754336</v>
      </c>
      <c r="DG33" s="173">
        <f t="shared" si="66"/>
        <v>2.8149682442633783</v>
      </c>
      <c r="DH33" s="173"/>
      <c r="DI33" s="173">
        <f t="shared" si="67"/>
        <v>0.85106382978723416</v>
      </c>
      <c r="DJ33" s="545">
        <f t="shared" si="117"/>
        <v>740.24999999999989</v>
      </c>
      <c r="DK33" s="528">
        <f t="shared" si="68"/>
        <v>0.79432624113475192</v>
      </c>
      <c r="DM33" s="173">
        <f t="shared" si="69"/>
        <v>1.9390719429665317</v>
      </c>
      <c r="DN33" s="173">
        <f t="shared" si="70"/>
        <v>1.9390719429665317</v>
      </c>
      <c r="DO33" s="173">
        <f t="shared" si="71"/>
        <v>1.6486952663949617</v>
      </c>
      <c r="DQ33" s="545">
        <f t="shared" si="72"/>
        <v>1680.0000000000002</v>
      </c>
      <c r="DR33" s="460">
        <f t="shared" si="73"/>
        <v>350</v>
      </c>
      <c r="DT33">
        <f t="shared" si="74"/>
        <v>1680.0000000000002</v>
      </c>
      <c r="DU33" s="460">
        <f t="shared" si="75"/>
        <v>350</v>
      </c>
      <c r="DV33" s="460"/>
      <c r="DW33" s="5">
        <f t="shared" si="118"/>
        <v>2.8571428571428572</v>
      </c>
      <c r="DX33" s="5">
        <f t="shared" si="76"/>
        <v>0.96953597148326587</v>
      </c>
      <c r="DY33" s="5">
        <f t="shared" si="119"/>
        <v>1.8876068856595913</v>
      </c>
      <c r="DZ33" s="5">
        <f t="shared" si="77"/>
        <v>1.237705495510552</v>
      </c>
      <c r="EA33" s="173">
        <f t="shared" si="120"/>
        <v>0.33933759001914304</v>
      </c>
      <c r="EB33" s="173">
        <f t="shared" si="78"/>
        <v>7.8960000000000017</v>
      </c>
      <c r="EC33" s="173">
        <f t="shared" si="79"/>
        <v>2.5621438859330632</v>
      </c>
      <c r="ED33" s="173">
        <f t="shared" si="121"/>
        <v>3.0817941347288906</v>
      </c>
      <c r="EE33" s="460">
        <f t="shared" si="80"/>
        <v>40.720510802297177</v>
      </c>
      <c r="EF33" s="5">
        <f t="shared" si="81"/>
        <v>0.44044160665390464</v>
      </c>
      <c r="EG33" s="5"/>
      <c r="EH33" s="173">
        <f t="shared" si="122"/>
        <v>0.65215267600769122</v>
      </c>
      <c r="EI33" s="173">
        <f t="shared" si="82"/>
        <v>3.639846635251196</v>
      </c>
      <c r="EJ33" s="173"/>
      <c r="EK33" s="528">
        <f t="shared" si="83"/>
        <v>5.1886979764527103E-3</v>
      </c>
      <c r="EL33" s="528">
        <f t="shared" si="84"/>
        <v>0.58094595411277283</v>
      </c>
      <c r="EM33" s="528">
        <f t="shared" si="85"/>
        <v>4.3749999999999997E-2</v>
      </c>
      <c r="EN33" s="528">
        <f t="shared" si="86"/>
        <v>6.4114399999999988E-2</v>
      </c>
      <c r="EO33">
        <f t="shared" si="87"/>
        <v>1.0800000000000001E-2</v>
      </c>
      <c r="EP33" s="460">
        <f t="shared" si="123"/>
        <v>54.550000000000004</v>
      </c>
      <c r="EQ33" s="528">
        <f t="shared" si="88"/>
        <v>0.70707170303076594</v>
      </c>
      <c r="ER33" s="460">
        <f t="shared" si="124"/>
        <v>707.07170303076589</v>
      </c>
      <c r="ES33" s="528">
        <f t="shared" si="125"/>
        <v>1.0436999999999999</v>
      </c>
      <c r="ET33" s="528"/>
      <c r="EV33" s="460">
        <f t="shared" si="126"/>
        <v>1043.6999999999998</v>
      </c>
      <c r="EW33" s="528">
        <f t="shared" si="89"/>
        <v>1.2759093384719779E-2</v>
      </c>
      <c r="EX33" s="528">
        <f t="shared" si="90"/>
        <v>0.39745450584448361</v>
      </c>
      <c r="EY33" s="528">
        <f t="shared" si="91"/>
        <v>0.59996362622776322</v>
      </c>
      <c r="EZ33" s="528">
        <f t="shared" si="92"/>
        <v>1.1462449092579643</v>
      </c>
      <c r="FA33" s="528">
        <f t="shared" si="93"/>
        <v>3.2900000000000006E-2</v>
      </c>
      <c r="FB33" s="460">
        <f t="shared" si="127"/>
        <v>1179.1449092579642</v>
      </c>
      <c r="FC33" s="173">
        <f t="shared" si="128"/>
        <v>2.9299166122887303</v>
      </c>
      <c r="FD33" s="5">
        <f t="shared" si="129"/>
        <v>6.7200000000000006</v>
      </c>
      <c r="FE33" s="173">
        <f t="shared" si="130"/>
        <v>0.69637907455515058</v>
      </c>
      <c r="FF33" s="5">
        <f t="shared" si="131"/>
        <v>69.637907455515062</v>
      </c>
      <c r="FI33" s="562">
        <f t="shared" si="94"/>
        <v>-50</v>
      </c>
      <c r="FJ33">
        <f t="shared" si="95"/>
        <v>-50</v>
      </c>
      <c r="FL33">
        <f t="shared" si="96"/>
        <v>0.4331969234286932</v>
      </c>
    </row>
    <row r="34" spans="5:168">
      <c r="E34" s="170">
        <v>29</v>
      </c>
      <c r="F34" s="217">
        <f t="shared" si="97"/>
        <v>1.7399999999999998</v>
      </c>
      <c r="G34" s="217"/>
      <c r="H34" s="217">
        <f t="shared" si="0"/>
        <v>6.9599999999999991</v>
      </c>
      <c r="I34" s="541">
        <f t="shared" si="1"/>
        <v>23.961587070629054</v>
      </c>
      <c r="J34" s="172">
        <f t="shared" si="2"/>
        <v>19.236924315119744</v>
      </c>
      <c r="K34" s="172">
        <f t="shared" si="3"/>
        <v>43.236924315119744</v>
      </c>
      <c r="L34" s="443"/>
      <c r="M34" s="217">
        <f t="shared" si="4"/>
        <v>0.44578523737447801</v>
      </c>
      <c r="N34" s="172">
        <f t="shared" si="5"/>
        <v>35.926190920569809</v>
      </c>
      <c r="O34" s="172">
        <f t="shared" si="98"/>
        <v>6.9599999999999991</v>
      </c>
      <c r="P34" s="217">
        <f t="shared" si="6"/>
        <v>8.9815477301424522</v>
      </c>
      <c r="Q34" s="217">
        <f t="shared" si="7"/>
        <v>4</v>
      </c>
      <c r="R34" s="217">
        <f t="shared" si="8"/>
        <v>8.9014348167913315</v>
      </c>
      <c r="S34" s="172">
        <f t="shared" si="9"/>
        <v>40.016015151146995</v>
      </c>
      <c r="T34" s="172">
        <f t="shared" si="10"/>
        <v>4</v>
      </c>
      <c r="U34" s="217">
        <f t="shared" si="99"/>
        <v>1.5697885705506753</v>
      </c>
      <c r="V34" s="217">
        <f t="shared" si="11"/>
        <v>0.78615255287902652</v>
      </c>
      <c r="W34" s="217">
        <f t="shared" si="12"/>
        <v>0.97923464988643361</v>
      </c>
      <c r="X34" s="197">
        <f t="shared" si="13"/>
        <v>350</v>
      </c>
      <c r="Y34" s="443">
        <f t="shared" si="14"/>
        <v>350</v>
      </c>
      <c r="AA34" s="217">
        <f t="shared" si="15"/>
        <v>2.5405815758421051</v>
      </c>
      <c r="AB34" s="173">
        <f t="shared" si="16"/>
        <v>1.5848156602738857</v>
      </c>
      <c r="AC34" s="173">
        <f t="shared" si="17"/>
        <v>2.8184474273185121</v>
      </c>
      <c r="AD34" s="173"/>
      <c r="AE34" s="173">
        <f t="shared" si="18"/>
        <v>0.83173379163447669</v>
      </c>
      <c r="AF34" s="545">
        <f t="shared" si="100"/>
        <v>784.50581972597672</v>
      </c>
      <c r="AG34" s="528">
        <f t="shared" si="19"/>
        <v>0.77628487219217845</v>
      </c>
      <c r="AI34" s="173">
        <f t="shared" si="20"/>
        <v>1.9961942453766375</v>
      </c>
      <c r="AJ34" s="173">
        <f t="shared" si="21"/>
        <v>1.9961942453766375</v>
      </c>
      <c r="AK34" s="173">
        <f t="shared" si="22"/>
        <v>1.69100808299504</v>
      </c>
      <c r="AM34" s="545">
        <f t="shared" si="23"/>
        <v>1739.9999999999998</v>
      </c>
      <c r="AN34" s="460">
        <f t="shared" si="24"/>
        <v>350</v>
      </c>
      <c r="AP34">
        <f t="shared" si="25"/>
        <v>1739.9999999999998</v>
      </c>
      <c r="AQ34" s="460">
        <f t="shared" si="26"/>
        <v>350</v>
      </c>
      <c r="AR34" s="460"/>
      <c r="AS34" s="5">
        <f t="shared" si="101"/>
        <v>2.8571428571428572</v>
      </c>
      <c r="AT34" s="5">
        <f t="shared" si="27"/>
        <v>0.99969717673174086</v>
      </c>
      <c r="AU34" s="5">
        <f t="shared" si="102"/>
        <v>1.8574456804111164</v>
      </c>
      <c r="AV34" s="5">
        <f t="shared" si="28"/>
        <v>1.2452266564095251</v>
      </c>
      <c r="AW34" s="173">
        <f t="shared" si="103"/>
        <v>0.3498940118561093</v>
      </c>
      <c r="AX34" s="173">
        <f t="shared" si="29"/>
        <v>8.3680620770770862</v>
      </c>
      <c r="AY34" s="173">
        <f t="shared" si="30"/>
        <v>2.5954756648354542</v>
      </c>
      <c r="AZ34" s="173">
        <f t="shared" si="104"/>
        <v>3.2240957564930963</v>
      </c>
      <c r="BA34" s="460">
        <f t="shared" si="31"/>
        <v>43.48682718783072</v>
      </c>
      <c r="BB34" s="5">
        <f t="shared" si="32"/>
        <v>0.44960231201003031</v>
      </c>
      <c r="BC34" s="5"/>
      <c r="BD34" s="173">
        <f t="shared" si="105"/>
        <v>0.68172689355659744</v>
      </c>
      <c r="BE34" s="173">
        <f t="shared" si="33"/>
        <v>3.71701442420648</v>
      </c>
      <c r="BF34" s="173"/>
      <c r="BG34" s="528">
        <f t="shared" si="34"/>
        <v>5.6699690002596052E-3</v>
      </c>
      <c r="BH34" s="528">
        <f t="shared" si="35"/>
        <v>0.56640477800567879</v>
      </c>
      <c r="BI34" s="528">
        <f t="shared" si="36"/>
        <v>0.20966388686800422</v>
      </c>
      <c r="BJ34" s="528">
        <f t="shared" si="37"/>
        <v>6.543010684809876E-2</v>
      </c>
      <c r="BK34">
        <f t="shared" si="38"/>
        <v>1.0782714181783074E-2</v>
      </c>
      <c r="BL34" s="460">
        <f t="shared" si="106"/>
        <v>220.44660104978732</v>
      </c>
      <c r="BM34" s="528">
        <f t="shared" si="39"/>
        <v>0.63989780597594381</v>
      </c>
      <c r="BN34" s="460">
        <f t="shared" si="107"/>
        <v>639.89780597594381</v>
      </c>
      <c r="BO34" s="528">
        <f t="shared" si="108"/>
        <v>1.0809749999999998</v>
      </c>
      <c r="BP34" s="528"/>
      <c r="BR34" s="460">
        <f t="shared" si="109"/>
        <v>1080.9749999999999</v>
      </c>
      <c r="BS34" s="528">
        <f t="shared" si="40"/>
        <v>1.3942546721949851E-2</v>
      </c>
      <c r="BT34" s="528">
        <f t="shared" si="41"/>
        <v>0.41448588689277088</v>
      </c>
      <c r="BU34" s="528">
        <f t="shared" si="42"/>
        <v>0.10439999999999998</v>
      </c>
      <c r="BV34" s="528">
        <f t="shared" si="43"/>
        <v>0.65821096096168186</v>
      </c>
      <c r="BW34" s="528">
        <f t="shared" si="44"/>
        <v>3.4866925321154527E-2</v>
      </c>
      <c r="BX34" s="460">
        <f t="shared" si="110"/>
        <v>693.0778862828364</v>
      </c>
      <c r="BY34" s="173">
        <f t="shared" si="45"/>
        <v>2.6343972933085671</v>
      </c>
      <c r="BZ34" s="5">
        <f t="shared" si="111"/>
        <v>6.9599999999999991</v>
      </c>
      <c r="CA34" s="173">
        <f t="shared" si="112"/>
        <v>0.72542336816238806</v>
      </c>
      <c r="CB34" s="5">
        <f t="shared" si="113"/>
        <v>72.542336816238802</v>
      </c>
      <c r="CE34" s="562">
        <f t="shared" si="46"/>
        <v>-50</v>
      </c>
      <c r="CF34">
        <f t="shared" si="47"/>
        <v>-50</v>
      </c>
      <c r="CG34" s="173">
        <f t="shared" si="48"/>
        <v>0.47788596966221969</v>
      </c>
      <c r="CI34" s="170">
        <v>29</v>
      </c>
      <c r="CJ34" s="217">
        <f t="shared" si="114"/>
        <v>1.7399999999999998</v>
      </c>
      <c r="CK34" s="217"/>
      <c r="CL34" s="217">
        <f t="shared" si="49"/>
        <v>6.9599999999999991</v>
      </c>
      <c r="CM34" s="541">
        <f t="shared" si="50"/>
        <v>24</v>
      </c>
      <c r="CN34" s="172">
        <f t="shared" si="51"/>
        <v>18.8</v>
      </c>
      <c r="CO34" s="443">
        <f t="shared" si="52"/>
        <v>42.8</v>
      </c>
      <c r="CP34" s="443"/>
      <c r="CQ34" s="217">
        <f t="shared" si="53"/>
        <v>0.43925233644859818</v>
      </c>
      <c r="CR34" s="172">
        <f t="shared" si="54"/>
        <v>35.456448598130848</v>
      </c>
      <c r="CS34" s="172">
        <f t="shared" si="115"/>
        <v>6.9599999999999991</v>
      </c>
      <c r="CT34" s="217">
        <f t="shared" si="55"/>
        <v>8.864112149532712</v>
      </c>
      <c r="CU34" s="217">
        <f t="shared" si="56"/>
        <v>4</v>
      </c>
      <c r="CV34" s="217">
        <f t="shared" si="57"/>
        <v>8.7850467289719631</v>
      </c>
      <c r="CW34" s="172">
        <f t="shared" si="58"/>
        <v>40.080003148879946</v>
      </c>
      <c r="CX34" s="172">
        <f t="shared" si="59"/>
        <v>4</v>
      </c>
      <c r="CY34" s="217">
        <f t="shared" si="60"/>
        <v>1.3204255319148932</v>
      </c>
      <c r="CZ34" s="217">
        <f t="shared" si="61"/>
        <v>0.6602127659574466</v>
      </c>
      <c r="DA34" s="217">
        <f t="shared" si="62"/>
        <v>0.84282480760525103</v>
      </c>
      <c r="DB34" s="197">
        <f t="shared" si="63"/>
        <v>350</v>
      </c>
      <c r="DC34" s="443">
        <f t="shared" si="116"/>
        <v>350</v>
      </c>
      <c r="DE34" s="217">
        <f t="shared" si="64"/>
        <v>2.5100133511348464</v>
      </c>
      <c r="DF34" s="173">
        <f t="shared" si="65"/>
        <v>1.6021361815754336</v>
      </c>
      <c r="DG34" s="173">
        <f t="shared" si="66"/>
        <v>2.8149682442633783</v>
      </c>
      <c r="DH34" s="173"/>
      <c r="DI34" s="173">
        <f t="shared" si="67"/>
        <v>0.85106382978723416</v>
      </c>
      <c r="DJ34" s="545">
        <f t="shared" si="117"/>
        <v>766.68749999999977</v>
      </c>
      <c r="DK34" s="528">
        <f t="shared" si="68"/>
        <v>0.79432624113475192</v>
      </c>
      <c r="DM34" s="173">
        <f t="shared" si="69"/>
        <v>1.9733944649475721</v>
      </c>
      <c r="DN34" s="173">
        <f t="shared" si="70"/>
        <v>1.9733944649475721</v>
      </c>
      <c r="DO34" s="173">
        <f t="shared" si="71"/>
        <v>1.6741193567512878</v>
      </c>
      <c r="DQ34" s="545">
        <f t="shared" si="72"/>
        <v>1739.9999999999998</v>
      </c>
      <c r="DR34" s="460">
        <f t="shared" si="73"/>
        <v>350</v>
      </c>
      <c r="DT34">
        <f t="shared" si="74"/>
        <v>1739.9999999999998</v>
      </c>
      <c r="DU34" s="460">
        <f t="shared" si="75"/>
        <v>350</v>
      </c>
      <c r="DV34" s="460"/>
      <c r="DW34" s="5">
        <f t="shared" si="118"/>
        <v>2.8571428571428572</v>
      </c>
      <c r="DX34" s="5">
        <f t="shared" si="76"/>
        <v>0.98669723247378616</v>
      </c>
      <c r="DY34" s="5">
        <f t="shared" si="119"/>
        <v>1.870445624669071</v>
      </c>
      <c r="DZ34" s="5">
        <f t="shared" si="77"/>
        <v>1.2596134882644077</v>
      </c>
      <c r="EA34" s="173">
        <f t="shared" si="120"/>
        <v>0.34534403136582514</v>
      </c>
      <c r="EB34" s="173">
        <f t="shared" si="78"/>
        <v>8.177999999999999</v>
      </c>
      <c r="EC34" s="173">
        <f t="shared" si="79"/>
        <v>2.5837889298951442</v>
      </c>
      <c r="ED34" s="173">
        <f t="shared" si="121"/>
        <v>3.1651192190578352</v>
      </c>
      <c r="EE34" s="460">
        <f t="shared" si="80"/>
        <v>42.921329612609696</v>
      </c>
      <c r="EF34" s="5">
        <f t="shared" si="81"/>
        <v>0.45202435929502538</v>
      </c>
      <c r="EG34" s="5"/>
      <c r="EH34" s="173">
        <f t="shared" si="122"/>
        <v>0.66954420512807833</v>
      </c>
      <c r="EI34" s="173">
        <f t="shared" si="82"/>
        <v>3.6873964700848711</v>
      </c>
      <c r="EJ34" s="173"/>
      <c r="EK34" s="528">
        <f t="shared" si="83"/>
        <v>5.4691311999712005E-3</v>
      </c>
      <c r="EL34" s="528">
        <f t="shared" si="84"/>
        <v>0.59122898169829252</v>
      </c>
      <c r="EM34" s="528">
        <f t="shared" si="85"/>
        <v>4.3749999999999997E-2</v>
      </c>
      <c r="EN34" s="528">
        <f t="shared" si="86"/>
        <v>6.4114399999999988E-2</v>
      </c>
      <c r="EO34">
        <f t="shared" si="87"/>
        <v>1.0800000000000001E-2</v>
      </c>
      <c r="EP34" s="460">
        <f t="shared" si="123"/>
        <v>54.550000000000004</v>
      </c>
      <c r="EQ34" s="528">
        <f t="shared" si="88"/>
        <v>0.71777189819330622</v>
      </c>
      <c r="ER34" s="460">
        <f t="shared" si="124"/>
        <v>717.77189819330624</v>
      </c>
      <c r="ES34" s="528">
        <f t="shared" si="125"/>
        <v>1.0809749999999998</v>
      </c>
      <c r="ET34" s="528"/>
      <c r="EV34" s="460">
        <f t="shared" si="126"/>
        <v>1080.9749999999999</v>
      </c>
      <c r="EW34" s="528">
        <f t="shared" si="89"/>
        <v>1.3448683278617707E-2</v>
      </c>
      <c r="EX34" s="528">
        <f t="shared" si="90"/>
        <v>0.40790678182783102</v>
      </c>
      <c r="EY34" s="528">
        <f t="shared" si="91"/>
        <v>0.62686623727191904</v>
      </c>
      <c r="EZ34" s="528">
        <f t="shared" si="92"/>
        <v>1.1894412186355112</v>
      </c>
      <c r="FA34" s="528">
        <f t="shared" si="93"/>
        <v>3.4075000000000001E-2</v>
      </c>
      <c r="FB34" s="460">
        <f t="shared" si="127"/>
        <v>1223.5162186355112</v>
      </c>
      <c r="FC34" s="173">
        <f t="shared" si="128"/>
        <v>3.022263116828817</v>
      </c>
      <c r="FD34" s="5">
        <f t="shared" si="129"/>
        <v>6.9599999999999991</v>
      </c>
      <c r="FE34" s="173">
        <f t="shared" si="130"/>
        <v>0.69723668055456589</v>
      </c>
      <c r="FF34" s="5">
        <f t="shared" si="131"/>
        <v>69.723668055456585</v>
      </c>
      <c r="FI34" s="562">
        <f t="shared" si="94"/>
        <v>-50</v>
      </c>
      <c r="FJ34">
        <f t="shared" si="95"/>
        <v>-50</v>
      </c>
      <c r="FL34">
        <f t="shared" si="96"/>
        <v>0.44086472089254264</v>
      </c>
    </row>
    <row r="35" spans="5:168">
      <c r="E35" s="170">
        <v>30</v>
      </c>
      <c r="F35" s="217">
        <f t="shared" si="97"/>
        <v>1.7999999999999998</v>
      </c>
      <c r="G35" s="217"/>
      <c r="H35" s="217">
        <f t="shared" si="0"/>
        <v>7.1999999999999993</v>
      </c>
      <c r="I35" s="541">
        <f t="shared" si="1"/>
        <v>23.960930391789599</v>
      </c>
      <c r="J35" s="172">
        <f t="shared" si="2"/>
        <v>19.244393647890824</v>
      </c>
      <c r="K35" s="172">
        <f t="shared" si="3"/>
        <v>43.244393647890824</v>
      </c>
      <c r="L35" s="443"/>
      <c r="M35" s="217">
        <f t="shared" si="4"/>
        <v>0.44589577578586137</v>
      </c>
      <c r="N35" s="172">
        <f t="shared" si="5"/>
        <v>35.934114481361426</v>
      </c>
      <c r="O35" s="172">
        <f t="shared" si="98"/>
        <v>7.1999999999999993</v>
      </c>
      <c r="P35" s="217">
        <f t="shared" si="6"/>
        <v>8.9835286203403566</v>
      </c>
      <c r="Q35" s="217">
        <f t="shared" si="7"/>
        <v>4</v>
      </c>
      <c r="R35" s="217">
        <f t="shared" si="8"/>
        <v>8.9033980379983717</v>
      </c>
      <c r="S35" s="172">
        <f t="shared" si="9"/>
        <v>38.488859567935513</v>
      </c>
      <c r="T35" s="172">
        <f t="shared" si="10"/>
        <v>4</v>
      </c>
      <c r="U35" s="217">
        <f t="shared" si="99"/>
        <v>1.6242431670258968</v>
      </c>
      <c r="V35" s="217">
        <f t="shared" si="11"/>
        <v>0.81344579219634483</v>
      </c>
      <c r="W35" s="217">
        <f t="shared" si="12"/>
        <v>1.0128101909018556</v>
      </c>
      <c r="X35" s="197">
        <f t="shared" si="13"/>
        <v>350</v>
      </c>
      <c r="Y35" s="443">
        <f t="shared" si="14"/>
        <v>350</v>
      </c>
      <c r="AA35" s="217">
        <f t="shared" si="15"/>
        <v>2.5410976368484248</v>
      </c>
      <c r="AB35" s="173">
        <f t="shared" si="16"/>
        <v>1.5845223393423535</v>
      </c>
      <c r="AC35" s="173">
        <f t="shared" si="17"/>
        <v>2.818498180425475</v>
      </c>
      <c r="AD35" s="173"/>
      <c r="AE35" s="173">
        <f t="shared" si="18"/>
        <v>0.83141097052717972</v>
      </c>
      <c r="AF35" s="545">
        <f t="shared" si="100"/>
        <v>811.87285702039378</v>
      </c>
      <c r="AG35" s="528">
        <f t="shared" si="19"/>
        <v>0.77598357249203453</v>
      </c>
      <c r="AI35" s="173">
        <f t="shared" si="20"/>
        <v>2.0307138249477075</v>
      </c>
      <c r="AJ35" s="173">
        <f t="shared" si="21"/>
        <v>2.0307138249477075</v>
      </c>
      <c r="AK35" s="173">
        <f t="shared" si="22"/>
        <v>1.7165781419365733</v>
      </c>
      <c r="AM35" s="545">
        <f t="shared" si="23"/>
        <v>1799.9999999999998</v>
      </c>
      <c r="AN35" s="460">
        <f t="shared" si="24"/>
        <v>350</v>
      </c>
      <c r="AP35">
        <f t="shared" si="25"/>
        <v>1799.9999999999998</v>
      </c>
      <c r="AQ35" s="460">
        <f t="shared" si="26"/>
        <v>350</v>
      </c>
      <c r="AR35" s="460"/>
      <c r="AS35" s="5">
        <f t="shared" si="101"/>
        <v>2.8571428571428572</v>
      </c>
      <c r="AT35" s="5">
        <f t="shared" si="27"/>
        <v>1.0170125074827048</v>
      </c>
      <c r="AU35" s="5">
        <f t="shared" si="102"/>
        <v>1.8401303496601524</v>
      </c>
      <c r="AV35" s="5">
        <f t="shared" si="28"/>
        <v>1.266268314047051</v>
      </c>
      <c r="AW35" s="173">
        <f t="shared" si="103"/>
        <v>0.35595437761894666</v>
      </c>
      <c r="AX35" s="173">
        <f t="shared" si="29"/>
        <v>8.6599771415508719</v>
      </c>
      <c r="AY35" s="173">
        <f t="shared" si="30"/>
        <v>2.6157446985325112</v>
      </c>
      <c r="AZ35" s="173">
        <f t="shared" si="104"/>
        <v>3.3107119155815568</v>
      </c>
      <c r="BA35" s="460">
        <f t="shared" si="31"/>
        <v>45.765562836721713</v>
      </c>
      <c r="BB35" s="5">
        <f t="shared" si="32"/>
        <v>0.46078269572303926</v>
      </c>
      <c r="BC35" s="5"/>
      <c r="BD35" s="173">
        <f t="shared" si="105"/>
        <v>0.69949605143320293</v>
      </c>
      <c r="BE35" s="173">
        <f t="shared" si="33"/>
        <v>3.7636255293156338</v>
      </c>
      <c r="BF35" s="173"/>
      <c r="BG35" s="528">
        <f t="shared" si="34"/>
        <v>5.9693956568418324E-3</v>
      </c>
      <c r="BH35" s="528">
        <f t="shared" si="35"/>
        <v>0.57629898396165846</v>
      </c>
      <c r="BI35" s="528">
        <f t="shared" si="36"/>
        <v>0.20965814092815899</v>
      </c>
      <c r="BJ35" s="528">
        <f t="shared" si="37"/>
        <v>6.5452715369080899E-2</v>
      </c>
      <c r="BK35">
        <f t="shared" si="38"/>
        <v>1.0782418676305319E-2</v>
      </c>
      <c r="BL35" s="460">
        <f t="shared" si="106"/>
        <v>220.44055960446428</v>
      </c>
      <c r="BM35" s="528">
        <f t="shared" si="39"/>
        <v>0.65025510710582646</v>
      </c>
      <c r="BN35" s="460">
        <f t="shared" si="107"/>
        <v>650.25510710582648</v>
      </c>
      <c r="BO35" s="528">
        <f t="shared" si="108"/>
        <v>1.1182499999999997</v>
      </c>
      <c r="BP35" s="528"/>
      <c r="BR35" s="460">
        <f t="shared" si="109"/>
        <v>1118.2499999999998</v>
      </c>
      <c r="BS35" s="528">
        <f t="shared" si="40"/>
        <v>1.467884177911926E-2</v>
      </c>
      <c r="BT35" s="528">
        <f t="shared" si="41"/>
        <v>0.42494631374749148</v>
      </c>
      <c r="BU35" s="528">
        <f t="shared" si="42"/>
        <v>0.10799999999999998</v>
      </c>
      <c r="BV35" s="528">
        <f t="shared" si="43"/>
        <v>0.67694329703223677</v>
      </c>
      <c r="BW35" s="528">
        <f t="shared" si="44"/>
        <v>3.60832380897953E-2</v>
      </c>
      <c r="BX35" s="460">
        <f t="shared" si="110"/>
        <v>713.0265351220321</v>
      </c>
      <c r="BY35" s="173">
        <f t="shared" si="45"/>
        <v>2.7019722018323225</v>
      </c>
      <c r="BZ35" s="5">
        <f t="shared" si="111"/>
        <v>7.1999999999999993</v>
      </c>
      <c r="CA35" s="173">
        <f t="shared" si="112"/>
        <v>0.72712787445188609</v>
      </c>
      <c r="CB35" s="5">
        <f t="shared" si="113"/>
        <v>72.71278744518861</v>
      </c>
      <c r="CE35" s="562">
        <f t="shared" si="46"/>
        <v>-50</v>
      </c>
      <c r="CF35">
        <f t="shared" si="47"/>
        <v>-50</v>
      </c>
      <c r="CG35" s="173">
        <f t="shared" si="48"/>
        <v>0.48605555238058951</v>
      </c>
      <c r="CI35" s="170">
        <v>30</v>
      </c>
      <c r="CJ35" s="217">
        <f t="shared" si="114"/>
        <v>1.7999999999999998</v>
      </c>
      <c r="CK35" s="217"/>
      <c r="CL35" s="217">
        <f t="shared" si="49"/>
        <v>7.1999999999999993</v>
      </c>
      <c r="CM35" s="541">
        <f t="shared" si="50"/>
        <v>24</v>
      </c>
      <c r="CN35" s="172">
        <f t="shared" si="51"/>
        <v>18.8</v>
      </c>
      <c r="CO35" s="443">
        <f t="shared" si="52"/>
        <v>42.8</v>
      </c>
      <c r="CP35" s="443"/>
      <c r="CQ35" s="217">
        <f t="shared" si="53"/>
        <v>0.43925233644859818</v>
      </c>
      <c r="CR35" s="172">
        <f t="shared" si="54"/>
        <v>35.456448598130848</v>
      </c>
      <c r="CS35" s="172">
        <f t="shared" si="115"/>
        <v>7.1999999999999993</v>
      </c>
      <c r="CT35" s="217">
        <f t="shared" si="55"/>
        <v>8.864112149532712</v>
      </c>
      <c r="CU35" s="217">
        <f t="shared" si="56"/>
        <v>4</v>
      </c>
      <c r="CV35" s="217">
        <f t="shared" si="57"/>
        <v>8.7850467289719631</v>
      </c>
      <c r="CW35" s="172">
        <f t="shared" si="58"/>
        <v>38.551446869449805</v>
      </c>
      <c r="CX35" s="172">
        <f t="shared" si="59"/>
        <v>4</v>
      </c>
      <c r="CY35" s="217">
        <f t="shared" si="60"/>
        <v>1.3659574468085103</v>
      </c>
      <c r="CZ35" s="217">
        <f t="shared" si="61"/>
        <v>0.68297872340425514</v>
      </c>
      <c r="DA35" s="217">
        <f t="shared" si="62"/>
        <v>0.87188773200543201</v>
      </c>
      <c r="DB35" s="197">
        <f t="shared" si="63"/>
        <v>350</v>
      </c>
      <c r="DC35" s="443">
        <f t="shared" si="116"/>
        <v>350</v>
      </c>
      <c r="DE35" s="217">
        <f t="shared" si="64"/>
        <v>2.5100133511348464</v>
      </c>
      <c r="DF35" s="173">
        <f t="shared" si="65"/>
        <v>1.6021361815754336</v>
      </c>
      <c r="DG35" s="173">
        <f t="shared" si="66"/>
        <v>2.8149682442633783</v>
      </c>
      <c r="DH35" s="173"/>
      <c r="DI35" s="173">
        <f t="shared" si="67"/>
        <v>0.85106382978723416</v>
      </c>
      <c r="DJ35" s="545">
        <f t="shared" si="117"/>
        <v>793.12499999999977</v>
      </c>
      <c r="DK35" s="528">
        <f t="shared" si="68"/>
        <v>0.79432624113475192</v>
      </c>
      <c r="DM35" s="173">
        <f t="shared" si="69"/>
        <v>2.0071301473923979</v>
      </c>
      <c r="DN35" s="173">
        <f t="shared" si="70"/>
        <v>2.0071301473923979</v>
      </c>
      <c r="DO35" s="173">
        <f t="shared" si="71"/>
        <v>1.6991087511548626</v>
      </c>
      <c r="DQ35" s="545">
        <f t="shared" si="72"/>
        <v>1799.9999999999998</v>
      </c>
      <c r="DR35" s="460">
        <f t="shared" si="73"/>
        <v>350</v>
      </c>
      <c r="DT35">
        <f t="shared" si="74"/>
        <v>1799.9999999999998</v>
      </c>
      <c r="DU35" s="460">
        <f t="shared" si="75"/>
        <v>350</v>
      </c>
      <c r="DV35" s="460"/>
      <c r="DW35" s="5">
        <f t="shared" si="118"/>
        <v>2.8571428571428572</v>
      </c>
      <c r="DX35" s="5">
        <f t="shared" si="76"/>
        <v>1.003565073696199</v>
      </c>
      <c r="DY35" s="5">
        <f t="shared" si="119"/>
        <v>1.8535777834466582</v>
      </c>
      <c r="DZ35" s="5">
        <f t="shared" si="77"/>
        <v>1.2811469025908924</v>
      </c>
      <c r="EA35" s="173">
        <f t="shared" si="120"/>
        <v>0.35124777579366961</v>
      </c>
      <c r="EB35" s="173">
        <f t="shared" si="78"/>
        <v>8.4600000000000026</v>
      </c>
      <c r="EC35" s="173">
        <f t="shared" si="79"/>
        <v>2.6042602947847957</v>
      </c>
      <c r="ED35" s="173">
        <f t="shared" si="121"/>
        <v>3.2485232052040707</v>
      </c>
      <c r="EE35" s="460">
        <f t="shared" si="80"/>
        <v>45.160428316328954</v>
      </c>
      <c r="EF35" s="5">
        <f t="shared" si="81"/>
        <v>0.46339444586166451</v>
      </c>
      <c r="EG35" s="5"/>
      <c r="EH35" s="173">
        <f t="shared" si="122"/>
        <v>0.68678641850084188</v>
      </c>
      <c r="EI35" s="173">
        <f t="shared" si="82"/>
        <v>3.7334842883717716</v>
      </c>
      <c r="EJ35" s="173"/>
      <c r="EK35" s="528">
        <f t="shared" si="83"/>
        <v>5.754442132574005E-3</v>
      </c>
      <c r="EL35" s="528">
        <f t="shared" si="84"/>
        <v>0.60133619215876244</v>
      </c>
      <c r="EM35" s="528">
        <f t="shared" si="85"/>
        <v>4.3749999999999997E-2</v>
      </c>
      <c r="EN35" s="528">
        <f t="shared" si="86"/>
        <v>6.4114399999999988E-2</v>
      </c>
      <c r="EO35">
        <f t="shared" si="87"/>
        <v>1.0800000000000001E-2</v>
      </c>
      <c r="EP35" s="460">
        <f t="shared" si="123"/>
        <v>54.550000000000004</v>
      </c>
      <c r="EQ35" s="528">
        <f t="shared" si="88"/>
        <v>0.7283045119809064</v>
      </c>
      <c r="ER35" s="460">
        <f t="shared" si="124"/>
        <v>728.30451198090645</v>
      </c>
      <c r="ES35" s="528">
        <f t="shared" si="125"/>
        <v>1.1182499999999997</v>
      </c>
      <c r="ET35" s="528"/>
      <c r="EV35" s="460">
        <f t="shared" si="126"/>
        <v>1118.2499999999998</v>
      </c>
      <c r="EW35" s="528">
        <f t="shared" si="89"/>
        <v>1.4150267539116405E-2</v>
      </c>
      <c r="EX35" s="528">
        <f t="shared" si="90"/>
        <v>0.4181671479455662</v>
      </c>
      <c r="EY35" s="528">
        <f t="shared" si="91"/>
        <v>0.65400181048788231</v>
      </c>
      <c r="EZ35" s="528">
        <f t="shared" si="92"/>
        <v>1.2327091359031286</v>
      </c>
      <c r="FA35" s="528">
        <f t="shared" si="93"/>
        <v>3.525000000000001E-2</v>
      </c>
      <c r="FB35" s="460">
        <f t="shared" si="127"/>
        <v>1267.9591359031285</v>
      </c>
      <c r="FC35" s="173">
        <f t="shared" si="128"/>
        <v>3.1145136478840345</v>
      </c>
      <c r="FD35" s="5">
        <f t="shared" si="129"/>
        <v>7.1999999999999993</v>
      </c>
      <c r="FE35" s="173">
        <f t="shared" si="130"/>
        <v>0.69804551584233343</v>
      </c>
      <c r="FF35" s="5">
        <f t="shared" si="131"/>
        <v>69.804551584233337</v>
      </c>
      <c r="FI35" s="562">
        <f t="shared" si="94"/>
        <v>-50</v>
      </c>
      <c r="FJ35">
        <f t="shared" si="95"/>
        <v>-50</v>
      </c>
      <c r="FL35">
        <f t="shared" si="96"/>
        <v>0.44840141590681226</v>
      </c>
    </row>
    <row r="36" spans="5:168">
      <c r="E36" s="170">
        <v>31</v>
      </c>
      <c r="F36" s="217">
        <f t="shared" si="97"/>
        <v>1.8599999999999999</v>
      </c>
      <c r="G36" s="217"/>
      <c r="H36" s="217">
        <f t="shared" si="0"/>
        <v>7.4399999999999995</v>
      </c>
      <c r="I36" s="541">
        <f t="shared" si="1"/>
        <v>23.960284569389575</v>
      </c>
      <c r="J36" s="172">
        <f t="shared" si="2"/>
        <v>19.251739495094874</v>
      </c>
      <c r="K36" s="172">
        <f t="shared" si="3"/>
        <v>43.251739495094874</v>
      </c>
      <c r="L36" s="443"/>
      <c r="M36" s="217">
        <f t="shared" si="4"/>
        <v>0.44600444964648833</v>
      </c>
      <c r="N36" s="172">
        <f t="shared" si="5"/>
        <v>35.941903581795131</v>
      </c>
      <c r="O36" s="172">
        <f t="shared" si="98"/>
        <v>7.4399999999999995</v>
      </c>
      <c r="P36" s="217">
        <f t="shared" si="6"/>
        <v>8.9854758954487828</v>
      </c>
      <c r="Q36" s="217">
        <f t="shared" si="7"/>
        <v>4</v>
      </c>
      <c r="R36" s="217">
        <f t="shared" si="8"/>
        <v>8.9053279439532034</v>
      </c>
      <c r="S36" s="172">
        <f t="shared" si="9"/>
        <v>37.060550072414337</v>
      </c>
      <c r="T36" s="172">
        <f t="shared" si="10"/>
        <v>4</v>
      </c>
      <c r="U36" s="217">
        <f t="shared" si="99"/>
        <v>1.6787138441934328</v>
      </c>
      <c r="V36" s="217">
        <f t="shared" si="11"/>
        <v>0.84074820029712216</v>
      </c>
      <c r="W36" s="217">
        <f t="shared" si="12"/>
        <v>1.0463764136977753</v>
      </c>
      <c r="X36" s="197">
        <f t="shared" si="13"/>
        <v>350</v>
      </c>
      <c r="Y36" s="443">
        <f t="shared" si="14"/>
        <v>350</v>
      </c>
      <c r="AA36" s="217">
        <f t="shared" si="15"/>
        <v>2.5416049547309134</v>
      </c>
      <c r="AB36" s="173">
        <f t="shared" si="16"/>
        <v>1.5842339578998474</v>
      </c>
      <c r="AC36" s="173">
        <f t="shared" si="17"/>
        <v>2.8185478137958522</v>
      </c>
      <c r="AD36" s="173"/>
      <c r="AE36" s="173">
        <f t="shared" si="18"/>
        <v>0.831093730728936</v>
      </c>
      <c r="AF36" s="545">
        <f t="shared" si="100"/>
        <v>839.25551861429187</v>
      </c>
      <c r="AG36" s="528">
        <f t="shared" si="19"/>
        <v>0.77568748201367377</v>
      </c>
      <c r="AI36" s="173">
        <f t="shared" si="20"/>
        <v>2.0646755614173053</v>
      </c>
      <c r="AJ36" s="173">
        <f t="shared" si="21"/>
        <v>2.0646755614173053</v>
      </c>
      <c r="AK36" s="173">
        <f t="shared" si="22"/>
        <v>1.7417349837659049</v>
      </c>
      <c r="AM36" s="545">
        <f t="shared" si="23"/>
        <v>1859.9999999999998</v>
      </c>
      <c r="AN36" s="460">
        <f t="shared" si="24"/>
        <v>350</v>
      </c>
      <c r="AP36">
        <f t="shared" si="25"/>
        <v>1859.9999999999998</v>
      </c>
      <c r="AQ36" s="460">
        <f t="shared" si="26"/>
        <v>350</v>
      </c>
      <c r="AR36" s="460"/>
      <c r="AS36" s="5">
        <f t="shared" si="101"/>
        <v>2.8571428571428572</v>
      </c>
      <c r="AT36" s="5">
        <f t="shared" si="27"/>
        <v>1.0340489348219319</v>
      </c>
      <c r="AU36" s="5">
        <f t="shared" si="102"/>
        <v>1.8230939223209253</v>
      </c>
      <c r="AV36" s="5">
        <f t="shared" si="28"/>
        <v>1.2869541863123763</v>
      </c>
      <c r="AW36" s="173">
        <f t="shared" si="103"/>
        <v>0.36191712718767616</v>
      </c>
      <c r="AX36" s="173">
        <f t="shared" si="29"/>
        <v>8.9520588652191169</v>
      </c>
      <c r="AY36" s="173">
        <f t="shared" si="30"/>
        <v>2.6348682273091035</v>
      </c>
      <c r="AZ36" s="173">
        <f t="shared" si="104"/>
        <v>3.3975356992943566</v>
      </c>
      <c r="BA36" s="460">
        <f t="shared" si="31"/>
        <v>48.083275469219828</v>
      </c>
      <c r="BB36" s="5">
        <f t="shared" si="32"/>
        <v>0.47174658070756376</v>
      </c>
      <c r="BC36" s="5"/>
      <c r="BD36" s="173">
        <f t="shared" si="105"/>
        <v>0.71712647784377237</v>
      </c>
      <c r="BE36" s="173">
        <f t="shared" si="33"/>
        <v>3.8088136513373096</v>
      </c>
      <c r="BF36" s="173"/>
      <c r="BG36" s="528">
        <f t="shared" si="34"/>
        <v>6.2740986997402966E-3</v>
      </c>
      <c r="BH36" s="528">
        <f t="shared" si="35"/>
        <v>0.58603656250328473</v>
      </c>
      <c r="BI36" s="528">
        <f t="shared" si="36"/>
        <v>0.20965248998215877</v>
      </c>
      <c r="BJ36" s="528">
        <f t="shared" si="37"/>
        <v>6.547495392730425E-2</v>
      </c>
      <c r="BK36">
        <f t="shared" si="38"/>
        <v>1.0782128056225309E-2</v>
      </c>
      <c r="BL36" s="460">
        <f t="shared" si="106"/>
        <v>220.43461803838406</v>
      </c>
      <c r="BM36" s="528">
        <f t="shared" si="39"/>
        <v>0.66046419282520208</v>
      </c>
      <c r="BN36" s="460">
        <f t="shared" si="107"/>
        <v>660.46419282520208</v>
      </c>
      <c r="BO36" s="528">
        <f t="shared" si="108"/>
        <v>1.1555249999999997</v>
      </c>
      <c r="BP36" s="528"/>
      <c r="BR36" s="460">
        <f t="shared" si="109"/>
        <v>1155.5249999999996</v>
      </c>
      <c r="BS36" s="528">
        <f t="shared" si="40"/>
        <v>1.5428111556738436E-2</v>
      </c>
      <c r="BT36" s="528">
        <f t="shared" si="41"/>
        <v>0.43521184291840348</v>
      </c>
      <c r="BU36" s="528">
        <f t="shared" si="42"/>
        <v>0.11159999999999999</v>
      </c>
      <c r="BV36" s="528">
        <f t="shared" si="43"/>
        <v>0.69546592206587843</v>
      </c>
      <c r="BW36" s="528">
        <f t="shared" si="44"/>
        <v>3.7300245271746323E-2</v>
      </c>
      <c r="BX36" s="460">
        <f t="shared" si="110"/>
        <v>732.76616733762478</v>
      </c>
      <c r="BY36" s="173">
        <f t="shared" si="45"/>
        <v>2.7691899782012102</v>
      </c>
      <c r="BZ36" s="5">
        <f t="shared" si="111"/>
        <v>7.4399999999999995</v>
      </c>
      <c r="CA36" s="173">
        <f t="shared" si="112"/>
        <v>0.72875517214254815</v>
      </c>
      <c r="CB36" s="5">
        <f t="shared" si="113"/>
        <v>72.875517214254813</v>
      </c>
      <c r="CE36" s="562">
        <f t="shared" si="46"/>
        <v>-50</v>
      </c>
      <c r="CF36">
        <f t="shared" si="47"/>
        <v>-50</v>
      </c>
      <c r="CG36" s="173">
        <f t="shared" si="48"/>
        <v>0.4940900727600181</v>
      </c>
      <c r="CI36" s="170">
        <v>31</v>
      </c>
      <c r="CJ36" s="217">
        <f t="shared" si="114"/>
        <v>1.8599999999999999</v>
      </c>
      <c r="CK36" s="217"/>
      <c r="CL36" s="217">
        <f t="shared" si="49"/>
        <v>7.4399999999999995</v>
      </c>
      <c r="CM36" s="541">
        <f t="shared" si="50"/>
        <v>24</v>
      </c>
      <c r="CN36" s="172">
        <f t="shared" si="51"/>
        <v>18.8</v>
      </c>
      <c r="CO36" s="443">
        <f t="shared" si="52"/>
        <v>42.8</v>
      </c>
      <c r="CP36" s="443"/>
      <c r="CQ36" s="217">
        <f t="shared" si="53"/>
        <v>0.43925233644859818</v>
      </c>
      <c r="CR36" s="172">
        <f t="shared" si="54"/>
        <v>35.456448598130848</v>
      </c>
      <c r="CS36" s="172">
        <f t="shared" si="115"/>
        <v>7.4399999999999995</v>
      </c>
      <c r="CT36" s="217">
        <f t="shared" si="55"/>
        <v>8.864112149532712</v>
      </c>
      <c r="CU36" s="217">
        <f t="shared" si="56"/>
        <v>4</v>
      </c>
      <c r="CV36" s="217">
        <f t="shared" si="57"/>
        <v>8.7850467289719631</v>
      </c>
      <c r="CW36" s="172">
        <f t="shared" si="58"/>
        <v>37.121799756978582</v>
      </c>
      <c r="CX36" s="172">
        <f t="shared" si="59"/>
        <v>4</v>
      </c>
      <c r="CY36" s="217">
        <f t="shared" si="60"/>
        <v>1.4114893617021274</v>
      </c>
      <c r="CZ36" s="217">
        <f t="shared" si="61"/>
        <v>0.70574468085106368</v>
      </c>
      <c r="DA36" s="217">
        <f t="shared" si="62"/>
        <v>0.90095065640561323</v>
      </c>
      <c r="DB36" s="197">
        <f t="shared" si="63"/>
        <v>350</v>
      </c>
      <c r="DC36" s="443">
        <f t="shared" si="116"/>
        <v>350</v>
      </c>
      <c r="DE36" s="217">
        <f t="shared" si="64"/>
        <v>2.5100133511348464</v>
      </c>
      <c r="DF36" s="173">
        <f t="shared" si="65"/>
        <v>1.6021361815754336</v>
      </c>
      <c r="DG36" s="173">
        <f t="shared" si="66"/>
        <v>2.8149682442633783</v>
      </c>
      <c r="DH36" s="173"/>
      <c r="DI36" s="173">
        <f t="shared" si="67"/>
        <v>0.85106382978723416</v>
      </c>
      <c r="DJ36" s="545">
        <f t="shared" si="117"/>
        <v>819.56249999999977</v>
      </c>
      <c r="DK36" s="528">
        <f t="shared" si="68"/>
        <v>0.79432624113475192</v>
      </c>
      <c r="DM36" s="173">
        <f t="shared" si="69"/>
        <v>2.0403080999832213</v>
      </c>
      <c r="DN36" s="173">
        <f t="shared" si="70"/>
        <v>2.0403080999832213</v>
      </c>
      <c r="DO36" s="173">
        <f t="shared" si="71"/>
        <v>1.7236850123332501</v>
      </c>
      <c r="DQ36" s="545">
        <f t="shared" si="72"/>
        <v>1859.9999999999998</v>
      </c>
      <c r="DR36" s="460">
        <f t="shared" si="73"/>
        <v>350</v>
      </c>
      <c r="DT36">
        <f t="shared" si="74"/>
        <v>1859.9999999999998</v>
      </c>
      <c r="DU36" s="460">
        <f t="shared" si="75"/>
        <v>350</v>
      </c>
      <c r="DV36" s="460"/>
      <c r="DW36" s="5">
        <f t="shared" si="118"/>
        <v>2.8571428571428572</v>
      </c>
      <c r="DX36" s="5">
        <f t="shared" si="76"/>
        <v>1.0201540499916106</v>
      </c>
      <c r="DY36" s="5">
        <f t="shared" si="119"/>
        <v>1.8369888071512466</v>
      </c>
      <c r="DZ36" s="5">
        <f t="shared" si="77"/>
        <v>1.3023243191382263</v>
      </c>
      <c r="EA36" s="173">
        <f t="shared" si="120"/>
        <v>0.35705391749706372</v>
      </c>
      <c r="EB36" s="173">
        <f t="shared" si="78"/>
        <v>8.7419999999999991</v>
      </c>
      <c r="EC36" s="173">
        <f t="shared" si="79"/>
        <v>2.6236161999664427</v>
      </c>
      <c r="ED36" s="173">
        <f t="shared" si="121"/>
        <v>3.3320422400623282</v>
      </c>
      <c r="EE36" s="460">
        <f t="shared" si="80"/>
        <v>47.437163324609891</v>
      </c>
      <c r="EF36" s="5">
        <f t="shared" si="81"/>
        <v>0.47455544184740528</v>
      </c>
      <c r="EG36" s="5"/>
      <c r="EH36" s="173">
        <f t="shared" si="122"/>
        <v>0.70388551409012923</v>
      </c>
      <c r="EI36" s="173">
        <f t="shared" si="82"/>
        <v>3.7781778267797232</v>
      </c>
      <c r="EJ36" s="173"/>
      <c r="EK36" s="528">
        <f t="shared" si="83"/>
        <v>6.0445487667402913E-3</v>
      </c>
      <c r="EL36" s="528">
        <f t="shared" si="84"/>
        <v>0.61127630675497313</v>
      </c>
      <c r="EM36" s="528">
        <f t="shared" si="85"/>
        <v>4.3749999999999997E-2</v>
      </c>
      <c r="EN36" s="528">
        <f t="shared" si="86"/>
        <v>6.4114399999999988E-2</v>
      </c>
      <c r="EO36">
        <f t="shared" si="87"/>
        <v>1.0800000000000001E-2</v>
      </c>
      <c r="EP36" s="460">
        <f t="shared" si="123"/>
        <v>54.550000000000004</v>
      </c>
      <c r="EQ36" s="528">
        <f t="shared" si="88"/>
        <v>0.73867816202750969</v>
      </c>
      <c r="ER36" s="460">
        <f t="shared" si="124"/>
        <v>738.67816202750964</v>
      </c>
      <c r="ES36" s="528">
        <f t="shared" si="125"/>
        <v>1.1555249999999997</v>
      </c>
      <c r="ET36" s="528"/>
      <c r="EV36" s="460">
        <f t="shared" si="126"/>
        <v>1155.5249999999996</v>
      </c>
      <c r="EW36" s="528">
        <f t="shared" si="89"/>
        <v>1.4863644508377766E-2</v>
      </c>
      <c r="EX36" s="528">
        <f t="shared" si="90"/>
        <v>0.42823883072309854</v>
      </c>
      <c r="EY36" s="528">
        <f t="shared" si="91"/>
        <v>0.68136449527337561</v>
      </c>
      <c r="EZ36" s="528">
        <f t="shared" si="92"/>
        <v>1.2760450626207382</v>
      </c>
      <c r="FA36" s="528">
        <f t="shared" si="93"/>
        <v>3.6425000000000006E-2</v>
      </c>
      <c r="FB36" s="460">
        <f t="shared" si="127"/>
        <v>1312.4700626207382</v>
      </c>
      <c r="FC36" s="173">
        <f t="shared" si="128"/>
        <v>3.2066732246482474</v>
      </c>
      <c r="FD36" s="5">
        <f t="shared" si="129"/>
        <v>7.4399999999999995</v>
      </c>
      <c r="FE36" s="173">
        <f t="shared" si="130"/>
        <v>0.69880983881195513</v>
      </c>
      <c r="FF36" s="5">
        <f t="shared" si="131"/>
        <v>69.880983881195519</v>
      </c>
      <c r="FI36" s="562">
        <f t="shared" si="94"/>
        <v>-50</v>
      </c>
      <c r="FJ36">
        <f t="shared" si="95"/>
        <v>-50</v>
      </c>
      <c r="FL36">
        <f t="shared" si="96"/>
        <v>0.45581351169837919</v>
      </c>
    </row>
    <row r="37" spans="5:168">
      <c r="E37" s="170">
        <v>32</v>
      </c>
      <c r="F37" s="217">
        <f t="shared" si="97"/>
        <v>1.92</v>
      </c>
      <c r="G37" s="217"/>
      <c r="H37" s="217">
        <f t="shared" ref="H37:H68" si="132">F37*Vout</f>
        <v>7.68</v>
      </c>
      <c r="I37" s="541">
        <f t="shared" ref="I37:I68" si="133">Vin-F37*(Rdcr_pri+RON/1000)/CG37/Nps</f>
        <v>23.959649082148871</v>
      </c>
      <c r="J37" s="172">
        <f t="shared" ref="J37:J68" si="134">(T37+Vfwd1+F37/CG37*Rdcr_sec)*Nps</f>
        <v>19.258967785984407</v>
      </c>
      <c r="K37" s="172">
        <f t="shared" ref="K37:K68" si="135">(Vout+Vfwd1+F37/CG37*Rdcr_sec)*Nps+VIN_nom</f>
        <v>43.25896778598441</v>
      </c>
      <c r="L37" s="443"/>
      <c r="M37" s="217">
        <f t="shared" ref="M37:M68" si="136">(Vout+Vfwd1+F37/FL37*Rdcr_sec)*Nps/((Vout+Vfwd1+F37/FL37*Rdcr_sec)*Nps+I37)</f>
        <v>0.4461113485023922</v>
      </c>
      <c r="N37" s="172">
        <f t="shared" ref="N37:N68" si="137">M37*I37*(Isw_max+VIN_nom/Lmag*ILIM_delay)*0.5*Efficiency</f>
        <v>35.949564679788907</v>
      </c>
      <c r="O37" s="172">
        <f t="shared" si="98"/>
        <v>7.68</v>
      </c>
      <c r="P37" s="217">
        <f t="shared" ref="P37:P68" si="138">N37/Vout</f>
        <v>8.9873911699472266</v>
      </c>
      <c r="Q37" s="217">
        <f t="shared" ref="Q37:Q68" si="139">MIN(Vout,N37/F37)</f>
        <v>4</v>
      </c>
      <c r="R37" s="217">
        <f t="shared" ref="R37:R68" si="140">Isw_max/2*I37*Nps*(Q37+Vfwd1+F37/FL37*Rdcr_sec)/Q37/(I37+Nps*(Q37+Vfwd1+F37/FL37*Rdcr_sec))</f>
        <v>8.9072261347346142</v>
      </c>
      <c r="S37" s="172">
        <f t="shared" ref="S37:S68" si="141">(SQRT(Isw_max^2*Nps^2*I37^2+4*Isw_max*F37/Efficiency*(Nps^2*Vfwd1*I37-Nps*I37^2)+4*(F37/Efficiency)^2*Nps^2*Vfwd1^2+8*(F37/Efficiency)^2*Nps*Vfwd1*I37+4*(F37/Efficiency)^2*I37^2)-2*F37/Efficiency*I37-2*F37/Efficiency*Nps*Vfwd1+Isw_max*Nps*I37)/(4*F37/Efficiency*Nps)</f>
        <v>35.72182232283695</v>
      </c>
      <c r="T37" s="172">
        <f t="shared" ref="T37:T68" si="142">MIN(Vout, S37)</f>
        <v>4</v>
      </c>
      <c r="U37" s="217">
        <f t="shared" ref="U37:U68" si="143">MIN(2*(Vout+Vfwd1+F37/FL37*Rdcr_sec)*F37/(I37*M37), Isw_max)</f>
        <v>1.7332003416288555</v>
      </c>
      <c r="V37" s="217">
        <f t="shared" si="11"/>
        <v>0.86805962926402425</v>
      </c>
      <c r="W37" s="217">
        <f t="shared" ref="W37:W68" si="144">L*U37/J37*1000000</f>
        <v>1.0799334798556639</v>
      </c>
      <c r="X37" s="197">
        <f t="shared" ref="X37:X68" si="145">IF(1/((350000*L)*(1/I37+1/J37))&gt;Isw_min, 350, 0.001/((Isw_min*L)*(1/I37+1/J37)))</f>
        <v>350</v>
      </c>
      <c r="Y37" s="443">
        <f t="shared" si="14"/>
        <v>350</v>
      </c>
      <c r="AA37" s="217">
        <f t="shared" ref="AA37:AA68" si="146">1/((X37*1000*L)*(1/I37+1/J37))</f>
        <v>2.5421039493924535</v>
      </c>
      <c r="AB37" s="173">
        <f t="shared" ref="AB37:AB68" si="147">L*AA37/J37*1000000</f>
        <v>1.5839502787324586</v>
      </c>
      <c r="AC37" s="173">
        <f t="shared" ref="AC37:AC68" si="148">0.5*AB37*AA37*Nps*X37/1000</f>
        <v>2.8185963814449426</v>
      </c>
      <c r="AD37" s="173"/>
      <c r="AE37" s="173">
        <f t="shared" ref="AE37:AE68" si="149">L*Isw_min/J37*1000000</f>
        <v>0.83078180397829537</v>
      </c>
      <c r="AF37" s="545">
        <f t="shared" ref="AF37:AF68" si="150">MAX(12, F37/(0.5*AE37/1000000*Isw_min*Nps)/1000)</f>
        <v>866.65355036929782</v>
      </c>
      <c r="AG37" s="528">
        <f t="shared" ref="AG37:AG68" si="151">0.5*AE37/1000000*Isw_min*Nps*X37*1000</f>
        <v>0.77539635037974253</v>
      </c>
      <c r="AI37" s="173">
        <f t="shared" ref="AI37:AI68" si="152">SQRT(F37/Efficiency/(0.5*L/J37*Fsw_DCM*Nps))</f>
        <v>2.0981062365031895</v>
      </c>
      <c r="AJ37" s="173">
        <f t="shared" ref="AJ37:AJ71" si="153">MAX(IF(F37&gt;AC37,U37,AI37),Isw_min)</f>
        <v>2.0981062365031895</v>
      </c>
      <c r="AK37" s="173">
        <f t="shared" ref="AK37:AK68" si="154">IF(F37&gt;AG37, (AJ37-Isw_min)/1.08*0.8+1.2, AF37*0.2/350+1)</f>
        <v>1.766498446792486</v>
      </c>
      <c r="AM37" s="545">
        <f t="shared" ref="AM37:AM68" si="155">F37*1000</f>
        <v>1920</v>
      </c>
      <c r="AN37" s="460">
        <f t="shared" ref="AN37:AN68" si="156">IF(F37&gt;AG37, Y37, AF37)</f>
        <v>350</v>
      </c>
      <c r="AP37">
        <f t="shared" ref="AP37:AP68" si="157">IF(H37&gt;N37, "",AM37)</f>
        <v>1920</v>
      </c>
      <c r="AQ37" s="460">
        <f t="shared" ref="AQ37:AQ68" si="158">IF(H37&gt;N37, "",AN37)</f>
        <v>350</v>
      </c>
      <c r="AR37" s="460"/>
      <c r="AS37" s="5">
        <f t="shared" si="101"/>
        <v>2.8571428571428572</v>
      </c>
      <c r="AT37" s="5">
        <f t="shared" ref="AT37:AT68" si="159">L*AJ37/I37*1000000</f>
        <v>1.0508198493105894</v>
      </c>
      <c r="AU37" s="5">
        <f t="shared" si="102"/>
        <v>1.8063230078322678</v>
      </c>
      <c r="AV37" s="5">
        <f t="shared" ref="AV37:AV68" si="160">L*AJ37/J37*1000000</f>
        <v>1.3073013630751738</v>
      </c>
      <c r="AW37" s="173">
        <f t="shared" si="103"/>
        <v>0.36778694725870625</v>
      </c>
      <c r="AX37" s="173">
        <f t="shared" ref="AX37:AX68" si="161">0.5*L*AJ37^2*AN37*1000</f>
        <v>9.2443045372725141</v>
      </c>
      <c r="AY37" s="173">
        <f t="shared" ref="AY37:AY68" si="162">AJ37*Nps/2*(1-AW37)</f>
        <v>2.6529002975104565</v>
      </c>
      <c r="AZ37" s="173">
        <f t="shared" si="104"/>
        <v>3.4846030760928275</v>
      </c>
      <c r="BA37" s="460">
        <f t="shared" ref="BA37:BA68" si="163">F37*AT37/Vout_ripple*1000</f>
        <v>50.439352766908286</v>
      </c>
      <c r="BB37" s="5">
        <f t="shared" ref="BB37:BB68" si="164">H37/Efficiency/I37*AU37/Vinripple1</f>
        <v>0.48249735254844089</v>
      </c>
      <c r="BC37" s="5"/>
      <c r="BD37" s="173">
        <f t="shared" si="105"/>
        <v>0.73462381532764776</v>
      </c>
      <c r="BE37" s="173">
        <f t="shared" ref="BE37:BE68" si="165">AJ37*Nps*SQRT((1-AW37)/3)</f>
        <v>3.8526412270122274</v>
      </c>
      <c r="BF37" s="173"/>
      <c r="BG37" s="528">
        <f t="shared" ref="BG37:BG68" si="166">Rdson*BD37^2</f>
        <v>6.5840002305679081E-3</v>
      </c>
      <c r="BH37" s="528">
        <f t="shared" ref="BH37:BH68" si="167">0.5*K37*AJ37*AN37*1000*Tfall</f>
        <v>0.59562503500804798</v>
      </c>
      <c r="BI37" s="528">
        <f t="shared" ref="BI37:BI68" si="168">Qg*Vdd*AN37*1000*0+Qg*I37*AN37*1000</f>
        <v>0.20964692946880262</v>
      </c>
      <c r="BJ37" s="528">
        <f t="shared" ref="BJ37:BJ68" si="169">0.5*(Coss+Csw)*K37^2*AN37*1000</f>
        <v>6.5496840286809299E-2</v>
      </c>
      <c r="BK37">
        <f t="shared" ref="BK37:BK68" si="170">I37*IQ</f>
        <v>1.0781842086966992E-2</v>
      </c>
      <c r="BL37" s="460">
        <f t="shared" si="106"/>
        <v>220.42877155576963</v>
      </c>
      <c r="BM37" s="528">
        <f t="shared" ref="BM37:BM68" si="171">(BH37+BI37*0+BJ37+BK37*0+BG37*(1+RdsonTC*(Ta-25)))/(1-BG37*RdsonTC*ThetaJA)</f>
        <v>0.67053250878700632</v>
      </c>
      <c r="BN37" s="460">
        <f t="shared" si="107"/>
        <v>670.53250878700635</v>
      </c>
      <c r="BO37" s="528">
        <f t="shared" ref="BO37:BO68" si="172">Vfwd2*F37*(1+Diode_TC/1000*(Ta-25))</f>
        <v>1.1927999999999999</v>
      </c>
      <c r="BP37" s="528"/>
      <c r="BR37" s="460">
        <f t="shared" si="109"/>
        <v>1192.8</v>
      </c>
      <c r="BS37" s="528">
        <f t="shared" ref="BS37:BS68" si="173">Rdcr_pri*BD37^2</f>
        <v>1.6190164501396497E-2</v>
      </c>
      <c r="BT37" s="528">
        <f t="shared" ref="BT37:BT68" si="174">Rdcr_sec*BE37^2</f>
        <v>0.44528533272222842</v>
      </c>
      <c r="BU37" s="528">
        <f t="shared" ref="BU37:BU68" si="175">AJ37^2.5*AN37^2.5*k_core*0+BZ37*0.015</f>
        <v>0.1152</v>
      </c>
      <c r="BV37" s="528">
        <f t="shared" ref="BV37:BV68" si="176">(BU37+(BS37+BT37)*(1+Ltc*(Ta-25)))/(1-(BS37+BT37)*Ltc*ThetaCa)</f>
        <v>0.71378101236446889</v>
      </c>
      <c r="BW37" s="528">
        <f t="shared" ref="BW37:BW68" si="177">0.5*Lleak*0.000000001*AJ37^2*AN37*1000</f>
        <v>3.8517935571968809E-2</v>
      </c>
      <c r="BX37" s="460">
        <f t="shared" si="110"/>
        <v>752.29894793643768</v>
      </c>
      <c r="BY37" s="173">
        <f t="shared" si="45"/>
        <v>2.8360602282792136</v>
      </c>
      <c r="BZ37" s="5">
        <f t="shared" si="111"/>
        <v>7.68</v>
      </c>
      <c r="CA37" s="173">
        <f t="shared" si="112"/>
        <v>0.73031152668252741</v>
      </c>
      <c r="CB37" s="5">
        <f t="shared" si="113"/>
        <v>73.031152668252744</v>
      </c>
      <c r="CE37" s="562">
        <f t="shared" ref="CE37:CE68" si="178">IF(ABS(F37-Ioutmax_Vinnom)&lt;Iout/200, AN37, -50)</f>
        <v>-50</v>
      </c>
      <c r="CF37">
        <f t="shared" ref="CF37:CF68" si="179">IF(ABS(F37-Ioutmax_Vinnom)&lt;Iout/200, N37*CA37, -50)</f>
        <v>-50</v>
      </c>
      <c r="CG37" s="173">
        <f t="shared" ref="CG37:CG68" si="180">MIN(SQRT(2*DU37*1000*Ls1_*CL37)/CU37,1-EA37-0.00000005*DU37*1000)</f>
        <v>0.50199601592044529</v>
      </c>
      <c r="CI37" s="170">
        <v>32</v>
      </c>
      <c r="CJ37" s="217">
        <f t="shared" si="114"/>
        <v>1.92</v>
      </c>
      <c r="CK37" s="217"/>
      <c r="CL37" s="217">
        <f t="shared" si="49"/>
        <v>7.68</v>
      </c>
      <c r="CM37" s="541">
        <f t="shared" si="50"/>
        <v>24</v>
      </c>
      <c r="CN37" s="172">
        <f t="shared" si="51"/>
        <v>18.8</v>
      </c>
      <c r="CO37" s="443">
        <f t="shared" si="52"/>
        <v>42.8</v>
      </c>
      <c r="CP37" s="443"/>
      <c r="CQ37" s="217">
        <f t="shared" si="53"/>
        <v>0.43925233644859818</v>
      </c>
      <c r="CR37" s="172">
        <f t="shared" si="54"/>
        <v>35.456448598130848</v>
      </c>
      <c r="CS37" s="172">
        <f t="shared" si="115"/>
        <v>7.68</v>
      </c>
      <c r="CT37" s="217">
        <f t="shared" si="55"/>
        <v>8.864112149532712</v>
      </c>
      <c r="CU37" s="217">
        <f t="shared" si="56"/>
        <v>4</v>
      </c>
      <c r="CV37" s="217">
        <f t="shared" si="57"/>
        <v>8.7850467289719631</v>
      </c>
      <c r="CW37" s="172">
        <f t="shared" si="58"/>
        <v>35.781792588448539</v>
      </c>
      <c r="CX37" s="172">
        <f t="shared" si="59"/>
        <v>4</v>
      </c>
      <c r="CY37" s="217">
        <f t="shared" si="60"/>
        <v>1.4570212765957444</v>
      </c>
      <c r="CZ37" s="217">
        <f t="shared" si="61"/>
        <v>0.72851063829787233</v>
      </c>
      <c r="DA37" s="217">
        <f t="shared" si="62"/>
        <v>0.93001358080579433</v>
      </c>
      <c r="DB37" s="197">
        <f t="shared" si="63"/>
        <v>350</v>
      </c>
      <c r="DC37" s="443">
        <f t="shared" si="116"/>
        <v>350</v>
      </c>
      <c r="DE37" s="217">
        <f t="shared" si="64"/>
        <v>2.5100133511348464</v>
      </c>
      <c r="DF37" s="173">
        <f t="shared" si="65"/>
        <v>1.6021361815754336</v>
      </c>
      <c r="DG37" s="173">
        <f t="shared" si="66"/>
        <v>2.8149682442633783</v>
      </c>
      <c r="DH37" s="173"/>
      <c r="DI37" s="173">
        <f t="shared" si="67"/>
        <v>0.85106382978723416</v>
      </c>
      <c r="DJ37" s="545">
        <f t="shared" si="117"/>
        <v>845.99999999999977</v>
      </c>
      <c r="DK37" s="528">
        <f t="shared" si="68"/>
        <v>0.79432624113475192</v>
      </c>
      <c r="DM37" s="173">
        <f t="shared" si="69"/>
        <v>2.0729551025390918</v>
      </c>
      <c r="DN37" s="173">
        <f t="shared" si="70"/>
        <v>2.0729551025390918</v>
      </c>
      <c r="DO37" s="173">
        <f t="shared" si="71"/>
        <v>1.7478679771894505</v>
      </c>
      <c r="DQ37" s="545">
        <f t="shared" si="72"/>
        <v>1920</v>
      </c>
      <c r="DR37" s="460">
        <f t="shared" si="73"/>
        <v>350</v>
      </c>
      <c r="DT37">
        <f t="shared" si="74"/>
        <v>1920</v>
      </c>
      <c r="DU37" s="460">
        <f t="shared" si="75"/>
        <v>350</v>
      </c>
      <c r="DV37" s="460"/>
      <c r="DW37" s="5">
        <f t="shared" si="118"/>
        <v>2.8571428571428572</v>
      </c>
      <c r="DX37" s="5">
        <f t="shared" si="76"/>
        <v>1.0364775512695459</v>
      </c>
      <c r="DY37" s="5">
        <f t="shared" si="119"/>
        <v>1.8206653058733113</v>
      </c>
      <c r="DZ37" s="5">
        <f t="shared" si="77"/>
        <v>1.3231628314079309</v>
      </c>
      <c r="EA37" s="173">
        <f t="shared" si="120"/>
        <v>0.36276714294434104</v>
      </c>
      <c r="EB37" s="173">
        <f t="shared" si="78"/>
        <v>9.0239999999999974</v>
      </c>
      <c r="EC37" s="173">
        <f t="shared" si="79"/>
        <v>2.6419102050781835</v>
      </c>
      <c r="ED37" s="173">
        <f t="shared" si="121"/>
        <v>3.4157103381690996</v>
      </c>
      <c r="EE37" s="460">
        <f t="shared" si="80"/>
        <v>49.750922460938199</v>
      </c>
      <c r="EF37" s="5">
        <f t="shared" si="81"/>
        <v>0.48551074823288298</v>
      </c>
      <c r="EG37" s="5"/>
      <c r="EH37" s="173">
        <f t="shared" si="122"/>
        <v>0.72084724158668467</v>
      </c>
      <c r="EI37" s="173">
        <f t="shared" si="82"/>
        <v>3.8215393896759875</v>
      </c>
      <c r="EJ37" s="173"/>
      <c r="EK37" s="528">
        <f t="shared" si="83"/>
        <v>6.3393730975782108E-3</v>
      </c>
      <c r="EL37" s="528">
        <f t="shared" si="84"/>
        <v>0.62105734872071194</v>
      </c>
      <c r="EM37" s="528">
        <f t="shared" si="85"/>
        <v>4.3749999999999997E-2</v>
      </c>
      <c r="EN37" s="528">
        <f t="shared" si="86"/>
        <v>6.4114399999999988E-2</v>
      </c>
      <c r="EO37">
        <f t="shared" si="87"/>
        <v>1.0800000000000001E-2</v>
      </c>
      <c r="EP37" s="460">
        <f t="shared" si="123"/>
        <v>54.550000000000004</v>
      </c>
      <c r="EQ37" s="528">
        <f t="shared" si="88"/>
        <v>0.74890077314661241</v>
      </c>
      <c r="ER37" s="460">
        <f t="shared" si="124"/>
        <v>748.90077314661244</v>
      </c>
      <c r="ES37" s="528">
        <f t="shared" si="125"/>
        <v>1.1927999999999999</v>
      </c>
      <c r="ET37" s="528"/>
      <c r="EV37" s="460">
        <f t="shared" si="126"/>
        <v>1192.8</v>
      </c>
      <c r="EW37" s="528">
        <f t="shared" si="89"/>
        <v>1.5588622371093963E-2</v>
      </c>
      <c r="EX37" s="528">
        <f t="shared" si="90"/>
        <v>0.43812489920535358</v>
      </c>
      <c r="EY37" s="528">
        <f t="shared" si="91"/>
        <v>0.70894877282410895</v>
      </c>
      <c r="EZ37" s="528">
        <f t="shared" si="92"/>
        <v>1.3194455630127382</v>
      </c>
      <c r="FA37" s="528">
        <f t="shared" si="93"/>
        <v>3.7599999999999995E-2</v>
      </c>
      <c r="FB37" s="460">
        <f t="shared" si="127"/>
        <v>1357.0455630127383</v>
      </c>
      <c r="FC37" s="173">
        <f t="shared" si="128"/>
        <v>3.2987463361593501</v>
      </c>
      <c r="FD37" s="5">
        <f t="shared" si="129"/>
        <v>7.68</v>
      </c>
      <c r="FE37" s="173">
        <f t="shared" si="130"/>
        <v>0.69953342256440754</v>
      </c>
      <c r="FF37" s="5">
        <f t="shared" si="131"/>
        <v>69.953342256440749</v>
      </c>
      <c r="FI37" s="562">
        <f t="shared" si="94"/>
        <v>-50</v>
      </c>
      <c r="FJ37">
        <f t="shared" si="95"/>
        <v>-50</v>
      </c>
      <c r="FL37">
        <f t="shared" ref="FL37:FL68" si="181">MIN(SQRT(2*L*DR37*1000*CJ37*(CX37+Vfwd1))/(Nps*(CX37+Vfwd1)), 1-EA37)</f>
        <v>0.46310699099277586</v>
      </c>
    </row>
    <row r="38" spans="5:168">
      <c r="E38" s="170">
        <v>33</v>
      </c>
      <c r="F38" s="217">
        <f t="shared" ref="F38:F69" si="182">IF(PLOT_TYPE=1, E38/100*Iout_max, min_I*EXP(N38*rr/100))</f>
        <v>1.98</v>
      </c>
      <c r="G38" s="217"/>
      <c r="H38" s="217">
        <f t="shared" si="132"/>
        <v>7.92</v>
      </c>
      <c r="I38" s="541">
        <f t="shared" si="133"/>
        <v>23.959023449214389</v>
      </c>
      <c r="J38" s="172">
        <f t="shared" si="134"/>
        <v>19.266083989978508</v>
      </c>
      <c r="K38" s="172">
        <f t="shared" si="135"/>
        <v>43.266083989978512</v>
      </c>
      <c r="L38" s="443"/>
      <c r="M38" s="217">
        <f t="shared" si="136"/>
        <v>0.4462165549547169</v>
      </c>
      <c r="N38" s="172">
        <f t="shared" si="137"/>
        <v>35.957103732400043</v>
      </c>
      <c r="O38" s="172">
        <f t="shared" si="98"/>
        <v>7.92</v>
      </c>
      <c r="P38" s="217">
        <f t="shared" si="138"/>
        <v>8.9892759331000107</v>
      </c>
      <c r="Q38" s="217">
        <f t="shared" si="139"/>
        <v>4</v>
      </c>
      <c r="R38" s="217">
        <f t="shared" si="140"/>
        <v>8.909094086323103</v>
      </c>
      <c r="S38" s="172">
        <f t="shared" si="141"/>
        <v>34.464535044766379</v>
      </c>
      <c r="T38" s="172">
        <f t="shared" si="142"/>
        <v>4</v>
      </c>
      <c r="U38" s="217">
        <f t="shared" si="143"/>
        <v>1.7877024112178852</v>
      </c>
      <c r="V38" s="217">
        <f t="shared" si="11"/>
        <v>0.89537993817181416</v>
      </c>
      <c r="W38" s="217">
        <f t="shared" si="144"/>
        <v>1.1134815433054983</v>
      </c>
      <c r="X38" s="197">
        <f t="shared" si="145"/>
        <v>350</v>
      </c>
      <c r="Y38" s="443">
        <f t="shared" si="14"/>
        <v>350</v>
      </c>
      <c r="AA38" s="217">
        <f t="shared" si="146"/>
        <v>2.542595008169521</v>
      </c>
      <c r="AB38" s="173">
        <f t="shared" si="147"/>
        <v>1.5836710830236702</v>
      </c>
      <c r="AC38" s="173">
        <f t="shared" si="148"/>
        <v>2.818643933194882</v>
      </c>
      <c r="AD38" s="173"/>
      <c r="AE38" s="173">
        <f t="shared" si="149"/>
        <v>0.83047494282297329</v>
      </c>
      <c r="AF38" s="545">
        <f t="shared" si="150"/>
        <v>894.06671015993993</v>
      </c>
      <c r="AG38" s="528">
        <f t="shared" si="151"/>
        <v>0.77510994663477506</v>
      </c>
      <c r="AI38" s="173">
        <f t="shared" si="152"/>
        <v>2.1310305549684685</v>
      </c>
      <c r="AJ38" s="173">
        <f t="shared" si="153"/>
        <v>2.1310305549684685</v>
      </c>
      <c r="AK38" s="173">
        <f t="shared" si="154"/>
        <v>1.7908868308408405</v>
      </c>
      <c r="AM38" s="545">
        <f t="shared" si="155"/>
        <v>1980</v>
      </c>
      <c r="AN38" s="460">
        <f t="shared" si="156"/>
        <v>350</v>
      </c>
      <c r="AP38">
        <f t="shared" si="157"/>
        <v>1980</v>
      </c>
      <c r="AQ38" s="460">
        <f t="shared" si="158"/>
        <v>350</v>
      </c>
      <c r="AR38" s="460"/>
      <c r="AS38" s="5">
        <f t="shared" si="101"/>
        <v>2.8571428571428572</v>
      </c>
      <c r="AT38" s="5">
        <f t="shared" si="159"/>
        <v>1.067337603046594</v>
      </c>
      <c r="AU38" s="5">
        <f t="shared" si="102"/>
        <v>1.7898052540962632</v>
      </c>
      <c r="AV38" s="5">
        <f t="shared" si="160"/>
        <v>1.3273256087185856</v>
      </c>
      <c r="AW38" s="173">
        <f t="shared" si="103"/>
        <v>0.37356816106630786</v>
      </c>
      <c r="AX38" s="173">
        <f t="shared" si="161"/>
        <v>9.5367115750393605</v>
      </c>
      <c r="AY38" s="173">
        <f t="shared" si="162"/>
        <v>2.6698907787455686</v>
      </c>
      <c r="AZ38" s="173">
        <f t="shared" si="104"/>
        <v>3.5719482051322431</v>
      </c>
      <c r="BA38" s="460">
        <f t="shared" si="163"/>
        <v>52.833211350806394</v>
      </c>
      <c r="BB38" s="5">
        <f t="shared" si="164"/>
        <v>0.49303823680771403</v>
      </c>
      <c r="BC38" s="5"/>
      <c r="BD38" s="173">
        <f t="shared" si="105"/>
        <v>0.7519933094209319</v>
      </c>
      <c r="BE38" s="173">
        <f t="shared" si="165"/>
        <v>3.8951658340171225</v>
      </c>
      <c r="BF38" s="173"/>
      <c r="BG38" s="528">
        <f t="shared" si="166"/>
        <v>6.8990260364489141E-3</v>
      </c>
      <c r="BH38" s="528">
        <f t="shared" si="167"/>
        <v>0.60507133953312553</v>
      </c>
      <c r="BI38" s="528">
        <f t="shared" si="168"/>
        <v>0.20964145518062588</v>
      </c>
      <c r="BJ38" s="528">
        <f t="shared" si="169"/>
        <v>6.551839083397562E-2</v>
      </c>
      <c r="BK38">
        <f t="shared" si="170"/>
        <v>1.0781560552146475E-2</v>
      </c>
      <c r="BL38" s="460">
        <f t="shared" si="106"/>
        <v>220.42301573277234</v>
      </c>
      <c r="BM38" s="528">
        <f t="shared" si="171"/>
        <v>0.68046692065239078</v>
      </c>
      <c r="BN38" s="460">
        <f t="shared" si="107"/>
        <v>680.46692065239074</v>
      </c>
      <c r="BO38" s="528">
        <f t="shared" si="172"/>
        <v>1.2300749999999998</v>
      </c>
      <c r="BP38" s="528"/>
      <c r="BR38" s="460">
        <f t="shared" si="109"/>
        <v>1230.0749999999998</v>
      </c>
      <c r="BS38" s="528">
        <f t="shared" si="173"/>
        <v>1.6964818122415362E-2</v>
      </c>
      <c r="BT38" s="528">
        <f t="shared" si="174"/>
        <v>0.4551695062348291</v>
      </c>
      <c r="BU38" s="528">
        <f t="shared" si="175"/>
        <v>0.11879999999999999</v>
      </c>
      <c r="BV38" s="528">
        <f t="shared" si="176"/>
        <v>0.73189061675041212</v>
      </c>
      <c r="BW38" s="528">
        <f t="shared" si="177"/>
        <v>3.9736298229330662E-2</v>
      </c>
      <c r="BX38" s="460">
        <f t="shared" si="110"/>
        <v>771.62691497974276</v>
      </c>
      <c r="BY38" s="173">
        <f t="shared" si="45"/>
        <v>2.9025918513649058</v>
      </c>
      <c r="BZ38" s="5">
        <f t="shared" si="111"/>
        <v>7.92</v>
      </c>
      <c r="CA38" s="173">
        <f t="shared" si="112"/>
        <v>0.73180252094614096</v>
      </c>
      <c r="CB38" s="5">
        <f t="shared" si="113"/>
        <v>73.18025209461409</v>
      </c>
      <c r="CE38" s="562">
        <f t="shared" si="178"/>
        <v>-50</v>
      </c>
      <c r="CF38">
        <f t="shared" si="179"/>
        <v>-50</v>
      </c>
      <c r="CG38" s="173">
        <f t="shared" si="180"/>
        <v>0.50977936403899282</v>
      </c>
      <c r="CI38" s="170">
        <v>33</v>
      </c>
      <c r="CJ38" s="217">
        <f t="shared" si="114"/>
        <v>1.98</v>
      </c>
      <c r="CK38" s="217"/>
      <c r="CL38" s="217">
        <f t="shared" si="49"/>
        <v>7.92</v>
      </c>
      <c r="CM38" s="541">
        <f t="shared" si="50"/>
        <v>24</v>
      </c>
      <c r="CN38" s="172">
        <f t="shared" si="51"/>
        <v>18.8</v>
      </c>
      <c r="CO38" s="443">
        <f t="shared" si="52"/>
        <v>42.8</v>
      </c>
      <c r="CP38" s="443"/>
      <c r="CQ38" s="217">
        <f t="shared" si="53"/>
        <v>0.43925233644859818</v>
      </c>
      <c r="CR38" s="172">
        <f t="shared" si="54"/>
        <v>35.456448598130848</v>
      </c>
      <c r="CS38" s="172">
        <f t="shared" si="115"/>
        <v>7.92</v>
      </c>
      <c r="CT38" s="217">
        <f t="shared" si="55"/>
        <v>8.864112149532712</v>
      </c>
      <c r="CU38" s="217">
        <f t="shared" si="56"/>
        <v>4</v>
      </c>
      <c r="CV38" s="217">
        <f t="shared" si="57"/>
        <v>8.7850467289719631</v>
      </c>
      <c r="CW38" s="172">
        <f t="shared" si="58"/>
        <v>34.523279726234236</v>
      </c>
      <c r="CX38" s="172">
        <f t="shared" si="59"/>
        <v>4</v>
      </c>
      <c r="CY38" s="217">
        <f t="shared" si="60"/>
        <v>1.5025531914893615</v>
      </c>
      <c r="CZ38" s="217">
        <f t="shared" si="61"/>
        <v>0.75127659574468075</v>
      </c>
      <c r="DA38" s="217">
        <f t="shared" si="62"/>
        <v>0.95907650520597543</v>
      </c>
      <c r="DB38" s="197">
        <f t="shared" si="63"/>
        <v>350</v>
      </c>
      <c r="DC38" s="443">
        <f t="shared" si="116"/>
        <v>350</v>
      </c>
      <c r="DE38" s="217">
        <f t="shared" si="64"/>
        <v>2.5100133511348464</v>
      </c>
      <c r="DF38" s="173">
        <f t="shared" si="65"/>
        <v>1.6021361815754336</v>
      </c>
      <c r="DG38" s="173">
        <f t="shared" si="66"/>
        <v>2.8149682442633783</v>
      </c>
      <c r="DH38" s="173"/>
      <c r="DI38" s="173">
        <f t="shared" si="67"/>
        <v>0.85106382978723416</v>
      </c>
      <c r="DJ38" s="545">
        <f t="shared" si="117"/>
        <v>872.43749999999977</v>
      </c>
      <c r="DK38" s="528">
        <f t="shared" si="68"/>
        <v>0.79432624113475192</v>
      </c>
      <c r="DM38" s="173">
        <f t="shared" si="69"/>
        <v>2.1050958580142072</v>
      </c>
      <c r="DN38" s="173">
        <f t="shared" si="70"/>
        <v>2.1050958580142072</v>
      </c>
      <c r="DO38" s="173">
        <f t="shared" si="71"/>
        <v>1.7716759442080545</v>
      </c>
      <c r="DQ38" s="545">
        <f t="shared" si="72"/>
        <v>1980</v>
      </c>
      <c r="DR38" s="460">
        <f t="shared" si="73"/>
        <v>350</v>
      </c>
      <c r="DT38">
        <f t="shared" si="74"/>
        <v>1980</v>
      </c>
      <c r="DU38" s="460">
        <f t="shared" si="75"/>
        <v>350</v>
      </c>
      <c r="DV38" s="460"/>
      <c r="DW38" s="5">
        <f t="shared" si="118"/>
        <v>2.8571428571428572</v>
      </c>
      <c r="DX38" s="5">
        <f t="shared" si="76"/>
        <v>1.0525479290071036</v>
      </c>
      <c r="DY38" s="5">
        <f t="shared" si="119"/>
        <v>1.8045949281357536</v>
      </c>
      <c r="DZ38" s="5">
        <f t="shared" si="77"/>
        <v>1.3436782072431108</v>
      </c>
      <c r="EA38" s="173">
        <f t="shared" si="120"/>
        <v>0.36839177515248622</v>
      </c>
      <c r="EB38" s="173">
        <f t="shared" si="78"/>
        <v>9.3059999999999992</v>
      </c>
      <c r="EC38" s="173">
        <f t="shared" si="79"/>
        <v>2.6591917160284146</v>
      </c>
      <c r="ED38" s="173">
        <f t="shared" si="121"/>
        <v>3.4995596383320562</v>
      </c>
      <c r="EE38" s="460">
        <f t="shared" si="80"/>
        <v>52.101122485851626</v>
      </c>
      <c r="EF38" s="5">
        <f t="shared" si="81"/>
        <v>0.49626360523733215</v>
      </c>
      <c r="EG38" s="5"/>
      <c r="EH38" s="173">
        <f t="shared" si="122"/>
        <v>0.73767694778722237</v>
      </c>
      <c r="EI38" s="173">
        <f t="shared" si="82"/>
        <v>3.8636264371104709</v>
      </c>
      <c r="EJ38" s="173"/>
      <c r="EK38" s="528">
        <f t="shared" si="83"/>
        <v>6.6388408074194031E-3</v>
      </c>
      <c r="EL38" s="528">
        <f t="shared" si="84"/>
        <v>0.63068671906105633</v>
      </c>
      <c r="EM38" s="528">
        <f t="shared" si="85"/>
        <v>4.3749999999999997E-2</v>
      </c>
      <c r="EN38" s="528">
        <f t="shared" si="86"/>
        <v>6.4114399999999988E-2</v>
      </c>
      <c r="EO38">
        <f t="shared" si="87"/>
        <v>1.0800000000000001E-2</v>
      </c>
      <c r="EP38" s="460">
        <f t="shared" si="123"/>
        <v>54.550000000000004</v>
      </c>
      <c r="EQ38" s="528">
        <f t="shared" si="88"/>
        <v>0.75897965271997669</v>
      </c>
      <c r="ER38" s="460">
        <f t="shared" si="124"/>
        <v>758.97965271997668</v>
      </c>
      <c r="ES38" s="528">
        <f t="shared" si="125"/>
        <v>1.2300749999999998</v>
      </c>
      <c r="ET38" s="528"/>
      <c r="EV38" s="460">
        <f t="shared" si="126"/>
        <v>1230.0749999999998</v>
      </c>
      <c r="EW38" s="528">
        <f t="shared" si="89"/>
        <v>1.6325018378900172E-2</v>
      </c>
      <c r="EX38" s="528">
        <f t="shared" si="90"/>
        <v>0.44782827736616854</v>
      </c>
      <c r="EY38" s="528">
        <f t="shared" si="91"/>
        <v>0.73674942748731631</v>
      </c>
      <c r="EZ38" s="528">
        <f t="shared" si="92"/>
        <v>1.3629073492470574</v>
      </c>
      <c r="FA38" s="528">
        <f t="shared" si="93"/>
        <v>3.8775000000000004E-2</v>
      </c>
      <c r="FB38" s="460">
        <f t="shared" si="127"/>
        <v>1401.6823492470573</v>
      </c>
      <c r="FC38" s="173">
        <f t="shared" si="128"/>
        <v>3.3907370019670342</v>
      </c>
      <c r="FD38" s="5">
        <f t="shared" si="129"/>
        <v>7.92</v>
      </c>
      <c r="FE38" s="173">
        <f t="shared" si="130"/>
        <v>0.70021962305574292</v>
      </c>
      <c r="FF38" s="5">
        <f t="shared" si="131"/>
        <v>70.021962305574291</v>
      </c>
      <c r="FI38" s="562">
        <f t="shared" si="94"/>
        <v>-50</v>
      </c>
      <c r="FJ38">
        <f t="shared" si="95"/>
        <v>-50</v>
      </c>
      <c r="FL38">
        <f t="shared" si="181"/>
        <v>0.4702873725350889</v>
      </c>
    </row>
    <row r="39" spans="5:168">
      <c r="E39" s="170">
        <v>34</v>
      </c>
      <c r="F39" s="217">
        <f t="shared" si="182"/>
        <v>2.04</v>
      </c>
      <c r="G39" s="217"/>
      <c r="H39" s="217">
        <f t="shared" si="132"/>
        <v>8.16</v>
      </c>
      <c r="I39" s="541">
        <f t="shared" si="133"/>
        <v>23.958407225902292</v>
      </c>
      <c r="J39" s="172">
        <f t="shared" si="134"/>
        <v>19.273093165092398</v>
      </c>
      <c r="K39" s="172">
        <f t="shared" si="135"/>
        <v>43.273093165092398</v>
      </c>
      <c r="L39" s="443"/>
      <c r="M39" s="217">
        <f t="shared" si="136"/>
        <v>0.44632014539116383</v>
      </c>
      <c r="N39" s="172">
        <f t="shared" si="137"/>
        <v>35.964526248576895</v>
      </c>
      <c r="O39" s="172">
        <f t="shared" si="98"/>
        <v>8.16</v>
      </c>
      <c r="P39" s="217">
        <f t="shared" si="138"/>
        <v>8.9911315621442238</v>
      </c>
      <c r="Q39" s="217">
        <f t="shared" si="139"/>
        <v>4</v>
      </c>
      <c r="R39" s="217">
        <f t="shared" si="140"/>
        <v>8.910933163671185</v>
      </c>
      <c r="S39" s="172">
        <f t="shared" si="141"/>
        <v>33.28150486707009</v>
      </c>
      <c r="T39" s="172">
        <f t="shared" si="142"/>
        <v>4</v>
      </c>
      <c r="U39" s="217">
        <f t="shared" si="143"/>
        <v>1.8422198162160148</v>
      </c>
      <c r="V39" s="217">
        <f t="shared" si="11"/>
        <v>0.92270899255322381</v>
      </c>
      <c r="W39" s="217">
        <f t="shared" si="144"/>
        <v>1.1470207509104933</v>
      </c>
      <c r="X39" s="197">
        <f t="shared" si="145"/>
        <v>350</v>
      </c>
      <c r="Y39" s="443">
        <f t="shared" si="14"/>
        <v>350</v>
      </c>
      <c r="AA39" s="217">
        <f t="shared" si="146"/>
        <v>2.5430784892621339</v>
      </c>
      <c r="AB39" s="173">
        <f t="shared" si="147"/>
        <v>1.5833961684167113</v>
      </c>
      <c r="AC39" s="173">
        <f t="shared" si="148"/>
        <v>2.818690515116435</v>
      </c>
      <c r="AD39" s="173"/>
      <c r="AE39" s="173">
        <f t="shared" si="149"/>
        <v>0.83017291842802632</v>
      </c>
      <c r="AF39" s="545">
        <f t="shared" si="150"/>
        <v>921.49476695598014</v>
      </c>
      <c r="AG39" s="528">
        <f t="shared" si="151"/>
        <v>0.77482805719949133</v>
      </c>
      <c r="AI39" s="173">
        <f t="shared" si="152"/>
        <v>2.1634713633634877</v>
      </c>
      <c r="AJ39" s="173">
        <f t="shared" si="153"/>
        <v>2.1634713633634877</v>
      </c>
      <c r="AK39" s="173">
        <f t="shared" si="154"/>
        <v>1.8149170592815955</v>
      </c>
      <c r="AM39" s="545">
        <f t="shared" si="155"/>
        <v>2040</v>
      </c>
      <c r="AN39" s="460">
        <f t="shared" si="156"/>
        <v>350</v>
      </c>
      <c r="AP39">
        <f t="shared" si="157"/>
        <v>2040</v>
      </c>
      <c r="AQ39" s="460">
        <f t="shared" si="158"/>
        <v>350</v>
      </c>
      <c r="AR39" s="460"/>
      <c r="AS39" s="5">
        <f t="shared" si="101"/>
        <v>2.8571428571428572</v>
      </c>
      <c r="AT39" s="5">
        <f t="shared" si="159"/>
        <v>1.0836136190344814</v>
      </c>
      <c r="AU39" s="5">
        <f t="shared" si="102"/>
        <v>1.7735292381083758</v>
      </c>
      <c r="AV39" s="5">
        <f t="shared" si="160"/>
        <v>1.3470415017441955</v>
      </c>
      <c r="AW39" s="173">
        <f t="shared" si="103"/>
        <v>0.37926476666206849</v>
      </c>
      <c r="AX39" s="173">
        <f t="shared" si="161"/>
        <v>9.8292775141971234</v>
      </c>
      <c r="AY39" s="173">
        <f t="shared" si="162"/>
        <v>2.6858858031147346</v>
      </c>
      <c r="AZ39" s="173">
        <f t="shared" si="104"/>
        <v>3.6596036595444339</v>
      </c>
      <c r="BA39" s="460">
        <f t="shared" si="163"/>
        <v>55.264294570758558</v>
      </c>
      <c r="BB39" s="5">
        <f t="shared" si="164"/>
        <v>0.50337231124857318</v>
      </c>
      <c r="BC39" s="5"/>
      <c r="BD39" s="173">
        <f t="shared" si="105"/>
        <v>0.76923984771596265</v>
      </c>
      <c r="BE39" s="173">
        <f t="shared" si="165"/>
        <v>3.9364407003631321</v>
      </c>
      <c r="BF39" s="173"/>
      <c r="BG39" s="528">
        <f t="shared" si="166"/>
        <v>7.2191053084317445E-3</v>
      </c>
      <c r="BH39" s="528">
        <f t="shared" si="167"/>
        <v>0.61438189225112216</v>
      </c>
      <c r="BI39" s="528">
        <f t="shared" si="168"/>
        <v>0.20963606322664505</v>
      </c>
      <c r="BJ39" s="528">
        <f t="shared" si="169"/>
        <v>6.553962072261682E-2</v>
      </c>
      <c r="BK39">
        <f t="shared" si="170"/>
        <v>1.078128325165603E-2</v>
      </c>
      <c r="BL39" s="460">
        <f t="shared" si="106"/>
        <v>220.41734647830108</v>
      </c>
      <c r="BM39" s="528">
        <f t="shared" si="171"/>
        <v>0.69027377531181577</v>
      </c>
      <c r="BN39" s="460">
        <f t="shared" si="107"/>
        <v>690.27377531181583</v>
      </c>
      <c r="BO39" s="528">
        <f t="shared" si="172"/>
        <v>1.26735</v>
      </c>
      <c r="BP39" s="528"/>
      <c r="BR39" s="460">
        <f t="shared" si="109"/>
        <v>1267.3499999999999</v>
      </c>
      <c r="BS39" s="528">
        <f t="shared" si="173"/>
        <v>1.7751898299422322E-2</v>
      </c>
      <c r="BT39" s="528">
        <f t="shared" si="174"/>
        <v>0.46486696162426155</v>
      </c>
      <c r="BU39" s="528">
        <f t="shared" si="175"/>
        <v>0.12239999999999999</v>
      </c>
      <c r="BV39" s="528">
        <f t="shared" si="176"/>
        <v>0.74979666732612904</v>
      </c>
      <c r="BW39" s="528">
        <f t="shared" si="177"/>
        <v>4.095532297582135E-2</v>
      </c>
      <c r="BX39" s="460">
        <f t="shared" si="110"/>
        <v>790.7519903019504</v>
      </c>
      <c r="BY39" s="173">
        <f t="shared" si="45"/>
        <v>2.9687931120920674</v>
      </c>
      <c r="BZ39" s="5">
        <f t="shared" si="111"/>
        <v>8.16</v>
      </c>
      <c r="CA39" s="173">
        <f t="shared" si="112"/>
        <v>0.73323314736920531</v>
      </c>
      <c r="CB39" s="5">
        <f t="shared" si="113"/>
        <v>73.323314736920537</v>
      </c>
      <c r="CE39" s="562">
        <f t="shared" si="178"/>
        <v>-50</v>
      </c>
      <c r="CF39">
        <f t="shared" si="179"/>
        <v>-50</v>
      </c>
      <c r="CG39" s="173">
        <f t="shared" si="180"/>
        <v>0.5174456493198103</v>
      </c>
      <c r="CI39" s="170">
        <v>34</v>
      </c>
      <c r="CJ39" s="217">
        <f t="shared" si="114"/>
        <v>2.04</v>
      </c>
      <c r="CK39" s="217"/>
      <c r="CL39" s="217">
        <f t="shared" si="49"/>
        <v>8.16</v>
      </c>
      <c r="CM39" s="541">
        <f t="shared" si="50"/>
        <v>24</v>
      </c>
      <c r="CN39" s="172">
        <f t="shared" si="51"/>
        <v>18.8</v>
      </c>
      <c r="CO39" s="443">
        <f t="shared" si="52"/>
        <v>42.8</v>
      </c>
      <c r="CP39" s="443"/>
      <c r="CQ39" s="217">
        <f t="shared" si="53"/>
        <v>0.43925233644859818</v>
      </c>
      <c r="CR39" s="172">
        <f t="shared" si="54"/>
        <v>35.456448598130848</v>
      </c>
      <c r="CS39" s="172">
        <f t="shared" si="115"/>
        <v>8.16</v>
      </c>
      <c r="CT39" s="217">
        <f t="shared" si="55"/>
        <v>8.864112149532712</v>
      </c>
      <c r="CU39" s="217">
        <f t="shared" si="56"/>
        <v>4</v>
      </c>
      <c r="CV39" s="217">
        <f t="shared" si="57"/>
        <v>8.7850467289719631</v>
      </c>
      <c r="CW39" s="172">
        <f t="shared" si="58"/>
        <v>33.339073885293615</v>
      </c>
      <c r="CX39" s="172">
        <f t="shared" si="59"/>
        <v>4</v>
      </c>
      <c r="CY39" s="217">
        <f t="shared" si="60"/>
        <v>1.5480851063829784</v>
      </c>
      <c r="CZ39" s="217">
        <f t="shared" si="61"/>
        <v>0.77404255319148929</v>
      </c>
      <c r="DA39" s="217">
        <f t="shared" si="62"/>
        <v>0.98813942960615642</v>
      </c>
      <c r="DB39" s="197">
        <f t="shared" si="63"/>
        <v>350</v>
      </c>
      <c r="DC39" s="443">
        <f t="shared" si="116"/>
        <v>350</v>
      </c>
      <c r="DE39" s="217">
        <f t="shared" si="64"/>
        <v>2.5100133511348464</v>
      </c>
      <c r="DF39" s="173">
        <f t="shared" si="65"/>
        <v>1.6021361815754336</v>
      </c>
      <c r="DG39" s="173">
        <f t="shared" si="66"/>
        <v>2.8149682442633783</v>
      </c>
      <c r="DH39" s="173"/>
      <c r="DI39" s="173">
        <f t="shared" si="67"/>
        <v>0.85106382978723416</v>
      </c>
      <c r="DJ39" s="545">
        <f t="shared" si="117"/>
        <v>898.87499999999977</v>
      </c>
      <c r="DK39" s="528">
        <f t="shared" si="68"/>
        <v>0.79432624113475192</v>
      </c>
      <c r="DM39" s="173">
        <f t="shared" si="69"/>
        <v>2.136753211232941</v>
      </c>
      <c r="DN39" s="173">
        <f t="shared" si="70"/>
        <v>2.136753211232941</v>
      </c>
      <c r="DO39" s="173">
        <f t="shared" si="71"/>
        <v>1.7951258354811905</v>
      </c>
      <c r="DQ39" s="545">
        <f t="shared" si="72"/>
        <v>2040</v>
      </c>
      <c r="DR39" s="460">
        <f t="shared" si="73"/>
        <v>350</v>
      </c>
      <c r="DT39">
        <f t="shared" si="74"/>
        <v>2040</v>
      </c>
      <c r="DU39" s="460">
        <f t="shared" si="75"/>
        <v>350</v>
      </c>
      <c r="DV39" s="460"/>
      <c r="DW39" s="5">
        <f t="shared" si="118"/>
        <v>2.8571428571428572</v>
      </c>
      <c r="DX39" s="5">
        <f t="shared" si="76"/>
        <v>1.0683766056164705</v>
      </c>
      <c r="DY39" s="5">
        <f t="shared" si="119"/>
        <v>1.7887662515263867</v>
      </c>
      <c r="DZ39" s="5">
        <f t="shared" si="77"/>
        <v>1.363885028446558</v>
      </c>
      <c r="EA39" s="173">
        <f t="shared" si="120"/>
        <v>0.37393181196576469</v>
      </c>
      <c r="EB39" s="173">
        <f t="shared" si="78"/>
        <v>9.588000000000001</v>
      </c>
      <c r="EC39" s="173">
        <f t="shared" si="79"/>
        <v>2.6755064224658822</v>
      </c>
      <c r="ED39" s="173">
        <f t="shared" si="121"/>
        <v>3.5836206257965975</v>
      </c>
      <c r="EE39" s="460">
        <f t="shared" si="80"/>
        <v>54.487206886439999</v>
      </c>
      <c r="EF39" s="5">
        <f t="shared" si="81"/>
        <v>0.50681710459914286</v>
      </c>
      <c r="EG39" s="5"/>
      <c r="EH39" s="173">
        <f t="shared" si="122"/>
        <v>0.75437961614718452</v>
      </c>
      <c r="EI39" s="173">
        <f t="shared" si="82"/>
        <v>3.9044920932615828</v>
      </c>
      <c r="EJ39" s="173"/>
      <c r="EK39" s="528">
        <f t="shared" si="83"/>
        <v>6.9428809841521558E-3</v>
      </c>
      <c r="EL39" s="528">
        <f t="shared" si="84"/>
        <v>0.6401712620853891</v>
      </c>
      <c r="EM39" s="528">
        <f t="shared" si="85"/>
        <v>4.3749999999999997E-2</v>
      </c>
      <c r="EN39" s="528">
        <f t="shared" si="86"/>
        <v>6.4114399999999988E-2</v>
      </c>
      <c r="EO39">
        <f t="shared" si="87"/>
        <v>1.0800000000000001E-2</v>
      </c>
      <c r="EP39" s="460">
        <f t="shared" si="123"/>
        <v>54.550000000000004</v>
      </c>
      <c r="EQ39" s="528">
        <f t="shared" si="88"/>
        <v>0.76892155586487054</v>
      </c>
      <c r="ER39" s="460">
        <f t="shared" si="124"/>
        <v>768.92155586487058</v>
      </c>
      <c r="ES39" s="528">
        <f t="shared" si="125"/>
        <v>1.26735</v>
      </c>
      <c r="ET39" s="528"/>
      <c r="EV39" s="460">
        <f t="shared" si="126"/>
        <v>1267.3499999999999</v>
      </c>
      <c r="EW39" s="528">
        <f t="shared" si="89"/>
        <v>1.7072658157751202E-2</v>
      </c>
      <c r="EX39" s="528">
        <f t="shared" si="90"/>
        <v>0.4573517551902665</v>
      </c>
      <c r="EY39" s="528">
        <f t="shared" si="91"/>
        <v>0.76476152138581777</v>
      </c>
      <c r="EZ39" s="528">
        <f t="shared" si="92"/>
        <v>1.4064272684785262</v>
      </c>
      <c r="FA39" s="528">
        <f t="shared" si="93"/>
        <v>3.9949999999999999E-2</v>
      </c>
      <c r="FB39" s="460">
        <f t="shared" si="127"/>
        <v>1446.377268478526</v>
      </c>
      <c r="FC39" s="173">
        <f t="shared" si="128"/>
        <v>3.4826488243433973</v>
      </c>
      <c r="FD39" s="5">
        <f t="shared" si="129"/>
        <v>8.16</v>
      </c>
      <c r="FE39" s="173">
        <f t="shared" si="130"/>
        <v>0.70087143596897028</v>
      </c>
      <c r="FF39" s="5">
        <f t="shared" si="131"/>
        <v>70.087143596897022</v>
      </c>
      <c r="FI39" s="562">
        <f t="shared" si="94"/>
        <v>-50</v>
      </c>
      <c r="FJ39">
        <f t="shared" si="95"/>
        <v>-50</v>
      </c>
      <c r="FL39">
        <f t="shared" si="181"/>
        <v>0.47735975995629537</v>
      </c>
    </row>
    <row r="40" spans="5:168">
      <c r="E40" s="170">
        <v>35</v>
      </c>
      <c r="F40" s="217">
        <f t="shared" si="182"/>
        <v>2.0999999999999996</v>
      </c>
      <c r="G40" s="217"/>
      <c r="H40" s="217">
        <f t="shared" si="132"/>
        <v>8.3999999999999986</v>
      </c>
      <c r="I40" s="541">
        <f t="shared" si="133"/>
        <v>23.957799999999999</v>
      </c>
      <c r="J40" s="172">
        <f t="shared" si="134"/>
        <v>19.28</v>
      </c>
      <c r="K40" s="172">
        <f t="shared" si="135"/>
        <v>43.28</v>
      </c>
      <c r="L40" s="443"/>
      <c r="M40" s="217">
        <f t="shared" si="136"/>
        <v>0.44642219062127647</v>
      </c>
      <c r="N40" s="172">
        <f t="shared" si="137"/>
        <v>35.971837334975383</v>
      </c>
      <c r="O40" s="172">
        <f t="shared" si="98"/>
        <v>8.3999999999999986</v>
      </c>
      <c r="P40" s="217">
        <f t="shared" si="138"/>
        <v>8.9929593337438458</v>
      </c>
      <c r="Q40" s="217">
        <f t="shared" si="139"/>
        <v>4</v>
      </c>
      <c r="R40" s="217">
        <f t="shared" si="140"/>
        <v>8.9127446320553485</v>
      </c>
      <c r="S40" s="172">
        <f t="shared" si="141"/>
        <v>32.16636947266683</v>
      </c>
      <c r="T40" s="172">
        <f t="shared" si="142"/>
        <v>4</v>
      </c>
      <c r="U40" s="217">
        <f t="shared" si="143"/>
        <v>1.8967523304057425</v>
      </c>
      <c r="V40" s="217">
        <f t="shared" si="11"/>
        <v>0.95004666392026438</v>
      </c>
      <c r="W40" s="217">
        <f t="shared" si="144"/>
        <v>1.1805512429911258</v>
      </c>
      <c r="X40" s="197">
        <f t="shared" si="145"/>
        <v>350</v>
      </c>
      <c r="Y40" s="443">
        <f t="shared" si="14"/>
        <v>350</v>
      </c>
      <c r="AA40" s="217">
        <f t="shared" si="146"/>
        <v>2.543554724712878</v>
      </c>
      <c r="AB40" s="173">
        <f t="shared" si="147"/>
        <v>1.5831253473316669</v>
      </c>
      <c r="AC40" s="173">
        <f t="shared" si="148"/>
        <v>2.8187361699127247</v>
      </c>
      <c r="AD40" s="173"/>
      <c r="AE40" s="173">
        <f t="shared" si="149"/>
        <v>0.82987551867219922</v>
      </c>
      <c r="AF40" s="545">
        <f t="shared" si="150"/>
        <v>948.93749999999977</v>
      </c>
      <c r="AG40" s="528">
        <f t="shared" si="151"/>
        <v>0.77455048409405269</v>
      </c>
      <c r="AI40" s="173">
        <f t="shared" si="152"/>
        <v>2.1954498400100149</v>
      </c>
      <c r="AJ40" s="173">
        <f t="shared" si="153"/>
        <v>2.1954498400100149</v>
      </c>
      <c r="AK40" s="173">
        <f t="shared" si="154"/>
        <v>1.8386048197605047</v>
      </c>
      <c r="AM40" s="545">
        <f t="shared" si="155"/>
        <v>2099.9999999999995</v>
      </c>
      <c r="AN40" s="460">
        <f t="shared" si="156"/>
        <v>350</v>
      </c>
      <c r="AP40">
        <f t="shared" si="157"/>
        <v>2099.9999999999995</v>
      </c>
      <c r="AQ40" s="460">
        <f t="shared" si="158"/>
        <v>350</v>
      </c>
      <c r="AR40" s="460"/>
      <c r="AS40" s="5">
        <f t="shared" si="101"/>
        <v>2.8571428571428572</v>
      </c>
      <c r="AT40" s="5">
        <f t="shared" si="159"/>
        <v>1.0996584861765346</v>
      </c>
      <c r="AU40" s="5">
        <f t="shared" si="102"/>
        <v>1.7574843709663226</v>
      </c>
      <c r="AV40" s="5">
        <f t="shared" si="160"/>
        <v>1.3664625560228307</v>
      </c>
      <c r="AW40" s="173">
        <f t="shared" si="103"/>
        <v>0.38488047016178711</v>
      </c>
      <c r="AX40" s="173">
        <f t="shared" si="161"/>
        <v>10.122000000000002</v>
      </c>
      <c r="AY40" s="173">
        <f t="shared" si="162"/>
        <v>2.7009281467406798</v>
      </c>
      <c r="AZ40" s="173">
        <f t="shared" si="104"/>
        <v>3.7476006209993522</v>
      </c>
      <c r="BA40" s="460">
        <f t="shared" si="163"/>
        <v>57.732070524268053</v>
      </c>
      <c r="BB40" s="5">
        <f t="shared" si="164"/>
        <v>0.51350251679053394</v>
      </c>
      <c r="BC40" s="5"/>
      <c r="BD40" s="173">
        <f t="shared" si="105"/>
        <v>0.7863679940460051</v>
      </c>
      <c r="BE40" s="173">
        <f t="shared" si="165"/>
        <v>3.9765151469229507</v>
      </c>
      <c r="BF40" s="173"/>
      <c r="BG40" s="528">
        <f t="shared" si="166"/>
        <v>7.5441703891312413E-3</v>
      </c>
      <c r="BH40" s="528">
        <f t="shared" si="167"/>
        <v>0.62356264080884438</v>
      </c>
      <c r="BI40" s="528">
        <f t="shared" si="168"/>
        <v>0.20963075</v>
      </c>
      <c r="BJ40" s="528">
        <f t="shared" si="169"/>
        <v>6.5560543999999998E-2</v>
      </c>
      <c r="BK40">
        <f t="shared" si="170"/>
        <v>1.0781009999999999E-2</v>
      </c>
      <c r="BL40" s="460">
        <f t="shared" si="106"/>
        <v>220.41176000000002</v>
      </c>
      <c r="BM40" s="528">
        <f t="shared" si="171"/>
        <v>0.69995895404750141</v>
      </c>
      <c r="BN40" s="460">
        <f t="shared" si="107"/>
        <v>699.95895404750138</v>
      </c>
      <c r="BO40" s="528">
        <f t="shared" si="172"/>
        <v>1.3046249999999997</v>
      </c>
      <c r="BP40" s="528"/>
      <c r="BR40" s="460">
        <f t="shared" si="109"/>
        <v>1304.6249999999998</v>
      </c>
      <c r="BS40" s="528">
        <f t="shared" si="173"/>
        <v>1.8551238661798135E-2</v>
      </c>
      <c r="BT40" s="528">
        <f t="shared" si="174"/>
        <v>0.47438018141122967</v>
      </c>
      <c r="BU40" s="528">
        <f t="shared" si="175"/>
        <v>0.12599999999999997</v>
      </c>
      <c r="BV40" s="528">
        <f t="shared" si="176"/>
        <v>0.76750098908721154</v>
      </c>
      <c r="BW40" s="528">
        <f t="shared" si="177"/>
        <v>4.2175000000000011E-2</v>
      </c>
      <c r="BX40" s="460">
        <f t="shared" si="110"/>
        <v>809.67598908721152</v>
      </c>
      <c r="BY40" s="173">
        <f t="shared" si="45"/>
        <v>3.034671703134713</v>
      </c>
      <c r="BZ40" s="5">
        <f t="shared" si="111"/>
        <v>8.3999999999999986</v>
      </c>
      <c r="CA40" s="173">
        <f t="shared" si="112"/>
        <v>0.73460788539274069</v>
      </c>
      <c r="CB40" s="5">
        <f t="shared" si="113"/>
        <v>73.460788539274063</v>
      </c>
      <c r="CE40" s="562">
        <f t="shared" si="178"/>
        <v>-50</v>
      </c>
      <c r="CF40">
        <f t="shared" si="179"/>
        <v>-50</v>
      </c>
      <c r="CG40" s="173">
        <f t="shared" si="180"/>
        <v>0.52499999999999991</v>
      </c>
      <c r="CI40" s="170">
        <v>35</v>
      </c>
      <c r="CJ40" s="217">
        <f t="shared" si="114"/>
        <v>2.0999999999999996</v>
      </c>
      <c r="CK40" s="217"/>
      <c r="CL40" s="217">
        <f t="shared" si="49"/>
        <v>8.3999999999999986</v>
      </c>
      <c r="CM40" s="541">
        <f t="shared" si="50"/>
        <v>24</v>
      </c>
      <c r="CN40" s="172">
        <f t="shared" si="51"/>
        <v>18.8</v>
      </c>
      <c r="CO40" s="443">
        <f t="shared" si="52"/>
        <v>42.8</v>
      </c>
      <c r="CP40" s="443"/>
      <c r="CQ40" s="217">
        <f t="shared" si="53"/>
        <v>0.43925233644859818</v>
      </c>
      <c r="CR40" s="172">
        <f t="shared" si="54"/>
        <v>35.456448598130848</v>
      </c>
      <c r="CS40" s="172">
        <f t="shared" si="115"/>
        <v>8.3999999999999986</v>
      </c>
      <c r="CT40" s="217">
        <f t="shared" si="55"/>
        <v>8.864112149532712</v>
      </c>
      <c r="CU40" s="217">
        <f t="shared" si="56"/>
        <v>4</v>
      </c>
      <c r="CV40" s="217">
        <f t="shared" si="57"/>
        <v>8.7850467289719631</v>
      </c>
      <c r="CW40" s="172">
        <f t="shared" si="58"/>
        <v>32.222809225975219</v>
      </c>
      <c r="CX40" s="172">
        <f t="shared" si="59"/>
        <v>4</v>
      </c>
      <c r="CY40" s="217">
        <f t="shared" si="60"/>
        <v>1.5936170212765952</v>
      </c>
      <c r="CZ40" s="217">
        <f t="shared" si="61"/>
        <v>0.79680851063829761</v>
      </c>
      <c r="DA40" s="217">
        <f t="shared" si="62"/>
        <v>1.0172023540063373</v>
      </c>
      <c r="DB40" s="197">
        <f t="shared" si="63"/>
        <v>350</v>
      </c>
      <c r="DC40" s="443">
        <f t="shared" si="116"/>
        <v>350</v>
      </c>
      <c r="DE40" s="217">
        <f t="shared" si="64"/>
        <v>2.5100133511348464</v>
      </c>
      <c r="DF40" s="173">
        <f t="shared" si="65"/>
        <v>1.6021361815754336</v>
      </c>
      <c r="DG40" s="173">
        <f t="shared" si="66"/>
        <v>2.8149682442633783</v>
      </c>
      <c r="DH40" s="173"/>
      <c r="DI40" s="173">
        <f t="shared" si="67"/>
        <v>0.85106382978723416</v>
      </c>
      <c r="DJ40" s="545">
        <f t="shared" si="117"/>
        <v>925.31249999999966</v>
      </c>
      <c r="DK40" s="528">
        <f t="shared" si="68"/>
        <v>0.79432624113475192</v>
      </c>
      <c r="DM40" s="173">
        <f t="shared" si="69"/>
        <v>2.16794833886788</v>
      </c>
      <c r="DN40" s="173">
        <f t="shared" si="70"/>
        <v>2.16794833886788</v>
      </c>
      <c r="DO40" s="173">
        <f t="shared" si="71"/>
        <v>1.8182333374329973</v>
      </c>
      <c r="DQ40" s="545">
        <f t="shared" si="72"/>
        <v>2099.9999999999995</v>
      </c>
      <c r="DR40" s="460">
        <f t="shared" si="73"/>
        <v>350</v>
      </c>
      <c r="DT40">
        <f t="shared" si="74"/>
        <v>2099.9999999999995</v>
      </c>
      <c r="DU40" s="460">
        <f t="shared" si="75"/>
        <v>350</v>
      </c>
      <c r="DV40" s="460"/>
      <c r="DW40" s="5">
        <f t="shared" si="118"/>
        <v>2.8571428571428572</v>
      </c>
      <c r="DX40" s="5">
        <f t="shared" si="76"/>
        <v>1.08397416943394</v>
      </c>
      <c r="DY40" s="5">
        <f t="shared" si="119"/>
        <v>1.7731686877089172</v>
      </c>
      <c r="DZ40" s="5">
        <f t="shared" si="77"/>
        <v>1.3837968120433275</v>
      </c>
      <c r="EA40" s="173">
        <f t="shared" si="120"/>
        <v>0.37939095930187899</v>
      </c>
      <c r="EB40" s="173">
        <f t="shared" si="78"/>
        <v>9.870000000000001</v>
      </c>
      <c r="EC40" s="173">
        <f t="shared" si="79"/>
        <v>2.6908966777357604</v>
      </c>
      <c r="ED40" s="173">
        <f t="shared" si="121"/>
        <v>3.6679223255443074</v>
      </c>
      <c r="EE40" s="460">
        <f t="shared" si="80"/>
        <v>56.908643895281841</v>
      </c>
      <c r="EF40" s="5">
        <f t="shared" si="81"/>
        <v>0.51717420058176733</v>
      </c>
      <c r="EG40" s="5"/>
      <c r="EH40" s="173">
        <f t="shared" si="122"/>
        <v>0.7709599014040508</v>
      </c>
      <c r="EI40" s="173">
        <f t="shared" si="82"/>
        <v>3.9441855881156971</v>
      </c>
      <c r="EJ40" s="173"/>
      <c r="EK40" s="528">
        <f t="shared" si="83"/>
        <v>7.2514258687899121E-3</v>
      </c>
      <c r="EL40" s="528">
        <f t="shared" si="84"/>
        <v>0.64951732232481685</v>
      </c>
      <c r="EM40" s="528">
        <f t="shared" si="85"/>
        <v>4.3749999999999997E-2</v>
      </c>
      <c r="EN40" s="528">
        <f t="shared" si="86"/>
        <v>6.4114399999999988E-2</v>
      </c>
      <c r="EO40">
        <f t="shared" si="87"/>
        <v>1.0800000000000001E-2</v>
      </c>
      <c r="EP40" s="460">
        <f t="shared" si="123"/>
        <v>54.550000000000004</v>
      </c>
      <c r="EQ40" s="528">
        <f t="shared" si="88"/>
        <v>0.77873274202367126</v>
      </c>
      <c r="ER40" s="460">
        <f t="shared" si="124"/>
        <v>778.73274202367122</v>
      </c>
      <c r="ES40" s="528">
        <f t="shared" si="125"/>
        <v>1.3046249999999997</v>
      </c>
      <c r="ET40" s="528"/>
      <c r="EV40" s="460">
        <f t="shared" si="126"/>
        <v>1304.6249999999998</v>
      </c>
      <c r="EW40" s="528">
        <f t="shared" si="89"/>
        <v>1.7831375087188309E-2</v>
      </c>
      <c r="EX40" s="528">
        <f t="shared" si="90"/>
        <v>0.46669799860498701</v>
      </c>
      <c r="EY40" s="528">
        <f t="shared" si="91"/>
        <v>0.79298037185354031</v>
      </c>
      <c r="EZ40" s="528">
        <f t="shared" si="92"/>
        <v>1.4500022914001858</v>
      </c>
      <c r="FA40" s="528">
        <f t="shared" si="93"/>
        <v>4.1125000000000002E-2</v>
      </c>
      <c r="FB40" s="460">
        <f t="shared" si="127"/>
        <v>1491.1272914001859</v>
      </c>
      <c r="FC40" s="173">
        <f t="shared" si="128"/>
        <v>3.5744850334238567</v>
      </c>
      <c r="FD40" s="5">
        <f t="shared" si="129"/>
        <v>8.3999999999999986</v>
      </c>
      <c r="FE40" s="173">
        <f t="shared" si="130"/>
        <v>0.7014915444424914</v>
      </c>
      <c r="FF40" s="5">
        <f t="shared" si="131"/>
        <v>70.149154444249135</v>
      </c>
      <c r="FI40" s="562">
        <f t="shared" si="94"/>
        <v>-50</v>
      </c>
      <c r="FJ40">
        <f t="shared" si="95"/>
        <v>-50</v>
      </c>
      <c r="FL40">
        <f t="shared" si="181"/>
        <v>0.48432888421516457</v>
      </c>
    </row>
    <row r="41" spans="5:168">
      <c r="E41" s="170">
        <v>36</v>
      </c>
      <c r="F41" s="217">
        <f t="shared" si="182"/>
        <v>2.16</v>
      </c>
      <c r="G41" s="217"/>
      <c r="H41" s="217">
        <f t="shared" si="132"/>
        <v>8.64</v>
      </c>
      <c r="I41" s="541">
        <f t="shared" si="133"/>
        <v>23.957201388540547</v>
      </c>
      <c r="J41" s="172">
        <f t="shared" si="134"/>
        <v>19.286808850723627</v>
      </c>
      <c r="K41" s="172">
        <f t="shared" si="135"/>
        <v>43.286808850723631</v>
      </c>
      <c r="L41" s="443"/>
      <c r="M41" s="217">
        <f t="shared" si="136"/>
        <v>0.44652275643057465</v>
      </c>
      <c r="N41" s="172">
        <f t="shared" si="137"/>
        <v>35.97904173592292</v>
      </c>
      <c r="O41" s="172">
        <f t="shared" si="98"/>
        <v>8.64</v>
      </c>
      <c r="P41" s="217">
        <f t="shared" si="138"/>
        <v>8.9947604339807299</v>
      </c>
      <c r="Q41" s="217">
        <f t="shared" si="139"/>
        <v>4</v>
      </c>
      <c r="R41" s="217">
        <f t="shared" si="140"/>
        <v>8.9145296669779306</v>
      </c>
      <c r="S41" s="172">
        <f t="shared" si="141"/>
        <v>31.113473558238642</v>
      </c>
      <c r="T41" s="172">
        <f t="shared" si="142"/>
        <v>4</v>
      </c>
      <c r="U41" s="217">
        <f t="shared" si="143"/>
        <v>1.9512997373387595</v>
      </c>
      <c r="V41" s="217">
        <f t="shared" si="11"/>
        <v>0.97739282933379268</v>
      </c>
      <c r="W41" s="217">
        <f t="shared" si="144"/>
        <v>1.2140731537963356</v>
      </c>
      <c r="X41" s="197">
        <f t="shared" si="145"/>
        <v>350</v>
      </c>
      <c r="Y41" s="443">
        <f t="shared" si="14"/>
        <v>350</v>
      </c>
      <c r="AA41" s="217">
        <f t="shared" si="146"/>
        <v>2.5440240230053894</v>
      </c>
      <c r="AB41" s="173">
        <f t="shared" si="147"/>
        <v>1.5828584454975438</v>
      </c>
      <c r="AC41" s="173">
        <f t="shared" si="148"/>
        <v>2.8187809372539032</v>
      </c>
      <c r="AD41" s="173"/>
      <c r="AE41" s="173">
        <f t="shared" si="149"/>
        <v>0.82958254648745033</v>
      </c>
      <c r="AF41" s="545">
        <f t="shared" si="150"/>
        <v>976.3946980678835</v>
      </c>
      <c r="AG41" s="528">
        <f t="shared" si="151"/>
        <v>0.77427704338828707</v>
      </c>
      <c r="AI41" s="173">
        <f t="shared" si="152"/>
        <v>2.2269856607179173</v>
      </c>
      <c r="AJ41" s="173">
        <f t="shared" si="153"/>
        <v>2.2269856607179173</v>
      </c>
      <c r="AK41" s="173">
        <f t="shared" si="154"/>
        <v>1.8619646869515436</v>
      </c>
      <c r="AM41" s="545">
        <f t="shared" si="155"/>
        <v>2160</v>
      </c>
      <c r="AN41" s="460">
        <f t="shared" si="156"/>
        <v>350</v>
      </c>
      <c r="AP41">
        <f t="shared" si="157"/>
        <v>2160</v>
      </c>
      <c r="AQ41" s="460">
        <f t="shared" si="158"/>
        <v>350</v>
      </c>
      <c r="AR41" s="460"/>
      <c r="AS41" s="5">
        <f t="shared" si="101"/>
        <v>2.8571428571428572</v>
      </c>
      <c r="AT41" s="5">
        <f t="shared" si="159"/>
        <v>1.1154820421302556</v>
      </c>
      <c r="AU41" s="5">
        <f t="shared" si="102"/>
        <v>1.7416608150126016</v>
      </c>
      <c r="AV41" s="5">
        <f t="shared" si="160"/>
        <v>1.385601326557055</v>
      </c>
      <c r="AW41" s="173">
        <f t="shared" si="103"/>
        <v>0.39041871474558942</v>
      </c>
      <c r="AX41" s="173">
        <f t="shared" si="161"/>
        <v>10.41487677939076</v>
      </c>
      <c r="AY41" s="173">
        <f t="shared" si="162"/>
        <v>2.7150575626071416</v>
      </c>
      <c r="AZ41" s="173">
        <f t="shared" si="104"/>
        <v>3.8359690500962511</v>
      </c>
      <c r="BA41" s="460">
        <f t="shared" si="163"/>
        <v>60.236030275033805</v>
      </c>
      <c r="BB41" s="5">
        <f t="shared" si="164"/>
        <v>0.5234316673603191</v>
      </c>
      <c r="BC41" s="5"/>
      <c r="BD41" s="173">
        <f t="shared" si="105"/>
        <v>0.80338201852508029</v>
      </c>
      <c r="BE41" s="173">
        <f t="shared" si="165"/>
        <v>4.0154349735156858</v>
      </c>
      <c r="BF41" s="173"/>
      <c r="BG41" s="528">
        <f t="shared" si="166"/>
        <v>7.8741565458110754E-3</v>
      </c>
      <c r="BH41" s="528">
        <f t="shared" si="167"/>
        <v>0.63261911087024314</v>
      </c>
      <c r="BI41" s="528">
        <f t="shared" si="168"/>
        <v>0.20962551214972977</v>
      </c>
      <c r="BJ41" s="528">
        <f t="shared" si="169"/>
        <v>6.5581173716767999E-2</v>
      </c>
      <c r="BK41">
        <f t="shared" si="170"/>
        <v>1.0780740624843245E-2</v>
      </c>
      <c r="BL41" s="460">
        <f t="shared" si="106"/>
        <v>220.40625277457301</v>
      </c>
      <c r="BM41" s="528">
        <f t="shared" si="171"/>
        <v>0.7095279188964978</v>
      </c>
      <c r="BN41" s="460">
        <f t="shared" si="107"/>
        <v>709.52791889649779</v>
      </c>
      <c r="BO41" s="528">
        <f t="shared" si="172"/>
        <v>1.3418999999999999</v>
      </c>
      <c r="BP41" s="528"/>
      <c r="BR41" s="460">
        <f t="shared" si="109"/>
        <v>1341.8999999999999</v>
      </c>
      <c r="BS41" s="528">
        <f t="shared" si="173"/>
        <v>1.9362680030682974E-2</v>
      </c>
      <c r="BT41" s="528">
        <f t="shared" si="174"/>
        <v>0.48371154079598749</v>
      </c>
      <c r="BU41" s="528">
        <f t="shared" si="175"/>
        <v>0.12959999999999999</v>
      </c>
      <c r="BV41" s="528">
        <f t="shared" si="176"/>
        <v>0.78500530854016271</v>
      </c>
      <c r="BW41" s="528">
        <f t="shared" si="177"/>
        <v>4.3395319914128171E-2</v>
      </c>
      <c r="BX41" s="460">
        <f t="shared" si="110"/>
        <v>828.40062845429088</v>
      </c>
      <c r="BY41" s="173">
        <f t="shared" si="45"/>
        <v>3.1002348001253619</v>
      </c>
      <c r="BZ41" s="5">
        <f t="shared" si="111"/>
        <v>8.64</v>
      </c>
      <c r="CA41" s="173">
        <f t="shared" si="112"/>
        <v>0.73593076689639481</v>
      </c>
      <c r="CB41" s="5">
        <f t="shared" si="113"/>
        <v>73.593076689639474</v>
      </c>
      <c r="CE41" s="562">
        <f t="shared" si="178"/>
        <v>-50</v>
      </c>
      <c r="CF41">
        <f t="shared" si="179"/>
        <v>-50</v>
      </c>
      <c r="CG41" s="173">
        <f t="shared" si="180"/>
        <v>0.53244718047896544</v>
      </c>
      <c r="CI41" s="170">
        <v>36</v>
      </c>
      <c r="CJ41" s="217">
        <f t="shared" si="114"/>
        <v>2.16</v>
      </c>
      <c r="CK41" s="217"/>
      <c r="CL41" s="217">
        <f t="shared" si="49"/>
        <v>8.64</v>
      </c>
      <c r="CM41" s="541">
        <f t="shared" si="50"/>
        <v>24</v>
      </c>
      <c r="CN41" s="172">
        <f t="shared" si="51"/>
        <v>18.8</v>
      </c>
      <c r="CO41" s="443">
        <f t="shared" si="52"/>
        <v>42.8</v>
      </c>
      <c r="CP41" s="443"/>
      <c r="CQ41" s="217">
        <f t="shared" si="53"/>
        <v>0.43925233644859818</v>
      </c>
      <c r="CR41" s="172">
        <f t="shared" si="54"/>
        <v>35.456448598130848</v>
      </c>
      <c r="CS41" s="172">
        <f t="shared" si="115"/>
        <v>8.64</v>
      </c>
      <c r="CT41" s="217">
        <f t="shared" si="55"/>
        <v>8.864112149532712</v>
      </c>
      <c r="CU41" s="217">
        <f t="shared" si="56"/>
        <v>4</v>
      </c>
      <c r="CV41" s="217">
        <f t="shared" si="57"/>
        <v>8.7850467289719631</v>
      </c>
      <c r="CW41" s="172">
        <f t="shared" si="58"/>
        <v>31.168827264682296</v>
      </c>
      <c r="CX41" s="172">
        <f t="shared" si="59"/>
        <v>4</v>
      </c>
      <c r="CY41" s="217">
        <f t="shared" si="60"/>
        <v>1.6391489361702125</v>
      </c>
      <c r="CZ41" s="217">
        <f t="shared" si="61"/>
        <v>0.81957446808510626</v>
      </c>
      <c r="DA41" s="217">
        <f t="shared" si="62"/>
        <v>1.0462652784065185</v>
      </c>
      <c r="DB41" s="197">
        <f t="shared" si="63"/>
        <v>350</v>
      </c>
      <c r="DC41" s="443">
        <f t="shared" si="116"/>
        <v>350</v>
      </c>
      <c r="DE41" s="217">
        <f t="shared" si="64"/>
        <v>2.5100133511348464</v>
      </c>
      <c r="DF41" s="173">
        <f t="shared" si="65"/>
        <v>1.6021361815754336</v>
      </c>
      <c r="DG41" s="173">
        <f t="shared" si="66"/>
        <v>2.8149682442633783</v>
      </c>
      <c r="DH41" s="173"/>
      <c r="DI41" s="173">
        <f t="shared" si="67"/>
        <v>0.85106382978723416</v>
      </c>
      <c r="DJ41" s="545">
        <f t="shared" si="117"/>
        <v>951.74999999999989</v>
      </c>
      <c r="DK41" s="528">
        <f t="shared" si="68"/>
        <v>0.79432624113475192</v>
      </c>
      <c r="DM41" s="173">
        <f t="shared" si="69"/>
        <v>2.1987009151509702</v>
      </c>
      <c r="DN41" s="173">
        <f t="shared" si="70"/>
        <v>2.1987009151509702</v>
      </c>
      <c r="DO41" s="173">
        <f t="shared" si="71"/>
        <v>1.8410130235686197</v>
      </c>
      <c r="DQ41" s="545">
        <f t="shared" si="72"/>
        <v>2160</v>
      </c>
      <c r="DR41" s="460">
        <f t="shared" si="73"/>
        <v>350</v>
      </c>
      <c r="DT41">
        <f t="shared" si="74"/>
        <v>2160</v>
      </c>
      <c r="DU41" s="460">
        <f t="shared" si="75"/>
        <v>350</v>
      </c>
      <c r="DV41" s="460"/>
      <c r="DW41" s="5">
        <f t="shared" si="118"/>
        <v>2.8571428571428572</v>
      </c>
      <c r="DX41" s="5">
        <f t="shared" si="76"/>
        <v>1.0993504575754851</v>
      </c>
      <c r="DY41" s="5">
        <f t="shared" si="119"/>
        <v>1.7577923995673721</v>
      </c>
      <c r="DZ41" s="5">
        <f t="shared" si="77"/>
        <v>1.4034261160538108</v>
      </c>
      <c r="EA41" s="173">
        <f t="shared" si="120"/>
        <v>0.38477266015141975</v>
      </c>
      <c r="EB41" s="173">
        <f t="shared" si="78"/>
        <v>10.151999999999999</v>
      </c>
      <c r="EC41" s="173">
        <f t="shared" si="79"/>
        <v>2.7054018303019407</v>
      </c>
      <c r="ED41" s="173">
        <f t="shared" si="121"/>
        <v>3.7524924712817871</v>
      </c>
      <c r="EE41" s="460">
        <f t="shared" si="80"/>
        <v>59.364924709076192</v>
      </c>
      <c r="EF41" s="5">
        <f t="shared" si="81"/>
        <v>0.52733771987021161</v>
      </c>
      <c r="EG41" s="5"/>
      <c r="EH41" s="173">
        <f t="shared" si="122"/>
        <v>0.78742216000857734</v>
      </c>
      <c r="EI41" s="173">
        <f t="shared" si="82"/>
        <v>3.982752642795679</v>
      </c>
      <c r="EJ41" s="173"/>
      <c r="EK41" s="528">
        <f t="shared" si="83"/>
        <v>7.5644106284853971E-3</v>
      </c>
      <c r="EL41" s="528">
        <f t="shared" si="84"/>
        <v>0.65873079417923053</v>
      </c>
      <c r="EM41" s="528">
        <f t="shared" si="85"/>
        <v>4.3749999999999997E-2</v>
      </c>
      <c r="EN41" s="528">
        <f t="shared" si="86"/>
        <v>6.4114399999999988E-2</v>
      </c>
      <c r="EO41">
        <f t="shared" si="87"/>
        <v>1.0800000000000001E-2</v>
      </c>
      <c r="EP41" s="460">
        <f t="shared" si="123"/>
        <v>54.550000000000004</v>
      </c>
      <c r="EQ41" s="528">
        <f t="shared" si="88"/>
        <v>0.78841902431615063</v>
      </c>
      <c r="ER41" s="460">
        <f t="shared" si="124"/>
        <v>788.41902431615063</v>
      </c>
      <c r="ES41" s="528">
        <f t="shared" si="125"/>
        <v>1.3418999999999999</v>
      </c>
      <c r="ET41" s="528"/>
      <c r="EV41" s="460">
        <f t="shared" si="126"/>
        <v>1341.8999999999999</v>
      </c>
      <c r="EW41" s="528">
        <f t="shared" si="89"/>
        <v>1.8601009742177207E-2</v>
      </c>
      <c r="EX41" s="528">
        <f t="shared" si="90"/>
        <v>0.47586955841087897</v>
      </c>
      <c r="EY41" s="528">
        <f t="shared" si="91"/>
        <v>0.82140153129920868</v>
      </c>
      <c r="EZ41" s="528">
        <f t="shared" si="92"/>
        <v>1.4936295020896742</v>
      </c>
      <c r="FA41" s="528">
        <f t="shared" si="93"/>
        <v>4.2299999999999997E-2</v>
      </c>
      <c r="FB41" s="460">
        <f t="shared" si="127"/>
        <v>1535.9295020896741</v>
      </c>
      <c r="FC41" s="173">
        <f t="shared" si="128"/>
        <v>3.6662485264058247</v>
      </c>
      <c r="FD41" s="5">
        <f t="shared" si="129"/>
        <v>8.64</v>
      </c>
      <c r="FE41" s="173">
        <f t="shared" si="130"/>
        <v>0.70208235933647334</v>
      </c>
      <c r="FF41" s="5">
        <f t="shared" si="131"/>
        <v>70.20823593364733</v>
      </c>
      <c r="FI41" s="562">
        <f t="shared" si="94"/>
        <v>-50</v>
      </c>
      <c r="FJ41">
        <f t="shared" si="95"/>
        <v>-50</v>
      </c>
      <c r="FL41">
        <f t="shared" si="181"/>
        <v>0.49119914061883374</v>
      </c>
    </row>
    <row r="42" spans="5:168">
      <c r="E42" s="170">
        <v>37</v>
      </c>
      <c r="F42" s="217">
        <f t="shared" si="182"/>
        <v>2.2199999999999998</v>
      </c>
      <c r="G42" s="217"/>
      <c r="H42" s="217">
        <f t="shared" si="132"/>
        <v>8.879999999999999</v>
      </c>
      <c r="I42" s="541">
        <f t="shared" si="133"/>
        <v>23.956611034977609</v>
      </c>
      <c r="J42" s="172">
        <f t="shared" si="134"/>
        <v>19.293523772766534</v>
      </c>
      <c r="K42" s="172">
        <f t="shared" si="135"/>
        <v>43.293523772766534</v>
      </c>
      <c r="L42" s="443"/>
      <c r="M42" s="217">
        <f t="shared" si="136"/>
        <v>0.44662190406586133</v>
      </c>
      <c r="N42" s="172">
        <f t="shared" si="137"/>
        <v>35.986143868418623</v>
      </c>
      <c r="O42" s="172">
        <f t="shared" si="98"/>
        <v>8.879999999999999</v>
      </c>
      <c r="P42" s="217">
        <f t="shared" si="138"/>
        <v>8.9965359671046556</v>
      </c>
      <c r="Q42" s="217">
        <f t="shared" si="139"/>
        <v>4</v>
      </c>
      <c r="R42" s="217">
        <f t="shared" si="140"/>
        <v>8.9162893628391036</v>
      </c>
      <c r="S42" s="172">
        <f t="shared" si="141"/>
        <v>30.117773287585504</v>
      </c>
      <c r="T42" s="172">
        <f t="shared" si="142"/>
        <v>4</v>
      </c>
      <c r="U42" s="217">
        <f t="shared" si="143"/>
        <v>2.0058618296523765</v>
      </c>
      <c r="V42" s="217">
        <f t="shared" si="11"/>
        <v>1.0047473710152433</v>
      </c>
      <c r="W42" s="217">
        <f t="shared" si="144"/>
        <v>1.2475866119285388</v>
      </c>
      <c r="X42" s="197">
        <f t="shared" si="145"/>
        <v>350</v>
      </c>
      <c r="Y42" s="443">
        <f t="shared" si="14"/>
        <v>350</v>
      </c>
      <c r="AA42" s="217">
        <f t="shared" si="146"/>
        <v>2.5444866713400893</v>
      </c>
      <c r="AB42" s="173">
        <f t="shared" si="147"/>
        <v>1.582595300666674</v>
      </c>
      <c r="AC42" s="173">
        <f t="shared" si="148"/>
        <v>2.8188248540702694</v>
      </c>
      <c r="AD42" s="173"/>
      <c r="AE42" s="173">
        <f t="shared" si="149"/>
        <v>0.8292938184047306</v>
      </c>
      <c r="AF42" s="545">
        <f t="shared" si="150"/>
        <v>1003.8661588017582</v>
      </c>
      <c r="AG42" s="528">
        <f t="shared" si="151"/>
        <v>0.77400756384441549</v>
      </c>
      <c r="AI42" s="173">
        <f t="shared" si="152"/>
        <v>2.2580971439187492</v>
      </c>
      <c r="AJ42" s="173">
        <f t="shared" si="153"/>
        <v>2.2580971439187492</v>
      </c>
      <c r="AK42" s="173">
        <f t="shared" si="154"/>
        <v>1.885010230063271</v>
      </c>
      <c r="AM42" s="545">
        <f t="shared" si="155"/>
        <v>2219.9999999999995</v>
      </c>
      <c r="AN42" s="460">
        <f t="shared" si="156"/>
        <v>350</v>
      </c>
      <c r="AP42">
        <f t="shared" si="157"/>
        <v>2219.9999999999995</v>
      </c>
      <c r="AQ42" s="460">
        <f t="shared" si="158"/>
        <v>350</v>
      </c>
      <c r="AR42" s="460"/>
      <c r="AS42" s="5">
        <f t="shared" si="101"/>
        <v>2.8571428571428572</v>
      </c>
      <c r="AT42" s="5">
        <f t="shared" si="159"/>
        <v>1.1310934458743787</v>
      </c>
      <c r="AU42" s="5">
        <f t="shared" si="102"/>
        <v>1.7260494112684786</v>
      </c>
      <c r="AV42" s="5">
        <f t="shared" si="160"/>
        <v>1.4044695021068967</v>
      </c>
      <c r="AW42" s="173">
        <f t="shared" si="103"/>
        <v>0.39588270605603254</v>
      </c>
      <c r="AX42" s="173">
        <f t="shared" si="161"/>
        <v>10.707905693885424</v>
      </c>
      <c r="AY42" s="173">
        <f t="shared" si="162"/>
        <v>2.7283110720935926</v>
      </c>
      <c r="AZ42" s="173">
        <f t="shared" si="104"/>
        <v>3.9247378363159382</v>
      </c>
      <c r="BA42" s="460">
        <f t="shared" si="163"/>
        <v>62.775686246028002</v>
      </c>
      <c r="BB42" s="5">
        <f t="shared" si="164"/>
        <v>0.53316245877757873</v>
      </c>
      <c r="BC42" s="5"/>
      <c r="BD42" s="173">
        <f t="shared" si="105"/>
        <v>0.82028592404636391</v>
      </c>
      <c r="BE42" s="173">
        <f t="shared" si="165"/>
        <v>4.0532427971083242</v>
      </c>
      <c r="BF42" s="173"/>
      <c r="BG42" s="528">
        <f t="shared" si="166"/>
        <v>8.2090017657008834E-3</v>
      </c>
      <c r="BH42" s="528">
        <f t="shared" si="167"/>
        <v>0.64155644687834812</v>
      </c>
      <c r="BI42" s="528">
        <f t="shared" si="168"/>
        <v>0.20962034655605408</v>
      </c>
      <c r="BJ42" s="528">
        <f t="shared" si="169"/>
        <v>6.5601522023208542E-2</v>
      </c>
      <c r="BK42">
        <f t="shared" si="170"/>
        <v>1.0780474965739924E-2</v>
      </c>
      <c r="BL42" s="460">
        <f t="shared" si="106"/>
        <v>220.400821521794</v>
      </c>
      <c r="BM42" s="528">
        <f t="shared" si="171"/>
        <v>0.71898575324753522</v>
      </c>
      <c r="BN42" s="460">
        <f t="shared" si="107"/>
        <v>718.98575324753517</v>
      </c>
      <c r="BO42" s="528">
        <f t="shared" si="172"/>
        <v>1.3791749999999998</v>
      </c>
      <c r="BP42" s="528"/>
      <c r="BR42" s="460">
        <f t="shared" si="109"/>
        <v>1379.1749999999997</v>
      </c>
      <c r="BS42" s="528">
        <f t="shared" si="173"/>
        <v>2.0186069915657912E-2</v>
      </c>
      <c r="BT42" s="528">
        <f t="shared" si="174"/>
        <v>0.49286331516931531</v>
      </c>
      <c r="BU42" s="528">
        <f t="shared" si="175"/>
        <v>0.13319999999999999</v>
      </c>
      <c r="BV42" s="528">
        <f t="shared" si="176"/>
        <v>0.80231126145214882</v>
      </c>
      <c r="BW42" s="528">
        <f t="shared" si="177"/>
        <v>4.4616273724522607E-2</v>
      </c>
      <c r="BX42" s="460">
        <f t="shared" si="110"/>
        <v>846.92753517667143</v>
      </c>
      <c r="BY42" s="173">
        <f t="shared" si="45"/>
        <v>3.1654891099460007</v>
      </c>
      <c r="BZ42" s="5">
        <f t="shared" si="111"/>
        <v>8.879999999999999</v>
      </c>
      <c r="CA42" s="173">
        <f t="shared" si="112"/>
        <v>0.73720543175517494</v>
      </c>
      <c r="CB42" s="5">
        <f t="shared" si="113"/>
        <v>73.720543175517491</v>
      </c>
      <c r="CE42" s="562">
        <f t="shared" si="178"/>
        <v>-50</v>
      </c>
      <c r="CF42">
        <f t="shared" si="179"/>
        <v>-50</v>
      </c>
      <c r="CG42" s="173">
        <f t="shared" si="180"/>
        <v>0.5397916264633974</v>
      </c>
      <c r="CI42" s="170">
        <v>37</v>
      </c>
      <c r="CJ42" s="217">
        <f t="shared" si="114"/>
        <v>2.2199999999999998</v>
      </c>
      <c r="CK42" s="217"/>
      <c r="CL42" s="217">
        <f t="shared" si="49"/>
        <v>8.879999999999999</v>
      </c>
      <c r="CM42" s="541">
        <f t="shared" si="50"/>
        <v>24</v>
      </c>
      <c r="CN42" s="172">
        <f t="shared" si="51"/>
        <v>18.8</v>
      </c>
      <c r="CO42" s="443">
        <f t="shared" si="52"/>
        <v>42.8</v>
      </c>
      <c r="CP42" s="443"/>
      <c r="CQ42" s="217">
        <f t="shared" si="53"/>
        <v>0.43925233644859818</v>
      </c>
      <c r="CR42" s="172">
        <f t="shared" si="54"/>
        <v>35.456448598130848</v>
      </c>
      <c r="CS42" s="172">
        <f t="shared" si="115"/>
        <v>8.879999999999999</v>
      </c>
      <c r="CT42" s="217">
        <f t="shared" si="55"/>
        <v>8.864112149532712</v>
      </c>
      <c r="CU42" s="217">
        <f t="shared" si="56"/>
        <v>4</v>
      </c>
      <c r="CV42" s="217">
        <f t="shared" si="57"/>
        <v>8.7850467289719631</v>
      </c>
      <c r="CW42" s="172">
        <f t="shared" si="58"/>
        <v>30.17208128550137</v>
      </c>
      <c r="CX42" s="172">
        <f t="shared" si="59"/>
        <v>4</v>
      </c>
      <c r="CY42" s="217">
        <f t="shared" si="60"/>
        <v>1.6846808510638294</v>
      </c>
      <c r="CZ42" s="217">
        <f t="shared" si="61"/>
        <v>0.84234042553191468</v>
      </c>
      <c r="DA42" s="217">
        <f t="shared" si="62"/>
        <v>1.0753282028066997</v>
      </c>
      <c r="DB42" s="197">
        <f t="shared" si="63"/>
        <v>350</v>
      </c>
      <c r="DC42" s="443">
        <f t="shared" si="116"/>
        <v>350</v>
      </c>
      <c r="DE42" s="217">
        <f t="shared" si="64"/>
        <v>2.5100133511348464</v>
      </c>
      <c r="DF42" s="173">
        <f t="shared" si="65"/>
        <v>1.6021361815754336</v>
      </c>
      <c r="DG42" s="173">
        <f t="shared" si="66"/>
        <v>2.8149682442633783</v>
      </c>
      <c r="DH42" s="173"/>
      <c r="DI42" s="173">
        <f t="shared" si="67"/>
        <v>0.85106382978723416</v>
      </c>
      <c r="DJ42" s="545">
        <f t="shared" si="117"/>
        <v>978.18749999999966</v>
      </c>
      <c r="DK42" s="528">
        <f t="shared" si="68"/>
        <v>0.79432624113475192</v>
      </c>
      <c r="DM42" s="173">
        <f t="shared" si="69"/>
        <v>2.2290292570021211</v>
      </c>
      <c r="DN42" s="173">
        <f t="shared" si="70"/>
        <v>2.2290292570021211</v>
      </c>
      <c r="DO42" s="173">
        <f t="shared" si="71"/>
        <v>1.8634784619768796</v>
      </c>
      <c r="DQ42" s="545">
        <f t="shared" si="72"/>
        <v>2219.9999999999995</v>
      </c>
      <c r="DR42" s="460">
        <f t="shared" si="73"/>
        <v>350</v>
      </c>
      <c r="DT42">
        <f t="shared" si="74"/>
        <v>2219.9999999999995</v>
      </c>
      <c r="DU42" s="460">
        <f t="shared" si="75"/>
        <v>350</v>
      </c>
      <c r="DV42" s="460"/>
      <c r="DW42" s="5">
        <f t="shared" si="118"/>
        <v>2.8571428571428572</v>
      </c>
      <c r="DX42" s="5">
        <f t="shared" si="76"/>
        <v>1.1145146285010605</v>
      </c>
      <c r="DY42" s="5">
        <f t="shared" si="119"/>
        <v>1.7426282286417967</v>
      </c>
      <c r="DZ42" s="5">
        <f t="shared" si="77"/>
        <v>1.4227846321290134</v>
      </c>
      <c r="EA42" s="173">
        <f t="shared" si="120"/>
        <v>0.39008011997537118</v>
      </c>
      <c r="EB42" s="173">
        <f t="shared" si="78"/>
        <v>10.433999999999999</v>
      </c>
      <c r="EC42" s="173">
        <f t="shared" si="79"/>
        <v>2.7190585140042423</v>
      </c>
      <c r="ED42" s="173">
        <f t="shared" si="121"/>
        <v>3.8373576538572864</v>
      </c>
      <c r="EE42" s="460">
        <f t="shared" si="80"/>
        <v>61.855561881808853</v>
      </c>
      <c r="EF42" s="5">
        <f t="shared" si="81"/>
        <v>0.5373103704978871</v>
      </c>
      <c r="EG42" s="5"/>
      <c r="EH42" s="173">
        <f t="shared" si="122"/>
        <v>0.80377047697364956</v>
      </c>
      <c r="EI42" s="173">
        <f t="shared" si="82"/>
        <v>4.0202358070860029</v>
      </c>
      <c r="EJ42" s="173"/>
      <c r="EK42" s="528">
        <f t="shared" si="83"/>
        <v>7.8817731517842674E-3</v>
      </c>
      <c r="EL42" s="528">
        <f t="shared" si="84"/>
        <v>0.66781716539783542</v>
      </c>
      <c r="EM42" s="528">
        <f t="shared" si="85"/>
        <v>4.3749999999999997E-2</v>
      </c>
      <c r="EN42" s="528">
        <f t="shared" si="86"/>
        <v>6.4114399999999988E-2</v>
      </c>
      <c r="EO42">
        <f t="shared" si="87"/>
        <v>1.0800000000000001E-2</v>
      </c>
      <c r="EP42" s="460">
        <f t="shared" si="123"/>
        <v>54.550000000000004</v>
      </c>
      <c r="EQ42" s="528">
        <f t="shared" si="88"/>
        <v>0.79798581275410352</v>
      </c>
      <c r="ER42" s="460">
        <f t="shared" si="124"/>
        <v>797.98581275410356</v>
      </c>
      <c r="ES42" s="528">
        <f t="shared" si="125"/>
        <v>1.3791749999999998</v>
      </c>
      <c r="ET42" s="528"/>
      <c r="EV42" s="460">
        <f t="shared" si="126"/>
        <v>1379.1749999999997</v>
      </c>
      <c r="EW42" s="528">
        <f t="shared" si="89"/>
        <v>1.9381409389633442E-2</v>
      </c>
      <c r="EX42" s="528">
        <f t="shared" si="90"/>
        <v>0.48486887833729336</v>
      </c>
      <c r="EY42" s="528">
        <f t="shared" si="91"/>
        <v>0.85002076917641956</v>
      </c>
      <c r="EZ42" s="528">
        <f t="shared" si="92"/>
        <v>1.5373060889729251</v>
      </c>
      <c r="FA42" s="528">
        <f t="shared" si="93"/>
        <v>4.3475E-2</v>
      </c>
      <c r="FB42" s="460">
        <f t="shared" si="127"/>
        <v>1580.7810889729251</v>
      </c>
      <c r="FC42" s="173">
        <f t="shared" si="128"/>
        <v>3.7579419017270284</v>
      </c>
      <c r="FD42" s="5">
        <f t="shared" si="129"/>
        <v>8.879999999999999</v>
      </c>
      <c r="FE42" s="173">
        <f t="shared" si="130"/>
        <v>0.70264605337254404</v>
      </c>
      <c r="FF42" s="5">
        <f t="shared" si="131"/>
        <v>70.264605337254409</v>
      </c>
      <c r="FI42" s="562">
        <f t="shared" si="94"/>
        <v>-50</v>
      </c>
      <c r="FJ42">
        <f t="shared" si="95"/>
        <v>-50</v>
      </c>
      <c r="FL42">
        <f t="shared" si="181"/>
        <v>0.49797462124515479</v>
      </c>
    </row>
    <row r="43" spans="5:168">
      <c r="E43" s="170">
        <v>38</v>
      </c>
      <c r="F43" s="217">
        <f t="shared" si="182"/>
        <v>2.2800000000000002</v>
      </c>
      <c r="G43" s="217"/>
      <c r="H43" s="217">
        <f t="shared" si="132"/>
        <v>9.120000000000001</v>
      </c>
      <c r="I43" s="541">
        <f t="shared" si="133"/>
        <v>23.956028606701953</v>
      </c>
      <c r="J43" s="172">
        <f t="shared" si="134"/>
        <v>19.300148549361658</v>
      </c>
      <c r="K43" s="172">
        <f t="shared" si="135"/>
        <v>43.300148549361658</v>
      </c>
      <c r="L43" s="443"/>
      <c r="M43" s="217">
        <f t="shared" si="136"/>
        <v>0.4467196906618694</v>
      </c>
      <c r="N43" s="172">
        <f t="shared" si="137"/>
        <v>35.993147852902815</v>
      </c>
      <c r="O43" s="172">
        <f t="shared" si="98"/>
        <v>9.120000000000001</v>
      </c>
      <c r="P43" s="217">
        <f t="shared" si="138"/>
        <v>8.9982869632257039</v>
      </c>
      <c r="Q43" s="217">
        <f t="shared" si="139"/>
        <v>4</v>
      </c>
      <c r="R43" s="217">
        <f t="shared" si="140"/>
        <v>8.918024740560659</v>
      </c>
      <c r="S43" s="172">
        <f t="shared" si="141"/>
        <v>29.174755831808021</v>
      </c>
      <c r="T43" s="172">
        <f t="shared" si="142"/>
        <v>4</v>
      </c>
      <c r="U43" s="217">
        <f t="shared" si="143"/>
        <v>2.0604384084511187</v>
      </c>
      <c r="V43" s="217">
        <f t="shared" si="11"/>
        <v>1.0321101759953764</v>
      </c>
      <c r="W43" s="217">
        <f t="shared" si="144"/>
        <v>1.2810917407281406</v>
      </c>
      <c r="X43" s="197">
        <f t="shared" si="145"/>
        <v>350</v>
      </c>
      <c r="Y43" s="443">
        <f t="shared" si="14"/>
        <v>350</v>
      </c>
      <c r="AA43" s="217">
        <f t="shared" si="146"/>
        <v>2.5449429376348491</v>
      </c>
      <c r="AB43" s="173">
        <f t="shared" si="147"/>
        <v>1.5823357614845024</v>
      </c>
      <c r="AC43" s="173">
        <f t="shared" si="148"/>
        <v>2.8188679548099316</v>
      </c>
      <c r="AD43" s="173"/>
      <c r="AE43" s="173">
        <f t="shared" si="149"/>
        <v>0.82900916327554341</v>
      </c>
      <c r="AF43" s="545">
        <f t="shared" si="150"/>
        <v>1031.3516881065134</v>
      </c>
      <c r="AG43" s="528">
        <f t="shared" si="151"/>
        <v>0.77374188572384073</v>
      </c>
      <c r="AI43" s="173">
        <f t="shared" si="152"/>
        <v>2.2888013782572858</v>
      </c>
      <c r="AJ43" s="173">
        <f t="shared" si="153"/>
        <v>2.2888013782572858</v>
      </c>
      <c r="AK43" s="173">
        <f t="shared" si="154"/>
        <v>1.9077541073510758</v>
      </c>
      <c r="AM43" s="545">
        <f t="shared" si="155"/>
        <v>2280.0000000000005</v>
      </c>
      <c r="AN43" s="460">
        <f t="shared" si="156"/>
        <v>350</v>
      </c>
      <c r="AP43">
        <f t="shared" si="157"/>
        <v>2280.0000000000005</v>
      </c>
      <c r="AQ43" s="460">
        <f t="shared" si="158"/>
        <v>350</v>
      </c>
      <c r="AR43" s="460"/>
      <c r="AS43" s="5">
        <f t="shared" si="101"/>
        <v>2.8571428571428572</v>
      </c>
      <c r="AT43" s="5">
        <f t="shared" si="159"/>
        <v>1.1465012415039293</v>
      </c>
      <c r="AU43" s="5">
        <f t="shared" si="102"/>
        <v>1.7106416156389279</v>
      </c>
      <c r="AV43" s="5">
        <f t="shared" si="160"/>
        <v>1.4230779866197374</v>
      </c>
      <c r="AW43" s="173">
        <f t="shared" si="103"/>
        <v>0.40127543452637526</v>
      </c>
      <c r="AX43" s="173">
        <f t="shared" si="161"/>
        <v>11.001084673136146</v>
      </c>
      <c r="AY43" s="173">
        <f t="shared" si="162"/>
        <v>2.7407232213050539</v>
      </c>
      <c r="AZ43" s="173">
        <f t="shared" si="104"/>
        <v>4.0139349306121268</v>
      </c>
      <c r="BA43" s="460">
        <f t="shared" si="163"/>
        <v>65.350570765723987</v>
      </c>
      <c r="BB43" s="5">
        <f t="shared" si="164"/>
        <v>0.54269747679374192</v>
      </c>
      <c r="BC43" s="5"/>
      <c r="BD43" s="173">
        <f t="shared" si="105"/>
        <v>0.83708346974083636</v>
      </c>
      <c r="BE43" s="173">
        <f t="shared" si="165"/>
        <v>4.0899783491993382</v>
      </c>
      <c r="BF43" s="173"/>
      <c r="BG43" s="528">
        <f t="shared" si="166"/>
        <v>8.5486465708229636E-3</v>
      </c>
      <c r="BH43" s="528">
        <f t="shared" si="167"/>
        <v>0.65037944789031477</v>
      </c>
      <c r="BI43" s="528">
        <f t="shared" si="168"/>
        <v>0.20961525030864209</v>
      </c>
      <c r="BJ43" s="528">
        <f t="shared" si="169"/>
        <v>6.5621600253887524E-2</v>
      </c>
      <c r="BK43">
        <f t="shared" si="170"/>
        <v>1.0780212873015879E-2</v>
      </c>
      <c r="BL43" s="460">
        <f t="shared" si="106"/>
        <v>220.39546318165799</v>
      </c>
      <c r="BM43" s="528">
        <f t="shared" si="171"/>
        <v>0.72833719752430548</v>
      </c>
      <c r="BN43" s="460">
        <f t="shared" si="107"/>
        <v>728.33719752430545</v>
      </c>
      <c r="BO43" s="528">
        <f t="shared" si="172"/>
        <v>1.41645</v>
      </c>
      <c r="BP43" s="528"/>
      <c r="BR43" s="460">
        <f t="shared" si="109"/>
        <v>1416.45</v>
      </c>
      <c r="BS43" s="528">
        <f t="shared" si="173"/>
        <v>2.1021262059400733E-2</v>
      </c>
      <c r="BT43" s="528">
        <f t="shared" si="174"/>
        <v>0.50183768690758035</v>
      </c>
      <c r="BU43" s="528">
        <f t="shared" si="175"/>
        <v>0.1368</v>
      </c>
      <c r="BV43" s="528">
        <f t="shared" si="176"/>
        <v>0.81942039984088944</v>
      </c>
      <c r="BW43" s="528">
        <f t="shared" si="177"/>
        <v>4.5837852804733945E-2</v>
      </c>
      <c r="BX43" s="460">
        <f t="shared" si="110"/>
        <v>865.25825264562343</v>
      </c>
      <c r="BY43" s="173">
        <f t="shared" si="45"/>
        <v>3.2304409133515866</v>
      </c>
      <c r="BZ43" s="5">
        <f t="shared" si="111"/>
        <v>9.120000000000001</v>
      </c>
      <c r="CA43" s="173">
        <f t="shared" si="112"/>
        <v>0.73843517522849889</v>
      </c>
      <c r="CB43" s="5">
        <f t="shared" si="113"/>
        <v>73.843517522849893</v>
      </c>
      <c r="CE43" s="562">
        <f t="shared" si="178"/>
        <v>-50</v>
      </c>
      <c r="CF43">
        <f t="shared" si="179"/>
        <v>-50</v>
      </c>
      <c r="CG43" s="173">
        <f t="shared" si="180"/>
        <v>0.54703747586431417</v>
      </c>
      <c r="CI43" s="170">
        <v>38</v>
      </c>
      <c r="CJ43" s="217">
        <f t="shared" si="114"/>
        <v>2.2800000000000002</v>
      </c>
      <c r="CK43" s="217"/>
      <c r="CL43" s="217">
        <f t="shared" si="49"/>
        <v>9.120000000000001</v>
      </c>
      <c r="CM43" s="541">
        <f t="shared" si="50"/>
        <v>24</v>
      </c>
      <c r="CN43" s="172">
        <f t="shared" si="51"/>
        <v>18.8</v>
      </c>
      <c r="CO43" s="443">
        <f t="shared" si="52"/>
        <v>42.8</v>
      </c>
      <c r="CP43" s="443"/>
      <c r="CQ43" s="217">
        <f t="shared" si="53"/>
        <v>0.43925233644859818</v>
      </c>
      <c r="CR43" s="172">
        <f t="shared" si="54"/>
        <v>35.456448598130848</v>
      </c>
      <c r="CS43" s="172">
        <f t="shared" si="115"/>
        <v>9.120000000000001</v>
      </c>
      <c r="CT43" s="217">
        <f t="shared" si="55"/>
        <v>8.864112149532712</v>
      </c>
      <c r="CU43" s="217">
        <f t="shared" si="56"/>
        <v>4</v>
      </c>
      <c r="CV43" s="217">
        <f t="shared" si="57"/>
        <v>8.7850467289719631</v>
      </c>
      <c r="CW43" s="172">
        <f t="shared" si="58"/>
        <v>29.228055844721968</v>
      </c>
      <c r="CX43" s="172">
        <f t="shared" si="59"/>
        <v>4</v>
      </c>
      <c r="CY43" s="217">
        <f t="shared" si="60"/>
        <v>1.7302127659574467</v>
      </c>
      <c r="CZ43" s="217">
        <f t="shared" si="61"/>
        <v>0.86510638297872333</v>
      </c>
      <c r="DA43" s="217">
        <f t="shared" si="62"/>
        <v>1.1043911272068809</v>
      </c>
      <c r="DB43" s="197">
        <f t="shared" si="63"/>
        <v>350</v>
      </c>
      <c r="DC43" s="443">
        <f t="shared" si="116"/>
        <v>350</v>
      </c>
      <c r="DE43" s="217">
        <f t="shared" si="64"/>
        <v>2.5100133511348464</v>
      </c>
      <c r="DF43" s="173">
        <f t="shared" si="65"/>
        <v>1.6021361815754336</v>
      </c>
      <c r="DG43" s="173">
        <f t="shared" si="66"/>
        <v>2.8149682442633783</v>
      </c>
      <c r="DH43" s="173"/>
      <c r="DI43" s="173">
        <f t="shared" si="67"/>
        <v>0.85106382978723416</v>
      </c>
      <c r="DJ43" s="545">
        <f t="shared" si="117"/>
        <v>1004.6249999999999</v>
      </c>
      <c r="DK43" s="528">
        <f t="shared" si="68"/>
        <v>0.79432624113475192</v>
      </c>
      <c r="DM43" s="173">
        <f t="shared" si="69"/>
        <v>2.2589504516162244</v>
      </c>
      <c r="DN43" s="173">
        <f t="shared" si="70"/>
        <v>2.2589504516162244</v>
      </c>
      <c r="DO43" s="173">
        <f t="shared" si="71"/>
        <v>1.8856423098391784</v>
      </c>
      <c r="DQ43" s="545">
        <f t="shared" si="72"/>
        <v>2280.0000000000005</v>
      </c>
      <c r="DR43" s="460">
        <f t="shared" si="73"/>
        <v>350</v>
      </c>
      <c r="DT43">
        <f t="shared" si="74"/>
        <v>2280.0000000000005</v>
      </c>
      <c r="DU43" s="460">
        <f t="shared" si="75"/>
        <v>350</v>
      </c>
      <c r="DV43" s="460"/>
      <c r="DW43" s="5">
        <f t="shared" si="118"/>
        <v>2.8571428571428572</v>
      </c>
      <c r="DX43" s="5">
        <f t="shared" si="76"/>
        <v>1.1294752258081122</v>
      </c>
      <c r="DY43" s="5">
        <f t="shared" si="119"/>
        <v>1.727667631334745</v>
      </c>
      <c r="DZ43" s="5">
        <f t="shared" si="77"/>
        <v>1.4418832669890795</v>
      </c>
      <c r="EA43" s="173">
        <f t="shared" si="120"/>
        <v>0.39531632903283925</v>
      </c>
      <c r="EB43" s="173">
        <f t="shared" si="78"/>
        <v>10.716000000000003</v>
      </c>
      <c r="EC43" s="173">
        <f t="shared" si="79"/>
        <v>2.7319009032324488</v>
      </c>
      <c r="ED43" s="173">
        <f t="shared" si="121"/>
        <v>3.9225434521876625</v>
      </c>
      <c r="EE43" s="460">
        <f t="shared" si="80"/>
        <v>64.3800878710624</v>
      </c>
      <c r="EF43" s="5">
        <f t="shared" si="81"/>
        <v>0.54709474992266927</v>
      </c>
      <c r="EG43" s="5"/>
      <c r="EH43" s="173">
        <f t="shared" si="122"/>
        <v>0.82000868964771523</v>
      </c>
      <c r="EI43" s="173">
        <f t="shared" si="82"/>
        <v>4.0566747562102998</v>
      </c>
      <c r="EJ43" s="173"/>
      <c r="EK43" s="528">
        <f t="shared" si="83"/>
        <v>8.2034538633927075E-3</v>
      </c>
      <c r="EL43" s="528">
        <f t="shared" si="84"/>
        <v>0.67678155530422079</v>
      </c>
      <c r="EM43" s="528">
        <f t="shared" si="85"/>
        <v>4.3749999999999997E-2</v>
      </c>
      <c r="EN43" s="528">
        <f t="shared" si="86"/>
        <v>6.4114399999999988E-2</v>
      </c>
      <c r="EO43">
        <f t="shared" si="87"/>
        <v>1.0800000000000001E-2</v>
      </c>
      <c r="EP43" s="460">
        <f t="shared" si="123"/>
        <v>54.550000000000004</v>
      </c>
      <c r="EQ43" s="528">
        <f t="shared" si="88"/>
        <v>0.80743815222585791</v>
      </c>
      <c r="ER43" s="460">
        <f t="shared" si="124"/>
        <v>807.43815222585795</v>
      </c>
      <c r="ES43" s="528">
        <f t="shared" si="125"/>
        <v>1.41645</v>
      </c>
      <c r="ET43" s="528"/>
      <c r="EV43" s="460">
        <f t="shared" si="126"/>
        <v>1416.45</v>
      </c>
      <c r="EW43" s="528">
        <f t="shared" si="89"/>
        <v>2.0172427532932889E-2</v>
      </c>
      <c r="EX43" s="528">
        <f t="shared" si="90"/>
        <v>0.49369830233021689</v>
      </c>
      <c r="EY43" s="528">
        <f t="shared" si="91"/>
        <v>0.87883405578853424</v>
      </c>
      <c r="EZ43" s="528">
        <f t="shared" si="92"/>
        <v>1.5810293367559463</v>
      </c>
      <c r="FA43" s="528">
        <f t="shared" si="93"/>
        <v>4.4650000000000016E-2</v>
      </c>
      <c r="FB43" s="460">
        <f t="shared" si="127"/>
        <v>1625.6793367559462</v>
      </c>
      <c r="FC43" s="173">
        <f t="shared" si="128"/>
        <v>3.8495674889818039</v>
      </c>
      <c r="FD43" s="5">
        <f t="shared" si="129"/>
        <v>9.120000000000001</v>
      </c>
      <c r="FE43" s="173">
        <f t="shared" si="130"/>
        <v>0.70318459021457924</v>
      </c>
      <c r="FF43" s="5">
        <f t="shared" si="131"/>
        <v>70.318459021457926</v>
      </c>
      <c r="FI43" s="562">
        <f t="shared" si="94"/>
        <v>-50</v>
      </c>
      <c r="FJ43">
        <f t="shared" si="95"/>
        <v>-50</v>
      </c>
      <c r="FL43">
        <f t="shared" si="181"/>
        <v>0.50465914344617779</v>
      </c>
    </row>
    <row r="44" spans="5:168">
      <c r="E44" s="170">
        <v>39</v>
      </c>
      <c r="F44" s="217">
        <f t="shared" si="182"/>
        <v>2.34</v>
      </c>
      <c r="G44" s="217"/>
      <c r="H44" s="217">
        <f t="shared" si="132"/>
        <v>9.36</v>
      </c>
      <c r="I44" s="541">
        <f t="shared" si="133"/>
        <v>23.95545379285025</v>
      </c>
      <c r="J44" s="172">
        <f t="shared" si="134"/>
        <v>19.30668671639528</v>
      </c>
      <c r="K44" s="172">
        <f t="shared" si="135"/>
        <v>43.306686716395276</v>
      </c>
      <c r="L44" s="443"/>
      <c r="M44" s="217">
        <f t="shared" si="136"/>
        <v>0.44681616961768966</v>
      </c>
      <c r="N44" s="172">
        <f t="shared" si="137"/>
        <v>36.000057540404924</v>
      </c>
      <c r="O44" s="172">
        <f t="shared" si="98"/>
        <v>9.36</v>
      </c>
      <c r="P44" s="217">
        <f t="shared" si="138"/>
        <v>9.0000143851012311</v>
      </c>
      <c r="Q44" s="217">
        <f t="shared" si="139"/>
        <v>4</v>
      </c>
      <c r="R44" s="217">
        <f t="shared" si="140"/>
        <v>8.9197367543124209</v>
      </c>
      <c r="S44" s="172">
        <f t="shared" si="141"/>
        <v>28.280371288352686</v>
      </c>
      <c r="T44" s="172">
        <f t="shared" si="142"/>
        <v>4</v>
      </c>
      <c r="U44" s="217">
        <f t="shared" si="143"/>
        <v>2.1150292827456698</v>
      </c>
      <c r="V44" s="217">
        <f t="shared" si="11"/>
        <v>1.0594811357956018</v>
      </c>
      <c r="W44" s="217">
        <f t="shared" si="144"/>
        <v>1.3145886586223514</v>
      </c>
      <c r="X44" s="197">
        <f t="shared" si="145"/>
        <v>350</v>
      </c>
      <c r="Y44" s="443">
        <f t="shared" si="14"/>
        <v>350</v>
      </c>
      <c r="AA44" s="217">
        <f t="shared" si="146"/>
        <v>2.5453930722901554</v>
      </c>
      <c r="AB44" s="173">
        <f t="shared" si="147"/>
        <v>1.5820796864924123</v>
      </c>
      <c r="AC44" s="173">
        <f t="shared" si="148"/>
        <v>2.8189102716661374</v>
      </c>
      <c r="AD44" s="173"/>
      <c r="AE44" s="173">
        <f t="shared" si="149"/>
        <v>0.82872842114399503</v>
      </c>
      <c r="AF44" s="545">
        <f t="shared" si="150"/>
        <v>1058.8510996023033</v>
      </c>
      <c r="AG44" s="528">
        <f t="shared" si="151"/>
        <v>0.77347985973439548</v>
      </c>
      <c r="AI44" s="173">
        <f t="shared" si="152"/>
        <v>2.3191143351648829</v>
      </c>
      <c r="AJ44" s="173">
        <f t="shared" si="153"/>
        <v>2.3191143351648829</v>
      </c>
      <c r="AK44" s="173">
        <f t="shared" si="154"/>
        <v>1.9302081495048513</v>
      </c>
      <c r="AM44" s="545">
        <f t="shared" si="155"/>
        <v>2340</v>
      </c>
      <c r="AN44" s="460">
        <f t="shared" si="156"/>
        <v>350</v>
      </c>
      <c r="AP44">
        <f t="shared" si="157"/>
        <v>2340</v>
      </c>
      <c r="AQ44" s="460">
        <f t="shared" si="158"/>
        <v>350</v>
      </c>
      <c r="AR44" s="460"/>
      <c r="AS44" s="5">
        <f t="shared" si="101"/>
        <v>2.8571428571428572</v>
      </c>
      <c r="AT44" s="5">
        <f t="shared" si="159"/>
        <v>1.1617134145162618</v>
      </c>
      <c r="AU44" s="5">
        <f t="shared" si="102"/>
        <v>1.6954294426265955</v>
      </c>
      <c r="AV44" s="5">
        <f t="shared" si="160"/>
        <v>1.4414369710751993</v>
      </c>
      <c r="AW44" s="173">
        <f t="shared" si="103"/>
        <v>0.4065996950806916</v>
      </c>
      <c r="AX44" s="173">
        <f t="shared" si="161"/>
        <v>11.294411729091239</v>
      </c>
      <c r="AY44" s="173">
        <f t="shared" si="162"/>
        <v>2.7523263072591613</v>
      </c>
      <c r="AZ44" s="173">
        <f t="shared" si="104"/>
        <v>4.1035874631952742</v>
      </c>
      <c r="BA44" s="460">
        <f t="shared" si="163"/>
        <v>67.960234749201305</v>
      </c>
      <c r="BB44" s="5">
        <f t="shared" si="164"/>
        <v>0.55203920438503173</v>
      </c>
      <c r="BC44" s="5"/>
      <c r="BD44" s="173">
        <f t="shared" si="105"/>
        <v>0.85377819181548997</v>
      </c>
      <c r="BE44" s="173">
        <f t="shared" si="165"/>
        <v>4.1256787382493876</v>
      </c>
      <c r="BF44" s="173"/>
      <c r="BG44" s="528">
        <f t="shared" si="166"/>
        <v>8.8930338500006756E-3</v>
      </c>
      <c r="BH44" s="528">
        <f t="shared" si="167"/>
        <v>0.65909259919444518</v>
      </c>
      <c r="BI44" s="528">
        <f t="shared" si="168"/>
        <v>0.2096102206874397</v>
      </c>
      <c r="BJ44" s="528">
        <f t="shared" si="169"/>
        <v>6.5641419002320261E-2</v>
      </c>
      <c r="BK44">
        <f t="shared" si="170"/>
        <v>1.0779954206782611E-2</v>
      </c>
      <c r="BL44" s="460">
        <f t="shared" si="106"/>
        <v>220.3901748942223</v>
      </c>
      <c r="BM44" s="528">
        <f t="shared" si="171"/>
        <v>0.73758668066272837</v>
      </c>
      <c r="BN44" s="460">
        <f t="shared" si="107"/>
        <v>737.58668066272833</v>
      </c>
      <c r="BO44" s="528">
        <f t="shared" si="172"/>
        <v>1.4537249999999999</v>
      </c>
      <c r="BP44" s="528"/>
      <c r="BR44" s="460">
        <f t="shared" si="109"/>
        <v>1453.7249999999999</v>
      </c>
      <c r="BS44" s="528">
        <f t="shared" si="173"/>
        <v>2.1868116024591825E-2</v>
      </c>
      <c r="BT44" s="528">
        <f t="shared" si="174"/>
        <v>0.51063675153729171</v>
      </c>
      <c r="BU44" s="528">
        <f t="shared" si="175"/>
        <v>0.1404</v>
      </c>
      <c r="BV44" s="528">
        <f t="shared" si="176"/>
        <v>0.83633419829685895</v>
      </c>
      <c r="BW44" s="528">
        <f t="shared" si="177"/>
        <v>4.7060048871213497E-2</v>
      </c>
      <c r="BX44" s="460">
        <f t="shared" si="110"/>
        <v>883.39424716807241</v>
      </c>
      <c r="BY44" s="173">
        <f t="shared" si="45"/>
        <v>3.2950961027250227</v>
      </c>
      <c r="BZ44" s="5">
        <f t="shared" si="111"/>
        <v>9.36</v>
      </c>
      <c r="CA44" s="173">
        <f t="shared" si="112"/>
        <v>0.73962298855909203</v>
      </c>
      <c r="CB44" s="5">
        <f t="shared" si="113"/>
        <v>73.962298855909197</v>
      </c>
      <c r="CE44" s="562">
        <f t="shared" si="178"/>
        <v>-50</v>
      </c>
      <c r="CF44">
        <f t="shared" si="179"/>
        <v>-50</v>
      </c>
      <c r="CG44" s="173">
        <f t="shared" si="180"/>
        <v>0.55418859605733495</v>
      </c>
      <c r="CI44" s="170">
        <v>39</v>
      </c>
      <c r="CJ44" s="217">
        <f t="shared" si="114"/>
        <v>2.34</v>
      </c>
      <c r="CK44" s="217"/>
      <c r="CL44" s="217">
        <f t="shared" si="49"/>
        <v>9.36</v>
      </c>
      <c r="CM44" s="541">
        <f t="shared" si="50"/>
        <v>24</v>
      </c>
      <c r="CN44" s="172">
        <f t="shared" si="51"/>
        <v>18.8</v>
      </c>
      <c r="CO44" s="443">
        <f t="shared" si="52"/>
        <v>42.8</v>
      </c>
      <c r="CP44" s="443"/>
      <c r="CQ44" s="217">
        <f t="shared" si="53"/>
        <v>0.43925233644859818</v>
      </c>
      <c r="CR44" s="172">
        <f t="shared" si="54"/>
        <v>35.456448598130848</v>
      </c>
      <c r="CS44" s="172">
        <f t="shared" si="115"/>
        <v>9.36</v>
      </c>
      <c r="CT44" s="217">
        <f t="shared" si="55"/>
        <v>8.864112149532712</v>
      </c>
      <c r="CU44" s="217">
        <f t="shared" si="56"/>
        <v>4</v>
      </c>
      <c r="CV44" s="217">
        <f t="shared" si="57"/>
        <v>8.7850467289719631</v>
      </c>
      <c r="CW44" s="172">
        <f t="shared" si="58"/>
        <v>28.332698659266857</v>
      </c>
      <c r="CX44" s="172">
        <f t="shared" si="59"/>
        <v>4</v>
      </c>
      <c r="CY44" s="217">
        <f t="shared" si="60"/>
        <v>1.7757446808510633</v>
      </c>
      <c r="CZ44" s="217">
        <f t="shared" si="61"/>
        <v>0.88787234042553165</v>
      </c>
      <c r="DA44" s="217">
        <f t="shared" si="62"/>
        <v>1.1334540516070617</v>
      </c>
      <c r="DB44" s="197">
        <f t="shared" si="63"/>
        <v>350</v>
      </c>
      <c r="DC44" s="443">
        <f t="shared" si="116"/>
        <v>350</v>
      </c>
      <c r="DE44" s="217">
        <f t="shared" si="64"/>
        <v>2.5100133511348464</v>
      </c>
      <c r="DF44" s="173">
        <f t="shared" si="65"/>
        <v>1.6021361815754336</v>
      </c>
      <c r="DG44" s="173">
        <f t="shared" si="66"/>
        <v>2.8149682442633783</v>
      </c>
      <c r="DH44" s="173"/>
      <c r="DI44" s="173">
        <f t="shared" si="67"/>
        <v>0.85106382978723416</v>
      </c>
      <c r="DJ44" s="545">
        <f t="shared" si="117"/>
        <v>1031.0624999999995</v>
      </c>
      <c r="DK44" s="528">
        <f t="shared" si="68"/>
        <v>0.79432624113475192</v>
      </c>
      <c r="DM44" s="173">
        <f t="shared" si="69"/>
        <v>2.2884804690324225</v>
      </c>
      <c r="DN44" s="173">
        <f t="shared" si="70"/>
        <v>2.2884804690324225</v>
      </c>
      <c r="DO44" s="173">
        <f t="shared" si="71"/>
        <v>1.90751639681414</v>
      </c>
      <c r="DQ44" s="545">
        <f t="shared" si="72"/>
        <v>2340</v>
      </c>
      <c r="DR44" s="460">
        <f t="shared" si="73"/>
        <v>350</v>
      </c>
      <c r="DT44">
        <f t="shared" si="74"/>
        <v>2340</v>
      </c>
      <c r="DU44" s="460">
        <f t="shared" si="75"/>
        <v>350</v>
      </c>
      <c r="DV44" s="460"/>
      <c r="DW44" s="5">
        <f t="shared" si="118"/>
        <v>2.8571428571428572</v>
      </c>
      <c r="DX44" s="5">
        <f t="shared" si="76"/>
        <v>1.1442402345162113</v>
      </c>
      <c r="DY44" s="5">
        <f t="shared" si="119"/>
        <v>1.7129026226266459</v>
      </c>
      <c r="DZ44" s="5">
        <f t="shared" si="77"/>
        <v>1.4607322142760144</v>
      </c>
      <c r="EA44" s="173">
        <f t="shared" si="120"/>
        <v>0.40048408208067393</v>
      </c>
      <c r="EB44" s="173">
        <f t="shared" si="78"/>
        <v>10.998000000000001</v>
      </c>
      <c r="EC44" s="173">
        <f t="shared" si="79"/>
        <v>2.7439609380648458</v>
      </c>
      <c r="ED44" s="173">
        <f t="shared" si="121"/>
        <v>4.0080745492522363</v>
      </c>
      <c r="EE44" s="460">
        <f t="shared" si="80"/>
        <v>66.938053719198351</v>
      </c>
      <c r="EF44" s="5">
        <f t="shared" si="81"/>
        <v>0.5566933523536598</v>
      </c>
      <c r="EG44" s="5"/>
      <c r="EH44" s="173">
        <f t="shared" si="122"/>
        <v>0.83614040883658114</v>
      </c>
      <c r="EI44" s="173">
        <f t="shared" si="82"/>
        <v>4.0921065527180609</v>
      </c>
      <c r="EJ44" s="173"/>
      <c r="EK44" s="528">
        <f t="shared" si="83"/>
        <v>8.5293955561307408E-3</v>
      </c>
      <c r="EL44" s="528">
        <f t="shared" si="84"/>
        <v>0.68562874852211375</v>
      </c>
      <c r="EM44" s="528">
        <f t="shared" si="85"/>
        <v>4.3749999999999997E-2</v>
      </c>
      <c r="EN44" s="528">
        <f t="shared" si="86"/>
        <v>6.4114399999999988E-2</v>
      </c>
      <c r="EO44">
        <f t="shared" si="87"/>
        <v>1.0800000000000001E-2</v>
      </c>
      <c r="EP44" s="460">
        <f t="shared" si="123"/>
        <v>54.550000000000004</v>
      </c>
      <c r="EQ44" s="528">
        <f t="shared" si="88"/>
        <v>0.81678075600378031</v>
      </c>
      <c r="ER44" s="460">
        <f t="shared" si="124"/>
        <v>816.78075600378031</v>
      </c>
      <c r="ES44" s="528">
        <f t="shared" si="125"/>
        <v>1.4537249999999999</v>
      </c>
      <c r="ET44" s="528"/>
      <c r="EV44" s="460">
        <f t="shared" si="126"/>
        <v>1453.7249999999999</v>
      </c>
      <c r="EW44" s="528">
        <f t="shared" si="89"/>
        <v>2.097392349868215E-2</v>
      </c>
      <c r="EX44" s="528">
        <f t="shared" si="90"/>
        <v>0.50236008116394282</v>
      </c>
      <c r="EY44" s="528">
        <f t="shared" si="91"/>
        <v>0.90783754769809655</v>
      </c>
      <c r="EZ44" s="528">
        <f t="shared" si="92"/>
        <v>1.6247966191987577</v>
      </c>
      <c r="FA44" s="528">
        <f t="shared" si="93"/>
        <v>4.5825000000000005E-2</v>
      </c>
      <c r="FB44" s="460">
        <f t="shared" si="127"/>
        <v>1670.6216191987578</v>
      </c>
      <c r="FC44" s="173">
        <f t="shared" si="128"/>
        <v>3.9411273752025382</v>
      </c>
      <c r="FD44" s="5">
        <f t="shared" si="129"/>
        <v>9.36</v>
      </c>
      <c r="FE44" s="173">
        <f t="shared" si="130"/>
        <v>0.70369974934981583</v>
      </c>
      <c r="FF44" s="5">
        <f t="shared" si="131"/>
        <v>70.369974934981585</v>
      </c>
      <c r="FI44" s="562">
        <f t="shared" si="94"/>
        <v>-50</v>
      </c>
      <c r="FJ44">
        <f t="shared" si="95"/>
        <v>-50</v>
      </c>
      <c r="FL44">
        <f t="shared" si="181"/>
        <v>0.51125627499660498</v>
      </c>
    </row>
    <row r="45" spans="5:168">
      <c r="E45" s="170">
        <v>40</v>
      </c>
      <c r="F45" s="217">
        <f t="shared" si="182"/>
        <v>2.4000000000000004</v>
      </c>
      <c r="G45" s="217"/>
      <c r="H45" s="217">
        <f t="shared" si="132"/>
        <v>9.6000000000000014</v>
      </c>
      <c r="I45" s="541">
        <f t="shared" si="133"/>
        <v>23.954886302365182</v>
      </c>
      <c r="J45" s="172">
        <f t="shared" si="134"/>
        <v>19.313141584471854</v>
      </c>
      <c r="K45" s="172">
        <f t="shared" si="135"/>
        <v>43.31314158447185</v>
      </c>
      <c r="L45" s="443"/>
      <c r="M45" s="217">
        <f t="shared" si="136"/>
        <v>0.44691139093002014</v>
      </c>
      <c r="N45" s="172">
        <f t="shared" si="137"/>
        <v>36.006876536577181</v>
      </c>
      <c r="O45" s="172">
        <f t="shared" si="98"/>
        <v>9.6000000000000014</v>
      </c>
      <c r="P45" s="217">
        <f t="shared" si="138"/>
        <v>9.0017191341442953</v>
      </c>
      <c r="Q45" s="217">
        <f t="shared" si="139"/>
        <v>4</v>
      </c>
      <c r="R45" s="217">
        <f t="shared" si="140"/>
        <v>8.921426297467093</v>
      </c>
      <c r="S45" s="172">
        <f t="shared" si="141"/>
        <v>27.430974812558095</v>
      </c>
      <c r="T45" s="172">
        <f t="shared" si="142"/>
        <v>4</v>
      </c>
      <c r="U45" s="217">
        <f t="shared" si="143"/>
        <v>2.1696342689425547</v>
      </c>
      <c r="V45" s="217">
        <f t="shared" si="11"/>
        <v>1.0868601461381195</v>
      </c>
      <c r="W45" s="217">
        <f t="shared" si="144"/>
        <v>1.348077479442485</v>
      </c>
      <c r="X45" s="197">
        <f t="shared" si="145"/>
        <v>350</v>
      </c>
      <c r="Y45" s="443">
        <f t="shared" si="14"/>
        <v>350</v>
      </c>
      <c r="AA45" s="217">
        <f t="shared" si="146"/>
        <v>2.5458373097518097</v>
      </c>
      <c r="AB45" s="173">
        <f t="shared" si="147"/>
        <v>1.5818269432449332</v>
      </c>
      <c r="AC45" s="173">
        <f t="shared" si="148"/>
        <v>2.8189518347785265</v>
      </c>
      <c r="AD45" s="173"/>
      <c r="AE45" s="173">
        <f t="shared" si="149"/>
        <v>0.82845144224823153</v>
      </c>
      <c r="AF45" s="545">
        <f t="shared" si="150"/>
        <v>1086.3642141265418</v>
      </c>
      <c r="AG45" s="528">
        <f t="shared" si="151"/>
        <v>0.77322134609834947</v>
      </c>
      <c r="AI45" s="173">
        <f t="shared" si="152"/>
        <v>2.3490509685203182</v>
      </c>
      <c r="AJ45" s="173">
        <f t="shared" si="153"/>
        <v>2.3490509685203182</v>
      </c>
      <c r="AK45" s="173">
        <f t="shared" si="154"/>
        <v>1.9523834334718404</v>
      </c>
      <c r="AM45" s="545">
        <f t="shared" si="155"/>
        <v>2400.0000000000005</v>
      </c>
      <c r="AN45" s="460">
        <f t="shared" si="156"/>
        <v>350</v>
      </c>
      <c r="AP45">
        <f t="shared" si="157"/>
        <v>2400.0000000000005</v>
      </c>
      <c r="AQ45" s="460">
        <f t="shared" si="158"/>
        <v>350</v>
      </c>
      <c r="AR45" s="460"/>
      <c r="AS45" s="5">
        <f t="shared" si="101"/>
        <v>2.8571428571428572</v>
      </c>
      <c r="AT45" s="5">
        <f t="shared" si="159"/>
        <v>1.1767374416408991</v>
      </c>
      <c r="AU45" s="5">
        <f t="shared" si="102"/>
        <v>1.6804054155019581</v>
      </c>
      <c r="AV45" s="5">
        <f t="shared" si="160"/>
        <v>1.4595559970889469</v>
      </c>
      <c r="AW45" s="173">
        <f t="shared" si="103"/>
        <v>0.41185810457431465</v>
      </c>
      <c r="AX45" s="173">
        <f t="shared" si="161"/>
        <v>11.587884950683115</v>
      </c>
      <c r="AY45" s="173">
        <f t="shared" si="162"/>
        <v>2.7631505781541641</v>
      </c>
      <c r="AZ45" s="173">
        <f t="shared" si="104"/>
        <v>4.1937218486384618</v>
      </c>
      <c r="BA45" s="460">
        <f t="shared" si="163"/>
        <v>70.604246498453961</v>
      </c>
      <c r="BB45" s="5">
        <f t="shared" si="164"/>
        <v>0.5611900283863317</v>
      </c>
      <c r="BC45" s="5"/>
      <c r="BD45" s="173">
        <f t="shared" si="105"/>
        <v>0.87037342212332203</v>
      </c>
      <c r="BE45" s="173">
        <f t="shared" si="165"/>
        <v>4.1603786820530386</v>
      </c>
      <c r="BF45" s="173"/>
      <c r="BG45" s="528">
        <f t="shared" si="166"/>
        <v>9.242108706051683E-3</v>
      </c>
      <c r="BH45" s="528">
        <f t="shared" si="167"/>
        <v>0.66770010030058957</v>
      </c>
      <c r="BI45" s="528">
        <f t="shared" si="168"/>
        <v>0.20960525514569534</v>
      </c>
      <c r="BJ45" s="528">
        <f t="shared" si="169"/>
        <v>6.5660988187077662E-2</v>
      </c>
      <c r="BK45">
        <f t="shared" si="170"/>
        <v>1.0779698836064331E-2</v>
      </c>
      <c r="BL45" s="460">
        <f t="shared" si="106"/>
        <v>220.38495398175968</v>
      </c>
      <c r="BM45" s="528">
        <f t="shared" si="171"/>
        <v>0.74673834797244965</v>
      </c>
      <c r="BN45" s="460">
        <f t="shared" si="107"/>
        <v>746.73834797244967</v>
      </c>
      <c r="BO45" s="528">
        <f t="shared" si="172"/>
        <v>1.4910000000000001</v>
      </c>
      <c r="BP45" s="528"/>
      <c r="BR45" s="460">
        <f t="shared" si="109"/>
        <v>1491</v>
      </c>
      <c r="BS45" s="528">
        <f t="shared" si="173"/>
        <v>2.2726496818159875E-2</v>
      </c>
      <c r="BT45" s="528">
        <f t="shared" si="174"/>
        <v>0.51926252334244138</v>
      </c>
      <c r="BU45" s="528">
        <f t="shared" si="175"/>
        <v>0.14400000000000002</v>
      </c>
      <c r="BV45" s="528">
        <f t="shared" si="176"/>
        <v>0.85305405971673731</v>
      </c>
      <c r="BW45" s="528">
        <f t="shared" si="177"/>
        <v>4.8282853961179643E-2</v>
      </c>
      <c r="BX45" s="460">
        <f t="shared" si="110"/>
        <v>901.33691367791687</v>
      </c>
      <c r="BY45" s="173">
        <f t="shared" si="45"/>
        <v>3.3594602156321263</v>
      </c>
      <c r="BZ45" s="5">
        <f t="shared" si="111"/>
        <v>9.6000000000000014</v>
      </c>
      <c r="CA45" s="173">
        <f t="shared" si="112"/>
        <v>0.74077159389865366</v>
      </c>
      <c r="CB45" s="5">
        <f t="shared" si="113"/>
        <v>74.077159389865372</v>
      </c>
      <c r="CE45" s="562">
        <f t="shared" si="178"/>
        <v>-50</v>
      </c>
      <c r="CF45">
        <f t="shared" si="179"/>
        <v>-50</v>
      </c>
      <c r="CG45" s="173">
        <f t="shared" si="180"/>
        <v>0.56124860801609122</v>
      </c>
      <c r="CI45" s="170">
        <v>40</v>
      </c>
      <c r="CJ45" s="217">
        <f t="shared" si="114"/>
        <v>2.4000000000000004</v>
      </c>
      <c r="CK45" s="217"/>
      <c r="CL45" s="217">
        <f t="shared" si="49"/>
        <v>9.6000000000000014</v>
      </c>
      <c r="CM45" s="541">
        <f t="shared" si="50"/>
        <v>24</v>
      </c>
      <c r="CN45" s="172">
        <f t="shared" si="51"/>
        <v>18.8</v>
      </c>
      <c r="CO45" s="443">
        <f t="shared" si="52"/>
        <v>42.8</v>
      </c>
      <c r="CP45" s="443"/>
      <c r="CQ45" s="217">
        <f t="shared" si="53"/>
        <v>0.43925233644859818</v>
      </c>
      <c r="CR45" s="172">
        <f t="shared" si="54"/>
        <v>35.456448598130848</v>
      </c>
      <c r="CS45" s="172">
        <f t="shared" si="115"/>
        <v>9.6000000000000014</v>
      </c>
      <c r="CT45" s="217">
        <f t="shared" si="55"/>
        <v>8.864112149532712</v>
      </c>
      <c r="CU45" s="217">
        <f t="shared" si="56"/>
        <v>4</v>
      </c>
      <c r="CV45" s="217">
        <f t="shared" si="57"/>
        <v>8.7850467289719631</v>
      </c>
      <c r="CW45" s="172">
        <f t="shared" si="58"/>
        <v>27.482362711847234</v>
      </c>
      <c r="CX45" s="172">
        <f t="shared" si="59"/>
        <v>4</v>
      </c>
      <c r="CY45" s="217">
        <f t="shared" si="60"/>
        <v>1.8212765957446808</v>
      </c>
      <c r="CZ45" s="217">
        <f t="shared" si="61"/>
        <v>0.91063829787234041</v>
      </c>
      <c r="DA45" s="217">
        <f t="shared" si="62"/>
        <v>1.1625169760072431</v>
      </c>
      <c r="DB45" s="197">
        <f t="shared" si="63"/>
        <v>350</v>
      </c>
      <c r="DC45" s="443">
        <f t="shared" si="116"/>
        <v>350</v>
      </c>
      <c r="DE45" s="217">
        <f t="shared" si="64"/>
        <v>2.5100133511348464</v>
      </c>
      <c r="DF45" s="173">
        <f t="shared" si="65"/>
        <v>1.6021361815754336</v>
      </c>
      <c r="DG45" s="173">
        <f t="shared" si="66"/>
        <v>2.8149682442633783</v>
      </c>
      <c r="DH45" s="173"/>
      <c r="DI45" s="173">
        <f t="shared" si="67"/>
        <v>0.85106382978723416</v>
      </c>
      <c r="DJ45" s="545">
        <f t="shared" si="117"/>
        <v>1057.5</v>
      </c>
      <c r="DK45" s="528">
        <f t="shared" si="68"/>
        <v>0.79432624113475192</v>
      </c>
      <c r="DM45" s="173">
        <f t="shared" si="69"/>
        <v>2.3176342617912287</v>
      </c>
      <c r="DN45" s="173">
        <f t="shared" si="70"/>
        <v>2.3176342617912287</v>
      </c>
      <c r="DO45" s="173">
        <f t="shared" si="71"/>
        <v>1.9291117988577</v>
      </c>
      <c r="DQ45" s="545">
        <f t="shared" si="72"/>
        <v>2400.0000000000005</v>
      </c>
      <c r="DR45" s="460">
        <f t="shared" si="73"/>
        <v>350</v>
      </c>
      <c r="DT45">
        <f t="shared" si="74"/>
        <v>2400.0000000000005</v>
      </c>
      <c r="DU45" s="460">
        <f t="shared" si="75"/>
        <v>350</v>
      </c>
      <c r="DV45" s="460"/>
      <c r="DW45" s="5">
        <f t="shared" si="118"/>
        <v>2.8571428571428572</v>
      </c>
      <c r="DX45" s="5">
        <f t="shared" si="76"/>
        <v>1.1588171308956143</v>
      </c>
      <c r="DY45" s="5">
        <f t="shared" si="119"/>
        <v>1.6983257262472429</v>
      </c>
      <c r="DZ45" s="5">
        <f t="shared" si="77"/>
        <v>1.4793410181646143</v>
      </c>
      <c r="EA45" s="173">
        <f t="shared" si="120"/>
        <v>0.40558599581346499</v>
      </c>
      <c r="EB45" s="173">
        <f t="shared" si="78"/>
        <v>11.280000000000005</v>
      </c>
      <c r="EC45" s="173">
        <f t="shared" si="79"/>
        <v>2.7552685235824566</v>
      </c>
      <c r="ED45" s="173">
        <f t="shared" si="121"/>
        <v>4.0939748352852074</v>
      </c>
      <c r="EE45" s="460">
        <f t="shared" si="80"/>
        <v>69.529027853736864</v>
      </c>
      <c r="EF45" s="5">
        <f t="shared" si="81"/>
        <v>0.56610857541574766</v>
      </c>
      <c r="EG45" s="5"/>
      <c r="EH45" s="173">
        <f t="shared" si="122"/>
        <v>0.8521690376296156</v>
      </c>
      <c r="EI45" s="173">
        <f t="shared" si="82"/>
        <v>4.1265658783673489</v>
      </c>
      <c r="EJ45" s="173"/>
      <c r="EK45" s="528">
        <f t="shared" si="83"/>
        <v>8.8595432380739383E-3</v>
      </c>
      <c r="EL45" s="528">
        <f t="shared" si="84"/>
        <v>0.69436322483265212</v>
      </c>
      <c r="EM45" s="528">
        <f t="shared" si="85"/>
        <v>4.3749999999999997E-2</v>
      </c>
      <c r="EN45" s="528">
        <f t="shared" si="86"/>
        <v>6.4114399999999988E-2</v>
      </c>
      <c r="EO45">
        <f t="shared" si="87"/>
        <v>1.0800000000000001E-2</v>
      </c>
      <c r="EP45" s="460">
        <f t="shared" si="123"/>
        <v>54.550000000000004</v>
      </c>
      <c r="EQ45" s="528">
        <f t="shared" si="88"/>
        <v>0.82601803540302554</v>
      </c>
      <c r="ER45" s="460">
        <f t="shared" si="124"/>
        <v>826.01803540302558</v>
      </c>
      <c r="ES45" s="528">
        <f t="shared" si="125"/>
        <v>1.4910000000000001</v>
      </c>
      <c r="ET45" s="528"/>
      <c r="EV45" s="460">
        <f t="shared" si="126"/>
        <v>1491</v>
      </c>
      <c r="EW45" s="528">
        <f t="shared" si="89"/>
        <v>2.1785762060837554E-2</v>
      </c>
      <c r="EX45" s="528">
        <f t="shared" si="90"/>
        <v>0.51085637845517073</v>
      </c>
      <c r="EY45" s="528">
        <f t="shared" si="91"/>
        <v>0.93702757454458263</v>
      </c>
      <c r="EZ45" s="528">
        <f t="shared" si="92"/>
        <v>1.6686053926247699</v>
      </c>
      <c r="FA45" s="528">
        <f t="shared" si="93"/>
        <v>4.7000000000000021E-2</v>
      </c>
      <c r="FB45" s="460">
        <f t="shared" si="127"/>
        <v>1715.6053926247698</v>
      </c>
      <c r="FC45" s="173">
        <f t="shared" si="128"/>
        <v>4.0326234280277955</v>
      </c>
      <c r="FD45" s="5">
        <f t="shared" si="129"/>
        <v>9.6000000000000014</v>
      </c>
      <c r="FE45" s="173">
        <f t="shared" si="130"/>
        <v>0.70419314746588091</v>
      </c>
      <c r="FF45" s="5">
        <f t="shared" si="131"/>
        <v>70.419314746588086</v>
      </c>
      <c r="FI45" s="562">
        <f t="shared" si="94"/>
        <v>-50</v>
      </c>
      <c r="FJ45">
        <f t="shared" si="95"/>
        <v>-50</v>
      </c>
      <c r="FL45">
        <f t="shared" si="181"/>
        <v>0.51776935635761479</v>
      </c>
    </row>
    <row r="46" spans="5:168">
      <c r="E46" s="170">
        <v>41</v>
      </c>
      <c r="F46" s="217">
        <f t="shared" si="182"/>
        <v>2.46</v>
      </c>
      <c r="G46" s="217"/>
      <c r="H46" s="217">
        <f t="shared" si="132"/>
        <v>9.84</v>
      </c>
      <c r="I46" s="541">
        <f t="shared" si="133"/>
        <v>23.954325862272587</v>
      </c>
      <c r="J46" s="172">
        <f t="shared" si="134"/>
        <v>19.31951625851088</v>
      </c>
      <c r="K46" s="172">
        <f t="shared" si="135"/>
        <v>43.31951625851088</v>
      </c>
      <c r="L46" s="443"/>
      <c r="M46" s="217">
        <f t="shared" si="136"/>
        <v>0.44700540148914036</v>
      </c>
      <c r="N46" s="172">
        <f t="shared" si="137"/>
        <v>36.013608223040187</v>
      </c>
      <c r="O46" s="172">
        <f t="shared" si="98"/>
        <v>9.84</v>
      </c>
      <c r="P46" s="217">
        <f t="shared" si="138"/>
        <v>9.0034020557600467</v>
      </c>
      <c r="Q46" s="217">
        <f t="shared" si="139"/>
        <v>4</v>
      </c>
      <c r="R46" s="217">
        <f t="shared" si="140"/>
        <v>8.9230942078890472</v>
      </c>
      <c r="S46" s="172">
        <f t="shared" si="141"/>
        <v>26.623277218055627</v>
      </c>
      <c r="T46" s="172">
        <f t="shared" si="142"/>
        <v>4</v>
      </c>
      <c r="U46" s="217">
        <f t="shared" si="143"/>
        <v>2.2242531903787577</v>
      </c>
      <c r="V46" s="217">
        <f t="shared" si="11"/>
        <v>1.1142471066815851</v>
      </c>
      <c r="W46" s="217">
        <f t="shared" si="144"/>
        <v>1.3815583127132809</v>
      </c>
      <c r="X46" s="197">
        <f t="shared" si="145"/>
        <v>350</v>
      </c>
      <c r="Y46" s="443">
        <f t="shared" si="14"/>
        <v>350</v>
      </c>
      <c r="AA46" s="217">
        <f t="shared" si="146"/>
        <v>2.5462758698988308</v>
      </c>
      <c r="AB46" s="173">
        <f t="shared" si="147"/>
        <v>1.5815774075256857</v>
      </c>
      <c r="AC46" s="173">
        <f t="shared" si="148"/>
        <v>2.8189926724118624</v>
      </c>
      <c r="AD46" s="173"/>
      <c r="AE46" s="173">
        <f t="shared" si="149"/>
        <v>0.8281780861335738</v>
      </c>
      <c r="AF46" s="545">
        <f t="shared" si="150"/>
        <v>1113.8908592797677</v>
      </c>
      <c r="AG46" s="528">
        <f t="shared" si="151"/>
        <v>0.772966213724669</v>
      </c>
      <c r="AI46" s="173">
        <f t="shared" si="152"/>
        <v>2.3786253031634921</v>
      </c>
      <c r="AJ46" s="173">
        <f t="shared" si="153"/>
        <v>2.3786253031634921</v>
      </c>
      <c r="AK46" s="173">
        <f t="shared" si="154"/>
        <v>1.9742903480223397</v>
      </c>
      <c r="AM46" s="545">
        <f t="shared" si="155"/>
        <v>2460</v>
      </c>
      <c r="AN46" s="460">
        <f t="shared" si="156"/>
        <v>350</v>
      </c>
      <c r="AP46">
        <f t="shared" si="157"/>
        <v>2460</v>
      </c>
      <c r="AQ46" s="460">
        <f t="shared" si="158"/>
        <v>350</v>
      </c>
      <c r="AR46" s="460"/>
      <c r="AS46" s="5">
        <f t="shared" si="101"/>
        <v>2.8571428571428572</v>
      </c>
      <c r="AT46" s="5">
        <f t="shared" si="159"/>
        <v>1.191580335095848</v>
      </c>
      <c r="AU46" s="5">
        <f t="shared" si="102"/>
        <v>1.6655625220470092</v>
      </c>
      <c r="AV46" s="5">
        <f t="shared" si="160"/>
        <v>1.4774440134021241</v>
      </c>
      <c r="AW46" s="173">
        <f t="shared" si="103"/>
        <v>0.41705311728354683</v>
      </c>
      <c r="AX46" s="173">
        <f t="shared" si="161"/>
        <v>11.881502498984192</v>
      </c>
      <c r="AY46" s="173">
        <f t="shared" si="162"/>
        <v>2.7732244112592723</v>
      </c>
      <c r="AZ46" s="173">
        <f t="shared" si="104"/>
        <v>4.2843638800904005</v>
      </c>
      <c r="BA46" s="460">
        <f t="shared" si="163"/>
        <v>73.282190608394657</v>
      </c>
      <c r="BB46" s="5">
        <f t="shared" si="164"/>
        <v>0.57015224554057864</v>
      </c>
      <c r="BC46" s="5"/>
      <c r="BD46" s="173">
        <f t="shared" si="105"/>
        <v>0.88687230476238288</v>
      </c>
      <c r="BE46" s="173">
        <f t="shared" si="165"/>
        <v>4.1941107141552614</v>
      </c>
      <c r="BF46" s="173"/>
      <c r="BG46" s="528">
        <f t="shared" si="166"/>
        <v>9.5958183164453984E-3</v>
      </c>
      <c r="BH46" s="528">
        <f t="shared" si="167"/>
        <v>0.67620588979975682</v>
      </c>
      <c r="BI46" s="528">
        <f t="shared" si="168"/>
        <v>0.20960035129488513</v>
      </c>
      <c r="BJ46" s="528">
        <f t="shared" si="169"/>
        <v>6.5680317110498612E-2</v>
      </c>
      <c r="BK46">
        <f t="shared" si="170"/>
        <v>1.0779446638022664E-2</v>
      </c>
      <c r="BL46" s="460">
        <f t="shared" si="106"/>
        <v>220.37979793290779</v>
      </c>
      <c r="BM46" s="528">
        <f t="shared" si="171"/>
        <v>0.75579608587736902</v>
      </c>
      <c r="BN46" s="460">
        <f t="shared" si="107"/>
        <v>755.79608587736902</v>
      </c>
      <c r="BO46" s="528">
        <f t="shared" si="172"/>
        <v>1.5282749999999998</v>
      </c>
      <c r="BP46" s="528"/>
      <c r="BR46" s="460">
        <f t="shared" si="109"/>
        <v>1528.2749999999999</v>
      </c>
      <c r="BS46" s="528">
        <f t="shared" si="173"/>
        <v>2.3596274548636227E-2</v>
      </c>
      <c r="BT46" s="528">
        <f t="shared" si="174"/>
        <v>0.52771694047775863</v>
      </c>
      <c r="BU46" s="528">
        <f t="shared" si="175"/>
        <v>0.14759999999999998</v>
      </c>
      <c r="BV46" s="528">
        <f t="shared" si="176"/>
        <v>0.86958132051597437</v>
      </c>
      <c r="BW46" s="528">
        <f t="shared" si="177"/>
        <v>4.9506260412434132E-2</v>
      </c>
      <c r="BX46" s="460">
        <f t="shared" si="110"/>
        <v>919.08758092840844</v>
      </c>
      <c r="BY46" s="173">
        <f t="shared" si="45"/>
        <v>3.4235384647386855</v>
      </c>
      <c r="BZ46" s="5">
        <f t="shared" si="111"/>
        <v>9.84</v>
      </c>
      <c r="CA46" s="173">
        <f t="shared" si="112"/>
        <v>0.74188347447099323</v>
      </c>
      <c r="CB46" s="5">
        <f t="shared" si="113"/>
        <v>74.188347447099318</v>
      </c>
      <c r="CE46" s="562">
        <f t="shared" si="178"/>
        <v>-50</v>
      </c>
      <c r="CF46">
        <f t="shared" si="179"/>
        <v>-50</v>
      </c>
      <c r="CG46" s="173">
        <f t="shared" si="180"/>
        <v>0.56822090774627432</v>
      </c>
      <c r="CI46" s="170">
        <v>41</v>
      </c>
      <c r="CJ46" s="217">
        <f t="shared" si="114"/>
        <v>2.46</v>
      </c>
      <c r="CK46" s="217"/>
      <c r="CL46" s="217">
        <f t="shared" si="49"/>
        <v>9.84</v>
      </c>
      <c r="CM46" s="541">
        <f t="shared" si="50"/>
        <v>24</v>
      </c>
      <c r="CN46" s="172">
        <f t="shared" si="51"/>
        <v>18.8</v>
      </c>
      <c r="CO46" s="443">
        <f t="shared" si="52"/>
        <v>42.8</v>
      </c>
      <c r="CP46" s="443"/>
      <c r="CQ46" s="217">
        <f t="shared" si="53"/>
        <v>0.43925233644859818</v>
      </c>
      <c r="CR46" s="172">
        <f t="shared" si="54"/>
        <v>35.456448598130848</v>
      </c>
      <c r="CS46" s="172">
        <f t="shared" si="115"/>
        <v>9.84</v>
      </c>
      <c r="CT46" s="217">
        <f t="shared" si="55"/>
        <v>8.864112149532712</v>
      </c>
      <c r="CU46" s="217">
        <f t="shared" si="56"/>
        <v>4</v>
      </c>
      <c r="CV46" s="217">
        <f t="shared" si="57"/>
        <v>8.7850467289719631</v>
      </c>
      <c r="CW46" s="172">
        <f t="shared" si="58"/>
        <v>26.673756828523999</v>
      </c>
      <c r="CX46" s="172">
        <f t="shared" si="59"/>
        <v>4</v>
      </c>
      <c r="CY46" s="217">
        <f t="shared" si="60"/>
        <v>1.8668085106382974</v>
      </c>
      <c r="CZ46" s="217">
        <f t="shared" si="61"/>
        <v>0.93340425531914872</v>
      </c>
      <c r="DA46" s="217">
        <f t="shared" si="62"/>
        <v>1.1915799004074239</v>
      </c>
      <c r="DB46" s="197">
        <f t="shared" si="63"/>
        <v>350</v>
      </c>
      <c r="DC46" s="443">
        <f t="shared" si="116"/>
        <v>350</v>
      </c>
      <c r="DE46" s="217">
        <f t="shared" si="64"/>
        <v>2.5100133511348464</v>
      </c>
      <c r="DF46" s="173">
        <f t="shared" si="65"/>
        <v>1.6021361815754336</v>
      </c>
      <c r="DG46" s="173">
        <f t="shared" si="66"/>
        <v>2.8149682442633783</v>
      </c>
      <c r="DH46" s="173"/>
      <c r="DI46" s="173">
        <f t="shared" si="67"/>
        <v>0.85106382978723416</v>
      </c>
      <c r="DJ46" s="545">
        <f t="shared" si="117"/>
        <v>1083.9374999999998</v>
      </c>
      <c r="DK46" s="528">
        <f t="shared" si="68"/>
        <v>0.79432624113475192</v>
      </c>
      <c r="DM46" s="173">
        <f t="shared" si="69"/>
        <v>2.3464258534448272</v>
      </c>
      <c r="DN46" s="173">
        <f t="shared" si="70"/>
        <v>2.3464258534448272</v>
      </c>
      <c r="DO46" s="173">
        <f t="shared" si="71"/>
        <v>1.9504389037862917</v>
      </c>
      <c r="DQ46" s="545">
        <f t="shared" si="72"/>
        <v>2460</v>
      </c>
      <c r="DR46" s="460">
        <f t="shared" si="73"/>
        <v>350</v>
      </c>
      <c r="DT46">
        <f t="shared" si="74"/>
        <v>2460</v>
      </c>
      <c r="DU46" s="460">
        <f t="shared" si="75"/>
        <v>350</v>
      </c>
      <c r="DV46" s="460"/>
      <c r="DW46" s="5">
        <f t="shared" si="118"/>
        <v>2.8571428571428572</v>
      </c>
      <c r="DX46" s="5">
        <f t="shared" si="76"/>
        <v>1.1732129267224136</v>
      </c>
      <c r="DY46" s="5">
        <f t="shared" si="119"/>
        <v>1.6839299304204436</v>
      </c>
      <c r="DZ46" s="5">
        <f t="shared" si="77"/>
        <v>1.4977186298584004</v>
      </c>
      <c r="EA46" s="173">
        <f t="shared" si="120"/>
        <v>0.41062452435284474</v>
      </c>
      <c r="EB46" s="173">
        <f t="shared" si="78"/>
        <v>11.562000000000001</v>
      </c>
      <c r="EC46" s="173">
        <f t="shared" si="79"/>
        <v>2.7658517068896544</v>
      </c>
      <c r="ED46" s="173">
        <f t="shared" si="121"/>
        <v>4.1802674999528726</v>
      </c>
      <c r="EE46" s="460">
        <f t="shared" si="80"/>
        <v>72.152594993428437</v>
      </c>
      <c r="EF46" s="5">
        <f t="shared" si="81"/>
        <v>0.57534272622698479</v>
      </c>
      <c r="EG46" s="5"/>
      <c r="EH46" s="173">
        <f t="shared" si="122"/>
        <v>0.86809778823089023</v>
      </c>
      <c r="EI46" s="173">
        <f t="shared" si="82"/>
        <v>4.1600852401011812</v>
      </c>
      <c r="EJ46" s="173"/>
      <c r="EK46" s="528">
        <f t="shared" si="83"/>
        <v>9.1938439931626339E-3</v>
      </c>
      <c r="EL46" s="528">
        <f t="shared" si="84"/>
        <v>0.70298918569207014</v>
      </c>
      <c r="EM46" s="528">
        <f t="shared" si="85"/>
        <v>4.3749999999999997E-2</v>
      </c>
      <c r="EN46" s="528">
        <f t="shared" si="86"/>
        <v>6.4114399999999988E-2</v>
      </c>
      <c r="EO46">
        <f t="shared" si="87"/>
        <v>1.0800000000000001E-2</v>
      </c>
      <c r="EP46" s="460">
        <f t="shared" si="123"/>
        <v>54.550000000000004</v>
      </c>
      <c r="EQ46" s="528">
        <f t="shared" si="88"/>
        <v>0.83515412611818318</v>
      </c>
      <c r="ER46" s="460">
        <f t="shared" si="124"/>
        <v>835.15412611818317</v>
      </c>
      <c r="ES46" s="528">
        <f t="shared" si="125"/>
        <v>1.5282749999999998</v>
      </c>
      <c r="ET46" s="528"/>
      <c r="EV46" s="460">
        <f t="shared" si="126"/>
        <v>1528.2749999999999</v>
      </c>
      <c r="EW46" s="528">
        <f t="shared" si="89"/>
        <v>2.2607813097940903E-2</v>
      </c>
      <c r="EX46" s="528">
        <f t="shared" si="90"/>
        <v>0.51918927614723109</v>
      </c>
      <c r="EY46" s="528">
        <f t="shared" si="91"/>
        <v>0.96640062710257724</v>
      </c>
      <c r="EZ46" s="528">
        <f t="shared" si="92"/>
        <v>1.7124531900746758</v>
      </c>
      <c r="FA46" s="528">
        <f t="shared" si="93"/>
        <v>4.8175000000000003E-2</v>
      </c>
      <c r="FB46" s="460">
        <f t="shared" si="127"/>
        <v>1760.6281900746758</v>
      </c>
      <c r="FC46" s="173">
        <f t="shared" si="128"/>
        <v>4.1240573161928582</v>
      </c>
      <c r="FD46" s="5">
        <f t="shared" si="129"/>
        <v>9.84</v>
      </c>
      <c r="FE46" s="173">
        <f t="shared" si="130"/>
        <v>0.70466625689006879</v>
      </c>
      <c r="FF46" s="5">
        <f t="shared" si="131"/>
        <v>70.466625689006875</v>
      </c>
      <c r="FI46" s="562">
        <f t="shared" si="94"/>
        <v>-50</v>
      </c>
      <c r="FJ46">
        <f t="shared" si="95"/>
        <v>-50</v>
      </c>
      <c r="FL46">
        <f t="shared" si="181"/>
        <v>0.52420152045044011</v>
      </c>
    </row>
    <row r="47" spans="5:168">
      <c r="E47" s="170">
        <v>42</v>
      </c>
      <c r="F47" s="217">
        <f t="shared" si="182"/>
        <v>2.52</v>
      </c>
      <c r="G47" s="217"/>
      <c r="H47" s="217">
        <f t="shared" si="132"/>
        <v>10.08</v>
      </c>
      <c r="I47" s="541">
        <f t="shared" si="133"/>
        <v>23.953102676784987</v>
      </c>
      <c r="J47" s="172">
        <f t="shared" si="134"/>
        <v>19.333429268796365</v>
      </c>
      <c r="K47" s="172">
        <f t="shared" si="135"/>
        <v>43.333429268796365</v>
      </c>
      <c r="L47" s="443"/>
      <c r="M47" s="217">
        <f t="shared" si="136"/>
        <v>0.44710515505295662</v>
      </c>
      <c r="N47" s="172">
        <f t="shared" si="137"/>
        <v>36.019805624933568</v>
      </c>
      <c r="O47" s="172">
        <f t="shared" si="98"/>
        <v>10.08</v>
      </c>
      <c r="P47" s="217">
        <f t="shared" si="138"/>
        <v>9.004951406233392</v>
      </c>
      <c r="Q47" s="217">
        <f t="shared" si="139"/>
        <v>4</v>
      </c>
      <c r="R47" s="217">
        <f t="shared" si="140"/>
        <v>8.924629738586118</v>
      </c>
      <c r="S47" s="172">
        <f t="shared" si="141"/>
        <v>25.853584243562203</v>
      </c>
      <c r="T47" s="172">
        <f t="shared" si="142"/>
        <v>4</v>
      </c>
      <c r="U47" s="217">
        <f t="shared" si="143"/>
        <v>2.2789143568894801</v>
      </c>
      <c r="V47" s="217">
        <f t="shared" si="11"/>
        <v>1.1416880999378032</v>
      </c>
      <c r="W47" s="217">
        <f t="shared" si="144"/>
        <v>1.4144915473847692</v>
      </c>
      <c r="X47" s="197">
        <f t="shared" si="145"/>
        <v>350</v>
      </c>
      <c r="Y47" s="443">
        <f t="shared" si="14"/>
        <v>350</v>
      </c>
      <c r="AA47" s="217">
        <f t="shared" si="146"/>
        <v>2.5472325013021346</v>
      </c>
      <c r="AB47" s="173">
        <f t="shared" si="147"/>
        <v>1.5810330175081557</v>
      </c>
      <c r="AC47" s="173">
        <f t="shared" si="148"/>
        <v>2.8190810814799927</v>
      </c>
      <c r="AD47" s="173"/>
      <c r="AE47" s="173">
        <f t="shared" si="149"/>
        <v>0.82758210028593171</v>
      </c>
      <c r="AF47" s="545">
        <f t="shared" si="150"/>
        <v>1141.880666188285</v>
      </c>
      <c r="AG47" s="528">
        <f t="shared" si="151"/>
        <v>0.77240996026686981</v>
      </c>
      <c r="AI47" s="173">
        <f t="shared" si="152"/>
        <v>2.4083248910059685</v>
      </c>
      <c r="AJ47" s="173">
        <f t="shared" si="153"/>
        <v>2.4083248910059685</v>
      </c>
      <c r="AK47" s="173">
        <f t="shared" si="154"/>
        <v>1.9962900427204704</v>
      </c>
      <c r="AM47" s="545">
        <f t="shared" si="155"/>
        <v>2520</v>
      </c>
      <c r="AN47" s="460">
        <f t="shared" si="156"/>
        <v>350</v>
      </c>
      <c r="AP47">
        <f t="shared" si="157"/>
        <v>2520</v>
      </c>
      <c r="AQ47" s="460">
        <f t="shared" si="158"/>
        <v>350</v>
      </c>
      <c r="AR47" s="460"/>
      <c r="AS47" s="5">
        <f t="shared" si="101"/>
        <v>2.8571428571428572</v>
      </c>
      <c r="AT47" s="5">
        <f t="shared" si="159"/>
        <v>1.2065200522052204</v>
      </c>
      <c r="AU47" s="5">
        <f t="shared" si="102"/>
        <v>1.6506228049376368</v>
      </c>
      <c r="AV47" s="5">
        <f t="shared" si="160"/>
        <v>1.494814928602205</v>
      </c>
      <c r="AW47" s="173">
        <f t="shared" si="103"/>
        <v>0.42228201827182715</v>
      </c>
      <c r="AX47" s="173">
        <f t="shared" si="161"/>
        <v>12.180060439341711</v>
      </c>
      <c r="AY47" s="173">
        <f t="shared" si="162"/>
        <v>2.7826651907553797</v>
      </c>
      <c r="AZ47" s="173">
        <f t="shared" si="104"/>
        <v>4.3771203520303219</v>
      </c>
      <c r="BA47" s="460">
        <f t="shared" si="163"/>
        <v>76.010763288928885</v>
      </c>
      <c r="BB47" s="5">
        <f t="shared" si="164"/>
        <v>0.57884908475402375</v>
      </c>
      <c r="BC47" s="5"/>
      <c r="BD47" s="173">
        <f t="shared" si="105"/>
        <v>0.9035573878699098</v>
      </c>
      <c r="BE47" s="173">
        <f t="shared" si="165"/>
        <v>4.2273906348107309</v>
      </c>
      <c r="BF47" s="173"/>
      <c r="BG47" s="528">
        <f t="shared" si="166"/>
        <v>9.9602746287263937E-3</v>
      </c>
      <c r="BH47" s="528">
        <f t="shared" si="167"/>
        <v>0.68486890710452053</v>
      </c>
      <c r="BI47" s="528">
        <f t="shared" si="168"/>
        <v>0.20958964842186861</v>
      </c>
      <c r="BJ47" s="528">
        <f t="shared" si="169"/>
        <v>6.5722513226782214E-2</v>
      </c>
      <c r="BK47">
        <f t="shared" si="170"/>
        <v>1.0778896204553244E-2</v>
      </c>
      <c r="BL47" s="460">
        <f t="shared" si="106"/>
        <v>220.36854462642185</v>
      </c>
      <c r="BM47" s="528">
        <f t="shared" si="171"/>
        <v>0.76505151036984653</v>
      </c>
      <c r="BN47" s="460">
        <f t="shared" si="107"/>
        <v>765.05151036984648</v>
      </c>
      <c r="BO47" s="528">
        <f t="shared" si="172"/>
        <v>1.5655499999999998</v>
      </c>
      <c r="BP47" s="528"/>
      <c r="BR47" s="460">
        <f t="shared" si="109"/>
        <v>1565.5499999999997</v>
      </c>
      <c r="BS47" s="528">
        <f t="shared" si="173"/>
        <v>2.4492478595228837E-2</v>
      </c>
      <c r="BT47" s="528">
        <f t="shared" si="174"/>
        <v>0.5361249473785642</v>
      </c>
      <c r="BU47" s="528">
        <f t="shared" si="175"/>
        <v>0.1512</v>
      </c>
      <c r="BV47" s="528">
        <f t="shared" si="176"/>
        <v>0.88610696884856943</v>
      </c>
      <c r="BW47" s="528">
        <f t="shared" si="177"/>
        <v>5.0750251830590468E-2</v>
      </c>
      <c r="BX47" s="460">
        <f t="shared" si="110"/>
        <v>936.85722067915992</v>
      </c>
      <c r="BY47" s="173">
        <f t="shared" si="45"/>
        <v>3.4878272756754281</v>
      </c>
      <c r="BZ47" s="5">
        <f t="shared" si="111"/>
        <v>10.08</v>
      </c>
      <c r="CA47" s="173">
        <f t="shared" si="112"/>
        <v>0.74293398605328287</v>
      </c>
      <c r="CB47" s="5">
        <f t="shared" si="113"/>
        <v>74.293398605328292</v>
      </c>
      <c r="CE47" s="562">
        <f t="shared" si="178"/>
        <v>-50</v>
      </c>
      <c r="CF47">
        <f t="shared" si="179"/>
        <v>-50</v>
      </c>
      <c r="CG47" s="173">
        <f t="shared" si="180"/>
        <v>0.56689802695367297</v>
      </c>
      <c r="CI47" s="170">
        <v>42</v>
      </c>
      <c r="CJ47" s="217">
        <f t="shared" si="114"/>
        <v>2.52</v>
      </c>
      <c r="CK47" s="217"/>
      <c r="CL47" s="217">
        <f t="shared" si="49"/>
        <v>10.08</v>
      </c>
      <c r="CM47" s="541">
        <f t="shared" si="50"/>
        <v>24</v>
      </c>
      <c r="CN47" s="172">
        <f t="shared" si="51"/>
        <v>18.8</v>
      </c>
      <c r="CO47" s="443">
        <f t="shared" si="52"/>
        <v>42.8</v>
      </c>
      <c r="CP47" s="443"/>
      <c r="CQ47" s="217">
        <f t="shared" si="53"/>
        <v>0.43925233644859818</v>
      </c>
      <c r="CR47" s="172">
        <f t="shared" si="54"/>
        <v>35.456448598130848</v>
      </c>
      <c r="CS47" s="172">
        <f t="shared" si="115"/>
        <v>10.08</v>
      </c>
      <c r="CT47" s="217">
        <f t="shared" si="55"/>
        <v>8.864112149532712</v>
      </c>
      <c r="CU47" s="217">
        <f t="shared" si="56"/>
        <v>4</v>
      </c>
      <c r="CV47" s="217">
        <f t="shared" si="57"/>
        <v>8.7850467289719631</v>
      </c>
      <c r="CW47" s="172">
        <f t="shared" si="58"/>
        <v>25.903903316606069</v>
      </c>
      <c r="CX47" s="172">
        <f t="shared" si="59"/>
        <v>4</v>
      </c>
      <c r="CY47" s="217">
        <f t="shared" si="60"/>
        <v>1.9123404255319145</v>
      </c>
      <c r="CZ47" s="217">
        <f t="shared" si="61"/>
        <v>0.95617021276595726</v>
      </c>
      <c r="DA47" s="217">
        <f t="shared" si="62"/>
        <v>1.2206428248076049</v>
      </c>
      <c r="DB47" s="197">
        <f t="shared" si="63"/>
        <v>350</v>
      </c>
      <c r="DC47" s="443">
        <f t="shared" si="116"/>
        <v>350</v>
      </c>
      <c r="DE47" s="217">
        <f t="shared" si="64"/>
        <v>2.5100133511348464</v>
      </c>
      <c r="DF47" s="173">
        <f t="shared" si="65"/>
        <v>1.6021361815754336</v>
      </c>
      <c r="DG47" s="173">
        <f t="shared" si="66"/>
        <v>2.8149682442633783</v>
      </c>
      <c r="DH47" s="173"/>
      <c r="DI47" s="173">
        <f t="shared" si="67"/>
        <v>0.85106382978723416</v>
      </c>
      <c r="DJ47" s="545">
        <f t="shared" si="117"/>
        <v>1110.3749999999998</v>
      </c>
      <c r="DK47" s="528">
        <f t="shared" si="68"/>
        <v>0.79432624113475192</v>
      </c>
      <c r="DM47" s="173">
        <f t="shared" si="69"/>
        <v>2.3748684174075834</v>
      </c>
      <c r="DN47" s="173">
        <f t="shared" si="70"/>
        <v>2.3748684174075834</v>
      </c>
      <c r="DO47" s="173">
        <f t="shared" si="71"/>
        <v>1.9715074696846295</v>
      </c>
      <c r="DQ47" s="545">
        <f t="shared" si="72"/>
        <v>2520</v>
      </c>
      <c r="DR47" s="460">
        <f t="shared" si="73"/>
        <v>350</v>
      </c>
      <c r="DT47">
        <f t="shared" si="74"/>
        <v>2520</v>
      </c>
      <c r="DU47" s="460">
        <f t="shared" si="75"/>
        <v>350</v>
      </c>
      <c r="DV47" s="460"/>
      <c r="DW47" s="5">
        <f t="shared" si="118"/>
        <v>2.8571428571428572</v>
      </c>
      <c r="DX47" s="5">
        <f t="shared" si="76"/>
        <v>1.1874342087037917</v>
      </c>
      <c r="DY47" s="5">
        <f t="shared" si="119"/>
        <v>1.6697086484390655</v>
      </c>
      <c r="DZ47" s="5">
        <f t="shared" si="77"/>
        <v>1.5158734579197342</v>
      </c>
      <c r="EA47" s="173">
        <f t="shared" si="120"/>
        <v>0.41560197304632707</v>
      </c>
      <c r="EB47" s="173">
        <f t="shared" si="78"/>
        <v>11.844000000000001</v>
      </c>
      <c r="EC47" s="173">
        <f t="shared" si="79"/>
        <v>2.775736834815167</v>
      </c>
      <c r="ED47" s="173">
        <f t="shared" si="121"/>
        <v>4.2669751150197488</v>
      </c>
      <c r="EE47" s="460">
        <f t="shared" si="80"/>
        <v>74.808355148338876</v>
      </c>
      <c r="EF47" s="5">
        <f t="shared" si="81"/>
        <v>0.58439802695367282</v>
      </c>
      <c r="EG47" s="5"/>
      <c r="EH47" s="173">
        <f t="shared" si="122"/>
        <v>0.8839296970501076</v>
      </c>
      <c r="EI47" s="173">
        <f t="shared" si="82"/>
        <v>4.1926951535696562</v>
      </c>
      <c r="EJ47" s="173"/>
      <c r="EK47" s="528">
        <f t="shared" si="83"/>
        <v>9.5322468537905568E-3</v>
      </c>
      <c r="EL47" s="528">
        <f t="shared" si="84"/>
        <v>0.71151057785531191</v>
      </c>
      <c r="EM47" s="528">
        <f t="shared" si="85"/>
        <v>4.3749999999999997E-2</v>
      </c>
      <c r="EN47" s="528">
        <f t="shared" si="86"/>
        <v>6.4114399999999988E-2</v>
      </c>
      <c r="EO47">
        <f t="shared" si="87"/>
        <v>1.0800000000000001E-2</v>
      </c>
      <c r="EP47" s="460">
        <f t="shared" si="123"/>
        <v>54.550000000000004</v>
      </c>
      <c r="EQ47" s="528">
        <f t="shared" si="88"/>
        <v>0.84419291168141086</v>
      </c>
      <c r="ER47" s="460">
        <f t="shared" si="124"/>
        <v>844.19291168141081</v>
      </c>
      <c r="ES47" s="528">
        <f t="shared" si="125"/>
        <v>1.5655499999999998</v>
      </c>
      <c r="ET47" s="528"/>
      <c r="EV47" s="460">
        <f t="shared" si="126"/>
        <v>1565.5499999999997</v>
      </c>
      <c r="EW47" s="528">
        <f t="shared" si="89"/>
        <v>2.3439951279812847E-2</v>
      </c>
      <c r="EX47" s="528">
        <f t="shared" si="90"/>
        <v>0.52736077952299443</v>
      </c>
      <c r="EY47" s="528">
        <f t="shared" si="91"/>
        <v>0.99595334643616062</v>
      </c>
      <c r="EZ47" s="528">
        <f t="shared" si="92"/>
        <v>1.7563376160271802</v>
      </c>
      <c r="FA47" s="528">
        <f t="shared" si="93"/>
        <v>4.9349999999999998E-2</v>
      </c>
      <c r="FB47" s="460">
        <f t="shared" si="127"/>
        <v>1805.6876160271802</v>
      </c>
      <c r="FC47" s="173">
        <f t="shared" si="128"/>
        <v>4.2154305277085902</v>
      </c>
      <c r="FD47" s="5">
        <f t="shared" si="129"/>
        <v>10.08</v>
      </c>
      <c r="FE47" s="173">
        <f t="shared" si="130"/>
        <v>0.70512042155443366</v>
      </c>
      <c r="FF47" s="5">
        <f t="shared" si="131"/>
        <v>70.512042155443368</v>
      </c>
      <c r="FI47" s="562">
        <f t="shared" si="94"/>
        <v>-50</v>
      </c>
      <c r="FJ47">
        <f t="shared" si="95"/>
        <v>-50</v>
      </c>
      <c r="FL47">
        <f t="shared" si="181"/>
        <v>0.53055571027190696</v>
      </c>
    </row>
    <row r="48" spans="5:168">
      <c r="E48" s="170">
        <v>43</v>
      </c>
      <c r="F48" s="217">
        <f t="shared" si="182"/>
        <v>2.58</v>
      </c>
      <c r="G48" s="217"/>
      <c r="H48" s="217">
        <f t="shared" si="132"/>
        <v>10.32</v>
      </c>
      <c r="I48" s="541">
        <f t="shared" si="133"/>
        <v>23.951565848001774</v>
      </c>
      <c r="J48" s="172">
        <f t="shared" si="134"/>
        <v>19.350909785761825</v>
      </c>
      <c r="K48" s="172">
        <f t="shared" si="135"/>
        <v>43.350909785761829</v>
      </c>
      <c r="L48" s="443"/>
      <c r="M48" s="217">
        <f t="shared" si="136"/>
        <v>0.44720708925890174</v>
      </c>
      <c r="N48" s="172">
        <f t="shared" si="137"/>
        <v>36.02570612164164</v>
      </c>
      <c r="O48" s="172">
        <f t="shared" si="98"/>
        <v>10.32</v>
      </c>
      <c r="P48" s="217">
        <f t="shared" si="138"/>
        <v>9.0064265304104101</v>
      </c>
      <c r="Q48" s="217">
        <f t="shared" si="139"/>
        <v>4</v>
      </c>
      <c r="R48" s="217">
        <f t="shared" si="140"/>
        <v>8.9260917050648274</v>
      </c>
      <c r="S48" s="172">
        <f t="shared" si="141"/>
        <v>25.119622753419016</v>
      </c>
      <c r="T48" s="172">
        <f t="shared" si="142"/>
        <v>4</v>
      </c>
      <c r="U48" s="217">
        <f t="shared" si="143"/>
        <v>2.3336044564510967</v>
      </c>
      <c r="V48" s="217">
        <f t="shared" si="11"/>
        <v>1.1691617013736666</v>
      </c>
      <c r="W48" s="217">
        <f t="shared" si="144"/>
        <v>1.4471285219890608</v>
      </c>
      <c r="X48" s="197">
        <f t="shared" si="145"/>
        <v>350</v>
      </c>
      <c r="Y48" s="443">
        <f t="shared" si="14"/>
        <v>350</v>
      </c>
      <c r="AA48" s="217">
        <f t="shared" si="146"/>
        <v>2.5484333674481663</v>
      </c>
      <c r="AB48" s="173">
        <f t="shared" si="147"/>
        <v>1.5803494899180031</v>
      </c>
      <c r="AC48" s="173">
        <f t="shared" si="148"/>
        <v>2.8191907606357094</v>
      </c>
      <c r="AD48" s="173"/>
      <c r="AE48" s="173">
        <f t="shared" si="149"/>
        <v>0.82683450944371706</v>
      </c>
      <c r="AF48" s="545">
        <f t="shared" si="150"/>
        <v>1170.1253261077852</v>
      </c>
      <c r="AG48" s="528">
        <f t="shared" si="151"/>
        <v>0.77171220881413605</v>
      </c>
      <c r="AI48" s="173">
        <f t="shared" si="152"/>
        <v>2.4379281613518806</v>
      </c>
      <c r="AJ48" s="173">
        <f t="shared" si="153"/>
        <v>2.4379281613518806</v>
      </c>
      <c r="AK48" s="173">
        <f t="shared" si="154"/>
        <v>2.0182183911248499</v>
      </c>
      <c r="AM48" s="545">
        <f t="shared" si="155"/>
        <v>2580</v>
      </c>
      <c r="AN48" s="460">
        <f t="shared" si="156"/>
        <v>350</v>
      </c>
      <c r="AP48">
        <f t="shared" si="157"/>
        <v>2580</v>
      </c>
      <c r="AQ48" s="460">
        <f t="shared" si="158"/>
        <v>350</v>
      </c>
      <c r="AR48" s="460"/>
      <c r="AS48" s="5">
        <f t="shared" si="101"/>
        <v>2.8571428571428572</v>
      </c>
      <c r="AT48" s="5">
        <f t="shared" si="159"/>
        <v>1.2214290339879077</v>
      </c>
      <c r="AU48" s="5">
        <f t="shared" si="102"/>
        <v>1.6357138231549495</v>
      </c>
      <c r="AV48" s="5">
        <f t="shared" si="160"/>
        <v>1.5118223515128038</v>
      </c>
      <c r="AW48" s="173">
        <f t="shared" si="103"/>
        <v>0.42750016189576767</v>
      </c>
      <c r="AX48" s="173">
        <f t="shared" si="161"/>
        <v>12.481336811816378</v>
      </c>
      <c r="AY48" s="173">
        <f t="shared" si="162"/>
        <v>2.7914269553674007</v>
      </c>
      <c r="AZ48" s="173">
        <f t="shared" si="104"/>
        <v>4.4713105559925408</v>
      </c>
      <c r="BA48" s="460">
        <f t="shared" si="163"/>
        <v>78.782172692220058</v>
      </c>
      <c r="BB48" s="5">
        <f t="shared" si="164"/>
        <v>0.58731604306806329</v>
      </c>
      <c r="BC48" s="5"/>
      <c r="BD48" s="173">
        <f t="shared" si="105"/>
        <v>0.92029787342452307</v>
      </c>
      <c r="BE48" s="173">
        <f t="shared" si="165"/>
        <v>4.2599838449918801</v>
      </c>
      <c r="BF48" s="173"/>
      <c r="BG48" s="528">
        <f t="shared" si="166"/>
        <v>1.0332767745122333E-2</v>
      </c>
      <c r="BH48" s="528">
        <f t="shared" si="167"/>
        <v>0.69356702485175148</v>
      </c>
      <c r="BI48" s="528">
        <f t="shared" si="168"/>
        <v>0.20957620117001552</v>
      </c>
      <c r="BJ48" s="528">
        <f t="shared" si="169"/>
        <v>6.5775548273864115E-2</v>
      </c>
      <c r="BK48">
        <f t="shared" si="170"/>
        <v>1.0778204631600797E-2</v>
      </c>
      <c r="BL48" s="460">
        <f t="shared" si="106"/>
        <v>220.35440580161631</v>
      </c>
      <c r="BM48" s="528">
        <f t="shared" si="171"/>
        <v>0.77436630825970498</v>
      </c>
      <c r="BN48" s="460">
        <f t="shared" si="107"/>
        <v>774.36630825970497</v>
      </c>
      <c r="BO48" s="528">
        <f t="shared" si="172"/>
        <v>1.6028249999999997</v>
      </c>
      <c r="BP48" s="528"/>
      <c r="BR48" s="460">
        <f t="shared" si="109"/>
        <v>1602.8249999999998</v>
      </c>
      <c r="BS48" s="528">
        <f t="shared" si="173"/>
        <v>2.5408445274890983E-2</v>
      </c>
      <c r="BT48" s="528">
        <f t="shared" si="174"/>
        <v>0.54442387078775401</v>
      </c>
      <c r="BU48" s="528">
        <f t="shared" si="175"/>
        <v>0.15479999999999999</v>
      </c>
      <c r="BV48" s="528">
        <f t="shared" si="176"/>
        <v>0.90253558744761864</v>
      </c>
      <c r="BW48" s="528">
        <f t="shared" si="177"/>
        <v>5.2005570049234916E-2</v>
      </c>
      <c r="BX48" s="460">
        <f t="shared" si="110"/>
        <v>954.54115749685354</v>
      </c>
      <c r="BY48" s="173">
        <f t="shared" si="45"/>
        <v>3.5520868715581746</v>
      </c>
      <c r="BZ48" s="5">
        <f t="shared" si="111"/>
        <v>10.32</v>
      </c>
      <c r="CA48" s="173">
        <f t="shared" si="112"/>
        <v>0.74393997785286448</v>
      </c>
      <c r="CB48" s="5">
        <f t="shared" si="113"/>
        <v>74.393997785286444</v>
      </c>
      <c r="CE48" s="562">
        <f t="shared" si="178"/>
        <v>-50</v>
      </c>
      <c r="CF48">
        <f t="shared" si="179"/>
        <v>-50</v>
      </c>
      <c r="CG48" s="173">
        <f t="shared" si="180"/>
        <v>0.56197948920415308</v>
      </c>
      <c r="CI48" s="170">
        <v>43</v>
      </c>
      <c r="CJ48" s="217">
        <f t="shared" si="114"/>
        <v>2.58</v>
      </c>
      <c r="CK48" s="217"/>
      <c r="CL48" s="217">
        <f t="shared" si="49"/>
        <v>10.32</v>
      </c>
      <c r="CM48" s="541">
        <f t="shared" si="50"/>
        <v>24</v>
      </c>
      <c r="CN48" s="172">
        <f t="shared" si="51"/>
        <v>18.8</v>
      </c>
      <c r="CO48" s="443">
        <f t="shared" si="52"/>
        <v>42.8</v>
      </c>
      <c r="CP48" s="443"/>
      <c r="CQ48" s="217">
        <f t="shared" si="53"/>
        <v>0.43925233644859818</v>
      </c>
      <c r="CR48" s="172">
        <f t="shared" si="54"/>
        <v>35.456448598130848</v>
      </c>
      <c r="CS48" s="172">
        <f t="shared" si="115"/>
        <v>10.32</v>
      </c>
      <c r="CT48" s="217">
        <f t="shared" si="55"/>
        <v>8.864112149532712</v>
      </c>
      <c r="CU48" s="217">
        <f t="shared" si="56"/>
        <v>4</v>
      </c>
      <c r="CV48" s="217">
        <f t="shared" si="57"/>
        <v>8.7850467289719631</v>
      </c>
      <c r="CW48" s="172">
        <f t="shared" si="58"/>
        <v>25.17010151352844</v>
      </c>
      <c r="CX48" s="172">
        <f t="shared" si="59"/>
        <v>4</v>
      </c>
      <c r="CY48" s="217">
        <f t="shared" si="60"/>
        <v>1.9578723404255316</v>
      </c>
      <c r="CZ48" s="217">
        <f t="shared" si="61"/>
        <v>0.9789361702127658</v>
      </c>
      <c r="DA48" s="217">
        <f t="shared" si="62"/>
        <v>1.2497057492077861</v>
      </c>
      <c r="DB48" s="197">
        <f t="shared" si="63"/>
        <v>350</v>
      </c>
      <c r="DC48" s="443">
        <f t="shared" si="116"/>
        <v>350</v>
      </c>
      <c r="DE48" s="217">
        <f t="shared" si="64"/>
        <v>2.5100133511348464</v>
      </c>
      <c r="DF48" s="173">
        <f t="shared" si="65"/>
        <v>1.6021361815754336</v>
      </c>
      <c r="DG48" s="173">
        <f t="shared" si="66"/>
        <v>2.8149682442633783</v>
      </c>
      <c r="DH48" s="173"/>
      <c r="DI48" s="173">
        <f t="shared" si="67"/>
        <v>0.85106382978723416</v>
      </c>
      <c r="DJ48" s="545">
        <f t="shared" si="117"/>
        <v>1136.8124999999998</v>
      </c>
      <c r="DK48" s="528">
        <f t="shared" si="68"/>
        <v>0.79432624113475192</v>
      </c>
      <c r="DM48" s="173">
        <f t="shared" si="69"/>
        <v>2.4029743474048395</v>
      </c>
      <c r="DN48" s="173">
        <f t="shared" si="70"/>
        <v>2.4029743474048395</v>
      </c>
      <c r="DO48" s="173">
        <f t="shared" si="71"/>
        <v>1.9923266770900043</v>
      </c>
      <c r="DQ48" s="545">
        <f t="shared" si="72"/>
        <v>2580</v>
      </c>
      <c r="DR48" s="460">
        <f t="shared" si="73"/>
        <v>350</v>
      </c>
      <c r="DT48">
        <f t="shared" si="74"/>
        <v>2580</v>
      </c>
      <c r="DU48" s="460">
        <f t="shared" si="75"/>
        <v>350</v>
      </c>
      <c r="DV48" s="460"/>
      <c r="DW48" s="5">
        <f t="shared" si="118"/>
        <v>2.8571428571428572</v>
      </c>
      <c r="DX48" s="5">
        <f t="shared" si="76"/>
        <v>1.20148717370242</v>
      </c>
      <c r="DY48" s="5">
        <f t="shared" si="119"/>
        <v>1.6556556834404372</v>
      </c>
      <c r="DZ48" s="5">
        <f t="shared" si="77"/>
        <v>1.5338134132371317</v>
      </c>
      <c r="EA48" s="173">
        <f t="shared" si="120"/>
        <v>0.42052051079584696</v>
      </c>
      <c r="EB48" s="173">
        <f t="shared" si="78"/>
        <v>12.125999999999999</v>
      </c>
      <c r="EC48" s="173">
        <f t="shared" si="79"/>
        <v>2.7849486948096787</v>
      </c>
      <c r="ED48" s="173">
        <f t="shared" si="121"/>
        <v>4.3541197087757055</v>
      </c>
      <c r="EE48" s="460">
        <f t="shared" si="80"/>
        <v>77.495922703806087</v>
      </c>
      <c r="EF48" s="5">
        <f t="shared" si="81"/>
        <v>0.59327661989948988</v>
      </c>
      <c r="EG48" s="5"/>
      <c r="EH48" s="173">
        <f t="shared" si="122"/>
        <v>0.89966763827030238</v>
      </c>
      <c r="EI48" s="173">
        <f t="shared" si="82"/>
        <v>4.2244243071188601</v>
      </c>
      <c r="EJ48" s="173"/>
      <c r="EK48" s="528">
        <f t="shared" si="83"/>
        <v>9.8747026840805361E-3</v>
      </c>
      <c r="EL48" s="528">
        <f t="shared" si="84"/>
        <v>0.71993111448248981</v>
      </c>
      <c r="EM48" s="528">
        <f t="shared" si="85"/>
        <v>4.3749999999999997E-2</v>
      </c>
      <c r="EN48" s="528">
        <f t="shared" si="86"/>
        <v>6.4114399999999988E-2</v>
      </c>
      <c r="EO48">
        <f t="shared" si="87"/>
        <v>1.0800000000000001E-2</v>
      </c>
      <c r="EP48" s="460">
        <f t="shared" si="123"/>
        <v>54.550000000000004</v>
      </c>
      <c r="EQ48" s="528">
        <f t="shared" si="88"/>
        <v>0.8531380444172868</v>
      </c>
      <c r="ER48" s="460">
        <f t="shared" si="124"/>
        <v>853.13804441728678</v>
      </c>
      <c r="ES48" s="528">
        <f t="shared" si="125"/>
        <v>1.6028249999999997</v>
      </c>
      <c r="ET48" s="528"/>
      <c r="EV48" s="460">
        <f t="shared" si="126"/>
        <v>1602.8249999999998</v>
      </c>
      <c r="EW48" s="528">
        <f t="shared" si="89"/>
        <v>2.4282055780525908E-2</v>
      </c>
      <c r="EX48" s="528">
        <f t="shared" si="90"/>
        <v>0.53537282179729984</v>
      </c>
      <c r="EY48" s="528">
        <f t="shared" si="91"/>
        <v>1.0256825140250467</v>
      </c>
      <c r="EZ48" s="528">
        <f t="shared" si="92"/>
        <v>1.8002563416197845</v>
      </c>
      <c r="FA48" s="528">
        <f t="shared" si="93"/>
        <v>5.0525E-2</v>
      </c>
      <c r="FB48" s="460">
        <f t="shared" si="127"/>
        <v>1850.7813416197844</v>
      </c>
      <c r="FC48" s="173">
        <f t="shared" si="128"/>
        <v>4.3067443860370709</v>
      </c>
      <c r="FD48" s="5">
        <f t="shared" si="129"/>
        <v>10.32</v>
      </c>
      <c r="FE48" s="173">
        <f t="shared" si="130"/>
        <v>0.70555687086810925</v>
      </c>
      <c r="FF48" s="5">
        <f t="shared" si="131"/>
        <v>70.55568708681092</v>
      </c>
      <c r="FI48" s="562">
        <f t="shared" si="94"/>
        <v>-50</v>
      </c>
      <c r="FJ48">
        <f t="shared" si="95"/>
        <v>-50</v>
      </c>
      <c r="FL48">
        <f t="shared" si="181"/>
        <v>0.53683469463299605</v>
      </c>
    </row>
    <row r="49" spans="5:168">
      <c r="E49" s="170">
        <v>44</v>
      </c>
      <c r="F49" s="217">
        <f t="shared" si="182"/>
        <v>2.64</v>
      </c>
      <c r="G49" s="217"/>
      <c r="H49" s="217">
        <f t="shared" si="132"/>
        <v>10.56</v>
      </c>
      <c r="I49" s="541">
        <f t="shared" si="133"/>
        <v>23.950006984061027</v>
      </c>
      <c r="J49" s="172">
        <f t="shared" si="134"/>
        <v>19.368640939590207</v>
      </c>
      <c r="K49" s="172">
        <f t="shared" si="135"/>
        <v>43.368640939590207</v>
      </c>
      <c r="L49" s="443"/>
      <c r="M49" s="217">
        <f t="shared" si="136"/>
        <v>0.44730823170791162</v>
      </c>
      <c r="N49" s="172">
        <f t="shared" si="137"/>
        <v>36.031508636311209</v>
      </c>
      <c r="O49" s="172">
        <f t="shared" si="98"/>
        <v>10.56</v>
      </c>
      <c r="P49" s="217">
        <f t="shared" si="138"/>
        <v>9.0078771590778022</v>
      </c>
      <c r="Q49" s="217">
        <f t="shared" si="139"/>
        <v>4</v>
      </c>
      <c r="R49" s="217">
        <f t="shared" si="140"/>
        <v>8.9275293945270615</v>
      </c>
      <c r="S49" s="172">
        <f t="shared" si="141"/>
        <v>24.419260149297241</v>
      </c>
      <c r="T49" s="172">
        <f t="shared" si="142"/>
        <v>4</v>
      </c>
      <c r="U49" s="217">
        <f t="shared" si="143"/>
        <v>2.38831130790861</v>
      </c>
      <c r="V49" s="217">
        <f t="shared" si="11"/>
        <v>1.1966483230663219</v>
      </c>
      <c r="W49" s="217">
        <f t="shared" si="144"/>
        <v>1.4796978158814322</v>
      </c>
      <c r="X49" s="197">
        <f t="shared" si="145"/>
        <v>350</v>
      </c>
      <c r="Y49" s="443">
        <f t="shared" si="14"/>
        <v>347.66330326496347</v>
      </c>
      <c r="AA49" s="217">
        <f t="shared" si="146"/>
        <v>2.5496502469248834</v>
      </c>
      <c r="AB49" s="173">
        <f t="shared" si="147"/>
        <v>1.5796566758878607</v>
      </c>
      <c r="AC49" s="173">
        <f t="shared" si="148"/>
        <v>2.8193004236138171</v>
      </c>
      <c r="AD49" s="173"/>
      <c r="AE49" s="173">
        <f t="shared" si="149"/>
        <v>0.82607757817924232</v>
      </c>
      <c r="AF49" s="545">
        <f t="shared" si="150"/>
        <v>1198.4346581371435</v>
      </c>
      <c r="AG49" s="528">
        <f t="shared" si="151"/>
        <v>0.77100573963395957</v>
      </c>
      <c r="AI49" s="173">
        <f t="shared" si="152"/>
        <v>2.4672428239722648</v>
      </c>
      <c r="AJ49" s="173">
        <f t="shared" si="153"/>
        <v>2.4672428239722648</v>
      </c>
      <c r="AK49" s="173">
        <f t="shared" si="154"/>
        <v>2.0399329560288377</v>
      </c>
      <c r="AM49" s="545">
        <f t="shared" si="155"/>
        <v>2640</v>
      </c>
      <c r="AN49" s="460">
        <f t="shared" si="156"/>
        <v>347.66330326496347</v>
      </c>
      <c r="AP49">
        <f t="shared" si="157"/>
        <v>2640</v>
      </c>
      <c r="AQ49" s="460">
        <f t="shared" si="158"/>
        <v>347.66330326496347</v>
      </c>
      <c r="AR49" s="460"/>
      <c r="AS49" s="5">
        <f t="shared" si="101"/>
        <v>2.8763461389477549</v>
      </c>
      <c r="AT49" s="5">
        <f t="shared" si="159"/>
        <v>1.2361964615447036</v>
      </c>
      <c r="AU49" s="5">
        <f t="shared" si="102"/>
        <v>1.6401496774030513</v>
      </c>
      <c r="AV49" s="5">
        <f t="shared" si="160"/>
        <v>1.5286004826053421</v>
      </c>
      <c r="AW49" s="173">
        <f t="shared" si="103"/>
        <v>0.42978014530509101</v>
      </c>
      <c r="AX49" s="173">
        <f t="shared" si="161"/>
        <v>12.697958156043482</v>
      </c>
      <c r="AY49" s="173">
        <f t="shared" si="162"/>
        <v>2.8137416891650435</v>
      </c>
      <c r="AZ49" s="173">
        <f t="shared" si="104"/>
        <v>4.5128371964419749</v>
      </c>
      <c r="BA49" s="460">
        <f t="shared" si="163"/>
        <v>81.588966461950434</v>
      </c>
      <c r="BB49" s="5">
        <f t="shared" si="164"/>
        <v>0.60264354706670309</v>
      </c>
      <c r="BC49" s="5"/>
      <c r="BD49" s="173">
        <f t="shared" si="105"/>
        <v>0.93384423342272127</v>
      </c>
      <c r="BE49" s="173">
        <f t="shared" si="165"/>
        <v>4.3026143962646879</v>
      </c>
      <c r="BF49" s="173"/>
      <c r="BG49" s="528">
        <f t="shared" si="166"/>
        <v>1.0639193638021812E-2</v>
      </c>
      <c r="BH49" s="528">
        <f t="shared" si="167"/>
        <v>0.69750581320059046</v>
      </c>
      <c r="BI49" s="528">
        <f t="shared" si="168"/>
        <v>0.20816346353244003</v>
      </c>
      <c r="BJ49" s="528">
        <f t="shared" si="169"/>
        <v>6.5389870554145524E-2</v>
      </c>
      <c r="BK49">
        <f t="shared" si="170"/>
        <v>1.0777503142827462E-2</v>
      </c>
      <c r="BL49" s="460">
        <f t="shared" si="106"/>
        <v>218.9409666752675</v>
      </c>
      <c r="BM49" s="528">
        <f t="shared" si="171"/>
        <v>0.77837509259497573</v>
      </c>
      <c r="BN49" s="460">
        <f t="shared" si="107"/>
        <v>778.37509259497574</v>
      </c>
      <c r="BO49" s="528">
        <f t="shared" si="172"/>
        <v>1.6400999999999999</v>
      </c>
      <c r="BP49" s="528"/>
      <c r="BR49" s="460">
        <f t="shared" si="109"/>
        <v>1640.1</v>
      </c>
      <c r="BS49" s="528">
        <f t="shared" si="173"/>
        <v>2.6161951568906095E-2</v>
      </c>
      <c r="BT49" s="528">
        <f t="shared" si="174"/>
        <v>0.55537471928832427</v>
      </c>
      <c r="BU49" s="528">
        <f t="shared" si="175"/>
        <v>0.15840000000000001</v>
      </c>
      <c r="BV49" s="528">
        <f t="shared" si="176"/>
        <v>0.92241911517277764</v>
      </c>
      <c r="BW49" s="528">
        <f t="shared" si="177"/>
        <v>5.290815898351451E-2</v>
      </c>
      <c r="BX49" s="460">
        <f t="shared" si="110"/>
        <v>975.32727415629222</v>
      </c>
      <c r="BY49" s="173">
        <f t="shared" si="45"/>
        <v>3.6127433334265349</v>
      </c>
      <c r="BZ49" s="5">
        <f t="shared" si="111"/>
        <v>10.56</v>
      </c>
      <c r="CA49" s="173">
        <f t="shared" si="112"/>
        <v>0.74509216399157896</v>
      </c>
      <c r="CB49" s="5">
        <f t="shared" si="113"/>
        <v>74.509216399157893</v>
      </c>
      <c r="CE49" s="562">
        <f t="shared" si="178"/>
        <v>-50</v>
      </c>
      <c r="CF49">
        <f t="shared" si="179"/>
        <v>-50</v>
      </c>
      <c r="CG49" s="173">
        <f t="shared" si="180"/>
        <v>0.55711781889693601</v>
      </c>
      <c r="CI49" s="170">
        <v>44</v>
      </c>
      <c r="CJ49" s="217">
        <f t="shared" si="114"/>
        <v>2.64</v>
      </c>
      <c r="CK49" s="217"/>
      <c r="CL49" s="217">
        <f t="shared" si="49"/>
        <v>10.56</v>
      </c>
      <c r="CM49" s="541">
        <f t="shared" si="50"/>
        <v>24</v>
      </c>
      <c r="CN49" s="172">
        <f t="shared" si="51"/>
        <v>18.8</v>
      </c>
      <c r="CO49" s="443">
        <f t="shared" si="52"/>
        <v>42.8</v>
      </c>
      <c r="CP49" s="443"/>
      <c r="CQ49" s="217">
        <f t="shared" si="53"/>
        <v>0.43925233644859818</v>
      </c>
      <c r="CR49" s="172">
        <f t="shared" si="54"/>
        <v>35.456448598130848</v>
      </c>
      <c r="CS49" s="172">
        <f t="shared" si="115"/>
        <v>10.56</v>
      </c>
      <c r="CT49" s="217">
        <f t="shared" si="55"/>
        <v>8.864112149532712</v>
      </c>
      <c r="CU49" s="217">
        <f t="shared" si="56"/>
        <v>4</v>
      </c>
      <c r="CV49" s="217">
        <f t="shared" si="57"/>
        <v>8.7850467289719631</v>
      </c>
      <c r="CW49" s="172">
        <f t="shared" si="58"/>
        <v>24.46989630632585</v>
      </c>
      <c r="CX49" s="172">
        <f t="shared" si="59"/>
        <v>4</v>
      </c>
      <c r="CY49" s="217">
        <f t="shared" si="60"/>
        <v>2.0034042553191487</v>
      </c>
      <c r="CZ49" s="217">
        <f t="shared" si="61"/>
        <v>1.0017021276595746</v>
      </c>
      <c r="DA49" s="217">
        <f t="shared" si="62"/>
        <v>1.2787686736079673</v>
      </c>
      <c r="DB49" s="197">
        <f t="shared" si="63"/>
        <v>350</v>
      </c>
      <c r="DC49" s="443">
        <f t="shared" si="116"/>
        <v>350</v>
      </c>
      <c r="DE49" s="217">
        <f t="shared" si="64"/>
        <v>2.5100133511348464</v>
      </c>
      <c r="DF49" s="173">
        <f t="shared" si="65"/>
        <v>1.6021361815754336</v>
      </c>
      <c r="DG49" s="173">
        <f t="shared" si="66"/>
        <v>2.8149682442633783</v>
      </c>
      <c r="DH49" s="173"/>
      <c r="DI49" s="173">
        <f t="shared" si="67"/>
        <v>0.85106382978723416</v>
      </c>
      <c r="DJ49" s="545">
        <f t="shared" si="117"/>
        <v>1163.2499999999998</v>
      </c>
      <c r="DK49" s="528">
        <f t="shared" si="68"/>
        <v>0.79432624113475192</v>
      </c>
      <c r="DM49" s="173">
        <f t="shared" si="69"/>
        <v>2.4307553205889376</v>
      </c>
      <c r="DN49" s="173">
        <f t="shared" si="70"/>
        <v>2.4307553205889376</v>
      </c>
      <c r="DO49" s="173">
        <f t="shared" si="71"/>
        <v>2.0129051757448919</v>
      </c>
      <c r="DQ49" s="545">
        <f t="shared" si="72"/>
        <v>2640</v>
      </c>
      <c r="DR49" s="460">
        <f t="shared" si="73"/>
        <v>350</v>
      </c>
      <c r="DT49">
        <f t="shared" si="74"/>
        <v>2640</v>
      </c>
      <c r="DU49" s="460">
        <f t="shared" si="75"/>
        <v>350</v>
      </c>
      <c r="DV49" s="460"/>
      <c r="DW49" s="5">
        <f t="shared" si="118"/>
        <v>2.8571428571428572</v>
      </c>
      <c r="DX49" s="5">
        <f t="shared" si="76"/>
        <v>1.2153776602944688</v>
      </c>
      <c r="DY49" s="5">
        <f t="shared" si="119"/>
        <v>1.6417651968483884</v>
      </c>
      <c r="DZ49" s="5">
        <f t="shared" si="77"/>
        <v>1.5515459493120878</v>
      </c>
      <c r="EA49" s="173">
        <f t="shared" si="120"/>
        <v>0.42538218110306408</v>
      </c>
      <c r="EB49" s="173">
        <f t="shared" si="78"/>
        <v>12.408000000000003</v>
      </c>
      <c r="EC49" s="173">
        <f t="shared" si="79"/>
        <v>2.7935106411778752</v>
      </c>
      <c r="ED49" s="173">
        <f t="shared" si="121"/>
        <v>4.4417228333049081</v>
      </c>
      <c r="EE49" s="460">
        <f t="shared" si="80"/>
        <v>80.214925579434947</v>
      </c>
      <c r="EF49" s="5">
        <f t="shared" si="81"/>
        <v>0.60198057217774237</v>
      </c>
      <c r="EG49" s="5"/>
      <c r="EH49" s="173">
        <f t="shared" si="122"/>
        <v>0.91531433607786006</v>
      </c>
      <c r="EI49" s="173">
        <f t="shared" si="82"/>
        <v>4.2552997087286926</v>
      </c>
      <c r="EJ49" s="173"/>
      <c r="EK49" s="528">
        <f t="shared" si="83"/>
        <v>1.0221164072721776E-2</v>
      </c>
      <c r="EL49" s="528">
        <f t="shared" si="84"/>
        <v>0.72825429404844555</v>
      </c>
      <c r="EM49" s="528">
        <f t="shared" si="85"/>
        <v>4.3749999999999997E-2</v>
      </c>
      <c r="EN49" s="528">
        <f t="shared" si="86"/>
        <v>6.4114399999999988E-2</v>
      </c>
      <c r="EO49">
        <f t="shared" si="87"/>
        <v>1.0800000000000001E-2</v>
      </c>
      <c r="EP49" s="460">
        <f t="shared" si="123"/>
        <v>54.550000000000004</v>
      </c>
      <c r="EQ49" s="528">
        <f t="shared" si="88"/>
        <v>0.86199296421318305</v>
      </c>
      <c r="ER49" s="460">
        <f t="shared" si="124"/>
        <v>861.99296421318309</v>
      </c>
      <c r="ES49" s="528">
        <f t="shared" si="125"/>
        <v>1.6400999999999999</v>
      </c>
      <c r="ET49" s="528"/>
      <c r="EV49" s="460">
        <f t="shared" si="126"/>
        <v>1640.1</v>
      </c>
      <c r="EW49" s="528">
        <f t="shared" si="89"/>
        <v>2.5134010014889612E-2</v>
      </c>
      <c r="EX49" s="528">
        <f t="shared" si="90"/>
        <v>0.54322726833319479</v>
      </c>
      <c r="EY49" s="528">
        <f t="shared" si="91"/>
        <v>1.0555850427547722</v>
      </c>
      <c r="EZ49" s="528">
        <f t="shared" si="92"/>
        <v>1.8442071003121594</v>
      </c>
      <c r="FA49" s="528">
        <f t="shared" si="93"/>
        <v>5.1700000000000017E-2</v>
      </c>
      <c r="FB49" s="460">
        <f t="shared" si="127"/>
        <v>1895.9071003121594</v>
      </c>
      <c r="FC49" s="173">
        <f t="shared" si="128"/>
        <v>4.398000064525343</v>
      </c>
      <c r="FD49" s="5">
        <f t="shared" si="129"/>
        <v>10.56</v>
      </c>
      <c r="FE49" s="173">
        <f t="shared" si="130"/>
        <v>0.70597673181218135</v>
      </c>
      <c r="FF49" s="5">
        <f t="shared" si="131"/>
        <v>70.597673181218141</v>
      </c>
      <c r="FI49" s="562">
        <f t="shared" si="94"/>
        <v>-50</v>
      </c>
      <c r="FJ49">
        <f t="shared" si="95"/>
        <v>-50</v>
      </c>
      <c r="FL49">
        <f t="shared" si="181"/>
        <v>0.54304108225923076</v>
      </c>
    </row>
    <row r="50" spans="5:168">
      <c r="E50" s="170">
        <v>45</v>
      </c>
      <c r="F50" s="217">
        <f t="shared" si="182"/>
        <v>2.7</v>
      </c>
      <c r="G50" s="217"/>
      <c r="H50" s="217">
        <f t="shared" si="132"/>
        <v>10.8</v>
      </c>
      <c r="I50" s="541">
        <f t="shared" si="133"/>
        <v>23.948425804553946</v>
      </c>
      <c r="J50" s="172">
        <f t="shared" si="134"/>
        <v>19.386625919765567</v>
      </c>
      <c r="K50" s="172">
        <f t="shared" si="135"/>
        <v>43.386625919765564</v>
      </c>
      <c r="L50" s="443"/>
      <c r="M50" s="217">
        <f t="shared" si="136"/>
        <v>0.44740861998960946</v>
      </c>
      <c r="N50" s="172">
        <f t="shared" si="137"/>
        <v>36.037215764667614</v>
      </c>
      <c r="O50" s="172">
        <f t="shared" si="98"/>
        <v>10.8</v>
      </c>
      <c r="P50" s="217">
        <f t="shared" si="138"/>
        <v>9.0093039411669036</v>
      </c>
      <c r="Q50" s="217">
        <f t="shared" si="139"/>
        <v>4</v>
      </c>
      <c r="R50" s="217">
        <f t="shared" si="140"/>
        <v>8.9289434501158613</v>
      </c>
      <c r="S50" s="172">
        <f t="shared" si="141"/>
        <v>23.750259513572178</v>
      </c>
      <c r="T50" s="172">
        <f t="shared" si="142"/>
        <v>4</v>
      </c>
      <c r="U50" s="217">
        <f t="shared" si="143"/>
        <v>2.4430348514930071</v>
      </c>
      <c r="V50" s="217">
        <f t="shared" si="11"/>
        <v>1.2241480278148964</v>
      </c>
      <c r="W50" s="217">
        <f t="shared" si="144"/>
        <v>1.5121980657823824</v>
      </c>
      <c r="X50" s="197">
        <f t="shared" si="145"/>
        <v>350</v>
      </c>
      <c r="Y50" s="443">
        <f t="shared" si="14"/>
        <v>340.55931015097519</v>
      </c>
      <c r="AA50" s="217">
        <f t="shared" si="146"/>
        <v>2.550883308228773</v>
      </c>
      <c r="AB50" s="173">
        <f t="shared" si="147"/>
        <v>1.5789544722960966</v>
      </c>
      <c r="AC50" s="173">
        <f t="shared" si="148"/>
        <v>2.8194100254832977</v>
      </c>
      <c r="AD50" s="173"/>
      <c r="AE50" s="173">
        <f t="shared" si="149"/>
        <v>0.82531122569849857</v>
      </c>
      <c r="AF50" s="545">
        <f t="shared" si="150"/>
        <v>1226.8099214851648</v>
      </c>
      <c r="AG50" s="528">
        <f t="shared" si="151"/>
        <v>0.77029047731859868</v>
      </c>
      <c r="AI50" s="173">
        <f t="shared" si="152"/>
        <v>2.4962803276495933</v>
      </c>
      <c r="AJ50" s="173">
        <f t="shared" si="153"/>
        <v>2.4962803276495933</v>
      </c>
      <c r="AK50" s="173">
        <f t="shared" si="154"/>
        <v>2.0614422180120444</v>
      </c>
      <c r="AM50" s="545">
        <f t="shared" si="155"/>
        <v>2700</v>
      </c>
      <c r="AN50" s="460">
        <f t="shared" si="156"/>
        <v>340.55931015097519</v>
      </c>
      <c r="AP50">
        <f t="shared" si="157"/>
        <v>2700</v>
      </c>
      <c r="AQ50" s="460">
        <f t="shared" si="158"/>
        <v>340.55931015097519</v>
      </c>
      <c r="AR50" s="460"/>
      <c r="AS50" s="5">
        <f t="shared" si="101"/>
        <v>2.9363460935972787</v>
      </c>
      <c r="AT50" s="5">
        <f t="shared" si="159"/>
        <v>1.250828099360874</v>
      </c>
      <c r="AU50" s="5">
        <f t="shared" si="102"/>
        <v>1.6855179942364047</v>
      </c>
      <c r="AV50" s="5">
        <f t="shared" si="160"/>
        <v>1.5451561326746515</v>
      </c>
      <c r="AW50" s="173">
        <f t="shared" si="103"/>
        <v>0.42598115463579467</v>
      </c>
      <c r="AX50" s="173">
        <f t="shared" si="161"/>
        <v>12.732999330967157</v>
      </c>
      <c r="AY50" s="173">
        <f t="shared" si="162"/>
        <v>2.8658239027655994</v>
      </c>
      <c r="AZ50" s="173">
        <f t="shared" si="104"/>
        <v>4.4430501534582989</v>
      </c>
      <c r="BA50" s="460">
        <f t="shared" si="163"/>
        <v>84.430896706859002</v>
      </c>
      <c r="BB50" s="5">
        <f t="shared" si="164"/>
        <v>0.63343044223153211</v>
      </c>
      <c r="BC50" s="5"/>
      <c r="BD50" s="173">
        <f t="shared" si="105"/>
        <v>0.94064969723404246</v>
      </c>
      <c r="BE50" s="173">
        <f t="shared" si="165"/>
        <v>4.367730098798611</v>
      </c>
      <c r="BF50" s="173"/>
      <c r="BG50" s="528">
        <f t="shared" si="166"/>
        <v>1.0794826605459247E-2</v>
      </c>
      <c r="BH50" s="528">
        <f t="shared" si="167"/>
        <v>0.69158133089345397</v>
      </c>
      <c r="BI50" s="528">
        <f t="shared" si="168"/>
        <v>0.20389648428001761</v>
      </c>
      <c r="BJ50" s="528">
        <f t="shared" si="169"/>
        <v>6.4106861000011436E-2</v>
      </c>
      <c r="BK50">
        <f t="shared" si="170"/>
        <v>1.0776791612049275E-2</v>
      </c>
      <c r="BL50" s="460">
        <f t="shared" si="106"/>
        <v>214.6732758920669</v>
      </c>
      <c r="BM50" s="528">
        <f t="shared" si="171"/>
        <v>0.77137608625545573</v>
      </c>
      <c r="BN50" s="460">
        <f t="shared" si="107"/>
        <v>771.37608625545568</v>
      </c>
      <c r="BO50" s="528">
        <f t="shared" si="172"/>
        <v>1.6773749999999998</v>
      </c>
      <c r="BP50" s="528"/>
      <c r="BR50" s="460">
        <f t="shared" si="109"/>
        <v>1677.3749999999998</v>
      </c>
      <c r="BS50" s="528">
        <f t="shared" si="173"/>
        <v>2.6544655587194869E-2</v>
      </c>
      <c r="BT50" s="528">
        <f t="shared" si="174"/>
        <v>0.57231198647853965</v>
      </c>
      <c r="BU50" s="528">
        <f t="shared" si="175"/>
        <v>0.16200000000000001</v>
      </c>
      <c r="BV50" s="528">
        <f t="shared" si="176"/>
        <v>0.95010013844430652</v>
      </c>
      <c r="BW50" s="528">
        <f t="shared" si="177"/>
        <v>5.3054163879029809E-2</v>
      </c>
      <c r="BX50" s="460">
        <f t="shared" si="110"/>
        <v>1003.1543023233362</v>
      </c>
      <c r="BY50" s="173">
        <f t="shared" si="45"/>
        <v>3.6665786644708591</v>
      </c>
      <c r="BZ50" s="5">
        <f t="shared" si="111"/>
        <v>10.8</v>
      </c>
      <c r="CA50" s="173">
        <f t="shared" si="112"/>
        <v>0.74654832013074535</v>
      </c>
      <c r="CB50" s="5">
        <f t="shared" si="113"/>
        <v>74.65483201307454</v>
      </c>
      <c r="CE50" s="562">
        <f t="shared" si="178"/>
        <v>-50</v>
      </c>
      <c r="CF50">
        <f t="shared" si="179"/>
        <v>-50</v>
      </c>
      <c r="CG50" s="173">
        <f t="shared" si="180"/>
        <v>0.55231108800900042</v>
      </c>
      <c r="CI50" s="170">
        <v>45</v>
      </c>
      <c r="CJ50" s="217">
        <f t="shared" si="114"/>
        <v>2.7</v>
      </c>
      <c r="CK50" s="217"/>
      <c r="CL50" s="217">
        <f t="shared" si="49"/>
        <v>10.8</v>
      </c>
      <c r="CM50" s="541">
        <f t="shared" si="50"/>
        <v>24</v>
      </c>
      <c r="CN50" s="172">
        <f t="shared" si="51"/>
        <v>18.8</v>
      </c>
      <c r="CO50" s="443">
        <f t="shared" si="52"/>
        <v>42.8</v>
      </c>
      <c r="CP50" s="443"/>
      <c r="CQ50" s="217">
        <f t="shared" si="53"/>
        <v>0.43925233644859818</v>
      </c>
      <c r="CR50" s="172">
        <f t="shared" si="54"/>
        <v>35.456448598130848</v>
      </c>
      <c r="CS50" s="172">
        <f t="shared" si="115"/>
        <v>10.8</v>
      </c>
      <c r="CT50" s="217">
        <f t="shared" si="55"/>
        <v>8.864112149532712</v>
      </c>
      <c r="CU50" s="217">
        <f t="shared" si="56"/>
        <v>4</v>
      </c>
      <c r="CV50" s="217">
        <f t="shared" si="57"/>
        <v>8.7850467289719631</v>
      </c>
      <c r="CW50" s="172">
        <f t="shared" si="58"/>
        <v>23.801050848497777</v>
      </c>
      <c r="CX50" s="172">
        <f t="shared" si="59"/>
        <v>4</v>
      </c>
      <c r="CY50" s="217">
        <f t="shared" si="60"/>
        <v>2.0489361702127655</v>
      </c>
      <c r="CZ50" s="217">
        <f t="shared" si="61"/>
        <v>1.0244680851063828</v>
      </c>
      <c r="DA50" s="217">
        <f t="shared" si="62"/>
        <v>1.3078315980081483</v>
      </c>
      <c r="DB50" s="197">
        <f t="shared" si="63"/>
        <v>350</v>
      </c>
      <c r="DC50" s="443">
        <f t="shared" si="116"/>
        <v>350</v>
      </c>
      <c r="DE50" s="217">
        <f t="shared" si="64"/>
        <v>2.5100133511348464</v>
      </c>
      <c r="DF50" s="173">
        <f t="shared" si="65"/>
        <v>1.6021361815754336</v>
      </c>
      <c r="DG50" s="173">
        <f t="shared" si="66"/>
        <v>2.8149682442633783</v>
      </c>
      <c r="DH50" s="173"/>
      <c r="DI50" s="173">
        <f t="shared" si="67"/>
        <v>0.85106382978723416</v>
      </c>
      <c r="DJ50" s="545">
        <f t="shared" si="117"/>
        <v>1189.6874999999998</v>
      </c>
      <c r="DK50" s="528">
        <f t="shared" si="68"/>
        <v>0.79432624113475192</v>
      </c>
      <c r="DM50" s="173">
        <f t="shared" si="69"/>
        <v>2.4582223542342834</v>
      </c>
      <c r="DN50" s="173">
        <f t="shared" si="70"/>
        <v>2.4582223542342834</v>
      </c>
      <c r="DO50" s="173">
        <f t="shared" si="71"/>
        <v>2.0332511265932962</v>
      </c>
      <c r="DQ50" s="545">
        <f t="shared" si="72"/>
        <v>2700</v>
      </c>
      <c r="DR50" s="460">
        <f t="shared" si="73"/>
        <v>350</v>
      </c>
      <c r="DT50">
        <f t="shared" si="74"/>
        <v>2700</v>
      </c>
      <c r="DU50" s="460">
        <f t="shared" si="75"/>
        <v>350</v>
      </c>
      <c r="DV50" s="460"/>
      <c r="DW50" s="5">
        <f t="shared" si="118"/>
        <v>2.8571428571428572</v>
      </c>
      <c r="DX50" s="5">
        <f t="shared" si="76"/>
        <v>1.2291111771171417</v>
      </c>
      <c r="DY50" s="5">
        <f t="shared" si="119"/>
        <v>1.6280316800257155</v>
      </c>
      <c r="DZ50" s="5">
        <f t="shared" si="77"/>
        <v>1.5690780984474151</v>
      </c>
      <c r="EA50" s="173">
        <f t="shared" si="120"/>
        <v>0.43018891199099957</v>
      </c>
      <c r="EB50" s="173">
        <f t="shared" si="78"/>
        <v>12.69</v>
      </c>
      <c r="EC50" s="173">
        <f t="shared" si="79"/>
        <v>2.8014447084685665</v>
      </c>
      <c r="ED50" s="173">
        <f t="shared" si="121"/>
        <v>4.5298056255185184</v>
      </c>
      <c r="EE50" s="460">
        <f t="shared" si="80"/>
        <v>82.965004455407069</v>
      </c>
      <c r="EF50" s="5">
        <f t="shared" si="81"/>
        <v>0.61051188000964329</v>
      </c>
      <c r="EG50" s="5"/>
      <c r="EH50" s="173">
        <f t="shared" si="122"/>
        <v>0.93087237571408499</v>
      </c>
      <c r="EI50" s="173">
        <f t="shared" si="82"/>
        <v>4.2853468180171914</v>
      </c>
      <c r="EJ50" s="173"/>
      <c r="EK50" s="528">
        <f t="shared" si="83"/>
        <v>1.0571585234384532E-2</v>
      </c>
      <c r="EL50" s="528">
        <f t="shared" si="84"/>
        <v>0.73648341732859124</v>
      </c>
      <c r="EM50" s="528">
        <f t="shared" si="85"/>
        <v>4.3749999999999997E-2</v>
      </c>
      <c r="EN50" s="528">
        <f t="shared" si="86"/>
        <v>6.4114399999999988E-2</v>
      </c>
      <c r="EO50">
        <f t="shared" si="87"/>
        <v>1.0800000000000001E-2</v>
      </c>
      <c r="EP50" s="460">
        <f t="shared" si="123"/>
        <v>54.550000000000004</v>
      </c>
      <c r="EQ50" s="528">
        <f t="shared" si="88"/>
        <v>0.87076091537705702</v>
      </c>
      <c r="ER50" s="460">
        <f t="shared" si="124"/>
        <v>870.76091537705702</v>
      </c>
      <c r="ES50" s="528">
        <f t="shared" si="125"/>
        <v>1.6773749999999998</v>
      </c>
      <c r="ET50" s="528"/>
      <c r="EV50" s="460">
        <f t="shared" si="126"/>
        <v>1677.3749999999998</v>
      </c>
      <c r="EW50" s="528">
        <f t="shared" si="89"/>
        <v>2.599570139602754E-2</v>
      </c>
      <c r="EX50" s="528">
        <f t="shared" si="90"/>
        <v>0.55092592052070199</v>
      </c>
      <c r="EY50" s="528">
        <f t="shared" si="91"/>
        <v>1.0856579686773229</v>
      </c>
      <c r="EZ50" s="528">
        <f t="shared" si="92"/>
        <v>1.8881876839423233</v>
      </c>
      <c r="FA50" s="528">
        <f t="shared" si="93"/>
        <v>5.2875000000000005E-2</v>
      </c>
      <c r="FB50" s="460">
        <f t="shared" si="127"/>
        <v>1941.0626839423232</v>
      </c>
      <c r="FC50" s="173">
        <f t="shared" si="128"/>
        <v>4.4891985993193808</v>
      </c>
      <c r="FD50" s="5">
        <f t="shared" si="129"/>
        <v>10.8</v>
      </c>
      <c r="FE50" s="173">
        <f t="shared" si="130"/>
        <v>0.70638103951902209</v>
      </c>
      <c r="FF50" s="5">
        <f t="shared" si="131"/>
        <v>70.63810395190221</v>
      </c>
      <c r="FI50" s="562">
        <f t="shared" si="94"/>
        <v>-50</v>
      </c>
      <c r="FJ50">
        <f t="shared" si="95"/>
        <v>-50</v>
      </c>
      <c r="FL50">
        <f t="shared" si="181"/>
        <v>0.54917733445659522</v>
      </c>
    </row>
    <row r="51" spans="5:168">
      <c r="E51" s="170">
        <v>46</v>
      </c>
      <c r="F51" s="217">
        <f t="shared" si="182"/>
        <v>2.7600000000000002</v>
      </c>
      <c r="G51" s="217"/>
      <c r="H51" s="217">
        <f t="shared" si="132"/>
        <v>11.040000000000001</v>
      </c>
      <c r="I51" s="541">
        <f t="shared" si="133"/>
        <v>23.946822020835828</v>
      </c>
      <c r="J51" s="172">
        <f t="shared" si="134"/>
        <v>19.404868009450308</v>
      </c>
      <c r="K51" s="172">
        <f t="shared" si="135"/>
        <v>43.404868009450311</v>
      </c>
      <c r="L51" s="443"/>
      <c r="M51" s="217">
        <f t="shared" si="136"/>
        <v>0.44750828986637758</v>
      </c>
      <c r="N51" s="172">
        <f t="shared" si="137"/>
        <v>36.042829942037535</v>
      </c>
      <c r="O51" s="172">
        <f t="shared" si="98"/>
        <v>11.040000000000001</v>
      </c>
      <c r="P51" s="217">
        <f t="shared" si="138"/>
        <v>9.0107074855093838</v>
      </c>
      <c r="Q51" s="217">
        <f t="shared" si="139"/>
        <v>4</v>
      </c>
      <c r="R51" s="217">
        <f t="shared" si="140"/>
        <v>8.9303344752322946</v>
      </c>
      <c r="S51" s="172">
        <f t="shared" si="141"/>
        <v>23.110578474361787</v>
      </c>
      <c r="T51" s="172">
        <f t="shared" si="142"/>
        <v>4</v>
      </c>
      <c r="U51" s="217">
        <f t="shared" si="143"/>
        <v>2.4977750338846563</v>
      </c>
      <c r="V51" s="217">
        <f t="shared" si="11"/>
        <v>1.2516608834582093</v>
      </c>
      <c r="W51" s="217">
        <f t="shared" si="144"/>
        <v>1.5446278939912741</v>
      </c>
      <c r="X51" s="197">
        <f t="shared" si="145"/>
        <v>350</v>
      </c>
      <c r="Y51" s="443">
        <f t="shared" si="14"/>
        <v>333.74620214384856</v>
      </c>
      <c r="AA51" s="217">
        <f t="shared" si="146"/>
        <v>2.5521327247619108</v>
      </c>
      <c r="AB51" s="173">
        <f t="shared" si="147"/>
        <v>1.5782427730107749</v>
      </c>
      <c r="AC51" s="173">
        <f t="shared" si="148"/>
        <v>2.8195195200338476</v>
      </c>
      <c r="AD51" s="173"/>
      <c r="AE51" s="173">
        <f t="shared" si="149"/>
        <v>0.82453536876457434</v>
      </c>
      <c r="AF51" s="545">
        <f t="shared" si="150"/>
        <v>1255.2523993613165</v>
      </c>
      <c r="AG51" s="528">
        <f t="shared" si="151"/>
        <v>0.76956634418026948</v>
      </c>
      <c r="AI51" s="173">
        <f t="shared" si="152"/>
        <v>2.5250515248416421</v>
      </c>
      <c r="AJ51" s="173">
        <f t="shared" si="153"/>
        <v>2.5250515248416421</v>
      </c>
      <c r="AK51" s="173">
        <f t="shared" si="154"/>
        <v>2.0827542159320802</v>
      </c>
      <c r="AM51" s="545">
        <f t="shared" si="155"/>
        <v>2760.0000000000005</v>
      </c>
      <c r="AN51" s="460">
        <f t="shared" si="156"/>
        <v>333.74620214384856</v>
      </c>
      <c r="AP51">
        <f t="shared" si="157"/>
        <v>2760.0000000000005</v>
      </c>
      <c r="AQ51" s="460">
        <f t="shared" si="158"/>
        <v>333.74620214384856</v>
      </c>
      <c r="AR51" s="460"/>
      <c r="AS51" s="5">
        <f t="shared" si="101"/>
        <v>2.9962887774494829</v>
      </c>
      <c r="AT51" s="5">
        <f t="shared" si="159"/>
        <v>1.2653294149735408</v>
      </c>
      <c r="AU51" s="5">
        <f t="shared" si="102"/>
        <v>1.7309593624759421</v>
      </c>
      <c r="AV51" s="5">
        <f t="shared" si="160"/>
        <v>1.5614957176386404</v>
      </c>
      <c r="AW51" s="173">
        <f t="shared" si="103"/>
        <v>0.422298886708317</v>
      </c>
      <c r="AX51" s="173">
        <f t="shared" si="161"/>
        <v>12.767564831048929</v>
      </c>
      <c r="AY51" s="173">
        <f t="shared" si="162"/>
        <v>2.9174501540397566</v>
      </c>
      <c r="AZ51" s="173">
        <f t="shared" si="104"/>
        <v>4.3762752256006303</v>
      </c>
      <c r="BA51" s="460">
        <f t="shared" si="163"/>
        <v>87.307729633174318</v>
      </c>
      <c r="BB51" s="5">
        <f t="shared" si="164"/>
        <v>0.66500791298831541</v>
      </c>
      <c r="BC51" s="5"/>
      <c r="BD51" s="173">
        <f t="shared" si="105"/>
        <v>0.94736990717306691</v>
      </c>
      <c r="BE51" s="173">
        <f t="shared" si="165"/>
        <v>4.432218995825175</v>
      </c>
      <c r="BF51" s="173"/>
      <c r="BG51" s="528">
        <f t="shared" si="166"/>
        <v>1.0949618840408685E-2</v>
      </c>
      <c r="BH51" s="528">
        <f t="shared" si="167"/>
        <v>0.68584549270798223</v>
      </c>
      <c r="BI51" s="528">
        <f t="shared" si="168"/>
        <v>0.19980402257171598</v>
      </c>
      <c r="BJ51" s="528">
        <f t="shared" si="169"/>
        <v>6.2877202661403578E-2</v>
      </c>
      <c r="BK51">
        <f t="shared" si="170"/>
        <v>1.0776069909376122E-2</v>
      </c>
      <c r="BL51" s="460">
        <f t="shared" si="106"/>
        <v>210.58009248109209</v>
      </c>
      <c r="BM51" s="528">
        <f t="shared" si="171"/>
        <v>0.76461796389924741</v>
      </c>
      <c r="BN51" s="460">
        <f t="shared" si="107"/>
        <v>764.61796389924746</v>
      </c>
      <c r="BO51" s="528">
        <f t="shared" si="172"/>
        <v>1.7146499999999998</v>
      </c>
      <c r="BP51" s="528"/>
      <c r="BR51" s="460">
        <f t="shared" si="109"/>
        <v>1714.6499999999999</v>
      </c>
      <c r="BS51" s="528">
        <f t="shared" si="173"/>
        <v>2.6925292230513164E-2</v>
      </c>
      <c r="BT51" s="528">
        <f t="shared" si="174"/>
        <v>0.58933695680860565</v>
      </c>
      <c r="BU51" s="528">
        <f t="shared" si="175"/>
        <v>0.1656</v>
      </c>
      <c r="BV51" s="528">
        <f t="shared" si="176"/>
        <v>0.97798059025382134</v>
      </c>
      <c r="BW51" s="528">
        <f t="shared" si="177"/>
        <v>5.319818679603721E-2</v>
      </c>
      <c r="BX51" s="460">
        <f t="shared" si="110"/>
        <v>1031.1787770498586</v>
      </c>
      <c r="BY51" s="173">
        <f t="shared" si="45"/>
        <v>3.7210268334301979</v>
      </c>
      <c r="BZ51" s="5">
        <f t="shared" si="111"/>
        <v>11.040000000000001</v>
      </c>
      <c r="CA51" s="173">
        <f t="shared" si="112"/>
        <v>0.7479154481988366</v>
      </c>
      <c r="CB51" s="5">
        <f t="shared" si="113"/>
        <v>74.791544819883654</v>
      </c>
      <c r="CE51" s="562">
        <f t="shared" si="178"/>
        <v>-50</v>
      </c>
      <c r="CF51">
        <f t="shared" si="179"/>
        <v>-50</v>
      </c>
      <c r="CG51" s="173">
        <f t="shared" si="180"/>
        <v>0.54755747506135943</v>
      </c>
      <c r="CI51" s="170">
        <v>46</v>
      </c>
      <c r="CJ51" s="217">
        <f t="shared" si="114"/>
        <v>2.7600000000000002</v>
      </c>
      <c r="CK51" s="217"/>
      <c r="CL51" s="217">
        <f t="shared" si="49"/>
        <v>11.040000000000001</v>
      </c>
      <c r="CM51" s="541">
        <f t="shared" si="50"/>
        <v>24</v>
      </c>
      <c r="CN51" s="172">
        <f t="shared" si="51"/>
        <v>18.8</v>
      </c>
      <c r="CO51" s="443">
        <f t="shared" si="52"/>
        <v>42.8</v>
      </c>
      <c r="CP51" s="443"/>
      <c r="CQ51" s="217">
        <f t="shared" si="53"/>
        <v>0.43925233644859818</v>
      </c>
      <c r="CR51" s="172">
        <f t="shared" si="54"/>
        <v>35.456448598130848</v>
      </c>
      <c r="CS51" s="172">
        <f t="shared" si="115"/>
        <v>11.040000000000001</v>
      </c>
      <c r="CT51" s="217">
        <f t="shared" si="55"/>
        <v>8.864112149532712</v>
      </c>
      <c r="CU51" s="217">
        <f t="shared" si="56"/>
        <v>4</v>
      </c>
      <c r="CV51" s="217">
        <f t="shared" si="57"/>
        <v>8.7850467289719631</v>
      </c>
      <c r="CW51" s="172">
        <f t="shared" si="58"/>
        <v>23.161522835530494</v>
      </c>
      <c r="CX51" s="172">
        <f t="shared" si="59"/>
        <v>4</v>
      </c>
      <c r="CY51" s="217">
        <f t="shared" si="60"/>
        <v>2.0944680851063828</v>
      </c>
      <c r="CZ51" s="217">
        <f t="shared" si="61"/>
        <v>1.0472340425531914</v>
      </c>
      <c r="DA51" s="217">
        <f t="shared" si="62"/>
        <v>1.3368945224083295</v>
      </c>
      <c r="DB51" s="197">
        <f t="shared" si="63"/>
        <v>350</v>
      </c>
      <c r="DC51" s="443">
        <f t="shared" si="116"/>
        <v>350</v>
      </c>
      <c r="DE51" s="217">
        <f t="shared" si="64"/>
        <v>2.5100133511348464</v>
      </c>
      <c r="DF51" s="173">
        <f t="shared" si="65"/>
        <v>1.6021361815754336</v>
      </c>
      <c r="DG51" s="173">
        <f t="shared" si="66"/>
        <v>2.8149682442633783</v>
      </c>
      <c r="DH51" s="173"/>
      <c r="DI51" s="173">
        <f t="shared" si="67"/>
        <v>0.85106382978723416</v>
      </c>
      <c r="DJ51" s="545">
        <f t="shared" si="117"/>
        <v>1216.1249999999998</v>
      </c>
      <c r="DK51" s="528">
        <f t="shared" si="68"/>
        <v>0.79432624113475192</v>
      </c>
      <c r="DM51" s="173">
        <f t="shared" si="69"/>
        <v>2.4853858567922322</v>
      </c>
      <c r="DN51" s="173">
        <f t="shared" si="70"/>
        <v>2.4853858567922322</v>
      </c>
      <c r="DO51" s="173">
        <f t="shared" si="71"/>
        <v>2.053372239599184</v>
      </c>
      <c r="DQ51" s="545">
        <f t="shared" si="72"/>
        <v>2760.0000000000005</v>
      </c>
      <c r="DR51" s="460">
        <f t="shared" si="73"/>
        <v>350</v>
      </c>
      <c r="DT51">
        <f t="shared" si="74"/>
        <v>2760.0000000000005</v>
      </c>
      <c r="DU51" s="460">
        <f t="shared" si="75"/>
        <v>350</v>
      </c>
      <c r="DV51" s="460"/>
      <c r="DW51" s="5">
        <f t="shared" si="118"/>
        <v>2.8571428571428572</v>
      </c>
      <c r="DX51" s="5">
        <f t="shared" si="76"/>
        <v>1.2426929283961161</v>
      </c>
      <c r="DY51" s="5">
        <f t="shared" si="119"/>
        <v>1.6144499287467411</v>
      </c>
      <c r="DZ51" s="5">
        <f t="shared" si="77"/>
        <v>1.5864165043354672</v>
      </c>
      <c r="EA51" s="173">
        <f t="shared" si="120"/>
        <v>0.43494252493864061</v>
      </c>
      <c r="EB51" s="173">
        <f t="shared" si="78"/>
        <v>12.972000000000003</v>
      </c>
      <c r="EC51" s="173">
        <f t="shared" si="79"/>
        <v>2.8087717135844641</v>
      </c>
      <c r="ED51" s="173">
        <f t="shared" si="121"/>
        <v>4.6183888627408436</v>
      </c>
      <c r="EE51" s="460">
        <f t="shared" si="80"/>
        <v>85.74581205933201</v>
      </c>
      <c r="EF51" s="5">
        <f t="shared" si="81"/>
        <v>0.61887247268625079</v>
      </c>
      <c r="EG51" s="5"/>
      <c r="EH51" s="173">
        <f t="shared" si="122"/>
        <v>0.94634421348548836</v>
      </c>
      <c r="EI51" s="173">
        <f t="shared" si="82"/>
        <v>4.3145896651248803</v>
      </c>
      <c r="EJ51" s="173"/>
      <c r="EK51" s="528">
        <f t="shared" si="83"/>
        <v>1.0925921918849104E-2</v>
      </c>
      <c r="EL51" s="528">
        <f t="shared" si="84"/>
        <v>0.74462160269495281</v>
      </c>
      <c r="EM51" s="528">
        <f t="shared" si="85"/>
        <v>4.3749999999999997E-2</v>
      </c>
      <c r="EN51" s="528">
        <f t="shared" si="86"/>
        <v>6.4114399999999988E-2</v>
      </c>
      <c r="EO51">
        <f t="shared" si="87"/>
        <v>1.0800000000000001E-2</v>
      </c>
      <c r="EP51" s="460">
        <f t="shared" si="123"/>
        <v>54.550000000000004</v>
      </c>
      <c r="EQ51" s="528">
        <f t="shared" si="88"/>
        <v>0.87944496181546084</v>
      </c>
      <c r="ER51" s="460">
        <f t="shared" si="124"/>
        <v>879.44496181546083</v>
      </c>
      <c r="ES51" s="528">
        <f t="shared" si="125"/>
        <v>1.7146499999999998</v>
      </c>
      <c r="ET51" s="528"/>
      <c r="EV51" s="460">
        <f t="shared" si="126"/>
        <v>1714.6499999999999</v>
      </c>
      <c r="EW51" s="528">
        <f t="shared" si="89"/>
        <v>2.6867021111924027E-2</v>
      </c>
      <c r="EX51" s="528">
        <f t="shared" si="90"/>
        <v>0.55847051935207281</v>
      </c>
      <c r="EY51" s="528">
        <f t="shared" si="91"/>
        <v>1.1158984434606098</v>
      </c>
      <c r="EZ51" s="528">
        <f t="shared" si="92"/>
        <v>1.9321959391324717</v>
      </c>
      <c r="FA51" s="528">
        <f t="shared" si="93"/>
        <v>5.4050000000000008E-2</v>
      </c>
      <c r="FB51" s="460">
        <f t="shared" si="127"/>
        <v>1986.2459391324717</v>
      </c>
      <c r="FC51" s="173">
        <f t="shared" si="128"/>
        <v>4.5803409009479328</v>
      </c>
      <c r="FD51" s="5">
        <f t="shared" si="129"/>
        <v>11.040000000000001</v>
      </c>
      <c r="FE51" s="173">
        <f t="shared" si="130"/>
        <v>0.70677074655457928</v>
      </c>
      <c r="FF51" s="5">
        <f t="shared" si="131"/>
        <v>70.677074655457929</v>
      </c>
      <c r="FI51" s="562">
        <f t="shared" si="94"/>
        <v>-50</v>
      </c>
      <c r="FJ51">
        <f t="shared" si="95"/>
        <v>-50</v>
      </c>
      <c r="FL51">
        <f t="shared" si="181"/>
        <v>0.55524577651741358</v>
      </c>
    </row>
    <row r="52" spans="5:168">
      <c r="E52" s="170">
        <v>47</v>
      </c>
      <c r="F52" s="217">
        <f t="shared" si="182"/>
        <v>2.82</v>
      </c>
      <c r="G52" s="217"/>
      <c r="H52" s="217">
        <f t="shared" si="132"/>
        <v>11.28</v>
      </c>
      <c r="I52" s="541">
        <f t="shared" si="133"/>
        <v>23.951067434210525</v>
      </c>
      <c r="J52" s="172">
        <f t="shared" si="134"/>
        <v>19.356578947368423</v>
      </c>
      <c r="K52" s="172">
        <f t="shared" si="135"/>
        <v>43.356578947368419</v>
      </c>
      <c r="L52" s="443"/>
      <c r="M52" s="217">
        <f t="shared" si="136"/>
        <v>0.44754664910157738</v>
      </c>
      <c r="N52" s="172">
        <f t="shared" si="137"/>
        <v>36.05230984113372</v>
      </c>
      <c r="O52" s="172">
        <f t="shared" si="98"/>
        <v>11.28</v>
      </c>
      <c r="P52" s="217">
        <f t="shared" si="138"/>
        <v>9.01307746028343</v>
      </c>
      <c r="Q52" s="217">
        <f t="shared" si="139"/>
        <v>4</v>
      </c>
      <c r="R52" s="217">
        <f t="shared" si="140"/>
        <v>8.9326833104890291</v>
      </c>
      <c r="S52" s="172">
        <f t="shared" si="141"/>
        <v>22.503823167510536</v>
      </c>
      <c r="T52" s="172">
        <f t="shared" si="142"/>
        <v>4</v>
      </c>
      <c r="U52" s="217">
        <f t="shared" si="143"/>
        <v>2.5522516927574062</v>
      </c>
      <c r="V52" s="217">
        <f t="shared" si="11"/>
        <v>1.278732999989084</v>
      </c>
      <c r="W52" s="217">
        <f t="shared" si="144"/>
        <v>1.5822537854630918</v>
      </c>
      <c r="X52" s="197">
        <f t="shared" si="145"/>
        <v>350</v>
      </c>
      <c r="Y52" s="443">
        <f t="shared" si="14"/>
        <v>326.69203433110465</v>
      </c>
      <c r="AA52" s="217">
        <f t="shared" si="146"/>
        <v>2.5488225708250076</v>
      </c>
      <c r="AB52" s="173">
        <f t="shared" si="147"/>
        <v>1.5801279210063264</v>
      </c>
      <c r="AC52" s="173">
        <f t="shared" si="148"/>
        <v>2.8192259968962037</v>
      </c>
      <c r="AD52" s="173"/>
      <c r="AE52" s="173">
        <f t="shared" si="149"/>
        <v>0.8265923458636395</v>
      </c>
      <c r="AF52" s="545">
        <f t="shared" si="150"/>
        <v>1279.3488898026312</v>
      </c>
      <c r="AG52" s="528">
        <f t="shared" si="151"/>
        <v>0.77148618947273029</v>
      </c>
      <c r="AI52" s="173">
        <f t="shared" si="152"/>
        <v>2.5491724294735283</v>
      </c>
      <c r="AJ52" s="173">
        <f t="shared" si="153"/>
        <v>2.5522516927574062</v>
      </c>
      <c r="AK52" s="173">
        <f t="shared" si="154"/>
        <v>2.1029024884622762</v>
      </c>
      <c r="AM52" s="545">
        <f t="shared" si="155"/>
        <v>2820</v>
      </c>
      <c r="AN52" s="460">
        <f t="shared" si="156"/>
        <v>326.69203433110465</v>
      </c>
      <c r="AP52">
        <f t="shared" si="157"/>
        <v>2820</v>
      </c>
      <c r="AQ52" s="460">
        <f t="shared" si="158"/>
        <v>326.69203433110465</v>
      </c>
      <c r="AR52" s="460"/>
      <c r="AS52" s="5">
        <f t="shared" si="101"/>
        <v>3.0609867854521764</v>
      </c>
      <c r="AT52" s="5">
        <f t="shared" si="159"/>
        <v>1.278732999989084</v>
      </c>
      <c r="AU52" s="5">
        <f t="shared" si="102"/>
        <v>1.7822537854630924</v>
      </c>
      <c r="AV52" s="5">
        <f t="shared" si="160"/>
        <v>1.5822537854630918</v>
      </c>
      <c r="AW52" s="173">
        <f t="shared" si="103"/>
        <v>0.41775188513275024</v>
      </c>
      <c r="AX52" s="173">
        <f t="shared" si="161"/>
        <v>12.76840932631622</v>
      </c>
      <c r="AY52" s="173">
        <f t="shared" si="162"/>
        <v>2.972087473549494</v>
      </c>
      <c r="AZ52" s="173">
        <f t="shared" si="104"/>
        <v>4.2961081865693576</v>
      </c>
      <c r="BA52" s="460">
        <f t="shared" si="163"/>
        <v>90.1506764992304</v>
      </c>
      <c r="BB52" s="5">
        <f t="shared" si="164"/>
        <v>0.69947552982225925</v>
      </c>
      <c r="BC52" s="5"/>
      <c r="BD52" s="173">
        <f t="shared" si="105"/>
        <v>0.95240591144885212</v>
      </c>
      <c r="BE52" s="173">
        <f t="shared" si="165"/>
        <v>4.4975594227357805</v>
      </c>
      <c r="BF52" s="173"/>
      <c r="BG52" s="528">
        <f t="shared" si="166"/>
        <v>1.1066339645985168E-2</v>
      </c>
      <c r="BH52" s="528">
        <f t="shared" si="167"/>
        <v>0.67782615807408253</v>
      </c>
      <c r="BI52" s="528">
        <f t="shared" si="168"/>
        <v>0.1956155736120927</v>
      </c>
      <c r="BJ52" s="528">
        <f t="shared" si="169"/>
        <v>6.1411337904279883E-2</v>
      </c>
      <c r="BK52">
        <f t="shared" si="170"/>
        <v>1.0777980345394737E-2</v>
      </c>
      <c r="BL52" s="460">
        <f t="shared" si="106"/>
        <v>206.39355395748743</v>
      </c>
      <c r="BM52" s="528">
        <f t="shared" si="171"/>
        <v>0.75527764589683144</v>
      </c>
      <c r="BN52" s="460">
        <f t="shared" si="107"/>
        <v>755.27764589683147</v>
      </c>
      <c r="BO52" s="528">
        <f t="shared" si="172"/>
        <v>1.7519249999999997</v>
      </c>
      <c r="BP52" s="528"/>
      <c r="BR52" s="460">
        <f t="shared" si="109"/>
        <v>1751.9249999999997</v>
      </c>
      <c r="BS52" s="528">
        <f t="shared" si="173"/>
        <v>2.7212310604881561E-2</v>
      </c>
      <c r="BT52" s="528">
        <f t="shared" si="174"/>
        <v>0.60684122283118214</v>
      </c>
      <c r="BU52" s="528">
        <f t="shared" si="175"/>
        <v>0.16919999999999999</v>
      </c>
      <c r="BV52" s="528">
        <f t="shared" si="176"/>
        <v>1.0064793231548528</v>
      </c>
      <c r="BW52" s="528">
        <f t="shared" si="177"/>
        <v>5.3201705526317589E-2</v>
      </c>
      <c r="BX52" s="460">
        <f t="shared" si="110"/>
        <v>1059.6810286811703</v>
      </c>
      <c r="BY52" s="173">
        <f t="shared" si="45"/>
        <v>3.7732772285354885</v>
      </c>
      <c r="BZ52" s="5">
        <f t="shared" si="111"/>
        <v>11.28</v>
      </c>
      <c r="CA52" s="173">
        <f t="shared" si="112"/>
        <v>0.74933848814112447</v>
      </c>
      <c r="CB52" s="5">
        <f t="shared" si="113"/>
        <v>74.933848814112451</v>
      </c>
      <c r="CE52" s="562">
        <f t="shared" si="178"/>
        <v>-50</v>
      </c>
      <c r="CF52">
        <f t="shared" si="179"/>
        <v>-50</v>
      </c>
      <c r="CG52" s="173">
        <f t="shared" si="180"/>
        <v>0.6080000000000001</v>
      </c>
      <c r="CI52" s="170">
        <v>47</v>
      </c>
      <c r="CJ52" s="217">
        <f t="shared" si="114"/>
        <v>2.82</v>
      </c>
      <c r="CK52" s="217"/>
      <c r="CL52" s="217">
        <f t="shared" si="49"/>
        <v>11.28</v>
      </c>
      <c r="CM52" s="541">
        <f t="shared" si="50"/>
        <v>24</v>
      </c>
      <c r="CN52" s="172">
        <f t="shared" si="51"/>
        <v>18.8</v>
      </c>
      <c r="CO52" s="443">
        <f t="shared" si="52"/>
        <v>42.8</v>
      </c>
      <c r="CP52" s="443"/>
      <c r="CQ52" s="217">
        <f t="shared" si="53"/>
        <v>0.43925233644859818</v>
      </c>
      <c r="CR52" s="172">
        <f t="shared" si="54"/>
        <v>35.456448598130848</v>
      </c>
      <c r="CS52" s="172">
        <f t="shared" si="115"/>
        <v>11.28</v>
      </c>
      <c r="CT52" s="217">
        <f t="shared" si="55"/>
        <v>8.864112149532712</v>
      </c>
      <c r="CU52" s="217">
        <f t="shared" si="56"/>
        <v>4</v>
      </c>
      <c r="CV52" s="217">
        <f t="shared" si="57"/>
        <v>8.7850467289719631</v>
      </c>
      <c r="CW52" s="172">
        <f t="shared" si="58"/>
        <v>22.549443809062865</v>
      </c>
      <c r="CX52" s="172">
        <f t="shared" si="59"/>
        <v>4</v>
      </c>
      <c r="CY52" s="217">
        <f t="shared" si="60"/>
        <v>2.1399999999999997</v>
      </c>
      <c r="CZ52" s="217">
        <f t="shared" si="61"/>
        <v>1.0699999999999998</v>
      </c>
      <c r="DA52" s="217">
        <f t="shared" si="62"/>
        <v>1.3659574468085105</v>
      </c>
      <c r="DB52" s="197">
        <f t="shared" si="63"/>
        <v>350</v>
      </c>
      <c r="DC52" s="443">
        <f t="shared" si="116"/>
        <v>350</v>
      </c>
      <c r="DE52" s="217">
        <f t="shared" si="64"/>
        <v>2.5100133511348464</v>
      </c>
      <c r="DF52" s="173">
        <f t="shared" si="65"/>
        <v>1.6021361815754336</v>
      </c>
      <c r="DG52" s="173">
        <f t="shared" si="66"/>
        <v>2.8149682442633783</v>
      </c>
      <c r="DH52" s="173"/>
      <c r="DI52" s="173">
        <f t="shared" si="67"/>
        <v>0.85106382978723416</v>
      </c>
      <c r="DJ52" s="545">
        <f t="shared" si="117"/>
        <v>1242.5624999999995</v>
      </c>
      <c r="DK52" s="528">
        <f t="shared" si="68"/>
        <v>0.79432624113475192</v>
      </c>
      <c r="DM52" s="173">
        <f t="shared" si="69"/>
        <v>2.5122556739767892</v>
      </c>
      <c r="DN52" s="173">
        <f t="shared" si="70"/>
        <v>2.1399999999999997</v>
      </c>
      <c r="DO52" s="173">
        <f t="shared" si="71"/>
        <v>1.7975308641975305</v>
      </c>
      <c r="DQ52" s="545">
        <f t="shared" si="72"/>
        <v>2820</v>
      </c>
      <c r="DR52" s="460">
        <f t="shared" si="73"/>
        <v>350</v>
      </c>
      <c r="DT52">
        <f t="shared" si="74"/>
        <v>2820</v>
      </c>
      <c r="DU52" s="460">
        <f t="shared" si="75"/>
        <v>350</v>
      </c>
      <c r="DV52" s="460"/>
      <c r="DW52" s="5">
        <f t="shared" si="118"/>
        <v>2.8571428571428572</v>
      </c>
      <c r="DX52" s="5">
        <f t="shared" si="76"/>
        <v>1.0699999999999998</v>
      </c>
      <c r="DY52" s="5">
        <f t="shared" si="119"/>
        <v>1.7871428571428574</v>
      </c>
      <c r="DZ52" s="5">
        <f t="shared" si="77"/>
        <v>1.3659574468085105</v>
      </c>
      <c r="EA52" s="173">
        <f t="shared" si="120"/>
        <v>0.37449999999999994</v>
      </c>
      <c r="EB52" s="173">
        <f t="shared" si="78"/>
        <v>9.6171599999999966</v>
      </c>
      <c r="EC52" s="173">
        <f t="shared" si="79"/>
        <v>2.6771399999999996</v>
      </c>
      <c r="ED52" s="173">
        <f t="shared" si="121"/>
        <v>3.5923261390887284</v>
      </c>
      <c r="EE52" s="460">
        <f t="shared" si="80"/>
        <v>75.434999999999988</v>
      </c>
      <c r="EF52" s="5">
        <f t="shared" si="81"/>
        <v>0.69996428571428571</v>
      </c>
      <c r="EG52" s="5"/>
      <c r="EH52" s="173">
        <f t="shared" si="122"/>
        <v>0.75609968478589717</v>
      </c>
      <c r="EI52" s="173">
        <f t="shared" si="82"/>
        <v>3.9086500994588906</v>
      </c>
      <c r="EJ52" s="173"/>
      <c r="EK52" s="528">
        <f t="shared" si="83"/>
        <v>6.9745781466666627E-3</v>
      </c>
      <c r="EL52" s="528">
        <f t="shared" si="84"/>
        <v>0.64114399999999983</v>
      </c>
      <c r="EM52" s="528">
        <f t="shared" si="85"/>
        <v>4.3749999999999997E-2</v>
      </c>
      <c r="EN52" s="528">
        <f t="shared" si="86"/>
        <v>6.4114399999999988E-2</v>
      </c>
      <c r="EO52">
        <f t="shared" si="87"/>
        <v>1.0800000000000001E-2</v>
      </c>
      <c r="EP52" s="460">
        <f t="shared" si="123"/>
        <v>54.550000000000004</v>
      </c>
      <c r="EQ52" s="528">
        <f t="shared" si="88"/>
        <v>0.76994203120379867</v>
      </c>
      <c r="ER52" s="460">
        <f t="shared" si="124"/>
        <v>769.94203120379871</v>
      </c>
      <c r="ES52" s="528">
        <f t="shared" si="125"/>
        <v>1.7519249999999997</v>
      </c>
      <c r="ET52" s="528"/>
      <c r="EV52" s="460">
        <f t="shared" si="126"/>
        <v>1751.9249999999997</v>
      </c>
      <c r="EW52" s="528">
        <f t="shared" si="89"/>
        <v>1.715060199999999E-2</v>
      </c>
      <c r="EX52" s="528">
        <f t="shared" si="90"/>
        <v>0.45832636799999987</v>
      </c>
      <c r="EY52" s="528">
        <f t="shared" si="91"/>
        <v>0.76766996388218156</v>
      </c>
      <c r="EZ52" s="528">
        <f t="shared" si="92"/>
        <v>1.4109306074926506</v>
      </c>
      <c r="FA52" s="528">
        <f t="shared" si="93"/>
        <v>4.0071499999999989E-2</v>
      </c>
      <c r="FB52" s="460">
        <f t="shared" si="127"/>
        <v>1451.0021074926508</v>
      </c>
      <c r="FC52" s="173">
        <f t="shared" si="128"/>
        <v>3.9728691386964492</v>
      </c>
      <c r="FD52" s="5">
        <f t="shared" si="129"/>
        <v>11.28</v>
      </c>
      <c r="FE52" s="173">
        <f t="shared" si="130"/>
        <v>0.73953299523056282</v>
      </c>
      <c r="FF52" s="5">
        <f t="shared" si="131"/>
        <v>73.953299523056288</v>
      </c>
      <c r="FI52" s="562">
        <f t="shared" si="94"/>
        <v>-50</v>
      </c>
      <c r="FJ52">
        <f t="shared" si="95"/>
        <v>-50</v>
      </c>
      <c r="FL52">
        <f t="shared" si="181"/>
        <v>0.56124860801609122</v>
      </c>
    </row>
    <row r="53" spans="5:168">
      <c r="E53" s="170">
        <v>48</v>
      </c>
      <c r="F53" s="217">
        <f t="shared" si="182"/>
        <v>2.88</v>
      </c>
      <c r="G53" s="217"/>
      <c r="H53" s="217">
        <f t="shared" si="132"/>
        <v>11.52</v>
      </c>
      <c r="I53" s="541">
        <f t="shared" si="133"/>
        <v>23.949362693473752</v>
      </c>
      <c r="J53" s="172">
        <f t="shared" si="134"/>
        <v>19.375969363331738</v>
      </c>
      <c r="K53" s="172">
        <f t="shared" si="135"/>
        <v>43.375969363331734</v>
      </c>
      <c r="L53" s="443"/>
      <c r="M53" s="217">
        <f t="shared" si="136"/>
        <v>0.44764554243591115</v>
      </c>
      <c r="N53" s="172">
        <f t="shared" si="137"/>
        <v>36.057709609998867</v>
      </c>
      <c r="O53" s="172">
        <f t="shared" si="98"/>
        <v>11.52</v>
      </c>
      <c r="P53" s="217">
        <f t="shared" si="138"/>
        <v>9.0144274024997166</v>
      </c>
      <c r="Q53" s="217">
        <f t="shared" si="139"/>
        <v>4</v>
      </c>
      <c r="R53" s="217">
        <f t="shared" si="140"/>
        <v>8.9340212115953594</v>
      </c>
      <c r="S53" s="172">
        <f t="shared" si="141"/>
        <v>21.917137199666747</v>
      </c>
      <c r="T53" s="172">
        <f t="shared" si="142"/>
        <v>4</v>
      </c>
      <c r="U53" s="217">
        <f t="shared" si="143"/>
        <v>2.6070215968754433</v>
      </c>
      <c r="V53" s="217">
        <f t="shared" si="11"/>
        <v>1.3062668749440394</v>
      </c>
      <c r="W53" s="217">
        <f t="shared" si="144"/>
        <v>1.6145906600012259</v>
      </c>
      <c r="X53" s="197">
        <f t="shared" si="145"/>
        <v>350</v>
      </c>
      <c r="Y53" s="443">
        <f t="shared" si="14"/>
        <v>320.42475146740026</v>
      </c>
      <c r="AA53" s="217">
        <f t="shared" si="146"/>
        <v>2.5501528386147121</v>
      </c>
      <c r="AB53" s="173">
        <f t="shared" si="147"/>
        <v>1.5793704815248788</v>
      </c>
      <c r="AC53" s="173">
        <f t="shared" si="148"/>
        <v>2.819345281679468</v>
      </c>
      <c r="AD53" s="173"/>
      <c r="AE53" s="173">
        <f t="shared" si="149"/>
        <v>0.82576513721576039</v>
      </c>
      <c r="AF53" s="545">
        <f t="shared" si="150"/>
        <v>1307.8779320248918</v>
      </c>
      <c r="AG53" s="528">
        <f t="shared" si="151"/>
        <v>0.77071412806804318</v>
      </c>
      <c r="AI53" s="173">
        <f t="shared" si="152"/>
        <v>2.5774385532926778</v>
      </c>
      <c r="AJ53" s="173">
        <f t="shared" si="153"/>
        <v>2.6070215968754433</v>
      </c>
      <c r="AK53" s="173">
        <f t="shared" si="154"/>
        <v>2.1434727878089701</v>
      </c>
      <c r="AM53" s="545">
        <f t="shared" si="155"/>
        <v>2880</v>
      </c>
      <c r="AN53" s="460">
        <f t="shared" si="156"/>
        <v>320.42475146740026</v>
      </c>
      <c r="AP53">
        <f t="shared" si="157"/>
        <v>2880</v>
      </c>
      <c r="AQ53" s="460">
        <f t="shared" si="158"/>
        <v>320.42475146740026</v>
      </c>
      <c r="AR53" s="460"/>
      <c r="AS53" s="5">
        <f t="shared" si="101"/>
        <v>3.120857534945265</v>
      </c>
      <c r="AT53" s="5">
        <f t="shared" si="159"/>
        <v>1.3062668749440394</v>
      </c>
      <c r="AU53" s="5">
        <f t="shared" si="102"/>
        <v>1.8145906600012256</v>
      </c>
      <c r="AV53" s="5">
        <f t="shared" si="160"/>
        <v>1.6145906600012259</v>
      </c>
      <c r="AW53" s="173">
        <f t="shared" si="103"/>
        <v>0.41856023875404147</v>
      </c>
      <c r="AX53" s="173">
        <f t="shared" si="161"/>
        <v>13.066719381717988</v>
      </c>
      <c r="AY53" s="173">
        <f t="shared" si="162"/>
        <v>3.0316520297006306</v>
      </c>
      <c r="AZ53" s="173">
        <f t="shared" si="104"/>
        <v>4.3100986701987365</v>
      </c>
      <c r="BA53" s="460">
        <f t="shared" si="163"/>
        <v>94.051214995970824</v>
      </c>
      <c r="BB53" s="5">
        <f t="shared" si="164"/>
        <v>0.72737093504199024</v>
      </c>
      <c r="BC53" s="5"/>
      <c r="BD53" s="173">
        <f t="shared" si="105"/>
        <v>0.97378478949484826</v>
      </c>
      <c r="BE53" s="173">
        <f t="shared" si="165"/>
        <v>4.5908843928349485</v>
      </c>
      <c r="BF53" s="173"/>
      <c r="BG53" s="528">
        <f t="shared" si="166"/>
        <v>1.1568733158268615E-2</v>
      </c>
      <c r="BH53" s="528">
        <f t="shared" si="167"/>
        <v>0.67939312942874763</v>
      </c>
      <c r="BI53" s="528">
        <f t="shared" si="168"/>
        <v>0.19184921472147387</v>
      </c>
      <c r="BJ53" s="528">
        <f t="shared" si="169"/>
        <v>6.0287106897421748E-2</v>
      </c>
      <c r="BK53">
        <f t="shared" si="170"/>
        <v>1.0777213212063189E-2</v>
      </c>
      <c r="BL53" s="460">
        <f t="shared" si="106"/>
        <v>202.62642793353706</v>
      </c>
      <c r="BM53" s="528">
        <f t="shared" si="171"/>
        <v>0.75645180997605099</v>
      </c>
      <c r="BN53" s="460">
        <f t="shared" si="107"/>
        <v>756.45180997605098</v>
      </c>
      <c r="BO53" s="528">
        <f t="shared" si="172"/>
        <v>1.7891999999999999</v>
      </c>
      <c r="BP53" s="528"/>
      <c r="BR53" s="460">
        <f t="shared" si="109"/>
        <v>1789.1999999999998</v>
      </c>
      <c r="BS53" s="528">
        <f t="shared" si="173"/>
        <v>2.8447704487545775E-2</v>
      </c>
      <c r="BT53" s="528">
        <f t="shared" si="174"/>
        <v>0.63228658525126535</v>
      </c>
      <c r="BU53" s="528">
        <f t="shared" si="175"/>
        <v>0.17279999999999998</v>
      </c>
      <c r="BV53" s="528">
        <f t="shared" si="176"/>
        <v>1.0474789395260546</v>
      </c>
      <c r="BW53" s="528">
        <f t="shared" si="177"/>
        <v>5.4444664090491618E-2</v>
      </c>
      <c r="BX53" s="460">
        <f t="shared" si="110"/>
        <v>1101.9236036165462</v>
      </c>
      <c r="BY53" s="173">
        <f t="shared" si="45"/>
        <v>3.8502018415261343</v>
      </c>
      <c r="BZ53" s="5">
        <f t="shared" si="111"/>
        <v>11.52</v>
      </c>
      <c r="CA53" s="173">
        <f t="shared" si="112"/>
        <v>0.74950219384081684</v>
      </c>
      <c r="CB53" s="5">
        <f t="shared" si="113"/>
        <v>74.950219384081691</v>
      </c>
      <c r="CE53" s="562">
        <f t="shared" si="178"/>
        <v>-50</v>
      </c>
      <c r="CF53">
        <f t="shared" si="179"/>
        <v>-50</v>
      </c>
      <c r="CG53" s="173">
        <f t="shared" si="180"/>
        <v>0.60003191489361707</v>
      </c>
      <c r="CI53" s="170">
        <v>48</v>
      </c>
      <c r="CJ53" s="217">
        <f t="shared" si="114"/>
        <v>2.88</v>
      </c>
      <c r="CK53" s="217"/>
      <c r="CL53" s="217">
        <f t="shared" si="49"/>
        <v>11.52</v>
      </c>
      <c r="CM53" s="541">
        <f t="shared" si="50"/>
        <v>24</v>
      </c>
      <c r="CN53" s="172">
        <f t="shared" si="51"/>
        <v>18.8</v>
      </c>
      <c r="CO53" s="443">
        <f t="shared" si="52"/>
        <v>42.8</v>
      </c>
      <c r="CP53" s="443"/>
      <c r="CQ53" s="217">
        <f t="shared" si="53"/>
        <v>0.43925233644859818</v>
      </c>
      <c r="CR53" s="172">
        <f t="shared" si="54"/>
        <v>35.456448598130848</v>
      </c>
      <c r="CS53" s="172">
        <f t="shared" si="115"/>
        <v>11.52</v>
      </c>
      <c r="CT53" s="217">
        <f t="shared" si="55"/>
        <v>8.864112149532712</v>
      </c>
      <c r="CU53" s="217">
        <f t="shared" si="56"/>
        <v>4</v>
      </c>
      <c r="CV53" s="217">
        <f t="shared" si="57"/>
        <v>8.7850467289719631</v>
      </c>
      <c r="CW53" s="172">
        <f t="shared" si="58"/>
        <v>21.963101048017858</v>
      </c>
      <c r="CX53" s="172">
        <f t="shared" si="59"/>
        <v>4</v>
      </c>
      <c r="CY53" s="217">
        <f t="shared" si="60"/>
        <v>2.1855319148936165</v>
      </c>
      <c r="CZ53" s="217">
        <f t="shared" si="61"/>
        <v>1.0927659574468085</v>
      </c>
      <c r="DA53" s="217">
        <f t="shared" si="62"/>
        <v>1.3950203712086915</v>
      </c>
      <c r="DB53" s="197">
        <f t="shared" si="63"/>
        <v>350</v>
      </c>
      <c r="DC53" s="443">
        <f t="shared" si="116"/>
        <v>350</v>
      </c>
      <c r="DE53" s="217">
        <f t="shared" si="64"/>
        <v>2.5100133511348464</v>
      </c>
      <c r="DF53" s="173">
        <f t="shared" si="65"/>
        <v>1.6021361815754336</v>
      </c>
      <c r="DG53" s="173">
        <f t="shared" si="66"/>
        <v>2.8149682442633783</v>
      </c>
      <c r="DH53" s="173"/>
      <c r="DI53" s="173">
        <f t="shared" si="67"/>
        <v>0.85106382978723416</v>
      </c>
      <c r="DJ53" s="545">
        <f t="shared" si="117"/>
        <v>1268.9999999999998</v>
      </c>
      <c r="DK53" s="528">
        <f t="shared" si="68"/>
        <v>0.79432624113475192</v>
      </c>
      <c r="DM53" s="173">
        <f t="shared" si="69"/>
        <v>2.5388411304597787</v>
      </c>
      <c r="DN53" s="173">
        <f t="shared" si="70"/>
        <v>2.1855319148936165</v>
      </c>
      <c r="DO53" s="173">
        <f t="shared" si="71"/>
        <v>1.8312582085631726</v>
      </c>
      <c r="DQ53" s="545">
        <f t="shared" si="72"/>
        <v>2880</v>
      </c>
      <c r="DR53" s="460">
        <f t="shared" si="73"/>
        <v>350</v>
      </c>
      <c r="DT53">
        <f t="shared" si="74"/>
        <v>2880</v>
      </c>
      <c r="DU53" s="460">
        <f t="shared" si="75"/>
        <v>350</v>
      </c>
      <c r="DV53" s="460"/>
      <c r="DW53" s="5">
        <f t="shared" si="118"/>
        <v>2.8571428571428572</v>
      </c>
      <c r="DX53" s="5">
        <f t="shared" si="76"/>
        <v>1.0927659574468085</v>
      </c>
      <c r="DY53" s="5">
        <f t="shared" si="119"/>
        <v>1.7643768996960487</v>
      </c>
      <c r="DZ53" s="5">
        <f t="shared" si="77"/>
        <v>1.3950203712086915</v>
      </c>
      <c r="EA53" s="173">
        <f t="shared" si="120"/>
        <v>0.38246808510638297</v>
      </c>
      <c r="EB53" s="173">
        <f t="shared" si="78"/>
        <v>10.030754477138974</v>
      </c>
      <c r="EC53" s="173">
        <f t="shared" si="79"/>
        <v>2.6992714169307375</v>
      </c>
      <c r="ED53" s="173">
        <f t="shared" si="121"/>
        <v>3.7160970231532517</v>
      </c>
      <c r="EE53" s="460">
        <f t="shared" si="80"/>
        <v>78.679148936170208</v>
      </c>
      <c r="EF53" s="5">
        <f t="shared" si="81"/>
        <v>0.70575075987841929</v>
      </c>
      <c r="EG53" s="5"/>
      <c r="EH53" s="173">
        <f t="shared" si="122"/>
        <v>0.78035842975892356</v>
      </c>
      <c r="EI53" s="173">
        <f t="shared" si="82"/>
        <v>3.9663060324563091</v>
      </c>
      <c r="EJ53" s="173"/>
      <c r="EK53" s="528">
        <f t="shared" si="83"/>
        <v>7.4293032025289155E-3</v>
      </c>
      <c r="EL53" s="528">
        <f t="shared" si="84"/>
        <v>0.65478536170212742</v>
      </c>
      <c r="EM53" s="528">
        <f t="shared" si="85"/>
        <v>4.3749999999999997E-2</v>
      </c>
      <c r="EN53" s="528">
        <f t="shared" si="86"/>
        <v>6.4114399999999988E-2</v>
      </c>
      <c r="EO53">
        <f t="shared" si="87"/>
        <v>1.0800000000000001E-2</v>
      </c>
      <c r="EP53" s="460">
        <f t="shared" si="123"/>
        <v>54.550000000000004</v>
      </c>
      <c r="EQ53" s="528">
        <f t="shared" si="88"/>
        <v>0.78426937097732774</v>
      </c>
      <c r="ER53" s="460">
        <f t="shared" si="124"/>
        <v>784.26937097732775</v>
      </c>
      <c r="ES53" s="528">
        <f t="shared" si="125"/>
        <v>1.7891999999999999</v>
      </c>
      <c r="ET53" s="528"/>
      <c r="EV53" s="460">
        <f t="shared" si="126"/>
        <v>1789.1999999999998</v>
      </c>
      <c r="EW53" s="528">
        <f t="shared" si="89"/>
        <v>1.8268778366874384E-2</v>
      </c>
      <c r="EX53" s="528">
        <f t="shared" si="90"/>
        <v>0.47194750629297921</v>
      </c>
      <c r="EY53" s="528">
        <f t="shared" si="91"/>
        <v>0.80915737566939017</v>
      </c>
      <c r="EZ53" s="528">
        <f t="shared" si="92"/>
        <v>1.4748658283887706</v>
      </c>
      <c r="FA53" s="528">
        <f t="shared" si="93"/>
        <v>4.1794810321412385E-2</v>
      </c>
      <c r="FB53" s="460">
        <f t="shared" si="127"/>
        <v>1516.6606387101829</v>
      </c>
      <c r="FC53" s="173">
        <f t="shared" si="128"/>
        <v>4.0901300096875106</v>
      </c>
      <c r="FD53" s="5">
        <f t="shared" si="129"/>
        <v>11.52</v>
      </c>
      <c r="FE53" s="173">
        <f t="shared" si="130"/>
        <v>0.73798232255918361</v>
      </c>
      <c r="FF53" s="5">
        <f t="shared" si="131"/>
        <v>73.798232255918364</v>
      </c>
      <c r="FI53" s="562">
        <f t="shared" si="94"/>
        <v>-50</v>
      </c>
      <c r="FJ53">
        <f t="shared" si="95"/>
        <v>-50</v>
      </c>
      <c r="FL53">
        <f t="shared" si="181"/>
        <v>0.567187912123993</v>
      </c>
    </row>
    <row r="54" spans="5:168">
      <c r="E54" s="170">
        <v>49</v>
      </c>
      <c r="F54" s="217">
        <f t="shared" si="182"/>
        <v>2.94</v>
      </c>
      <c r="G54" s="217"/>
      <c r="H54" s="217">
        <f t="shared" si="132"/>
        <v>11.76</v>
      </c>
      <c r="I54" s="541">
        <f t="shared" si="133"/>
        <v>23.947612067416539</v>
      </c>
      <c r="J54" s="172">
        <f t="shared" si="134"/>
        <v>19.395881697631797</v>
      </c>
      <c r="K54" s="172">
        <f t="shared" si="135"/>
        <v>43.395881697631793</v>
      </c>
      <c r="L54" s="443"/>
      <c r="M54" s="217">
        <f t="shared" si="136"/>
        <v>0.44774404609465529</v>
      </c>
      <c r="N54" s="172">
        <f t="shared" si="137"/>
        <v>36.063007759542025</v>
      </c>
      <c r="O54" s="172">
        <f t="shared" si="98"/>
        <v>11.76</v>
      </c>
      <c r="P54" s="217">
        <f t="shared" si="138"/>
        <v>9.0157519398855062</v>
      </c>
      <c r="Q54" s="217">
        <f t="shared" si="139"/>
        <v>4</v>
      </c>
      <c r="R54" s="217">
        <f t="shared" si="140"/>
        <v>8.9353339344752278</v>
      </c>
      <c r="S54" s="172">
        <f t="shared" si="141"/>
        <v>21.354605313854687</v>
      </c>
      <c r="T54" s="172">
        <f t="shared" si="142"/>
        <v>4</v>
      </c>
      <c r="U54" s="217">
        <f t="shared" si="143"/>
        <v>2.6618092382793108</v>
      </c>
      <c r="V54" s="217">
        <f t="shared" si="11"/>
        <v>1.3338161136663842</v>
      </c>
      <c r="W54" s="217">
        <f t="shared" si="144"/>
        <v>1.6468295361510563</v>
      </c>
      <c r="X54" s="197">
        <f t="shared" si="145"/>
        <v>350</v>
      </c>
      <c r="Y54" s="443">
        <f t="shared" si="14"/>
        <v>314.40157442794577</v>
      </c>
      <c r="AA54" s="217">
        <f t="shared" si="146"/>
        <v>2.5515174045235494</v>
      </c>
      <c r="AB54" s="173">
        <f t="shared" si="147"/>
        <v>1.5785932978762713</v>
      </c>
      <c r="AC54" s="173">
        <f t="shared" si="148"/>
        <v>2.819465791936874</v>
      </c>
      <c r="AD54" s="173"/>
      <c r="AE54" s="173">
        <f t="shared" si="149"/>
        <v>0.82491738449578056</v>
      </c>
      <c r="AF54" s="545">
        <f t="shared" si="150"/>
        <v>1336.4974732274407</v>
      </c>
      <c r="AG54" s="528">
        <f t="shared" si="151"/>
        <v>0.76992289219606191</v>
      </c>
      <c r="AI54" s="173">
        <f t="shared" si="152"/>
        <v>2.6054862490850206</v>
      </c>
      <c r="AJ54" s="173">
        <f t="shared" si="153"/>
        <v>2.6618092382793108</v>
      </c>
      <c r="AK54" s="173">
        <f t="shared" si="154"/>
        <v>2.1840562258859091</v>
      </c>
      <c r="AM54" s="545">
        <f t="shared" si="155"/>
        <v>2940</v>
      </c>
      <c r="AN54" s="460">
        <f t="shared" si="156"/>
        <v>314.40157442794577</v>
      </c>
      <c r="AP54">
        <f t="shared" si="157"/>
        <v>2940</v>
      </c>
      <c r="AQ54" s="460">
        <f t="shared" si="158"/>
        <v>314.40157442794577</v>
      </c>
      <c r="AR54" s="460"/>
      <c r="AS54" s="5">
        <f t="shared" si="101"/>
        <v>3.1806456498174405</v>
      </c>
      <c r="AT54" s="5">
        <f t="shared" si="159"/>
        <v>1.3338161136663842</v>
      </c>
      <c r="AU54" s="5">
        <f t="shared" si="102"/>
        <v>1.8468295361510563</v>
      </c>
      <c r="AV54" s="5">
        <f t="shared" si="160"/>
        <v>1.6468295361510563</v>
      </c>
      <c r="AW54" s="173">
        <f t="shared" si="103"/>
        <v>0.41935388613407509</v>
      </c>
      <c r="AX54" s="173">
        <f t="shared" si="161"/>
        <v>13.36564182444358</v>
      </c>
      <c r="AY54" s="173">
        <f t="shared" si="162"/>
        <v>3.0911383801185992</v>
      </c>
      <c r="AZ54" s="173">
        <f t="shared" si="104"/>
        <v>4.3238574857754424</v>
      </c>
      <c r="BA54" s="460">
        <f t="shared" si="163"/>
        <v>98.035484354479237</v>
      </c>
      <c r="BB54" s="5">
        <f t="shared" si="164"/>
        <v>0.7557717823108554</v>
      </c>
      <c r="BC54" s="5"/>
      <c r="BD54" s="173">
        <f t="shared" si="105"/>
        <v>0.99519145100986617</v>
      </c>
      <c r="BE54" s="173">
        <f t="shared" si="165"/>
        <v>4.6841635886603932</v>
      </c>
      <c r="BF54" s="173"/>
      <c r="BG54" s="528">
        <f t="shared" si="166"/>
        <v>1.2082953494790098E-2</v>
      </c>
      <c r="BH54" s="528">
        <f t="shared" si="167"/>
        <v>0.68094404912330286</v>
      </c>
      <c r="BI54" s="528">
        <f t="shared" si="168"/>
        <v>0.18822917344463583</v>
      </c>
      <c r="BJ54" s="528">
        <f t="shared" si="169"/>
        <v>5.9208184615690981E-2</v>
      </c>
      <c r="BK54">
        <f t="shared" si="170"/>
        <v>1.0776425430337442E-2</v>
      </c>
      <c r="BL54" s="460">
        <f t="shared" si="106"/>
        <v>199.00559887497326</v>
      </c>
      <c r="BM54" s="528">
        <f t="shared" si="171"/>
        <v>0.75767279489181627</v>
      </c>
      <c r="BN54" s="460">
        <f t="shared" si="107"/>
        <v>757.67279489181624</v>
      </c>
      <c r="BO54" s="528">
        <f t="shared" si="172"/>
        <v>1.8264749999999998</v>
      </c>
      <c r="BP54" s="528"/>
      <c r="BR54" s="460">
        <f t="shared" si="109"/>
        <v>1826.4749999999999</v>
      </c>
      <c r="BS54" s="528">
        <f t="shared" si="173"/>
        <v>2.9712180724893685E-2</v>
      </c>
      <c r="BT54" s="528">
        <f t="shared" si="174"/>
        <v>0.65824165575995441</v>
      </c>
      <c r="BU54" s="528">
        <f t="shared" si="175"/>
        <v>0.1764</v>
      </c>
      <c r="BV54" s="528">
        <f t="shared" si="176"/>
        <v>1.0894204346459875</v>
      </c>
      <c r="BW54" s="528">
        <f t="shared" si="177"/>
        <v>5.5690174268514921E-2</v>
      </c>
      <c r="BX54" s="460">
        <f t="shared" si="110"/>
        <v>1145.1106089145023</v>
      </c>
      <c r="BY54" s="173">
        <f t="shared" si="45"/>
        <v>3.9282640026812916</v>
      </c>
      <c r="BZ54" s="5">
        <f t="shared" si="111"/>
        <v>11.76</v>
      </c>
      <c r="CA54" s="173">
        <f t="shared" si="112"/>
        <v>0.74960492747891605</v>
      </c>
      <c r="CB54" s="5">
        <f t="shared" si="113"/>
        <v>74.960492747891607</v>
      </c>
      <c r="CE54" s="562">
        <f t="shared" si="178"/>
        <v>-50</v>
      </c>
      <c r="CF54">
        <f t="shared" si="179"/>
        <v>-50</v>
      </c>
      <c r="CG54" s="173">
        <f t="shared" si="180"/>
        <v>0.59206382978723415</v>
      </c>
      <c r="CI54" s="170">
        <v>49</v>
      </c>
      <c r="CJ54" s="217">
        <f t="shared" si="114"/>
        <v>2.94</v>
      </c>
      <c r="CK54" s="217"/>
      <c r="CL54" s="217">
        <f t="shared" si="49"/>
        <v>11.76</v>
      </c>
      <c r="CM54" s="541">
        <f t="shared" si="50"/>
        <v>24</v>
      </c>
      <c r="CN54" s="172">
        <f t="shared" si="51"/>
        <v>18.8</v>
      </c>
      <c r="CO54" s="443">
        <f t="shared" si="52"/>
        <v>42.8</v>
      </c>
      <c r="CP54" s="443"/>
      <c r="CQ54" s="217">
        <f t="shared" si="53"/>
        <v>0.43925233644859818</v>
      </c>
      <c r="CR54" s="172">
        <f t="shared" si="54"/>
        <v>35.456448598130848</v>
      </c>
      <c r="CS54" s="172">
        <f t="shared" si="115"/>
        <v>11.76</v>
      </c>
      <c r="CT54" s="217">
        <f t="shared" si="55"/>
        <v>8.864112149532712</v>
      </c>
      <c r="CU54" s="217">
        <f t="shared" si="56"/>
        <v>4</v>
      </c>
      <c r="CV54" s="217">
        <f t="shared" si="57"/>
        <v>8.7850467289719631</v>
      </c>
      <c r="CW54" s="172">
        <f t="shared" si="58"/>
        <v>21.400921677132661</v>
      </c>
      <c r="CX54" s="172">
        <f t="shared" si="59"/>
        <v>4</v>
      </c>
      <c r="CY54" s="217">
        <f t="shared" si="60"/>
        <v>2.2310638297872334</v>
      </c>
      <c r="CZ54" s="217">
        <f t="shared" si="61"/>
        <v>1.1155319148936167</v>
      </c>
      <c r="DA54" s="217">
        <f t="shared" si="62"/>
        <v>1.4240832956088725</v>
      </c>
      <c r="DB54" s="197">
        <f t="shared" si="63"/>
        <v>350</v>
      </c>
      <c r="DC54" s="443">
        <f t="shared" si="116"/>
        <v>350</v>
      </c>
      <c r="DE54" s="217">
        <f t="shared" si="64"/>
        <v>2.5100133511348464</v>
      </c>
      <c r="DF54" s="173">
        <f t="shared" si="65"/>
        <v>1.6021361815754336</v>
      </c>
      <c r="DG54" s="173">
        <f t="shared" si="66"/>
        <v>2.8149682442633783</v>
      </c>
      <c r="DH54" s="173"/>
      <c r="DI54" s="173">
        <f t="shared" si="67"/>
        <v>0.85106382978723416</v>
      </c>
      <c r="DJ54" s="545">
        <f t="shared" si="117"/>
        <v>1295.4374999999998</v>
      </c>
      <c r="DK54" s="528">
        <f t="shared" si="68"/>
        <v>0.79432624113475192</v>
      </c>
      <c r="DM54" s="173">
        <f t="shared" si="69"/>
        <v>2.565151067676132</v>
      </c>
      <c r="DN54" s="173">
        <f t="shared" si="70"/>
        <v>2.2310638297872334</v>
      </c>
      <c r="DO54" s="173">
        <f t="shared" si="71"/>
        <v>1.8649855529288146</v>
      </c>
      <c r="DQ54" s="545">
        <f t="shared" si="72"/>
        <v>2940</v>
      </c>
      <c r="DR54" s="460">
        <f t="shared" si="73"/>
        <v>350</v>
      </c>
      <c r="DT54">
        <f t="shared" si="74"/>
        <v>2940</v>
      </c>
      <c r="DU54" s="460">
        <f t="shared" si="75"/>
        <v>350</v>
      </c>
      <c r="DV54" s="460"/>
      <c r="DW54" s="5">
        <f t="shared" si="118"/>
        <v>2.8571428571428572</v>
      </c>
      <c r="DX54" s="5">
        <f t="shared" si="76"/>
        <v>1.1155319148936167</v>
      </c>
      <c r="DY54" s="5">
        <f t="shared" si="119"/>
        <v>1.7416109422492405</v>
      </c>
      <c r="DZ54" s="5">
        <f t="shared" si="77"/>
        <v>1.4240832956088725</v>
      </c>
      <c r="EA54" s="173">
        <f t="shared" si="120"/>
        <v>0.39043617021276583</v>
      </c>
      <c r="EB54" s="173">
        <f t="shared" si="78"/>
        <v>10.453056206428244</v>
      </c>
      <c r="EC54" s="173">
        <f t="shared" si="79"/>
        <v>2.7199516251697595</v>
      </c>
      <c r="ED54" s="173">
        <f t="shared" si="121"/>
        <v>3.8431037190875923</v>
      </c>
      <c r="EE54" s="460">
        <f t="shared" si="80"/>
        <v>81.991595744680822</v>
      </c>
      <c r="EF54" s="5">
        <f t="shared" si="81"/>
        <v>0.71115780141843976</v>
      </c>
      <c r="EG54" s="5"/>
      <c r="EH54" s="173">
        <f t="shared" si="122"/>
        <v>0.80487120454998884</v>
      </c>
      <c r="EI54" s="173">
        <f t="shared" si="82"/>
        <v>4.022730644620145</v>
      </c>
      <c r="EJ54" s="173"/>
      <c r="EK54" s="528">
        <f t="shared" si="83"/>
        <v>7.9033754021477481E-3</v>
      </c>
      <c r="EL54" s="528">
        <f t="shared" si="84"/>
        <v>0.66842672340425513</v>
      </c>
      <c r="EM54" s="528">
        <f t="shared" si="85"/>
        <v>4.3749999999999997E-2</v>
      </c>
      <c r="EN54" s="528">
        <f t="shared" si="86"/>
        <v>6.4114399999999988E-2</v>
      </c>
      <c r="EO54">
        <f t="shared" si="87"/>
        <v>1.0800000000000001E-2</v>
      </c>
      <c r="EP54" s="460">
        <f t="shared" si="123"/>
        <v>54.550000000000004</v>
      </c>
      <c r="EQ54" s="528">
        <f t="shared" si="88"/>
        <v>0.79862810756419367</v>
      </c>
      <c r="ER54" s="460">
        <f t="shared" si="124"/>
        <v>798.62810756419367</v>
      </c>
      <c r="ES54" s="528">
        <f t="shared" si="125"/>
        <v>1.8264749999999998</v>
      </c>
      <c r="ET54" s="528"/>
      <c r="EV54" s="460">
        <f t="shared" si="126"/>
        <v>1826.4749999999999</v>
      </c>
      <c r="EW54" s="528">
        <f t="shared" si="89"/>
        <v>1.9434529677412497E-2</v>
      </c>
      <c r="EX54" s="528">
        <f t="shared" si="90"/>
        <v>0.48547085517498018</v>
      </c>
      <c r="EY54" s="528">
        <f t="shared" si="91"/>
        <v>0.85196176346355335</v>
      </c>
      <c r="EZ54" s="528">
        <f t="shared" si="92"/>
        <v>1.5402592560775019</v>
      </c>
      <c r="FA54" s="528">
        <f t="shared" si="93"/>
        <v>4.3554400860117679E-2</v>
      </c>
      <c r="FB54" s="460">
        <f t="shared" si="127"/>
        <v>1583.8136569376195</v>
      </c>
      <c r="FC54" s="173">
        <f t="shared" si="128"/>
        <v>4.2089167645018133</v>
      </c>
      <c r="FD54" s="5">
        <f t="shared" si="129"/>
        <v>11.76</v>
      </c>
      <c r="FE54" s="173">
        <f t="shared" si="130"/>
        <v>0.73643066548771507</v>
      </c>
      <c r="FF54" s="5">
        <f t="shared" si="131"/>
        <v>73.643066548771515</v>
      </c>
      <c r="FI54" s="562">
        <f t="shared" si="94"/>
        <v>-50</v>
      </c>
      <c r="FJ54">
        <f t="shared" si="95"/>
        <v>-50</v>
      </c>
      <c r="FL54">
        <f t="shared" si="181"/>
        <v>0.57306566405530612</v>
      </c>
    </row>
    <row r="55" spans="5:168">
      <c r="E55" s="170">
        <v>50</v>
      </c>
      <c r="F55" s="217">
        <f t="shared" si="182"/>
        <v>3</v>
      </c>
      <c r="G55" s="217"/>
      <c r="H55" s="217">
        <f t="shared" si="132"/>
        <v>12</v>
      </c>
      <c r="I55" s="541">
        <f t="shared" si="133"/>
        <v>23.945813678171387</v>
      </c>
      <c r="J55" s="172">
        <f t="shared" si="134"/>
        <v>19.416337309898918</v>
      </c>
      <c r="K55" s="172">
        <f t="shared" si="135"/>
        <v>43.416337309898921</v>
      </c>
      <c r="L55" s="443"/>
      <c r="M55" s="217">
        <f t="shared" si="136"/>
        <v>0.44784220600107133</v>
      </c>
      <c r="N55" s="172">
        <f t="shared" si="137"/>
        <v>36.068205121073362</v>
      </c>
      <c r="O55" s="172">
        <f t="shared" si="98"/>
        <v>12</v>
      </c>
      <c r="P55" s="217">
        <f t="shared" si="138"/>
        <v>9.0170512802683405</v>
      </c>
      <c r="Q55" s="217">
        <f t="shared" si="139"/>
        <v>4</v>
      </c>
      <c r="R55" s="217">
        <f t="shared" si="140"/>
        <v>8.9366216851024181</v>
      </c>
      <c r="S55" s="172">
        <f t="shared" si="141"/>
        <v>20.814780111884144</v>
      </c>
      <c r="T55" s="172">
        <f t="shared" si="142"/>
        <v>4</v>
      </c>
      <c r="U55" s="217">
        <f t="shared" si="143"/>
        <v>2.7166147364079594</v>
      </c>
      <c r="V55" s="217">
        <f t="shared" si="11"/>
        <v>1.3613810445127021</v>
      </c>
      <c r="W55" s="217">
        <f t="shared" si="144"/>
        <v>1.6789663424458312</v>
      </c>
      <c r="X55" s="197">
        <f t="shared" si="145"/>
        <v>350</v>
      </c>
      <c r="Y55" s="443">
        <f t="shared" si="14"/>
        <v>308.60888682019475</v>
      </c>
      <c r="AA55" s="217">
        <f t="shared" si="146"/>
        <v>2.5529176116620147</v>
      </c>
      <c r="AB55" s="173">
        <f t="shared" si="147"/>
        <v>1.5777955878591843</v>
      </c>
      <c r="AC55" s="173">
        <f t="shared" si="148"/>
        <v>2.8195875006938333</v>
      </c>
      <c r="AD55" s="173"/>
      <c r="AE55" s="173">
        <f t="shared" si="149"/>
        <v>0.82404831274963564</v>
      </c>
      <c r="AF55" s="545">
        <f t="shared" si="150"/>
        <v>1365.2112171022673</v>
      </c>
      <c r="AG55" s="528">
        <f t="shared" si="151"/>
        <v>0.76911175856632663</v>
      </c>
      <c r="AI55" s="173">
        <f t="shared" si="152"/>
        <v>2.6333260683224848</v>
      </c>
      <c r="AJ55" s="173">
        <f t="shared" si="153"/>
        <v>2.7166147364079594</v>
      </c>
      <c r="AK55" s="173">
        <f t="shared" si="154"/>
        <v>2.2246528911663894</v>
      </c>
      <c r="AM55" s="545">
        <f t="shared" si="155"/>
        <v>3000</v>
      </c>
      <c r="AN55" s="460">
        <f t="shared" si="156"/>
        <v>308.60888682019475</v>
      </c>
      <c r="AP55">
        <f t="shared" si="157"/>
        <v>3000</v>
      </c>
      <c r="AQ55" s="460">
        <f t="shared" si="158"/>
        <v>308.60888682019475</v>
      </c>
      <c r="AR55" s="460"/>
      <c r="AS55" s="5">
        <f t="shared" si="101"/>
        <v>3.240347386958534</v>
      </c>
      <c r="AT55" s="5">
        <f t="shared" si="159"/>
        <v>1.3613810445127021</v>
      </c>
      <c r="AU55" s="5">
        <f t="shared" si="102"/>
        <v>1.8789663424458318</v>
      </c>
      <c r="AV55" s="5">
        <f t="shared" si="160"/>
        <v>1.6789663424458312</v>
      </c>
      <c r="AW55" s="173">
        <f t="shared" si="103"/>
        <v>0.42013428868517899</v>
      </c>
      <c r="AX55" s="173">
        <f t="shared" si="161"/>
        <v>13.665193409394151</v>
      </c>
      <c r="AY55" s="173">
        <f t="shared" si="162"/>
        <v>3.1505434729910529</v>
      </c>
      <c r="AZ55" s="173">
        <f t="shared" si="104"/>
        <v>4.3374083000418757</v>
      </c>
      <c r="BA55" s="460">
        <f t="shared" si="163"/>
        <v>102.10357833845265</v>
      </c>
      <c r="BB55" s="5">
        <f t="shared" si="164"/>
        <v>0.7846742514991949</v>
      </c>
      <c r="BC55" s="5"/>
      <c r="BD55" s="173">
        <f t="shared" si="105"/>
        <v>1.0166266461289486</v>
      </c>
      <c r="BE55" s="173">
        <f t="shared" si="165"/>
        <v>4.777394778585613</v>
      </c>
      <c r="BF55" s="173"/>
      <c r="BG55" s="528">
        <f t="shared" si="166"/>
        <v>1.260906279895661E-2</v>
      </c>
      <c r="BH55" s="528">
        <f t="shared" si="167"/>
        <v>0.68248158097739764</v>
      </c>
      <c r="BI55" s="528">
        <f t="shared" si="168"/>
        <v>0.18474727258060661</v>
      </c>
      <c r="BJ55" s="528">
        <f t="shared" si="169"/>
        <v>5.8172106885620245E-2</v>
      </c>
      <c r="BK55">
        <f t="shared" si="170"/>
        <v>1.0775616155177125E-2</v>
      </c>
      <c r="BL55" s="460">
        <f t="shared" si="106"/>
        <v>195.52288873578374</v>
      </c>
      <c r="BM55" s="528">
        <f t="shared" si="171"/>
        <v>0.75894091882628079</v>
      </c>
      <c r="BN55" s="460">
        <f t="shared" si="107"/>
        <v>758.94091882628084</v>
      </c>
      <c r="BO55" s="528">
        <f t="shared" si="172"/>
        <v>1.8637499999999996</v>
      </c>
      <c r="BP55" s="528"/>
      <c r="BR55" s="460">
        <f t="shared" si="109"/>
        <v>1863.7499999999995</v>
      </c>
      <c r="BS55" s="528">
        <f t="shared" si="173"/>
        <v>3.1005892128581829E-2</v>
      </c>
      <c r="BT55" s="528">
        <f t="shared" si="174"/>
        <v>0.68470502611371231</v>
      </c>
      <c r="BU55" s="528">
        <f t="shared" si="175"/>
        <v>0.18</v>
      </c>
      <c r="BV55" s="528">
        <f t="shared" si="176"/>
        <v>1.1323143161356735</v>
      </c>
      <c r="BW55" s="528">
        <f t="shared" si="177"/>
        <v>5.6938305872475642E-2</v>
      </c>
      <c r="BX55" s="460">
        <f t="shared" si="110"/>
        <v>1189.2526220081493</v>
      </c>
      <c r="BY55" s="173">
        <f t="shared" si="45"/>
        <v>4.0074664295702132</v>
      </c>
      <c r="BZ55" s="5">
        <f t="shared" si="111"/>
        <v>12</v>
      </c>
      <c r="CA55" s="173">
        <f t="shared" si="112"/>
        <v>0.74965017436067727</v>
      </c>
      <c r="CB55" s="5">
        <f t="shared" si="113"/>
        <v>74.965017436067725</v>
      </c>
      <c r="CE55" s="562">
        <f t="shared" si="178"/>
        <v>-50</v>
      </c>
      <c r="CF55">
        <f t="shared" si="179"/>
        <v>-50</v>
      </c>
      <c r="CG55" s="173">
        <f t="shared" si="180"/>
        <v>0.58409574468085113</v>
      </c>
      <c r="CI55" s="170">
        <v>50</v>
      </c>
      <c r="CJ55" s="217">
        <f t="shared" si="114"/>
        <v>3</v>
      </c>
      <c r="CK55" s="217"/>
      <c r="CL55" s="217">
        <f t="shared" si="49"/>
        <v>12</v>
      </c>
      <c r="CM55" s="541">
        <f t="shared" si="50"/>
        <v>24</v>
      </c>
      <c r="CN55" s="172">
        <f t="shared" si="51"/>
        <v>18.8</v>
      </c>
      <c r="CO55" s="443">
        <f t="shared" si="52"/>
        <v>42.8</v>
      </c>
      <c r="CP55" s="443"/>
      <c r="CQ55" s="217">
        <f t="shared" si="53"/>
        <v>0.43925233644859818</v>
      </c>
      <c r="CR55" s="172">
        <f t="shared" si="54"/>
        <v>35.456448598130848</v>
      </c>
      <c r="CS55" s="172">
        <f t="shared" si="115"/>
        <v>12</v>
      </c>
      <c r="CT55" s="217">
        <f t="shared" si="55"/>
        <v>8.864112149532712</v>
      </c>
      <c r="CU55" s="217">
        <f t="shared" si="56"/>
        <v>4</v>
      </c>
      <c r="CV55" s="217">
        <f t="shared" si="57"/>
        <v>8.7850467289719631</v>
      </c>
      <c r="CW55" s="172">
        <f t="shared" si="58"/>
        <v>20.86145868245076</v>
      </c>
      <c r="CX55" s="172">
        <f t="shared" si="59"/>
        <v>4</v>
      </c>
      <c r="CY55" s="217">
        <f t="shared" si="60"/>
        <v>2.2765957446808507</v>
      </c>
      <c r="CZ55" s="217">
        <f t="shared" si="61"/>
        <v>1.1382978723404253</v>
      </c>
      <c r="DA55" s="217">
        <f t="shared" si="62"/>
        <v>1.4531462200090535</v>
      </c>
      <c r="DB55" s="197">
        <f t="shared" si="63"/>
        <v>350</v>
      </c>
      <c r="DC55" s="443">
        <f t="shared" si="116"/>
        <v>350</v>
      </c>
      <c r="DE55" s="217">
        <f t="shared" si="64"/>
        <v>2.5100133511348464</v>
      </c>
      <c r="DF55" s="173">
        <f t="shared" si="65"/>
        <v>1.6021361815754336</v>
      </c>
      <c r="DG55" s="173">
        <f t="shared" si="66"/>
        <v>2.8149682442633783</v>
      </c>
      <c r="DH55" s="173"/>
      <c r="DI55" s="173">
        <f t="shared" si="67"/>
        <v>0.85106382978723416</v>
      </c>
      <c r="DJ55" s="545">
        <f t="shared" si="117"/>
        <v>1321.8749999999998</v>
      </c>
      <c r="DK55" s="528">
        <f t="shared" si="68"/>
        <v>0.79432624113475192</v>
      </c>
      <c r="DM55" s="173">
        <f t="shared" si="69"/>
        <v>2.5911938781738648</v>
      </c>
      <c r="DN55" s="173">
        <f t="shared" si="70"/>
        <v>2.2765957446808507</v>
      </c>
      <c r="DO55" s="173">
        <f t="shared" si="71"/>
        <v>1.8987128972944571</v>
      </c>
      <c r="DQ55" s="545">
        <f t="shared" si="72"/>
        <v>3000</v>
      </c>
      <c r="DR55" s="460">
        <f t="shared" si="73"/>
        <v>350</v>
      </c>
      <c r="DT55">
        <f t="shared" si="74"/>
        <v>3000</v>
      </c>
      <c r="DU55" s="460">
        <f t="shared" si="75"/>
        <v>350</v>
      </c>
      <c r="DV55" s="460"/>
      <c r="DW55" s="5">
        <f t="shared" si="118"/>
        <v>2.8571428571428572</v>
      </c>
      <c r="DX55" s="5">
        <f t="shared" si="76"/>
        <v>1.1382978723404253</v>
      </c>
      <c r="DY55" s="5">
        <f t="shared" si="119"/>
        <v>1.7188449848024319</v>
      </c>
      <c r="DZ55" s="5">
        <f t="shared" si="77"/>
        <v>1.4531462200090535</v>
      </c>
      <c r="EA55" s="173">
        <f t="shared" si="120"/>
        <v>0.39840425531914886</v>
      </c>
      <c r="EB55" s="173">
        <f t="shared" si="78"/>
        <v>10.884065187867808</v>
      </c>
      <c r="EC55" s="173">
        <f t="shared" si="79"/>
        <v>2.7391806247170662</v>
      </c>
      <c r="ED55" s="173">
        <f t="shared" si="121"/>
        <v>3.9734748010610064</v>
      </c>
      <c r="EE55" s="460">
        <f t="shared" si="80"/>
        <v>85.372340425531902</v>
      </c>
      <c r="EF55" s="5">
        <f t="shared" si="81"/>
        <v>0.71618541033434646</v>
      </c>
      <c r="EG55" s="5"/>
      <c r="EH55" s="173">
        <f t="shared" si="122"/>
        <v>0.82963540338058606</v>
      </c>
      <c r="EI55" s="173">
        <f t="shared" si="82"/>
        <v>4.0779102341413731</v>
      </c>
      <c r="EJ55" s="173"/>
      <c r="EK55" s="528">
        <f t="shared" si="83"/>
        <v>8.3971978110181054E-3</v>
      </c>
      <c r="EL55" s="528">
        <f t="shared" si="84"/>
        <v>0.68206808510638284</v>
      </c>
      <c r="EM55" s="528">
        <f t="shared" si="85"/>
        <v>4.3749999999999997E-2</v>
      </c>
      <c r="EN55" s="528">
        <f t="shared" si="86"/>
        <v>6.4114399999999988E-2</v>
      </c>
      <c r="EO55">
        <f t="shared" si="87"/>
        <v>1.0800000000000001E-2</v>
      </c>
      <c r="EP55" s="460">
        <f t="shared" si="123"/>
        <v>54.550000000000004</v>
      </c>
      <c r="EQ55" s="528">
        <f t="shared" si="88"/>
        <v>0.81301904094088684</v>
      </c>
      <c r="ER55" s="460">
        <f t="shared" si="124"/>
        <v>813.01904094088684</v>
      </c>
      <c r="ES55" s="528">
        <f t="shared" si="125"/>
        <v>1.8637499999999996</v>
      </c>
      <c r="ET55" s="528"/>
      <c r="EV55" s="460">
        <f t="shared" si="126"/>
        <v>1863.7499999999995</v>
      </c>
      <c r="EW55" s="528">
        <f t="shared" si="89"/>
        <v>2.064884707627403E-2</v>
      </c>
      <c r="EX55" s="528">
        <f t="shared" si="90"/>
        <v>0.49888055633144845</v>
      </c>
      <c r="EY55" s="528">
        <f t="shared" si="91"/>
        <v>0.89609677553508704</v>
      </c>
      <c r="EZ55" s="528">
        <f t="shared" si="92"/>
        <v>1.6071084430093143</v>
      </c>
      <c r="FA55" s="528">
        <f t="shared" si="93"/>
        <v>4.5350271616115878E-2</v>
      </c>
      <c r="FB55" s="460">
        <f t="shared" si="127"/>
        <v>1652.45871462543</v>
      </c>
      <c r="FC55" s="173">
        <f t="shared" si="128"/>
        <v>4.3292277555663174</v>
      </c>
      <c r="FD55" s="5">
        <f t="shared" si="129"/>
        <v>12</v>
      </c>
      <c r="FE55" s="173">
        <f t="shared" si="130"/>
        <v>0.7348785980347069</v>
      </c>
      <c r="FF55" s="5">
        <f t="shared" si="131"/>
        <v>73.487859803470684</v>
      </c>
      <c r="FI55" s="562">
        <f t="shared" si="94"/>
        <v>-50</v>
      </c>
      <c r="FJ55">
        <f t="shared" si="95"/>
        <v>-50</v>
      </c>
      <c r="FL55">
        <f t="shared" si="181"/>
        <v>0.57888373874096988</v>
      </c>
    </row>
    <row r="56" spans="5:168">
      <c r="E56" s="170">
        <v>51</v>
      </c>
      <c r="F56" s="217">
        <f t="shared" si="182"/>
        <v>3.06</v>
      </c>
      <c r="G56" s="217"/>
      <c r="H56" s="217">
        <f t="shared" si="132"/>
        <v>12.24</v>
      </c>
      <c r="I56" s="541">
        <f t="shared" si="133"/>
        <v>23.943965543984046</v>
      </c>
      <c r="J56" s="172">
        <f t="shared" si="134"/>
        <v>19.437358741413693</v>
      </c>
      <c r="K56" s="172">
        <f t="shared" si="135"/>
        <v>43.437358741413689</v>
      </c>
      <c r="L56" s="443"/>
      <c r="M56" s="217">
        <f t="shared" si="136"/>
        <v>0.44794006784995827</v>
      </c>
      <c r="N56" s="172">
        <f t="shared" si="137"/>
        <v>36.073302347742001</v>
      </c>
      <c r="O56" s="172">
        <f t="shared" si="98"/>
        <v>12.24</v>
      </c>
      <c r="P56" s="217">
        <f t="shared" si="138"/>
        <v>9.0183255869355001</v>
      </c>
      <c r="Q56" s="217">
        <f t="shared" si="139"/>
        <v>4</v>
      </c>
      <c r="R56" s="217">
        <f t="shared" si="140"/>
        <v>8.9378846253077313</v>
      </c>
      <c r="S56" s="172">
        <f t="shared" si="141"/>
        <v>20.29632769620904</v>
      </c>
      <c r="T56" s="172">
        <f t="shared" si="142"/>
        <v>4</v>
      </c>
      <c r="U56" s="217">
        <f t="shared" si="143"/>
        <v>2.7714382278048908</v>
      </c>
      <c r="V56" s="217">
        <f t="shared" si="11"/>
        <v>1.3889620193683674</v>
      </c>
      <c r="W56" s="217">
        <f t="shared" si="144"/>
        <v>1.7109968065156915</v>
      </c>
      <c r="X56" s="197">
        <f t="shared" si="145"/>
        <v>350</v>
      </c>
      <c r="Y56" s="443">
        <f t="shared" si="14"/>
        <v>303.03408398803276</v>
      </c>
      <c r="AA56" s="217">
        <f t="shared" si="146"/>
        <v>2.5543548741577893</v>
      </c>
      <c r="AB56" s="173">
        <f t="shared" si="147"/>
        <v>1.5769765274015886</v>
      </c>
      <c r="AC56" s="173">
        <f t="shared" si="148"/>
        <v>2.8197103754404704</v>
      </c>
      <c r="AD56" s="173"/>
      <c r="AE56" s="173">
        <f t="shared" si="149"/>
        <v>0.8231571075503189</v>
      </c>
      <c r="AF56" s="545">
        <f t="shared" si="150"/>
        <v>1394.023072235763</v>
      </c>
      <c r="AG56" s="528">
        <f t="shared" si="151"/>
        <v>0.76827996704696444</v>
      </c>
      <c r="AI56" s="173">
        <f t="shared" si="152"/>
        <v>2.6609682660534606</v>
      </c>
      <c r="AJ56" s="173">
        <f t="shared" si="153"/>
        <v>2.7714382278048908</v>
      </c>
      <c r="AK56" s="173">
        <f t="shared" si="154"/>
        <v>2.2652628847937462</v>
      </c>
      <c r="AM56" s="545">
        <f t="shared" si="155"/>
        <v>3060</v>
      </c>
      <c r="AN56" s="460">
        <f t="shared" si="156"/>
        <v>303.03408398803276</v>
      </c>
      <c r="AP56">
        <f t="shared" si="157"/>
        <v>3060</v>
      </c>
      <c r="AQ56" s="460">
        <f t="shared" si="158"/>
        <v>303.03408398803276</v>
      </c>
      <c r="AR56" s="460"/>
      <c r="AS56" s="5">
        <f t="shared" si="101"/>
        <v>3.2999588258840595</v>
      </c>
      <c r="AT56" s="5">
        <f t="shared" si="159"/>
        <v>1.3889620193683674</v>
      </c>
      <c r="AU56" s="5">
        <f t="shared" si="102"/>
        <v>1.9109968065156921</v>
      </c>
      <c r="AV56" s="5">
        <f t="shared" si="160"/>
        <v>1.7109968065156915</v>
      </c>
      <c r="AW56" s="173">
        <f t="shared" si="103"/>
        <v>0.42090283323346139</v>
      </c>
      <c r="AX56" s="173">
        <f t="shared" si="161"/>
        <v>13.965392156335058</v>
      </c>
      <c r="AY56" s="173">
        <f t="shared" si="162"/>
        <v>3.2098640511805776</v>
      </c>
      <c r="AZ56" s="173">
        <f t="shared" si="104"/>
        <v>4.3507737192790552</v>
      </c>
      <c r="BA56" s="460">
        <f t="shared" si="163"/>
        <v>106.25559448168012</v>
      </c>
      <c r="BB56" s="5">
        <f t="shared" si="164"/>
        <v>0.81407431825166032</v>
      </c>
      <c r="BC56" s="5"/>
      <c r="BD56" s="173">
        <f t="shared" si="105"/>
        <v>1.0380911780425084</v>
      </c>
      <c r="BE56" s="173">
        <f t="shared" si="165"/>
        <v>4.8705755820022008</v>
      </c>
      <c r="BF56" s="173"/>
      <c r="BG56" s="528">
        <f t="shared" si="166"/>
        <v>1.314712618594213E-2</v>
      </c>
      <c r="BH56" s="528">
        <f t="shared" si="167"/>
        <v>0.68400828739077879</v>
      </c>
      <c r="BI56" s="528">
        <f t="shared" si="168"/>
        <v>0.18139594164155556</v>
      </c>
      <c r="BJ56" s="528">
        <f t="shared" si="169"/>
        <v>5.7176596254190935E-2</v>
      </c>
      <c r="BK56">
        <f t="shared" si="170"/>
        <v>1.077478449479282E-2</v>
      </c>
      <c r="BL56" s="460">
        <f t="shared" si="106"/>
        <v>192.17072613634838</v>
      </c>
      <c r="BM56" s="528">
        <f t="shared" si="171"/>
        <v>0.76025659088689457</v>
      </c>
      <c r="BN56" s="460">
        <f t="shared" si="107"/>
        <v>760.25659088689451</v>
      </c>
      <c r="BO56" s="528">
        <f t="shared" si="172"/>
        <v>1.9010249999999997</v>
      </c>
      <c r="BP56" s="528"/>
      <c r="BR56" s="460">
        <f t="shared" si="109"/>
        <v>1901.0249999999996</v>
      </c>
      <c r="BS56" s="528">
        <f t="shared" si="173"/>
        <v>3.2328998817890482E-2</v>
      </c>
      <c r="BT56" s="528">
        <f t="shared" si="174"/>
        <v>0.7116751949998823</v>
      </c>
      <c r="BU56" s="528">
        <f t="shared" si="175"/>
        <v>0.18359999999999999</v>
      </c>
      <c r="BV56" s="528">
        <f t="shared" si="176"/>
        <v>1.1761713114004446</v>
      </c>
      <c r="BW56" s="528">
        <f t="shared" si="177"/>
        <v>5.8189133984729406E-2</v>
      </c>
      <c r="BX56" s="460">
        <f t="shared" si="110"/>
        <v>1234.360445385174</v>
      </c>
      <c r="BY56" s="173">
        <f t="shared" si="45"/>
        <v>4.0878127624084168</v>
      </c>
      <c r="BZ56" s="5">
        <f t="shared" si="111"/>
        <v>12.24</v>
      </c>
      <c r="CA56" s="173">
        <f t="shared" si="112"/>
        <v>0.74964112940958005</v>
      </c>
      <c r="CB56" s="5">
        <f t="shared" si="113"/>
        <v>74.964112940958003</v>
      </c>
      <c r="CE56" s="562">
        <f t="shared" si="178"/>
        <v>-50</v>
      </c>
      <c r="CF56">
        <f t="shared" si="179"/>
        <v>-50</v>
      </c>
      <c r="CG56" s="173">
        <f t="shared" si="180"/>
        <v>0.57612765957446821</v>
      </c>
      <c r="CI56" s="170">
        <v>51</v>
      </c>
      <c r="CJ56" s="217">
        <f t="shared" si="114"/>
        <v>3.06</v>
      </c>
      <c r="CK56" s="217"/>
      <c r="CL56" s="217">
        <f t="shared" si="49"/>
        <v>12.24</v>
      </c>
      <c r="CM56" s="541">
        <f t="shared" si="50"/>
        <v>24</v>
      </c>
      <c r="CN56" s="172">
        <f t="shared" si="51"/>
        <v>18.8</v>
      </c>
      <c r="CO56" s="443">
        <f t="shared" si="52"/>
        <v>42.8</v>
      </c>
      <c r="CP56" s="443"/>
      <c r="CQ56" s="217">
        <f t="shared" si="53"/>
        <v>0.43925233644859818</v>
      </c>
      <c r="CR56" s="172">
        <f t="shared" si="54"/>
        <v>35.456448598130848</v>
      </c>
      <c r="CS56" s="172">
        <f t="shared" si="115"/>
        <v>12.24</v>
      </c>
      <c r="CT56" s="217">
        <f t="shared" si="55"/>
        <v>8.864112149532712</v>
      </c>
      <c r="CU56" s="217">
        <f t="shared" si="56"/>
        <v>4</v>
      </c>
      <c r="CV56" s="217">
        <f t="shared" si="57"/>
        <v>8.7850467289719631</v>
      </c>
      <c r="CW56" s="172">
        <f t="shared" si="58"/>
        <v>20.343378572035494</v>
      </c>
      <c r="CX56" s="172">
        <f t="shared" si="59"/>
        <v>4</v>
      </c>
      <c r="CY56" s="217">
        <f t="shared" si="60"/>
        <v>2.3221276595744675</v>
      </c>
      <c r="CZ56" s="217">
        <f t="shared" si="61"/>
        <v>1.1610638297872338</v>
      </c>
      <c r="DA56" s="217">
        <f t="shared" si="62"/>
        <v>1.4822091444092347</v>
      </c>
      <c r="DB56" s="197">
        <f t="shared" si="63"/>
        <v>350</v>
      </c>
      <c r="DC56" s="443">
        <f t="shared" si="116"/>
        <v>350</v>
      </c>
      <c r="DE56" s="217">
        <f t="shared" si="64"/>
        <v>2.5100133511348464</v>
      </c>
      <c r="DF56" s="173">
        <f t="shared" si="65"/>
        <v>1.6021361815754336</v>
      </c>
      <c r="DG56" s="173">
        <f t="shared" si="66"/>
        <v>2.8149682442633783</v>
      </c>
      <c r="DH56" s="173"/>
      <c r="DI56" s="173">
        <f t="shared" si="67"/>
        <v>0.85106382978723416</v>
      </c>
      <c r="DJ56" s="545">
        <f t="shared" si="117"/>
        <v>1348.3124999999998</v>
      </c>
      <c r="DK56" s="528">
        <f t="shared" si="68"/>
        <v>0.79432624113475192</v>
      </c>
      <c r="DM56" s="173">
        <f t="shared" si="69"/>
        <v>2.6169775368870534</v>
      </c>
      <c r="DN56" s="173">
        <f t="shared" si="70"/>
        <v>2.3221276595744675</v>
      </c>
      <c r="DO56" s="173">
        <f t="shared" si="71"/>
        <v>1.9324402416600992</v>
      </c>
      <c r="DQ56" s="545">
        <f t="shared" si="72"/>
        <v>3060</v>
      </c>
      <c r="DR56" s="460">
        <f t="shared" si="73"/>
        <v>350</v>
      </c>
      <c r="DT56">
        <f t="shared" si="74"/>
        <v>3060</v>
      </c>
      <c r="DU56" s="460">
        <f t="shared" si="75"/>
        <v>350</v>
      </c>
      <c r="DV56" s="460"/>
      <c r="DW56" s="5">
        <f t="shared" si="118"/>
        <v>2.8571428571428572</v>
      </c>
      <c r="DX56" s="5">
        <f t="shared" si="76"/>
        <v>1.1610638297872338</v>
      </c>
      <c r="DY56" s="5">
        <f t="shared" si="119"/>
        <v>1.6960790273556234</v>
      </c>
      <c r="DZ56" s="5">
        <f t="shared" si="77"/>
        <v>1.4822091444092347</v>
      </c>
      <c r="EA56" s="173">
        <f t="shared" si="120"/>
        <v>0.40637234042553183</v>
      </c>
      <c r="EB56" s="173">
        <f t="shared" si="78"/>
        <v>11.323781421457671</v>
      </c>
      <c r="EC56" s="173">
        <f t="shared" si="79"/>
        <v>2.7569584155726572</v>
      </c>
      <c r="ED56" s="173">
        <f t="shared" si="121"/>
        <v>4.1073457464919976</v>
      </c>
      <c r="EE56" s="460">
        <f t="shared" si="80"/>
        <v>88.821382978723378</v>
      </c>
      <c r="EF56" s="5">
        <f t="shared" si="81"/>
        <v>0.72083358662613983</v>
      </c>
      <c r="EG56" s="5"/>
      <c r="EH56" s="173">
        <f t="shared" si="122"/>
        <v>0.85464849905518869</v>
      </c>
      <c r="EI56" s="173">
        <f t="shared" si="82"/>
        <v>4.1318307138919641</v>
      </c>
      <c r="EJ56" s="173"/>
      <c r="EK56" s="528">
        <f t="shared" si="83"/>
        <v>8.9111734946348987E-3</v>
      </c>
      <c r="EL56" s="528">
        <f t="shared" si="84"/>
        <v>0.69570944680851043</v>
      </c>
      <c r="EM56" s="528">
        <f t="shared" si="85"/>
        <v>4.3749999999999997E-2</v>
      </c>
      <c r="EN56" s="528">
        <f t="shared" si="86"/>
        <v>6.4114399999999988E-2</v>
      </c>
      <c r="EO56">
        <f t="shared" si="87"/>
        <v>1.0800000000000001E-2</v>
      </c>
      <c r="EP56" s="460">
        <f t="shared" si="123"/>
        <v>54.550000000000004</v>
      </c>
      <c r="EQ56" s="528">
        <f t="shared" si="88"/>
        <v>0.82744297787953047</v>
      </c>
      <c r="ER56" s="460">
        <f t="shared" si="124"/>
        <v>827.44297787953042</v>
      </c>
      <c r="ES56" s="528">
        <f t="shared" si="125"/>
        <v>1.9010249999999997</v>
      </c>
      <c r="ET56" s="528"/>
      <c r="EV56" s="460">
        <f t="shared" si="126"/>
        <v>1901.0249999999996</v>
      </c>
      <c r="EW56" s="528">
        <f t="shared" si="89"/>
        <v>2.1912721708118605E-2</v>
      </c>
      <c r="EX56" s="528">
        <f t="shared" si="90"/>
        <v>0.51216075144782935</v>
      </c>
      <c r="EY56" s="528">
        <f t="shared" si="91"/>
        <v>0.94157592156815284</v>
      </c>
      <c r="EZ56" s="528">
        <f t="shared" si="92"/>
        <v>1.675410408758929</v>
      </c>
      <c r="FA56" s="528">
        <f t="shared" si="93"/>
        <v>4.7182422589406955E-2</v>
      </c>
      <c r="FB56" s="460">
        <f t="shared" si="127"/>
        <v>1722.5928313483359</v>
      </c>
      <c r="FC56" s="173">
        <f t="shared" si="128"/>
        <v>4.451060809227867</v>
      </c>
      <c r="FD56" s="5">
        <f t="shared" si="129"/>
        <v>12.24</v>
      </c>
      <c r="FE56" s="173">
        <f t="shared" si="130"/>
        <v>0.73332666748376829</v>
      </c>
      <c r="FF56" s="5">
        <f t="shared" si="131"/>
        <v>73.332666748376823</v>
      </c>
      <c r="FI56" s="562">
        <f t="shared" si="94"/>
        <v>-50</v>
      </c>
      <c r="FJ56">
        <f t="shared" si="95"/>
        <v>-50</v>
      </c>
      <c r="FL56">
        <f t="shared" si="181"/>
        <v>0.58464391781519276</v>
      </c>
    </row>
    <row r="57" spans="5:168">
      <c r="E57" s="170">
        <v>52</v>
      </c>
      <c r="F57" s="217">
        <f t="shared" si="182"/>
        <v>3.12</v>
      </c>
      <c r="G57" s="217"/>
      <c r="H57" s="217">
        <f t="shared" si="132"/>
        <v>12.48</v>
      </c>
      <c r="I57" s="541">
        <f t="shared" si="133"/>
        <v>23.942065571928772</v>
      </c>
      <c r="J57" s="172">
        <f t="shared" si="134"/>
        <v>19.45896979796656</v>
      </c>
      <c r="K57" s="172">
        <f t="shared" si="135"/>
        <v>43.45896979796656</v>
      </c>
      <c r="L57" s="443"/>
      <c r="M57" s="217">
        <f t="shared" si="136"/>
        <v>0.44810227338622893</v>
      </c>
      <c r="N57" s="172">
        <f t="shared" si="137"/>
        <v>36.083501528181792</v>
      </c>
      <c r="O57" s="172">
        <f t="shared" si="98"/>
        <v>12.48</v>
      </c>
      <c r="P57" s="217">
        <f t="shared" si="138"/>
        <v>9.0208753820454479</v>
      </c>
      <c r="Q57" s="217">
        <f t="shared" si="139"/>
        <v>4</v>
      </c>
      <c r="R57" s="217">
        <f t="shared" si="140"/>
        <v>8.9404116769528716</v>
      </c>
      <c r="S57" s="172">
        <f t="shared" si="141"/>
        <v>19.798016752887115</v>
      </c>
      <c r="T57" s="172">
        <f t="shared" si="142"/>
        <v>4</v>
      </c>
      <c r="U57" s="217">
        <f t="shared" si="143"/>
        <v>2.826610664935242</v>
      </c>
      <c r="V57" s="217">
        <f t="shared" si="11"/>
        <v>1.4167252143437501</v>
      </c>
      <c r="W57" s="217">
        <f t="shared" si="144"/>
        <v>1.7431204391286654</v>
      </c>
      <c r="X57" s="197">
        <f t="shared" si="145"/>
        <v>350</v>
      </c>
      <c r="Y57" s="443">
        <f t="shared" si="14"/>
        <v>297.63271981452345</v>
      </c>
      <c r="AA57" s="217">
        <f t="shared" si="146"/>
        <v>2.5558306819096193</v>
      </c>
      <c r="AB57" s="173">
        <f t="shared" si="147"/>
        <v>1.5761352477211001</v>
      </c>
      <c r="AC57" s="173">
        <f t="shared" si="148"/>
        <v>2.819834377475364</v>
      </c>
      <c r="AD57" s="173"/>
      <c r="AE57" s="173">
        <f t="shared" si="149"/>
        <v>0.8222429124522298</v>
      </c>
      <c r="AF57" s="545">
        <f t="shared" si="150"/>
        <v>1422.9371664763044</v>
      </c>
      <c r="AG57" s="528">
        <f t="shared" si="151"/>
        <v>0.76742671828874787</v>
      </c>
      <c r="AI57" s="173">
        <f t="shared" si="152"/>
        <v>2.688422837563027</v>
      </c>
      <c r="AJ57" s="173">
        <f t="shared" si="153"/>
        <v>2.826610664935242</v>
      </c>
      <c r="AK57" s="173">
        <f t="shared" si="154"/>
        <v>2.3061313567421546</v>
      </c>
      <c r="AM57" s="545">
        <f t="shared" si="155"/>
        <v>3120</v>
      </c>
      <c r="AN57" s="460">
        <f t="shared" si="156"/>
        <v>297.63271981452345</v>
      </c>
      <c r="AP57">
        <f t="shared" si="157"/>
        <v>3120</v>
      </c>
      <c r="AQ57" s="460">
        <f t="shared" si="158"/>
        <v>297.63271981452345</v>
      </c>
      <c r="AR57" s="460"/>
      <c r="AS57" s="5">
        <f t="shared" si="101"/>
        <v>3.3598456534724157</v>
      </c>
      <c r="AT57" s="5">
        <f t="shared" si="159"/>
        <v>1.4167252143437501</v>
      </c>
      <c r="AU57" s="5">
        <f t="shared" si="102"/>
        <v>1.9431204391286656</v>
      </c>
      <c r="AV57" s="5">
        <f t="shared" si="160"/>
        <v>1.7431204391286654</v>
      </c>
      <c r="AW57" s="173">
        <f t="shared" si="103"/>
        <v>0.4216637787749441</v>
      </c>
      <c r="AX57" s="173">
        <f t="shared" si="161"/>
        <v>14.268026585450253</v>
      </c>
      <c r="AY57" s="173">
        <f t="shared" si="162"/>
        <v>3.2694626616661808</v>
      </c>
      <c r="AZ57" s="173">
        <f t="shared" si="104"/>
        <v>4.3640279954073531</v>
      </c>
      <c r="BA57" s="460">
        <f t="shared" si="163"/>
        <v>110.50456671881251</v>
      </c>
      <c r="BB57" s="5">
        <f t="shared" si="164"/>
        <v>0.84405635371042587</v>
      </c>
      <c r="BC57" s="5"/>
      <c r="BD57" s="173">
        <f t="shared" si="105"/>
        <v>1.0597136149433735</v>
      </c>
      <c r="BE57" s="173">
        <f t="shared" si="165"/>
        <v>4.9642718238960795</v>
      </c>
      <c r="BF57" s="173"/>
      <c r="BG57" s="528">
        <f t="shared" si="166"/>
        <v>1.3700513937495497E-2</v>
      </c>
      <c r="BH57" s="528">
        <f t="shared" si="167"/>
        <v>0.68553142123735011</v>
      </c>
      <c r="BI57" s="528">
        <f t="shared" si="168"/>
        <v>0.17814855235377061</v>
      </c>
      <c r="BJ57" s="528">
        <f t="shared" si="169"/>
        <v>5.6213357716257233E-2</v>
      </c>
      <c r="BK57">
        <f t="shared" si="170"/>
        <v>1.0773929507367948E-2</v>
      </c>
      <c r="BL57" s="460">
        <f t="shared" si="106"/>
        <v>188.92248186113855</v>
      </c>
      <c r="BM57" s="528">
        <f t="shared" si="171"/>
        <v>0.76162370119952505</v>
      </c>
      <c r="BN57" s="460">
        <f t="shared" si="107"/>
        <v>761.62370119952504</v>
      </c>
      <c r="BO57" s="528">
        <f t="shared" si="172"/>
        <v>1.9382999999999997</v>
      </c>
      <c r="BP57" s="528"/>
      <c r="BR57" s="460">
        <f t="shared" si="109"/>
        <v>1938.2999999999997</v>
      </c>
      <c r="BS57" s="528">
        <f t="shared" si="173"/>
        <v>3.3689788370890567E-2</v>
      </c>
      <c r="BT57" s="528">
        <f t="shared" si="174"/>
        <v>0.73931984224585523</v>
      </c>
      <c r="BU57" s="528">
        <f t="shared" si="175"/>
        <v>0.18720000000000001</v>
      </c>
      <c r="BV57" s="528">
        <f t="shared" si="176"/>
        <v>1.2212553113329421</v>
      </c>
      <c r="BW57" s="528">
        <f t="shared" si="177"/>
        <v>5.945011077270939E-2</v>
      </c>
      <c r="BX57" s="460">
        <f t="shared" si="110"/>
        <v>1280.7054221056515</v>
      </c>
      <c r="BY57" s="173">
        <f t="shared" si="45"/>
        <v>4.1695516051663146</v>
      </c>
      <c r="BZ57" s="5">
        <f t="shared" si="111"/>
        <v>12.48</v>
      </c>
      <c r="CA57" s="173">
        <f t="shared" si="112"/>
        <v>0.74956973592775233</v>
      </c>
      <c r="CB57" s="5">
        <f t="shared" si="113"/>
        <v>74.956973592775228</v>
      </c>
      <c r="CE57" s="562">
        <f t="shared" si="178"/>
        <v>-50</v>
      </c>
      <c r="CF57">
        <f t="shared" si="179"/>
        <v>-50</v>
      </c>
      <c r="CG57" s="173">
        <f t="shared" si="180"/>
        <v>0.56815957446808518</v>
      </c>
      <c r="CI57" s="170">
        <v>52</v>
      </c>
      <c r="CJ57" s="217">
        <f t="shared" si="114"/>
        <v>3.12</v>
      </c>
      <c r="CK57" s="217"/>
      <c r="CL57" s="217">
        <f t="shared" si="49"/>
        <v>12.48</v>
      </c>
      <c r="CM57" s="541">
        <f t="shared" si="50"/>
        <v>24</v>
      </c>
      <c r="CN57" s="172">
        <f t="shared" si="51"/>
        <v>18.8</v>
      </c>
      <c r="CO57" s="443">
        <f t="shared" si="52"/>
        <v>42.8</v>
      </c>
      <c r="CP57" s="443"/>
      <c r="CQ57" s="217">
        <f t="shared" si="53"/>
        <v>0.43925233644859818</v>
      </c>
      <c r="CR57" s="172">
        <f t="shared" si="54"/>
        <v>35.456448598130848</v>
      </c>
      <c r="CS57" s="172">
        <f t="shared" si="115"/>
        <v>12.48</v>
      </c>
      <c r="CT57" s="217">
        <f t="shared" si="55"/>
        <v>8.864112149532712</v>
      </c>
      <c r="CU57" s="217">
        <f t="shared" si="56"/>
        <v>4</v>
      </c>
      <c r="CV57" s="217">
        <f t="shared" si="57"/>
        <v>8.7850467289719631</v>
      </c>
      <c r="CW57" s="172">
        <f t="shared" si="58"/>
        <v>19.84545046043219</v>
      </c>
      <c r="CX57" s="172">
        <f t="shared" si="59"/>
        <v>4</v>
      </c>
      <c r="CY57" s="217">
        <f t="shared" si="60"/>
        <v>2.3676595744680848</v>
      </c>
      <c r="CZ57" s="217">
        <f t="shared" si="61"/>
        <v>1.1838297872340424</v>
      </c>
      <c r="DA57" s="217">
        <f t="shared" si="62"/>
        <v>1.5112720688094157</v>
      </c>
      <c r="DB57" s="197">
        <f t="shared" si="63"/>
        <v>350</v>
      </c>
      <c r="DC57" s="443">
        <f t="shared" si="116"/>
        <v>350</v>
      </c>
      <c r="DE57" s="217">
        <f t="shared" si="64"/>
        <v>2.5100133511348464</v>
      </c>
      <c r="DF57" s="173">
        <f t="shared" si="65"/>
        <v>1.6021361815754336</v>
      </c>
      <c r="DG57" s="173">
        <f t="shared" si="66"/>
        <v>2.8149682442633783</v>
      </c>
      <c r="DH57" s="173"/>
      <c r="DI57" s="173">
        <f t="shared" si="67"/>
        <v>0.85106382978723416</v>
      </c>
      <c r="DJ57" s="545">
        <f t="shared" si="117"/>
        <v>1374.7499999999998</v>
      </c>
      <c r="DK57" s="528">
        <f t="shared" si="68"/>
        <v>0.79432624113475192</v>
      </c>
      <c r="DM57" s="173">
        <f t="shared" si="69"/>
        <v>2.6425096296621406</v>
      </c>
      <c r="DN57" s="173">
        <f t="shared" si="70"/>
        <v>2.3676595744680848</v>
      </c>
      <c r="DO57" s="173">
        <f t="shared" si="71"/>
        <v>1.9661675860257417</v>
      </c>
      <c r="DQ57" s="545">
        <f t="shared" si="72"/>
        <v>3120</v>
      </c>
      <c r="DR57" s="460">
        <f t="shared" si="73"/>
        <v>350</v>
      </c>
      <c r="DT57">
        <f t="shared" si="74"/>
        <v>3120</v>
      </c>
      <c r="DU57" s="460">
        <f t="shared" si="75"/>
        <v>350</v>
      </c>
      <c r="DV57" s="460"/>
      <c r="DW57" s="5">
        <f t="shared" si="118"/>
        <v>2.8571428571428572</v>
      </c>
      <c r="DX57" s="5">
        <f t="shared" si="76"/>
        <v>1.1838297872340424</v>
      </c>
      <c r="DY57" s="5">
        <f t="shared" si="119"/>
        <v>1.6733130699088148</v>
      </c>
      <c r="DZ57" s="5">
        <f t="shared" si="77"/>
        <v>1.5112720688094157</v>
      </c>
      <c r="EA57" s="173">
        <f t="shared" si="120"/>
        <v>0.41434042553191486</v>
      </c>
      <c r="EB57" s="173">
        <f t="shared" si="78"/>
        <v>11.772204907197825</v>
      </c>
      <c r="EC57" s="173">
        <f t="shared" si="79"/>
        <v>2.7732849977365324</v>
      </c>
      <c r="ED57" s="173">
        <f t="shared" si="121"/>
        <v>4.2448594056528366</v>
      </c>
      <c r="EE57" s="460">
        <f t="shared" si="80"/>
        <v>92.338723404255305</v>
      </c>
      <c r="EF57" s="5">
        <f t="shared" si="81"/>
        <v>0.72510233029381965</v>
      </c>
      <c r="EG57" s="5"/>
      <c r="EH57" s="173">
        <f t="shared" si="122"/>
        <v>0.87990803908904625</v>
      </c>
      <c r="EI57" s="173">
        <f t="shared" si="82"/>
        <v>4.184477594672833</v>
      </c>
      <c r="EJ57" s="173"/>
      <c r="EK57" s="528">
        <f t="shared" si="83"/>
        <v>9.4457055184930718E-3</v>
      </c>
      <c r="EL57" s="528">
        <f t="shared" si="84"/>
        <v>0.70935080851063814</v>
      </c>
      <c r="EM57" s="528">
        <f t="shared" si="85"/>
        <v>4.3749999999999997E-2</v>
      </c>
      <c r="EN57" s="528">
        <f t="shared" si="86"/>
        <v>6.4114399999999988E-2</v>
      </c>
      <c r="EO57">
        <f t="shared" si="87"/>
        <v>1.0800000000000001E-2</v>
      </c>
      <c r="EP57" s="460">
        <f t="shared" si="123"/>
        <v>54.550000000000004</v>
      </c>
      <c r="EQ57" s="528">
        <f t="shared" si="88"/>
        <v>0.84190073202150217</v>
      </c>
      <c r="ER57" s="460">
        <f t="shared" si="124"/>
        <v>841.90073202150222</v>
      </c>
      <c r="ES57" s="528">
        <f t="shared" si="125"/>
        <v>1.9382999999999997</v>
      </c>
      <c r="ET57" s="528"/>
      <c r="EV57" s="460">
        <f t="shared" si="126"/>
        <v>1938.2999999999997</v>
      </c>
      <c r="EW57" s="528">
        <f t="shared" si="89"/>
        <v>2.3227144717605914E-2</v>
      </c>
      <c r="EX57" s="528">
        <f t="shared" si="90"/>
        <v>0.52529558220956807</v>
      </c>
      <c r="EY57" s="528">
        <f t="shared" si="91"/>
        <v>0.9884125767987787</v>
      </c>
      <c r="EZ57" s="528">
        <f t="shared" si="92"/>
        <v>1.7451616231868006</v>
      </c>
      <c r="FA57" s="528">
        <f t="shared" si="93"/>
        <v>4.9050853779990938E-2</v>
      </c>
      <c r="FB57" s="460">
        <f t="shared" si="127"/>
        <v>1794.2124769667914</v>
      </c>
      <c r="FC57" s="173">
        <f t="shared" si="128"/>
        <v>4.5744132089882932</v>
      </c>
      <c r="FD57" s="5">
        <f t="shared" si="129"/>
        <v>12.48</v>
      </c>
      <c r="FE57" s="173">
        <f t="shared" si="130"/>
        <v>0.73177539719880769</v>
      </c>
      <c r="FF57" s="5">
        <f t="shared" si="131"/>
        <v>73.17753971988077</v>
      </c>
      <c r="FI57" s="562">
        <f t="shared" si="94"/>
        <v>-50</v>
      </c>
      <c r="FJ57">
        <f t="shared" si="95"/>
        <v>-50</v>
      </c>
      <c r="FL57">
        <f t="shared" si="181"/>
        <v>0.58565957446808514</v>
      </c>
    </row>
    <row r="58" spans="5:168">
      <c r="E58" s="170">
        <v>53</v>
      </c>
      <c r="F58" s="217">
        <f t="shared" si="182"/>
        <v>3.18</v>
      </c>
      <c r="G58" s="217"/>
      <c r="H58" s="217">
        <f t="shared" si="132"/>
        <v>12.72</v>
      </c>
      <c r="I58" s="541">
        <f t="shared" si="133"/>
        <v>23.940111550001898</v>
      </c>
      <c r="J58" s="172">
        <f t="shared" si="134"/>
        <v>19.481195639788826</v>
      </c>
      <c r="K58" s="172">
        <f t="shared" si="135"/>
        <v>43.481195639788822</v>
      </c>
      <c r="L58" s="443"/>
      <c r="M58" s="217">
        <f t="shared" si="136"/>
        <v>0.44839306420430608</v>
      </c>
      <c r="N58" s="172">
        <f t="shared" si="137"/>
        <v>36.103970650253117</v>
      </c>
      <c r="O58" s="172">
        <f t="shared" si="98"/>
        <v>12.72</v>
      </c>
      <c r="P58" s="217">
        <f t="shared" si="138"/>
        <v>9.0259926625632794</v>
      </c>
      <c r="Q58" s="217">
        <f t="shared" si="139"/>
        <v>4</v>
      </c>
      <c r="R58" s="217">
        <f t="shared" si="140"/>
        <v>8.9454833127485429</v>
      </c>
      <c r="S58" s="172">
        <f t="shared" si="141"/>
        <v>19.318708870116875</v>
      </c>
      <c r="T58" s="172">
        <f t="shared" si="142"/>
        <v>4</v>
      </c>
      <c r="U58" s="217">
        <f t="shared" si="143"/>
        <v>2.8824873235258046</v>
      </c>
      <c r="V58" s="217">
        <f t="shared" si="11"/>
        <v>1.4448490688969622</v>
      </c>
      <c r="W58" s="217">
        <f t="shared" si="144"/>
        <v>1.7755505628033725</v>
      </c>
      <c r="X58" s="197">
        <f t="shared" si="145"/>
        <v>350</v>
      </c>
      <c r="Y58" s="443">
        <f t="shared" si="14"/>
        <v>292.36349774218758</v>
      </c>
      <c r="AA58" s="217">
        <f t="shared" si="146"/>
        <v>2.5573466057280099</v>
      </c>
      <c r="AB58" s="173">
        <f t="shared" si="147"/>
        <v>1.5752708322510731</v>
      </c>
      <c r="AC58" s="173">
        <f t="shared" si="148"/>
        <v>2.8199594611717336</v>
      </c>
      <c r="AD58" s="173"/>
      <c r="AE58" s="173">
        <f t="shared" si="149"/>
        <v>0.82130482624594392</v>
      </c>
      <c r="AF58" s="545">
        <f t="shared" si="150"/>
        <v>1451.9578625280105</v>
      </c>
      <c r="AG58" s="528">
        <f t="shared" si="151"/>
        <v>0.76655117116288118</v>
      </c>
      <c r="AI58" s="173">
        <f t="shared" si="152"/>
        <v>2.7156995532706381</v>
      </c>
      <c r="AJ58" s="173">
        <f t="shared" si="153"/>
        <v>2.8824873235258046</v>
      </c>
      <c r="AK58" s="173">
        <f t="shared" si="154"/>
        <v>2.347521474216645</v>
      </c>
      <c r="AM58" s="545">
        <f t="shared" si="155"/>
        <v>3180</v>
      </c>
      <c r="AN58" s="460">
        <f t="shared" si="156"/>
        <v>292.36349774218758</v>
      </c>
      <c r="AP58">
        <f t="shared" si="157"/>
        <v>3180</v>
      </c>
      <c r="AQ58" s="460">
        <f t="shared" si="158"/>
        <v>292.36349774218758</v>
      </c>
      <c r="AR58" s="460"/>
      <c r="AS58" s="5">
        <f t="shared" si="101"/>
        <v>3.4203996317003345</v>
      </c>
      <c r="AT58" s="5">
        <f t="shared" si="159"/>
        <v>1.4448490688969622</v>
      </c>
      <c r="AU58" s="5">
        <f t="shared" si="102"/>
        <v>1.9755505628033723</v>
      </c>
      <c r="AV58" s="5">
        <f t="shared" si="160"/>
        <v>1.7755505628033725</v>
      </c>
      <c r="AW58" s="173">
        <f t="shared" si="103"/>
        <v>0.42242112749225885</v>
      </c>
      <c r="AX58" s="173">
        <f t="shared" si="161"/>
        <v>14.575021748829778</v>
      </c>
      <c r="AY58" s="173">
        <f t="shared" si="162"/>
        <v>3.329727556679781</v>
      </c>
      <c r="AZ58" s="173">
        <f t="shared" si="104"/>
        <v>4.3772415312450299</v>
      </c>
      <c r="BA58" s="460">
        <f t="shared" si="163"/>
        <v>114.8655009773085</v>
      </c>
      <c r="BB58" s="5">
        <f t="shared" si="164"/>
        <v>0.87471756019090419</v>
      </c>
      <c r="BC58" s="5"/>
      <c r="BD58" s="173">
        <f t="shared" si="105"/>
        <v>1.081632166962649</v>
      </c>
      <c r="BE58" s="173">
        <f t="shared" si="165"/>
        <v>5.0590901613956945</v>
      </c>
      <c r="BF58" s="173"/>
      <c r="BG58" s="528">
        <f t="shared" si="166"/>
        <v>1.427312336422145E-2</v>
      </c>
      <c r="BH58" s="528">
        <f t="shared" si="167"/>
        <v>0.68705784816326021</v>
      </c>
      <c r="BI58" s="528">
        <f t="shared" si="168"/>
        <v>0.17498036872741746</v>
      </c>
      <c r="BJ58" s="528">
        <f t="shared" si="169"/>
        <v>5.5274663134194525E-2</v>
      </c>
      <c r="BK58">
        <f t="shared" si="170"/>
        <v>1.0773050197500854E-2</v>
      </c>
      <c r="BL58" s="460">
        <f t="shared" si="106"/>
        <v>185.75341892491832</v>
      </c>
      <c r="BM58" s="528">
        <f t="shared" si="171"/>
        <v>0.76304709509026991</v>
      </c>
      <c r="BN58" s="460">
        <f t="shared" si="107"/>
        <v>763.04709509026986</v>
      </c>
      <c r="BO58" s="528">
        <f t="shared" si="172"/>
        <v>1.9755749999999999</v>
      </c>
      <c r="BP58" s="528"/>
      <c r="BR58" s="460">
        <f t="shared" si="109"/>
        <v>1975.5749999999998</v>
      </c>
      <c r="BS58" s="528">
        <f t="shared" si="173"/>
        <v>3.5097844338249466E-2</v>
      </c>
      <c r="BT58" s="528">
        <f t="shared" si="174"/>
        <v>0.76783179783392141</v>
      </c>
      <c r="BU58" s="528">
        <f t="shared" si="175"/>
        <v>0.1908</v>
      </c>
      <c r="BV58" s="528">
        <f t="shared" si="176"/>
        <v>1.2678738350705012</v>
      </c>
      <c r="BW58" s="528">
        <f t="shared" si="177"/>
        <v>6.0729257286790746E-2</v>
      </c>
      <c r="BX58" s="460">
        <f t="shared" si="110"/>
        <v>1328.6030923572921</v>
      </c>
      <c r="BY58" s="173">
        <f t="shared" si="45"/>
        <v>4.252978606372479</v>
      </c>
      <c r="BZ58" s="5">
        <f t="shared" si="111"/>
        <v>12.72</v>
      </c>
      <c r="CA58" s="173">
        <f t="shared" si="112"/>
        <v>0.74942650285461954</v>
      </c>
      <c r="CB58" s="5">
        <f t="shared" si="113"/>
        <v>74.942650285461951</v>
      </c>
      <c r="CE58" s="562">
        <f t="shared" si="178"/>
        <v>-50</v>
      </c>
      <c r="CF58">
        <f t="shared" si="179"/>
        <v>-50</v>
      </c>
      <c r="CG58" s="173">
        <f t="shared" si="180"/>
        <v>0.56019148936170227</v>
      </c>
      <c r="CI58" s="170">
        <v>53</v>
      </c>
      <c r="CJ58" s="217">
        <f t="shared" si="114"/>
        <v>3.18</v>
      </c>
      <c r="CK58" s="217"/>
      <c r="CL58" s="217">
        <f t="shared" si="49"/>
        <v>12.72</v>
      </c>
      <c r="CM58" s="541">
        <f t="shared" si="50"/>
        <v>24</v>
      </c>
      <c r="CN58" s="172">
        <f t="shared" si="51"/>
        <v>18.8</v>
      </c>
      <c r="CO58" s="443">
        <f t="shared" si="52"/>
        <v>42.8</v>
      </c>
      <c r="CP58" s="443"/>
      <c r="CQ58" s="217">
        <f t="shared" si="53"/>
        <v>0.43925233644859818</v>
      </c>
      <c r="CR58" s="172">
        <f t="shared" si="54"/>
        <v>35.456448598130848</v>
      </c>
      <c r="CS58" s="172">
        <f t="shared" si="115"/>
        <v>12.72</v>
      </c>
      <c r="CT58" s="217">
        <f t="shared" si="55"/>
        <v>8.864112149532712</v>
      </c>
      <c r="CU58" s="217">
        <f t="shared" si="56"/>
        <v>4</v>
      </c>
      <c r="CV58" s="217">
        <f t="shared" si="57"/>
        <v>8.7850467289719631</v>
      </c>
      <c r="CW58" s="172">
        <f t="shared" si="58"/>
        <v>19.366536388835904</v>
      </c>
      <c r="CX58" s="172">
        <f t="shared" si="59"/>
        <v>4</v>
      </c>
      <c r="CY58" s="217">
        <f t="shared" si="60"/>
        <v>2.4131914893617017</v>
      </c>
      <c r="CZ58" s="217">
        <f t="shared" si="61"/>
        <v>1.2065957446808508</v>
      </c>
      <c r="DA58" s="217">
        <f t="shared" si="62"/>
        <v>1.5403349932095967</v>
      </c>
      <c r="DB58" s="197">
        <f t="shared" si="63"/>
        <v>350</v>
      </c>
      <c r="DC58" s="443">
        <f t="shared" si="116"/>
        <v>350</v>
      </c>
      <c r="DE58" s="217">
        <f t="shared" si="64"/>
        <v>2.5100133511348464</v>
      </c>
      <c r="DF58" s="173">
        <f t="shared" si="65"/>
        <v>1.6021361815754336</v>
      </c>
      <c r="DG58" s="173">
        <f t="shared" si="66"/>
        <v>2.8149682442633783</v>
      </c>
      <c r="DH58" s="173"/>
      <c r="DI58" s="173">
        <f t="shared" si="67"/>
        <v>0.85106382978723416</v>
      </c>
      <c r="DJ58" s="545">
        <f t="shared" si="117"/>
        <v>1401.1874999999998</v>
      </c>
      <c r="DK58" s="528">
        <f t="shared" si="68"/>
        <v>0.79432624113475192</v>
      </c>
      <c r="DM58" s="173">
        <f t="shared" si="69"/>
        <v>2.667797379326784</v>
      </c>
      <c r="DN58" s="173">
        <f t="shared" si="70"/>
        <v>2.4131914893617017</v>
      </c>
      <c r="DO58" s="173">
        <f t="shared" si="71"/>
        <v>1.9998949303913838</v>
      </c>
      <c r="DQ58" s="545">
        <f t="shared" si="72"/>
        <v>3180</v>
      </c>
      <c r="DR58" s="460">
        <f t="shared" si="73"/>
        <v>350</v>
      </c>
      <c r="DT58">
        <f t="shared" si="74"/>
        <v>3180</v>
      </c>
      <c r="DU58" s="460">
        <f t="shared" si="75"/>
        <v>350</v>
      </c>
      <c r="DV58" s="460"/>
      <c r="DW58" s="5">
        <f t="shared" si="118"/>
        <v>2.8571428571428572</v>
      </c>
      <c r="DX58" s="5">
        <f t="shared" si="76"/>
        <v>1.2065957446808508</v>
      </c>
      <c r="DY58" s="5">
        <f t="shared" si="119"/>
        <v>1.6505471124620064</v>
      </c>
      <c r="DZ58" s="5">
        <f t="shared" si="77"/>
        <v>1.5403349932095967</v>
      </c>
      <c r="EA58" s="173">
        <f t="shared" si="120"/>
        <v>0.42230851063829777</v>
      </c>
      <c r="EB58" s="173">
        <f t="shared" si="78"/>
        <v>12.229335645088272</v>
      </c>
      <c r="EC58" s="173">
        <f t="shared" si="79"/>
        <v>2.7881603712086918</v>
      </c>
      <c r="ED58" s="173">
        <f t="shared" si="121"/>
        <v>4.38616651013756</v>
      </c>
      <c r="EE58" s="460">
        <f t="shared" si="80"/>
        <v>95.924361702127641</v>
      </c>
      <c r="EF58" s="5">
        <f t="shared" si="81"/>
        <v>0.72899164133738614</v>
      </c>
      <c r="EG58" s="5"/>
      <c r="EH58" s="173">
        <f t="shared" si="122"/>
        <v>0.90541164209795744</v>
      </c>
      <c r="EI58" s="173">
        <f t="shared" si="82"/>
        <v>4.2358359674807611</v>
      </c>
      <c r="EJ58" s="173"/>
      <c r="EK58" s="528">
        <f t="shared" si="83"/>
        <v>1.0001196948087541E-2</v>
      </c>
      <c r="EL58" s="528">
        <f t="shared" si="84"/>
        <v>0.72299217021276585</v>
      </c>
      <c r="EM58" s="528">
        <f t="shared" si="85"/>
        <v>4.3749999999999997E-2</v>
      </c>
      <c r="EN58" s="528">
        <f t="shared" si="86"/>
        <v>6.4114399999999988E-2</v>
      </c>
      <c r="EO58">
        <f t="shared" si="87"/>
        <v>1.0800000000000001E-2</v>
      </c>
      <c r="EP58" s="460">
        <f t="shared" si="123"/>
        <v>54.550000000000004</v>
      </c>
      <c r="EQ58" s="528">
        <f t="shared" si="88"/>
        <v>0.85639312395315714</v>
      </c>
      <c r="ER58" s="460">
        <f t="shared" si="124"/>
        <v>856.3931239531571</v>
      </c>
      <c r="ES58" s="528">
        <f t="shared" si="125"/>
        <v>1.9755749999999999</v>
      </c>
      <c r="ET58" s="528"/>
      <c r="EV58" s="460">
        <f t="shared" si="126"/>
        <v>1975.5749999999998</v>
      </c>
      <c r="EW58" s="528">
        <f t="shared" si="89"/>
        <v>2.4593107249395594E-2</v>
      </c>
      <c r="EX58" s="528">
        <f t="shared" si="90"/>
        <v>0.53826919030211029</v>
      </c>
      <c r="EY58" s="528">
        <f t="shared" si="91"/>
        <v>1.0366199859510326</v>
      </c>
      <c r="EZ58" s="528">
        <f t="shared" si="92"/>
        <v>1.8163579894021751</v>
      </c>
      <c r="FA58" s="528">
        <f t="shared" si="93"/>
        <v>5.0955565187867799E-2</v>
      </c>
      <c r="FB58" s="460">
        <f t="shared" si="127"/>
        <v>1867.3135545900427</v>
      </c>
      <c r="FC58" s="173">
        <f t="shared" si="128"/>
        <v>4.6992816785432003</v>
      </c>
      <c r="FD58" s="5">
        <f t="shared" si="129"/>
        <v>12.72</v>
      </c>
      <c r="FE58" s="173">
        <f t="shared" si="130"/>
        <v>0.73022528912132456</v>
      </c>
      <c r="FF58" s="5">
        <f t="shared" si="131"/>
        <v>73.022528912132458</v>
      </c>
      <c r="FI58" s="562">
        <f t="shared" si="94"/>
        <v>-50</v>
      </c>
      <c r="FJ58">
        <f t="shared" si="95"/>
        <v>-50</v>
      </c>
      <c r="FL58">
        <f t="shared" si="181"/>
        <v>0.57769148936170223</v>
      </c>
    </row>
    <row r="59" spans="5:168">
      <c r="E59" s="170">
        <v>54</v>
      </c>
      <c r="F59" s="217">
        <f t="shared" si="182"/>
        <v>3.24</v>
      </c>
      <c r="G59" s="217"/>
      <c r="H59" s="217">
        <f t="shared" si="132"/>
        <v>12.96</v>
      </c>
      <c r="I59" s="541">
        <f t="shared" si="133"/>
        <v>23.93810113853089</v>
      </c>
      <c r="J59" s="172">
        <f t="shared" si="134"/>
        <v>19.50406287926949</v>
      </c>
      <c r="K59" s="172">
        <f t="shared" si="135"/>
        <v>43.50406287926949</v>
      </c>
      <c r="L59" s="443"/>
      <c r="M59" s="217">
        <f t="shared" si="136"/>
        <v>0.44869173702329396</v>
      </c>
      <c r="N59" s="172">
        <f t="shared" si="137"/>
        <v>36.124985448382319</v>
      </c>
      <c r="O59" s="172">
        <f t="shared" si="98"/>
        <v>12.96</v>
      </c>
      <c r="P59" s="217">
        <f t="shared" si="138"/>
        <v>9.0312463620955796</v>
      </c>
      <c r="Q59" s="217">
        <f t="shared" si="139"/>
        <v>4</v>
      </c>
      <c r="R59" s="217">
        <f t="shared" si="140"/>
        <v>8.9506901507389305</v>
      </c>
      <c r="S59" s="172">
        <f t="shared" si="141"/>
        <v>18.85734993215409</v>
      </c>
      <c r="T59" s="172">
        <f t="shared" si="142"/>
        <v>4</v>
      </c>
      <c r="U59" s="217">
        <f t="shared" si="143"/>
        <v>2.9384649365729691</v>
      </c>
      <c r="V59" s="217">
        <f t="shared" si="11"/>
        <v>1.4730315923896908</v>
      </c>
      <c r="W59" s="217">
        <f t="shared" si="144"/>
        <v>1.8079094318525044</v>
      </c>
      <c r="X59" s="197">
        <f t="shared" si="145"/>
        <v>350</v>
      </c>
      <c r="Y59" s="443">
        <f t="shared" si="14"/>
        <v>287.27863903344956</v>
      </c>
      <c r="AA59" s="217">
        <f t="shared" si="146"/>
        <v>2.5589043028999114</v>
      </c>
      <c r="AB59" s="173">
        <f t="shared" si="147"/>
        <v>1.5743823133095354</v>
      </c>
      <c r="AC59" s="173">
        <f t="shared" si="148"/>
        <v>2.8200855731561005</v>
      </c>
      <c r="AD59" s="173"/>
      <c r="AE59" s="173">
        <f t="shared" si="149"/>
        <v>0.82034189999490359</v>
      </c>
      <c r="AF59" s="545">
        <f t="shared" si="150"/>
        <v>1481.0897748945265</v>
      </c>
      <c r="AG59" s="528">
        <f t="shared" si="151"/>
        <v>0.76565243999524335</v>
      </c>
      <c r="AI59" s="173">
        <f t="shared" si="152"/>
        <v>2.7428079921868296</v>
      </c>
      <c r="AJ59" s="173">
        <f t="shared" si="153"/>
        <v>2.9384649365729691</v>
      </c>
      <c r="AK59" s="173">
        <f t="shared" si="154"/>
        <v>2.3889863727701002</v>
      </c>
      <c r="AM59" s="545">
        <f t="shared" si="155"/>
        <v>3240</v>
      </c>
      <c r="AN59" s="460">
        <f t="shared" si="156"/>
        <v>287.27863903344956</v>
      </c>
      <c r="AP59">
        <f t="shared" si="157"/>
        <v>3240</v>
      </c>
      <c r="AQ59" s="460">
        <f t="shared" si="158"/>
        <v>287.27863903344956</v>
      </c>
      <c r="AR59" s="460"/>
      <c r="AS59" s="5">
        <f t="shared" si="101"/>
        <v>3.4809410242421959</v>
      </c>
      <c r="AT59" s="5">
        <f t="shared" si="159"/>
        <v>1.4730315923896908</v>
      </c>
      <c r="AU59" s="5">
        <f t="shared" si="102"/>
        <v>2.007909431852505</v>
      </c>
      <c r="AV59" s="5">
        <f t="shared" si="160"/>
        <v>1.8079094318525044</v>
      </c>
      <c r="AW59" s="173">
        <f t="shared" si="103"/>
        <v>0.42317051111498538</v>
      </c>
      <c r="AX59" s="173">
        <f t="shared" si="161"/>
        <v>14.883175767705296</v>
      </c>
      <c r="AY59" s="173">
        <f t="shared" si="162"/>
        <v>3.3899864549398453</v>
      </c>
      <c r="AZ59" s="173">
        <f t="shared" si="104"/>
        <v>4.3903348775974376</v>
      </c>
      <c r="BA59" s="460">
        <f t="shared" si="163"/>
        <v>119.31555898356497</v>
      </c>
      <c r="BB59" s="5">
        <f t="shared" si="164"/>
        <v>0.90589565724167176</v>
      </c>
      <c r="BC59" s="5"/>
      <c r="BD59" s="173">
        <f t="shared" si="105"/>
        <v>1.1036149716303185</v>
      </c>
      <c r="BE59" s="173">
        <f t="shared" si="165"/>
        <v>5.1539903850118662</v>
      </c>
      <c r="BF59" s="173"/>
      <c r="BG59" s="528">
        <f t="shared" si="166"/>
        <v>1.4859185268400382E-2</v>
      </c>
      <c r="BH59" s="528">
        <f t="shared" si="167"/>
        <v>0.68858084537479125</v>
      </c>
      <c r="BI59" s="528">
        <f t="shared" si="168"/>
        <v>0.1719226279030556</v>
      </c>
      <c r="BJ59" s="528">
        <f t="shared" si="169"/>
        <v>5.4370455397630732E-2</v>
      </c>
      <c r="BK59">
        <f t="shared" si="170"/>
        <v>1.0772145512338901E-2</v>
      </c>
      <c r="BL59" s="460">
        <f t="shared" si="106"/>
        <v>182.69477341539451</v>
      </c>
      <c r="BM59" s="528">
        <f t="shared" si="171"/>
        <v>0.7645216421517409</v>
      </c>
      <c r="BN59" s="460">
        <f t="shared" si="107"/>
        <v>764.52164215174093</v>
      </c>
      <c r="BO59" s="528">
        <f t="shared" si="172"/>
        <v>2.0128499999999998</v>
      </c>
      <c r="BP59" s="528"/>
      <c r="BR59" s="460">
        <f t="shared" si="109"/>
        <v>2012.85</v>
      </c>
      <c r="BS59" s="528">
        <f t="shared" si="173"/>
        <v>3.6538980168197663E-2</v>
      </c>
      <c r="BT59" s="528">
        <f t="shared" si="174"/>
        <v>0.79690850666384294</v>
      </c>
      <c r="BU59" s="528">
        <f t="shared" si="175"/>
        <v>0.19440000000000002</v>
      </c>
      <c r="BV59" s="528">
        <f t="shared" si="176"/>
        <v>1.315593105038781</v>
      </c>
      <c r="BW59" s="528">
        <f t="shared" si="177"/>
        <v>6.2013232365438743E-2</v>
      </c>
      <c r="BX59" s="460">
        <f t="shared" si="110"/>
        <v>1377.6063374042199</v>
      </c>
      <c r="BY59" s="173">
        <f t="shared" si="45"/>
        <v>4.3376727529713541</v>
      </c>
      <c r="BZ59" s="5">
        <f t="shared" si="111"/>
        <v>12.96</v>
      </c>
      <c r="CA59" s="173">
        <f t="shared" si="112"/>
        <v>0.74923373710915886</v>
      </c>
      <c r="CB59" s="5">
        <f t="shared" si="113"/>
        <v>74.923373710915882</v>
      </c>
      <c r="CE59" s="562">
        <f t="shared" si="178"/>
        <v>-50</v>
      </c>
      <c r="CF59">
        <f t="shared" si="179"/>
        <v>-50</v>
      </c>
      <c r="CG59" s="173">
        <f t="shared" si="180"/>
        <v>0.55222340425531924</v>
      </c>
      <c r="CI59" s="170">
        <v>54</v>
      </c>
      <c r="CJ59" s="217">
        <f t="shared" si="114"/>
        <v>3.24</v>
      </c>
      <c r="CK59" s="217"/>
      <c r="CL59" s="217">
        <f t="shared" si="49"/>
        <v>12.96</v>
      </c>
      <c r="CM59" s="541">
        <f t="shared" si="50"/>
        <v>24</v>
      </c>
      <c r="CN59" s="172">
        <f t="shared" si="51"/>
        <v>18.8</v>
      </c>
      <c r="CO59" s="443">
        <f t="shared" si="52"/>
        <v>42.8</v>
      </c>
      <c r="CP59" s="443"/>
      <c r="CQ59" s="217">
        <f t="shared" si="53"/>
        <v>0.43925233644859818</v>
      </c>
      <c r="CR59" s="172">
        <f t="shared" si="54"/>
        <v>35.456448598130848</v>
      </c>
      <c r="CS59" s="172">
        <f t="shared" si="115"/>
        <v>12.96</v>
      </c>
      <c r="CT59" s="217">
        <f t="shared" si="55"/>
        <v>8.864112149532712</v>
      </c>
      <c r="CU59" s="217">
        <f t="shared" si="56"/>
        <v>4</v>
      </c>
      <c r="CV59" s="217">
        <f t="shared" si="57"/>
        <v>8.7850467289719631</v>
      </c>
      <c r="CW59" s="172">
        <f t="shared" si="58"/>
        <v>18.905582720780011</v>
      </c>
      <c r="CX59" s="172">
        <f t="shared" si="59"/>
        <v>4</v>
      </c>
      <c r="CY59" s="217">
        <f t="shared" si="60"/>
        <v>2.458723404255319</v>
      </c>
      <c r="CZ59" s="217">
        <f t="shared" si="61"/>
        <v>1.2293617021276595</v>
      </c>
      <c r="DA59" s="217">
        <f t="shared" si="62"/>
        <v>1.5693979176097781</v>
      </c>
      <c r="DB59" s="197">
        <f t="shared" si="63"/>
        <v>350</v>
      </c>
      <c r="DC59" s="443">
        <f t="shared" si="116"/>
        <v>350</v>
      </c>
      <c r="DE59" s="217">
        <f t="shared" si="64"/>
        <v>2.5100133511348464</v>
      </c>
      <c r="DF59" s="173">
        <f t="shared" si="65"/>
        <v>1.6021361815754336</v>
      </c>
      <c r="DG59" s="173">
        <f t="shared" si="66"/>
        <v>2.8149682442633783</v>
      </c>
      <c r="DH59" s="173"/>
      <c r="DI59" s="173">
        <f t="shared" si="67"/>
        <v>0.85106382978723416</v>
      </c>
      <c r="DJ59" s="545">
        <f t="shared" si="117"/>
        <v>1427.6249999999998</v>
      </c>
      <c r="DK59" s="528">
        <f t="shared" si="68"/>
        <v>0.79432624113475192</v>
      </c>
      <c r="DM59" s="173">
        <f t="shared" si="69"/>
        <v>2.6928476695551447</v>
      </c>
      <c r="DN59" s="173">
        <f t="shared" si="70"/>
        <v>2.458723404255319</v>
      </c>
      <c r="DO59" s="173">
        <f t="shared" si="71"/>
        <v>2.0336222747570263</v>
      </c>
      <c r="DQ59" s="545">
        <f t="shared" si="72"/>
        <v>3240</v>
      </c>
      <c r="DR59" s="460">
        <f t="shared" si="73"/>
        <v>350</v>
      </c>
      <c r="DT59">
        <f t="shared" si="74"/>
        <v>3240</v>
      </c>
      <c r="DU59" s="460">
        <f t="shared" si="75"/>
        <v>350</v>
      </c>
      <c r="DV59" s="460"/>
      <c r="DW59" s="5">
        <f t="shared" si="118"/>
        <v>2.8571428571428572</v>
      </c>
      <c r="DX59" s="5">
        <f t="shared" si="76"/>
        <v>1.2293617021276595</v>
      </c>
      <c r="DY59" s="5">
        <f t="shared" si="119"/>
        <v>1.6277811550151977</v>
      </c>
      <c r="DZ59" s="5">
        <f t="shared" si="77"/>
        <v>1.5693979176097781</v>
      </c>
      <c r="EA59" s="173">
        <f t="shared" si="120"/>
        <v>0.4302765957446808</v>
      </c>
      <c r="EB59" s="173">
        <f t="shared" si="78"/>
        <v>12.695173635129018</v>
      </c>
      <c r="EC59" s="173">
        <f t="shared" si="79"/>
        <v>2.8015845359891354</v>
      </c>
      <c r="ED59" s="173">
        <f t="shared" si="121"/>
        <v>4.5314262239982073</v>
      </c>
      <c r="EE59" s="460">
        <f t="shared" si="80"/>
        <v>99.578297872340428</v>
      </c>
      <c r="EF59" s="5">
        <f t="shared" si="81"/>
        <v>0.73250151975683886</v>
      </c>
      <c r="EG59" s="5"/>
      <c r="EH59" s="173">
        <f t="shared" si="122"/>
        <v>0.93115699442767308</v>
      </c>
      <c r="EI59" s="173">
        <f t="shared" si="82"/>
        <v>4.2858904847219375</v>
      </c>
      <c r="EJ59" s="173"/>
      <c r="EK59" s="528">
        <f t="shared" si="83"/>
        <v>1.0578050848913246E-2</v>
      </c>
      <c r="EL59" s="528">
        <f t="shared" si="84"/>
        <v>0.73663353191489356</v>
      </c>
      <c r="EM59" s="528">
        <f t="shared" si="85"/>
        <v>4.3749999999999997E-2</v>
      </c>
      <c r="EN59" s="528">
        <f t="shared" si="86"/>
        <v>6.4114399999999988E-2</v>
      </c>
      <c r="EO59">
        <f t="shared" si="87"/>
        <v>1.0800000000000001E-2</v>
      </c>
      <c r="EP59" s="460">
        <f t="shared" si="123"/>
        <v>54.550000000000004</v>
      </c>
      <c r="EQ59" s="528">
        <f t="shared" si="88"/>
        <v>0.87092098128368944</v>
      </c>
      <c r="ER59" s="460">
        <f t="shared" si="124"/>
        <v>870.92098128368946</v>
      </c>
      <c r="ES59" s="528">
        <f t="shared" si="125"/>
        <v>2.0128499999999998</v>
      </c>
      <c r="ET59" s="528"/>
      <c r="EV59" s="460">
        <f t="shared" si="126"/>
        <v>2012.85</v>
      </c>
      <c r="EW59" s="528">
        <f t="shared" si="89"/>
        <v>2.6011600448147324E-2</v>
      </c>
      <c r="EX59" s="528">
        <f t="shared" si="90"/>
        <v>0.55106571741090127</v>
      </c>
      <c r="EY59" s="528">
        <f t="shared" si="91"/>
        <v>1.0862112669847941</v>
      </c>
      <c r="EZ59" s="528">
        <f t="shared" si="92"/>
        <v>1.8889948265672165</v>
      </c>
      <c r="FA59" s="528">
        <f t="shared" si="93"/>
        <v>5.2896556813037572E-2</v>
      </c>
      <c r="FB59" s="460">
        <f t="shared" si="127"/>
        <v>1941.891383380254</v>
      </c>
      <c r="FC59" s="173">
        <f t="shared" si="128"/>
        <v>4.8256623646639438</v>
      </c>
      <c r="FD59" s="5">
        <f t="shared" si="129"/>
        <v>12.96</v>
      </c>
      <c r="FE59" s="173">
        <f t="shared" si="130"/>
        <v>0.72867682598926231</v>
      </c>
      <c r="FF59" s="5">
        <f t="shared" si="131"/>
        <v>72.867682598926237</v>
      </c>
      <c r="FI59" s="562">
        <f t="shared" si="94"/>
        <v>-50</v>
      </c>
      <c r="FJ59">
        <f t="shared" si="95"/>
        <v>-50</v>
      </c>
      <c r="FL59">
        <f t="shared" si="181"/>
        <v>0.5697234042553192</v>
      </c>
    </row>
    <row r="60" spans="5:168">
      <c r="E60" s="170">
        <v>55</v>
      </c>
      <c r="F60" s="217">
        <f t="shared" si="182"/>
        <v>3.3000000000000003</v>
      </c>
      <c r="G60" s="217"/>
      <c r="H60" s="217">
        <f t="shared" si="132"/>
        <v>13.200000000000001</v>
      </c>
      <c r="I60" s="541">
        <f t="shared" si="133"/>
        <v>23.936031860828773</v>
      </c>
      <c r="J60" s="172">
        <f t="shared" si="134"/>
        <v>19.52759968725567</v>
      </c>
      <c r="K60" s="172">
        <f t="shared" si="135"/>
        <v>43.527599687255673</v>
      </c>
      <c r="L60" s="443"/>
      <c r="M60" s="217">
        <f t="shared" si="136"/>
        <v>0.44899861680005981</v>
      </c>
      <c r="N60" s="172">
        <f t="shared" si="137"/>
        <v>36.146568013230102</v>
      </c>
      <c r="O60" s="172">
        <f t="shared" si="98"/>
        <v>13.200000000000001</v>
      </c>
      <c r="P60" s="217">
        <f t="shared" si="138"/>
        <v>9.0366420033075254</v>
      </c>
      <c r="Q60" s="217">
        <f t="shared" si="139"/>
        <v>4</v>
      </c>
      <c r="R60" s="217">
        <f t="shared" si="140"/>
        <v>8.9560376643285675</v>
      </c>
      <c r="S60" s="172">
        <f t="shared" si="141"/>
        <v>18.412962451708189</v>
      </c>
      <c r="T60" s="172">
        <f t="shared" si="142"/>
        <v>4</v>
      </c>
      <c r="U60" s="217">
        <f t="shared" si="143"/>
        <v>2.9945478365546494</v>
      </c>
      <c r="V60" s="217">
        <f t="shared" si="11"/>
        <v>1.5012753261522263</v>
      </c>
      <c r="W60" s="217">
        <f t="shared" si="144"/>
        <v>1.8401941157216488</v>
      </c>
      <c r="X60" s="197">
        <f t="shared" si="145"/>
        <v>350</v>
      </c>
      <c r="Y60" s="443">
        <f t="shared" si="14"/>
        <v>282.36866544043266</v>
      </c>
      <c r="AA60" s="217">
        <f t="shared" si="146"/>
        <v>2.5605055232187444</v>
      </c>
      <c r="AB60" s="173">
        <f t="shared" si="147"/>
        <v>1.5734686684855455</v>
      </c>
      <c r="AC60" s="173">
        <f t="shared" si="148"/>
        <v>2.8202126513882182</v>
      </c>
      <c r="AD60" s="173"/>
      <c r="AE60" s="173">
        <f t="shared" si="149"/>
        <v>0.81935313383355102</v>
      </c>
      <c r="AF60" s="545">
        <f t="shared" si="150"/>
        <v>1510.3377883111802</v>
      </c>
      <c r="AG60" s="528">
        <f t="shared" si="151"/>
        <v>0.76472959157798104</v>
      </c>
      <c r="AI60" s="173">
        <f t="shared" si="152"/>
        <v>2.7697575742279863</v>
      </c>
      <c r="AJ60" s="173">
        <f t="shared" si="153"/>
        <v>2.9945478365546494</v>
      </c>
      <c r="AK60" s="173">
        <f t="shared" si="154"/>
        <v>2.430529261645419</v>
      </c>
      <c r="AM60" s="545">
        <f t="shared" si="155"/>
        <v>3300.0000000000005</v>
      </c>
      <c r="AN60" s="460">
        <f t="shared" si="156"/>
        <v>282.36866544043266</v>
      </c>
      <c r="AP60">
        <f t="shared" si="157"/>
        <v>3300.0000000000005</v>
      </c>
      <c r="AQ60">
        <f t="shared" si="158"/>
        <v>282.36866544043266</v>
      </c>
      <c r="AS60" s="5">
        <f t="shared" si="101"/>
        <v>3.541469441873875</v>
      </c>
      <c r="AT60" s="5">
        <f t="shared" si="159"/>
        <v>1.5012753261522263</v>
      </c>
      <c r="AU60" s="5">
        <f t="shared" si="102"/>
        <v>2.0401941157216488</v>
      </c>
      <c r="AV60" s="5">
        <f t="shared" si="160"/>
        <v>1.8401941157216488</v>
      </c>
      <c r="AW60" s="173">
        <f t="shared" si="103"/>
        <v>0.42391311030425438</v>
      </c>
      <c r="AX60" s="173">
        <f t="shared" si="161"/>
        <v>15.192535571905394</v>
      </c>
      <c r="AY60" s="173">
        <f t="shared" si="162"/>
        <v>3.4502394984117841</v>
      </c>
      <c r="AZ60" s="173">
        <f t="shared" si="104"/>
        <v>4.4033278208364459</v>
      </c>
      <c r="BA60" s="460">
        <f t="shared" si="163"/>
        <v>123.85521440755868</v>
      </c>
      <c r="BB60" s="5">
        <f t="shared" si="164"/>
        <v>0.93758795958425367</v>
      </c>
      <c r="BC60" s="5"/>
      <c r="BD60" s="173">
        <f t="shared" si="105"/>
        <v>1.1256647121637253</v>
      </c>
      <c r="BE60" s="173">
        <f t="shared" si="165"/>
        <v>5.2489763384401993</v>
      </c>
      <c r="BF60" s="173"/>
      <c r="BG60" s="528">
        <f t="shared" si="166"/>
        <v>1.545887673936984E-2</v>
      </c>
      <c r="BH60" s="528">
        <f t="shared" si="167"/>
        <v>0.69010273284815904</v>
      </c>
      <c r="BI60" s="528">
        <f t="shared" si="168"/>
        <v>0.16896963431204742</v>
      </c>
      <c r="BJ60" s="528">
        <f t="shared" si="169"/>
        <v>5.3499033822849408E-2</v>
      </c>
      <c r="BK60">
        <f t="shared" si="170"/>
        <v>1.0771214337372948E-2</v>
      </c>
      <c r="BL60" s="460">
        <f t="shared" si="106"/>
        <v>179.74084864942037</v>
      </c>
      <c r="BM60" s="528">
        <f t="shared" si="171"/>
        <v>0.7660482576826495</v>
      </c>
      <c r="BN60" s="460">
        <f t="shared" si="107"/>
        <v>766.04825768264948</v>
      </c>
      <c r="BO60" s="528">
        <f t="shared" si="172"/>
        <v>2.050125</v>
      </c>
      <c r="BP60" s="528"/>
      <c r="BR60" s="460">
        <f t="shared" si="109"/>
        <v>2050.125</v>
      </c>
      <c r="BS60" s="528">
        <f t="shared" si="173"/>
        <v>3.8013631326319276E-2</v>
      </c>
      <c r="BT60" s="528">
        <f t="shared" si="174"/>
        <v>0.82655257804515248</v>
      </c>
      <c r="BU60" s="528">
        <f t="shared" si="175"/>
        <v>0.19800000000000001</v>
      </c>
      <c r="BV60" s="528">
        <f t="shared" si="176"/>
        <v>1.3644335510760726</v>
      </c>
      <c r="BW60" s="528">
        <f t="shared" si="177"/>
        <v>6.3302231549605806E-2</v>
      </c>
      <c r="BX60" s="460">
        <f t="shared" si="110"/>
        <v>1427.7357826256784</v>
      </c>
      <c r="BY60" s="173">
        <f t="shared" si="45"/>
        <v>4.4236498889577476</v>
      </c>
      <c r="BZ60" s="5">
        <f t="shared" si="111"/>
        <v>13.200000000000001</v>
      </c>
      <c r="CA60" s="173">
        <f t="shared" si="112"/>
        <v>0.74899354464994083</v>
      </c>
      <c r="CB60" s="5">
        <f t="shared" si="113"/>
        <v>74.89935446499409</v>
      </c>
      <c r="CE60" s="562">
        <f t="shared" si="178"/>
        <v>-50</v>
      </c>
      <c r="CF60">
        <f t="shared" si="179"/>
        <v>-50</v>
      </c>
      <c r="CG60" s="173">
        <f t="shared" si="180"/>
        <v>0.54425531914893621</v>
      </c>
      <c r="CI60" s="170">
        <v>55</v>
      </c>
      <c r="CJ60" s="217">
        <f t="shared" si="114"/>
        <v>3.3000000000000003</v>
      </c>
      <c r="CK60" s="217"/>
      <c r="CL60" s="217">
        <f t="shared" si="49"/>
        <v>13.200000000000001</v>
      </c>
      <c r="CM60" s="541">
        <f t="shared" si="50"/>
        <v>24</v>
      </c>
      <c r="CN60" s="172">
        <f t="shared" si="51"/>
        <v>18.8</v>
      </c>
      <c r="CO60" s="443">
        <f t="shared" si="52"/>
        <v>42.8</v>
      </c>
      <c r="CP60" s="443"/>
      <c r="CQ60" s="217">
        <f t="shared" si="53"/>
        <v>0.43925233644859818</v>
      </c>
      <c r="CR60" s="172">
        <f t="shared" si="54"/>
        <v>35.456448598130848</v>
      </c>
      <c r="CS60" s="172">
        <f t="shared" si="115"/>
        <v>13.200000000000001</v>
      </c>
      <c r="CT60" s="217">
        <f t="shared" si="55"/>
        <v>8.864112149532712</v>
      </c>
      <c r="CU60" s="217">
        <f t="shared" si="56"/>
        <v>4</v>
      </c>
      <c r="CV60" s="217">
        <f t="shared" si="57"/>
        <v>8.7850467289719631</v>
      </c>
      <c r="CW60" s="172">
        <f t="shared" si="58"/>
        <v>18.46161247646037</v>
      </c>
      <c r="CX60" s="172">
        <f t="shared" si="59"/>
        <v>4</v>
      </c>
      <c r="CY60" s="217">
        <f t="shared" si="60"/>
        <v>2.5042553191489358</v>
      </c>
      <c r="CZ60" s="217">
        <f t="shared" si="61"/>
        <v>1.2521276595744679</v>
      </c>
      <c r="DA60" s="217">
        <f t="shared" si="62"/>
        <v>1.5984608420099591</v>
      </c>
      <c r="DB60" s="197">
        <f t="shared" si="63"/>
        <v>350</v>
      </c>
      <c r="DC60" s="443">
        <f t="shared" si="116"/>
        <v>350</v>
      </c>
      <c r="DE60" s="217">
        <f t="shared" si="64"/>
        <v>2.5100133511348464</v>
      </c>
      <c r="DF60" s="173">
        <f t="shared" si="65"/>
        <v>1.6021361815754336</v>
      </c>
      <c r="DG60" s="173">
        <f t="shared" si="66"/>
        <v>2.8149682442633783</v>
      </c>
      <c r="DH60" s="173"/>
      <c r="DI60" s="173">
        <f t="shared" si="67"/>
        <v>0.85106382978723416</v>
      </c>
      <c r="DJ60" s="545">
        <f t="shared" si="117"/>
        <v>1454.0624999999998</v>
      </c>
      <c r="DK60" s="528">
        <f t="shared" si="68"/>
        <v>0.79432624113475192</v>
      </c>
      <c r="DM60" s="173">
        <f t="shared" si="69"/>
        <v>2.7176670667530796</v>
      </c>
      <c r="DN60" s="173">
        <f t="shared" si="70"/>
        <v>2.5042553191489358</v>
      </c>
      <c r="DO60" s="173">
        <f t="shared" si="71"/>
        <v>2.0673496191226683</v>
      </c>
      <c r="DQ60" s="545">
        <f t="shared" si="72"/>
        <v>3300.0000000000005</v>
      </c>
      <c r="DR60" s="460">
        <f t="shared" si="73"/>
        <v>350</v>
      </c>
      <c r="DT60">
        <f t="shared" si="74"/>
        <v>3300.0000000000005</v>
      </c>
      <c r="DU60">
        <f t="shared" si="75"/>
        <v>350</v>
      </c>
      <c r="DW60" s="5">
        <f t="shared" si="118"/>
        <v>2.8571428571428572</v>
      </c>
      <c r="DX60" s="5">
        <f t="shared" si="76"/>
        <v>1.2521276595744679</v>
      </c>
      <c r="DY60" s="5">
        <f t="shared" si="119"/>
        <v>1.6050151975683893</v>
      </c>
      <c r="DZ60" s="5">
        <f t="shared" si="77"/>
        <v>1.5984608420099591</v>
      </c>
      <c r="EA60" s="173">
        <f t="shared" si="120"/>
        <v>0.43824468085106377</v>
      </c>
      <c r="EB60" s="173">
        <f t="shared" si="78"/>
        <v>13.169718877320051</v>
      </c>
      <c r="EC60" s="173">
        <f t="shared" si="79"/>
        <v>2.8135574920778628</v>
      </c>
      <c r="ED60" s="173">
        <f t="shared" si="121"/>
        <v>4.6808067417858155</v>
      </c>
      <c r="EE60" s="460">
        <f t="shared" si="80"/>
        <v>103.30053191489361</v>
      </c>
      <c r="EF60" s="5">
        <f t="shared" si="81"/>
        <v>0.73563196555217836</v>
      </c>
      <c r="EG60" s="5"/>
      <c r="EH60" s="173">
        <f t="shared" si="122"/>
        <v>0.95714184700284877</v>
      </c>
      <c r="EI60" s="173">
        <f t="shared" si="82"/>
        <v>4.3346253402933073</v>
      </c>
      <c r="EJ60" s="173"/>
      <c r="EK60" s="528">
        <f t="shared" si="83"/>
        <v>1.1176670286465101E-2</v>
      </c>
      <c r="EL60" s="528">
        <f t="shared" si="84"/>
        <v>0.75027489361702115</v>
      </c>
      <c r="EM60" s="528">
        <f t="shared" si="85"/>
        <v>4.3749999999999997E-2</v>
      </c>
      <c r="EN60" s="528">
        <f t="shared" si="86"/>
        <v>6.4114399999999988E-2</v>
      </c>
      <c r="EO60">
        <f t="shared" si="87"/>
        <v>1.0800000000000001E-2</v>
      </c>
      <c r="EP60" s="460">
        <f t="shared" si="123"/>
        <v>54.550000000000004</v>
      </c>
      <c r="EQ60" s="528">
        <f t="shared" si="88"/>
        <v>0.8854851387251611</v>
      </c>
      <c r="ER60" s="460">
        <f t="shared" si="124"/>
        <v>885.48513872516105</v>
      </c>
      <c r="ES60" s="528">
        <f t="shared" si="125"/>
        <v>2.050125</v>
      </c>
      <c r="ET60" s="528"/>
      <c r="EV60" s="460">
        <f t="shared" si="126"/>
        <v>2050.125</v>
      </c>
      <c r="EW60" s="528">
        <f t="shared" si="89"/>
        <v>2.7483615458520742E-2</v>
      </c>
      <c r="EX60" s="528">
        <f t="shared" si="90"/>
        <v>0.56366930522138603</v>
      </c>
      <c r="EY60" s="528">
        <f t="shared" si="91"/>
        <v>1.1371994146675091</v>
      </c>
      <c r="EZ60" s="528">
        <f t="shared" si="92"/>
        <v>1.9630668525820989</v>
      </c>
      <c r="FA60" s="528">
        <f t="shared" si="93"/>
        <v>5.4873828655500216E-2</v>
      </c>
      <c r="FB60" s="460">
        <f t="shared" si="127"/>
        <v>2017.9406812375992</v>
      </c>
      <c r="FC60" s="173">
        <f t="shared" si="128"/>
        <v>4.9535508199627607</v>
      </c>
      <c r="FD60" s="5">
        <f t="shared" si="129"/>
        <v>13.200000000000001</v>
      </c>
      <c r="FE60" s="173">
        <f t="shared" si="130"/>
        <v>0.72713047331128577</v>
      </c>
      <c r="FF60" s="5">
        <f t="shared" si="131"/>
        <v>72.713047331128578</v>
      </c>
      <c r="FI60" s="562">
        <f t="shared" si="94"/>
        <v>-50</v>
      </c>
      <c r="FJ60">
        <f t="shared" si="95"/>
        <v>-50</v>
      </c>
      <c r="FL60">
        <f t="shared" si="181"/>
        <v>0.56175531914893617</v>
      </c>
    </row>
    <row r="61" spans="5:168">
      <c r="E61" s="170">
        <v>56</v>
      </c>
      <c r="F61" s="217">
        <f t="shared" si="182"/>
        <v>3.3600000000000003</v>
      </c>
      <c r="G61" s="217"/>
      <c r="H61" s="217">
        <f t="shared" si="132"/>
        <v>13.440000000000001</v>
      </c>
      <c r="I61" s="541">
        <f t="shared" si="133"/>
        <v>23.934780766161129</v>
      </c>
      <c r="J61" s="172">
        <f t="shared" si="134"/>
        <v>19.54183014793027</v>
      </c>
      <c r="K61" s="172">
        <f t="shared" si="135"/>
        <v>43.54183014793027</v>
      </c>
      <c r="L61" s="443"/>
      <c r="M61" s="217">
        <f t="shared" si="136"/>
        <v>0.44919041998719011</v>
      </c>
      <c r="N61" s="172">
        <f t="shared" si="137"/>
        <v>36.160118975583721</v>
      </c>
      <c r="O61" s="172">
        <f t="shared" si="98"/>
        <v>13.440000000000001</v>
      </c>
      <c r="P61" s="217">
        <f t="shared" si="138"/>
        <v>9.0400297438959303</v>
      </c>
      <c r="Q61" s="217">
        <f t="shared" si="139"/>
        <v>4</v>
      </c>
      <c r="R61" s="217">
        <f t="shared" si="140"/>
        <v>8.9593951872110313</v>
      </c>
      <c r="S61" s="172">
        <f t="shared" si="141"/>
        <v>17.985291899464496</v>
      </c>
      <c r="T61" s="172">
        <f t="shared" si="142"/>
        <v>4</v>
      </c>
      <c r="U61" s="217">
        <f t="shared" si="143"/>
        <v>3.0500558831255788</v>
      </c>
      <c r="V61" s="217">
        <f t="shared" si="11"/>
        <v>1.529183448768112</v>
      </c>
      <c r="W61" s="217">
        <f t="shared" si="144"/>
        <v>1.872939756432354</v>
      </c>
      <c r="X61" s="197">
        <f t="shared" si="145"/>
        <v>350</v>
      </c>
      <c r="Y61" s="443">
        <f t="shared" si="14"/>
        <v>277.61404678115326</v>
      </c>
      <c r="AA61" s="217">
        <f t="shared" si="146"/>
        <v>2.5614726024730516</v>
      </c>
      <c r="AB61" s="173">
        <f t="shared" si="147"/>
        <v>1.5729167123547092</v>
      </c>
      <c r="AC61" s="173">
        <f t="shared" si="148"/>
        <v>2.8202881452680013</v>
      </c>
      <c r="AD61" s="173"/>
      <c r="AE61" s="173">
        <f t="shared" si="149"/>
        <v>0.81875647669031693</v>
      </c>
      <c r="AF61" s="545">
        <f t="shared" si="150"/>
        <v>1538.9191241495082</v>
      </c>
      <c r="AG61" s="528">
        <f t="shared" si="151"/>
        <v>0.76417271157762934</v>
      </c>
      <c r="AI61" s="173">
        <f t="shared" si="152"/>
        <v>2.795841923137306</v>
      </c>
      <c r="AJ61" s="173">
        <f t="shared" si="153"/>
        <v>3.0500558831255788</v>
      </c>
      <c r="AK61" s="173">
        <f t="shared" si="154"/>
        <v>2.4716463331794412</v>
      </c>
      <c r="AM61" s="545">
        <f t="shared" si="155"/>
        <v>3360.0000000000005</v>
      </c>
      <c r="AN61" s="460">
        <f t="shared" si="156"/>
        <v>277.61404678115326</v>
      </c>
      <c r="AP61">
        <f t="shared" si="157"/>
        <v>3360.0000000000005</v>
      </c>
      <c r="AQ61">
        <f t="shared" si="158"/>
        <v>277.61404678115326</v>
      </c>
      <c r="AS61" s="5">
        <f t="shared" si="101"/>
        <v>3.6021232052004666</v>
      </c>
      <c r="AT61" s="5">
        <f t="shared" si="159"/>
        <v>1.529183448768112</v>
      </c>
      <c r="AU61" s="5">
        <f t="shared" si="102"/>
        <v>2.0729397564323548</v>
      </c>
      <c r="AV61" s="5">
        <f t="shared" si="160"/>
        <v>1.872939756432354</v>
      </c>
      <c r="AW61" s="173">
        <f t="shared" si="103"/>
        <v>0.42452280548327587</v>
      </c>
      <c r="AX61" s="173">
        <f t="shared" si="161"/>
        <v>15.495595836519252</v>
      </c>
      <c r="AY61" s="173">
        <f t="shared" si="162"/>
        <v>3.5104752054806747</v>
      </c>
      <c r="AZ61" s="173">
        <f t="shared" si="104"/>
        <v>4.4141020601219445</v>
      </c>
      <c r="BA61" s="460">
        <f t="shared" si="163"/>
        <v>128.45140969652141</v>
      </c>
      <c r="BB61" s="5">
        <f t="shared" si="164"/>
        <v>0.97000785170618076</v>
      </c>
      <c r="BC61" s="5"/>
      <c r="BD61" s="173">
        <f t="shared" si="105"/>
        <v>1.1473546550896327</v>
      </c>
      <c r="BE61" s="173">
        <f t="shared" si="165"/>
        <v>5.3434434722796018</v>
      </c>
      <c r="BF61" s="173"/>
      <c r="BG61" s="528">
        <f t="shared" si="166"/>
        <v>1.6060356995581369E-2</v>
      </c>
      <c r="BH61" s="528">
        <f t="shared" si="167"/>
        <v>0.69128508194668281</v>
      </c>
      <c r="BI61" s="528">
        <f t="shared" si="168"/>
        <v>0.16611578368284258</v>
      </c>
      <c r="BJ61" s="528">
        <f t="shared" si="169"/>
        <v>5.2632596516800668E-2</v>
      </c>
      <c r="BK61">
        <f t="shared" si="170"/>
        <v>1.0770651344772508E-2</v>
      </c>
      <c r="BL61" s="460">
        <f t="shared" si="106"/>
        <v>176.88643502761508</v>
      </c>
      <c r="BM61" s="528">
        <f t="shared" si="171"/>
        <v>0.7672420822299244</v>
      </c>
      <c r="BN61" s="460">
        <f t="shared" si="107"/>
        <v>767.24208222992445</v>
      </c>
      <c r="BO61" s="528">
        <f t="shared" si="172"/>
        <v>2.0873999999999997</v>
      </c>
      <c r="BP61" s="528"/>
      <c r="BR61" s="460">
        <f t="shared" si="109"/>
        <v>2087.3999999999996</v>
      </c>
      <c r="BS61" s="528">
        <f t="shared" si="173"/>
        <v>3.9492681136675499E-2</v>
      </c>
      <c r="BT61" s="528">
        <f t="shared" si="174"/>
        <v>0.85657164424342458</v>
      </c>
      <c r="BU61" s="528">
        <f t="shared" si="175"/>
        <v>0.2016</v>
      </c>
      <c r="BV61" s="528">
        <f t="shared" si="176"/>
        <v>1.4140889352981567</v>
      </c>
      <c r="BW61" s="528">
        <f t="shared" si="177"/>
        <v>6.4564982652163552E-2</v>
      </c>
      <c r="BX61" s="460">
        <f t="shared" si="110"/>
        <v>1478.6539179503202</v>
      </c>
      <c r="BY61" s="173">
        <f t="shared" si="45"/>
        <v>4.5101824352078603</v>
      </c>
      <c r="BZ61" s="5">
        <f t="shared" si="111"/>
        <v>13.440000000000001</v>
      </c>
      <c r="CA61" s="173">
        <f t="shared" si="112"/>
        <v>0.7487389082819853</v>
      </c>
      <c r="CB61" s="5">
        <f t="shared" si="113"/>
        <v>74.873890828198526</v>
      </c>
      <c r="CE61" s="562">
        <f t="shared" si="178"/>
        <v>-50</v>
      </c>
      <c r="CF61">
        <f t="shared" si="179"/>
        <v>-50</v>
      </c>
      <c r="CG61" s="173">
        <f t="shared" si="180"/>
        <v>0.54352064434822744</v>
      </c>
      <c r="CI61" s="170">
        <v>56</v>
      </c>
      <c r="CJ61" s="217">
        <f t="shared" si="114"/>
        <v>3.3600000000000003</v>
      </c>
      <c r="CK61" s="217"/>
      <c r="CL61" s="217">
        <f t="shared" si="49"/>
        <v>13.440000000000001</v>
      </c>
      <c r="CM61" s="541">
        <f t="shared" si="50"/>
        <v>24</v>
      </c>
      <c r="CN61" s="172">
        <f t="shared" si="51"/>
        <v>18.8</v>
      </c>
      <c r="CO61" s="443">
        <f t="shared" si="52"/>
        <v>42.8</v>
      </c>
      <c r="CP61" s="443"/>
      <c r="CQ61" s="217">
        <f t="shared" si="53"/>
        <v>0.43925233644859818</v>
      </c>
      <c r="CR61" s="172">
        <f t="shared" si="54"/>
        <v>35.456448598130848</v>
      </c>
      <c r="CS61" s="172">
        <f t="shared" si="115"/>
        <v>13.440000000000001</v>
      </c>
      <c r="CT61" s="217">
        <f t="shared" si="55"/>
        <v>8.864112149532712</v>
      </c>
      <c r="CU61" s="217">
        <f t="shared" si="56"/>
        <v>4</v>
      </c>
      <c r="CV61" s="217">
        <f t="shared" si="57"/>
        <v>8.7850467289719631</v>
      </c>
      <c r="CW61" s="172">
        <f t="shared" si="58"/>
        <v>18.033718488364986</v>
      </c>
      <c r="CX61" s="172">
        <f t="shared" si="59"/>
        <v>4</v>
      </c>
      <c r="CY61" s="217">
        <f t="shared" si="60"/>
        <v>2.5497872340425531</v>
      </c>
      <c r="CZ61" s="217">
        <f t="shared" si="61"/>
        <v>1.2748936170212768</v>
      </c>
      <c r="DA61" s="217">
        <f t="shared" si="62"/>
        <v>1.6275237664101403</v>
      </c>
      <c r="DB61" s="197">
        <f t="shared" si="63"/>
        <v>350</v>
      </c>
      <c r="DC61" s="443">
        <f t="shared" si="116"/>
        <v>344.5403840634865</v>
      </c>
      <c r="DE61" s="217">
        <f t="shared" si="64"/>
        <v>2.5100133511348464</v>
      </c>
      <c r="DF61" s="173">
        <f t="shared" si="65"/>
        <v>1.6021361815754336</v>
      </c>
      <c r="DG61" s="173">
        <f t="shared" si="66"/>
        <v>2.8149682442633783</v>
      </c>
      <c r="DH61" s="173"/>
      <c r="DI61" s="173">
        <f t="shared" si="67"/>
        <v>0.85106382978723416</v>
      </c>
      <c r="DJ61" s="545">
        <f t="shared" si="117"/>
        <v>1480.4999999999998</v>
      </c>
      <c r="DK61" s="528">
        <f t="shared" si="68"/>
        <v>0.79432624113475192</v>
      </c>
      <c r="DM61" s="173">
        <f t="shared" si="69"/>
        <v>2.7422618401604177</v>
      </c>
      <c r="DN61" s="173">
        <f t="shared" si="70"/>
        <v>2.5497872340425531</v>
      </c>
      <c r="DO61" s="173">
        <f t="shared" si="71"/>
        <v>2.1010769634883109</v>
      </c>
      <c r="DQ61" s="545">
        <f t="shared" si="72"/>
        <v>3360.0000000000005</v>
      </c>
      <c r="DR61" s="460">
        <f t="shared" si="73"/>
        <v>344.5403840634865</v>
      </c>
      <c r="DT61">
        <f t="shared" si="74"/>
        <v>3360.0000000000005</v>
      </c>
      <c r="DU61">
        <f t="shared" si="75"/>
        <v>344.5403840634865</v>
      </c>
      <c r="DW61" s="5">
        <f t="shared" si="118"/>
        <v>2.9024173834314171</v>
      </c>
      <c r="DX61" s="5">
        <f t="shared" si="76"/>
        <v>1.2748936170212768</v>
      </c>
      <c r="DY61" s="5">
        <f t="shared" si="119"/>
        <v>1.6275237664101403</v>
      </c>
      <c r="DZ61" s="5">
        <f t="shared" si="77"/>
        <v>1.6275237664101403</v>
      </c>
      <c r="EA61" s="173">
        <f t="shared" si="120"/>
        <v>0.43925233644859818</v>
      </c>
      <c r="EB61" s="173">
        <f t="shared" si="78"/>
        <v>13.44</v>
      </c>
      <c r="EC61" s="173">
        <f t="shared" si="79"/>
        <v>2.8595744680851061</v>
      </c>
      <c r="ED61" s="173">
        <f t="shared" si="121"/>
        <v>4.7</v>
      </c>
      <c r="EE61" s="460">
        <f t="shared" si="80"/>
        <v>107.09106382978726</v>
      </c>
      <c r="EF61" s="5">
        <f t="shared" si="81"/>
        <v>0.7595110909913988</v>
      </c>
      <c r="EG61" s="5"/>
      <c r="EH61" s="173">
        <f t="shared" si="122"/>
        <v>0.97566416731162509</v>
      </c>
      <c r="EI61" s="173">
        <f t="shared" si="82"/>
        <v>4.4094766049248753</v>
      </c>
      <c r="EJ61" s="173"/>
      <c r="EK61" s="528">
        <f t="shared" si="83"/>
        <v>1.1613430921985817E-2</v>
      </c>
      <c r="EL61" s="528">
        <f t="shared" si="84"/>
        <v>0.75199999999999989</v>
      </c>
      <c r="EM61" s="528">
        <f t="shared" si="85"/>
        <v>4.3067548007935809E-2</v>
      </c>
      <c r="EN61" s="528">
        <f t="shared" si="86"/>
        <v>6.3114285714285706E-2</v>
      </c>
      <c r="EO61">
        <f t="shared" si="87"/>
        <v>1.0800000000000001E-2</v>
      </c>
      <c r="EP61" s="460">
        <f t="shared" si="123"/>
        <v>53.86754800793581</v>
      </c>
      <c r="EQ61" s="528">
        <f t="shared" si="88"/>
        <v>0.88617616223836349</v>
      </c>
      <c r="ER61" s="460">
        <f t="shared" si="124"/>
        <v>886.17616223836353</v>
      </c>
      <c r="ES61" s="528">
        <f t="shared" si="125"/>
        <v>2.0873999999999997</v>
      </c>
      <c r="ET61" s="528"/>
      <c r="EV61" s="460">
        <f t="shared" si="126"/>
        <v>2087.3999999999996</v>
      </c>
      <c r="EW61" s="528">
        <f t="shared" si="89"/>
        <v>2.8557617021276599E-2</v>
      </c>
      <c r="EX61" s="528">
        <f t="shared" si="90"/>
        <v>0.58330451788139415</v>
      </c>
      <c r="EY61" s="528">
        <f t="shared" si="91"/>
        <v>1.1437475956681551</v>
      </c>
      <c r="EZ61" s="528">
        <f t="shared" si="92"/>
        <v>2.0003728343916412</v>
      </c>
      <c r="FA61" s="528">
        <f t="shared" si="93"/>
        <v>5.6000000000000001E-2</v>
      </c>
      <c r="FB61" s="460">
        <f t="shared" si="127"/>
        <v>2056.3728343916414</v>
      </c>
      <c r="FC61" s="173">
        <f t="shared" si="128"/>
        <v>5.0299489966300044</v>
      </c>
      <c r="FD61" s="5">
        <f t="shared" si="129"/>
        <v>13.440000000000001</v>
      </c>
      <c r="FE61" s="173">
        <f t="shared" si="130"/>
        <v>0.72766849558990332</v>
      </c>
      <c r="FF61" s="5">
        <f t="shared" si="131"/>
        <v>72.76684955899033</v>
      </c>
      <c r="FI61" s="562">
        <f t="shared" si="94"/>
        <v>-50</v>
      </c>
      <c r="FJ61">
        <f t="shared" si="95"/>
        <v>-50</v>
      </c>
      <c r="FL61">
        <f t="shared" si="181"/>
        <v>0.56074766355140182</v>
      </c>
    </row>
    <row r="62" spans="5:168">
      <c r="E62" s="170">
        <v>57</v>
      </c>
      <c r="F62" s="217">
        <f t="shared" si="182"/>
        <v>3.42</v>
      </c>
      <c r="G62" s="217"/>
      <c r="H62" s="217">
        <f t="shared" si="132"/>
        <v>13.68</v>
      </c>
      <c r="I62" s="541">
        <f t="shared" si="133"/>
        <v>23.933653029676382</v>
      </c>
      <c r="J62" s="172">
        <f t="shared" si="134"/>
        <v>19.554657482353935</v>
      </c>
      <c r="K62" s="172">
        <f t="shared" si="135"/>
        <v>43.554657482353932</v>
      </c>
      <c r="L62" s="443"/>
      <c r="M62" s="217">
        <f t="shared" si="136"/>
        <v>0.44936478719044998</v>
      </c>
      <c r="N62" s="172">
        <f t="shared" si="137"/>
        <v>36.172451228246437</v>
      </c>
      <c r="O62" s="172">
        <f t="shared" si="98"/>
        <v>13.68</v>
      </c>
      <c r="P62" s="217">
        <f t="shared" si="138"/>
        <v>9.0431128070616094</v>
      </c>
      <c r="Q62" s="217">
        <f t="shared" si="139"/>
        <v>4</v>
      </c>
      <c r="R62" s="217">
        <f t="shared" si="140"/>
        <v>8.9624507503088289</v>
      </c>
      <c r="S62" s="172">
        <f t="shared" si="141"/>
        <v>17.572946528399395</v>
      </c>
      <c r="T62" s="172">
        <f t="shared" si="142"/>
        <v>4</v>
      </c>
      <c r="U62" s="217">
        <f t="shared" si="143"/>
        <v>3.1055042616597839</v>
      </c>
      <c r="V62" s="217">
        <f t="shared" si="11"/>
        <v>1.55705654685098</v>
      </c>
      <c r="W62" s="217">
        <f t="shared" si="144"/>
        <v>1.9057378618646825</v>
      </c>
      <c r="X62" s="197">
        <f t="shared" si="145"/>
        <v>350</v>
      </c>
      <c r="Y62" s="443">
        <f t="shared" si="14"/>
        <v>273.01559640379708</v>
      </c>
      <c r="AA62" s="217">
        <f t="shared" si="146"/>
        <v>2.5623436657675747</v>
      </c>
      <c r="AB62" s="173">
        <f t="shared" si="147"/>
        <v>1.5724194615506772</v>
      </c>
      <c r="AC62" s="173">
        <f t="shared" si="148"/>
        <v>2.8203553330638269</v>
      </c>
      <c r="AD62" s="173"/>
      <c r="AE62" s="173">
        <f t="shared" si="149"/>
        <v>0.81821939425113199</v>
      </c>
      <c r="AF62" s="545">
        <f t="shared" si="150"/>
        <v>1567.4280138199319</v>
      </c>
      <c r="AG62" s="528">
        <f t="shared" si="151"/>
        <v>0.76367143463439002</v>
      </c>
      <c r="AI62" s="173">
        <f t="shared" si="152"/>
        <v>2.8216199456722606</v>
      </c>
      <c r="AJ62" s="173">
        <f t="shared" si="153"/>
        <v>3.1055042616597839</v>
      </c>
      <c r="AK62" s="173">
        <f t="shared" si="154"/>
        <v>2.5127192061677412</v>
      </c>
      <c r="AM62" s="545">
        <f t="shared" si="155"/>
        <v>3420</v>
      </c>
      <c r="AN62" s="460">
        <f t="shared" si="156"/>
        <v>273.01559640379708</v>
      </c>
      <c r="AP62">
        <f t="shared" si="157"/>
        <v>3420</v>
      </c>
      <c r="AQ62">
        <f t="shared" si="158"/>
        <v>273.01559640379708</v>
      </c>
      <c r="AS62" s="5">
        <f t="shared" si="101"/>
        <v>3.662794408715663</v>
      </c>
      <c r="AT62" s="5">
        <f t="shared" si="159"/>
        <v>1.55705654685098</v>
      </c>
      <c r="AU62" s="5">
        <f t="shared" si="102"/>
        <v>2.1057378618646831</v>
      </c>
      <c r="AV62" s="5">
        <f t="shared" si="160"/>
        <v>1.9057378618646825</v>
      </c>
      <c r="AW62" s="173">
        <f t="shared" si="103"/>
        <v>0.4251007217729571</v>
      </c>
      <c r="AX62" s="173">
        <f t="shared" si="161"/>
        <v>15.798031191003286</v>
      </c>
      <c r="AY62" s="173">
        <f t="shared" si="162"/>
        <v>3.5707043171184312</v>
      </c>
      <c r="AZ62" s="173">
        <f t="shared" si="104"/>
        <v>4.4243459519359876</v>
      </c>
      <c r="BA62" s="460">
        <f t="shared" si="163"/>
        <v>133.12833475575877</v>
      </c>
      <c r="BB62" s="5">
        <f t="shared" si="164"/>
        <v>1.0029982299606341</v>
      </c>
      <c r="BC62" s="5"/>
      <c r="BD62" s="173">
        <f t="shared" si="105"/>
        <v>1.1690078388984313</v>
      </c>
      <c r="BE62" s="173">
        <f t="shared" si="165"/>
        <v>5.4378518979313331</v>
      </c>
      <c r="BF62" s="173"/>
      <c r="BG62" s="528">
        <f t="shared" si="166"/>
        <v>1.6672267794352963E-2</v>
      </c>
      <c r="BH62" s="528">
        <f t="shared" si="167"/>
        <v>0.69239745328422353</v>
      </c>
      <c r="BI62" s="528">
        <f t="shared" si="168"/>
        <v>0.16335651390046604</v>
      </c>
      <c r="BJ62" s="528">
        <f t="shared" si="169"/>
        <v>5.1791282194032388E-2</v>
      </c>
      <c r="BK62">
        <f t="shared" si="170"/>
        <v>1.0770143863354372E-2</v>
      </c>
      <c r="BL62" s="460">
        <f t="shared" si="106"/>
        <v>174.12665776382042</v>
      </c>
      <c r="BM62" s="528">
        <f t="shared" si="171"/>
        <v>0.76840642764730938</v>
      </c>
      <c r="BN62" s="460">
        <f t="shared" si="107"/>
        <v>768.40642764730933</v>
      </c>
      <c r="BO62" s="528">
        <f t="shared" si="172"/>
        <v>2.1246749999999994</v>
      </c>
      <c r="BP62" s="528"/>
      <c r="BR62" s="460">
        <f t="shared" si="109"/>
        <v>2124.6749999999993</v>
      </c>
      <c r="BS62" s="528">
        <f t="shared" si="173"/>
        <v>4.0997379822179422E-2</v>
      </c>
      <c r="BT62" s="528">
        <f t="shared" si="174"/>
        <v>0.88710699791506198</v>
      </c>
      <c r="BU62" s="528">
        <f t="shared" si="175"/>
        <v>0.20519999999999999</v>
      </c>
      <c r="BV62" s="528">
        <f t="shared" si="176"/>
        <v>1.4648090864487708</v>
      </c>
      <c r="BW62" s="528">
        <f t="shared" si="177"/>
        <v>6.582512996251369E-2</v>
      </c>
      <c r="BX62" s="460">
        <f t="shared" si="110"/>
        <v>1530.6342164112846</v>
      </c>
      <c r="BY62" s="173">
        <f t="shared" si="45"/>
        <v>4.5978423018224142</v>
      </c>
      <c r="BZ62" s="5">
        <f t="shared" si="111"/>
        <v>13.68</v>
      </c>
      <c r="CA62" s="173">
        <f t="shared" si="112"/>
        <v>0.74844720586280689</v>
      </c>
      <c r="CB62" s="5">
        <f t="shared" si="113"/>
        <v>74.844720586280687</v>
      </c>
      <c r="CE62" s="562">
        <f t="shared" si="178"/>
        <v>-50</v>
      </c>
      <c r="CF62">
        <f t="shared" si="179"/>
        <v>-50</v>
      </c>
      <c r="CG62" s="173">
        <f t="shared" si="180"/>
        <v>0.54382287275530072</v>
      </c>
      <c r="CI62" s="170">
        <v>57</v>
      </c>
      <c r="CJ62" s="217">
        <f t="shared" si="114"/>
        <v>3.42</v>
      </c>
      <c r="CK62" s="217"/>
      <c r="CL62" s="217">
        <f t="shared" si="49"/>
        <v>13.68</v>
      </c>
      <c r="CM62" s="541">
        <f t="shared" si="50"/>
        <v>24</v>
      </c>
      <c r="CN62" s="172">
        <f t="shared" si="51"/>
        <v>18.8</v>
      </c>
      <c r="CO62" s="443">
        <f t="shared" si="52"/>
        <v>42.8</v>
      </c>
      <c r="CP62" s="443"/>
      <c r="CQ62" s="217">
        <f t="shared" si="53"/>
        <v>0.43925233644859818</v>
      </c>
      <c r="CR62" s="172">
        <f t="shared" si="54"/>
        <v>35.456448598130848</v>
      </c>
      <c r="CS62" s="172">
        <f t="shared" si="115"/>
        <v>13.68</v>
      </c>
      <c r="CT62" s="217">
        <f t="shared" si="55"/>
        <v>8.864112149532712</v>
      </c>
      <c r="CU62" s="217">
        <f t="shared" si="56"/>
        <v>4</v>
      </c>
      <c r="CV62" s="217">
        <f t="shared" si="57"/>
        <v>8.7850467289719631</v>
      </c>
      <c r="CW62" s="172">
        <f t="shared" si="58"/>
        <v>17.621057277346235</v>
      </c>
      <c r="CX62" s="172">
        <f t="shared" si="59"/>
        <v>4</v>
      </c>
      <c r="CY62" s="217">
        <f t="shared" si="60"/>
        <v>2.5953191489361696</v>
      </c>
      <c r="CZ62" s="217">
        <f t="shared" si="61"/>
        <v>1.297659574468085</v>
      </c>
      <c r="DA62" s="217">
        <f t="shared" si="62"/>
        <v>1.6565866908103213</v>
      </c>
      <c r="DB62" s="197">
        <f t="shared" si="63"/>
        <v>350</v>
      </c>
      <c r="DC62" s="443">
        <f t="shared" si="116"/>
        <v>338.4958159220219</v>
      </c>
      <c r="DE62" s="217">
        <f t="shared" si="64"/>
        <v>2.5100133511348464</v>
      </c>
      <c r="DF62" s="173">
        <f t="shared" si="65"/>
        <v>1.6021361815754336</v>
      </c>
      <c r="DG62" s="173">
        <f t="shared" si="66"/>
        <v>2.8149682442633783</v>
      </c>
      <c r="DH62" s="173"/>
      <c r="DI62" s="173">
        <f t="shared" si="67"/>
        <v>0.85106382978723416</v>
      </c>
      <c r="DJ62" s="545">
        <f t="shared" si="117"/>
        <v>1506.9374999999995</v>
      </c>
      <c r="DK62" s="528">
        <f t="shared" si="68"/>
        <v>0.79432624113475192</v>
      </c>
      <c r="DM62" s="173">
        <f t="shared" si="69"/>
        <v>2.7666379803446843</v>
      </c>
      <c r="DN62" s="173">
        <f t="shared" si="70"/>
        <v>2.5953191489361696</v>
      </c>
      <c r="DO62" s="173">
        <f t="shared" si="71"/>
        <v>2.1348043078539525</v>
      </c>
      <c r="DQ62" s="545">
        <f t="shared" si="72"/>
        <v>3420</v>
      </c>
      <c r="DR62" s="460">
        <f t="shared" si="73"/>
        <v>338.4958159220219</v>
      </c>
      <c r="DT62">
        <f t="shared" si="74"/>
        <v>3420</v>
      </c>
      <c r="DU62">
        <f t="shared" si="75"/>
        <v>338.4958159220219</v>
      </c>
      <c r="DW62" s="5">
        <f t="shared" si="118"/>
        <v>2.9542462652784058</v>
      </c>
      <c r="DX62" s="5">
        <f t="shared" si="76"/>
        <v>1.297659574468085</v>
      </c>
      <c r="DY62" s="5">
        <f t="shared" si="119"/>
        <v>1.6565866908103208</v>
      </c>
      <c r="DZ62" s="5">
        <f t="shared" si="77"/>
        <v>1.6565866908103213</v>
      </c>
      <c r="EA62" s="173">
        <f t="shared" si="120"/>
        <v>0.43925233644859818</v>
      </c>
      <c r="EB62" s="173">
        <f t="shared" si="78"/>
        <v>13.679999999999994</v>
      </c>
      <c r="EC62" s="173">
        <f t="shared" si="79"/>
        <v>2.9106382978723393</v>
      </c>
      <c r="ED62" s="173">
        <f t="shared" si="121"/>
        <v>4.7</v>
      </c>
      <c r="EE62" s="460">
        <f t="shared" si="80"/>
        <v>110.94989361702126</v>
      </c>
      <c r="EF62" s="5">
        <f t="shared" si="81"/>
        <v>0.7868786781349022</v>
      </c>
      <c r="EG62" s="5"/>
      <c r="EH62" s="173">
        <f t="shared" si="122"/>
        <v>0.9930867417279039</v>
      </c>
      <c r="EI62" s="173">
        <f t="shared" si="82"/>
        <v>4.488217258584247</v>
      </c>
      <c r="EJ62" s="173"/>
      <c r="EK62" s="528">
        <f t="shared" si="83"/>
        <v>1.2031899574468083E-2</v>
      </c>
      <c r="EL62" s="528">
        <f t="shared" si="84"/>
        <v>0.75199999999999989</v>
      </c>
      <c r="EM62" s="528">
        <f t="shared" si="85"/>
        <v>4.2311976990252742E-2</v>
      </c>
      <c r="EN62" s="528">
        <f t="shared" si="86"/>
        <v>6.2007017543859656E-2</v>
      </c>
      <c r="EO62">
        <f t="shared" si="87"/>
        <v>1.0800000000000001E-2</v>
      </c>
      <c r="EP62" s="460">
        <f t="shared" si="123"/>
        <v>53.111976990252749</v>
      </c>
      <c r="EQ62" s="528">
        <f t="shared" si="88"/>
        <v>0.88492932466341578</v>
      </c>
      <c r="ER62" s="460">
        <f t="shared" si="124"/>
        <v>884.92932466341574</v>
      </c>
      <c r="ES62" s="528">
        <f t="shared" si="125"/>
        <v>2.1246749999999994</v>
      </c>
      <c r="ET62" s="528"/>
      <c r="EV62" s="460">
        <f t="shared" si="126"/>
        <v>2124.6749999999993</v>
      </c>
      <c r="EW62" s="528">
        <f t="shared" si="89"/>
        <v>2.9586638297872336E-2</v>
      </c>
      <c r="EX62" s="528">
        <f t="shared" si="90"/>
        <v>0.6043228248076048</v>
      </c>
      <c r="EY62" s="528">
        <f t="shared" si="91"/>
        <v>1.1437475956681535</v>
      </c>
      <c r="EZ62" s="528">
        <f t="shared" si="92"/>
        <v>2.0328887217727147</v>
      </c>
      <c r="FA62" s="528">
        <f t="shared" si="93"/>
        <v>5.6999999999999974E-2</v>
      </c>
      <c r="FB62" s="460">
        <f t="shared" si="127"/>
        <v>2089.8887217727147</v>
      </c>
      <c r="FC62" s="173">
        <f t="shared" si="128"/>
        <v>5.0994930464361303</v>
      </c>
      <c r="FD62" s="5">
        <f t="shared" si="129"/>
        <v>13.68</v>
      </c>
      <c r="FE62" s="173">
        <f t="shared" si="130"/>
        <v>0.72845416892636061</v>
      </c>
      <c r="FF62" s="5">
        <f t="shared" si="131"/>
        <v>72.845416892636067</v>
      </c>
      <c r="FI62" s="562">
        <f t="shared" si="94"/>
        <v>-50</v>
      </c>
      <c r="FJ62">
        <f t="shared" si="95"/>
        <v>-50</v>
      </c>
      <c r="FL62">
        <f t="shared" si="181"/>
        <v>0.56074766355140182</v>
      </c>
    </row>
    <row r="63" spans="5:168">
      <c r="E63" s="170">
        <v>58</v>
      </c>
      <c r="F63" s="217">
        <f t="shared" si="182"/>
        <v>3.4799999999999995</v>
      </c>
      <c r="G63" s="217"/>
      <c r="H63" s="217">
        <f t="shared" si="132"/>
        <v>13.919999999999998</v>
      </c>
      <c r="I63" s="541">
        <f t="shared" si="133"/>
        <v>23.932525253620803</v>
      </c>
      <c r="J63" s="172">
        <f t="shared" si="134"/>
        <v>19.567485266872396</v>
      </c>
      <c r="K63" s="172">
        <f t="shared" si="135"/>
        <v>43.567485266872396</v>
      </c>
      <c r="L63" s="443"/>
      <c r="M63" s="217">
        <f t="shared" si="136"/>
        <v>0.44953906085787043</v>
      </c>
      <c r="N63" s="172">
        <f t="shared" si="137"/>
        <v>36.184774569360641</v>
      </c>
      <c r="O63" s="172">
        <f t="shared" si="98"/>
        <v>13.919999999999998</v>
      </c>
      <c r="P63" s="217">
        <f t="shared" si="138"/>
        <v>9.0461936423401603</v>
      </c>
      <c r="Q63" s="217">
        <f t="shared" si="139"/>
        <v>4</v>
      </c>
      <c r="R63" s="217">
        <f t="shared" si="140"/>
        <v>8.965504105391636</v>
      </c>
      <c r="S63" s="172">
        <f t="shared" si="141"/>
        <v>17.175047273978961</v>
      </c>
      <c r="T63" s="172">
        <f t="shared" si="142"/>
        <v>4</v>
      </c>
      <c r="U63" s="217">
        <f t="shared" si="143"/>
        <v>3.1609872313768848</v>
      </c>
      <c r="V63" s="217">
        <f t="shared" si="11"/>
        <v>1.584949618752991</v>
      </c>
      <c r="W63" s="217">
        <f t="shared" si="144"/>
        <v>1.9385141350146282</v>
      </c>
      <c r="X63" s="197">
        <f t="shared" si="145"/>
        <v>350</v>
      </c>
      <c r="Y63" s="443">
        <f t="shared" si="14"/>
        <v>268.5671369804906</v>
      </c>
      <c r="AA63" s="217">
        <f t="shared" si="146"/>
        <v>2.5632141326815203</v>
      </c>
      <c r="AB63" s="173">
        <f t="shared" si="147"/>
        <v>1.5719224607902105</v>
      </c>
      <c r="AC63" s="173">
        <f t="shared" si="148"/>
        <v>2.8204217068838862</v>
      </c>
      <c r="AD63" s="173"/>
      <c r="AE63" s="173">
        <f t="shared" si="149"/>
        <v>0.81768299716509207</v>
      </c>
      <c r="AF63" s="545">
        <f t="shared" si="150"/>
        <v>1595.9730170792791</v>
      </c>
      <c r="AG63" s="528">
        <f t="shared" si="151"/>
        <v>0.76317079735408599</v>
      </c>
      <c r="AI63" s="173">
        <f t="shared" si="152"/>
        <v>2.8471967987059519</v>
      </c>
      <c r="AJ63" s="173">
        <f t="shared" si="153"/>
        <v>3.1609872313768848</v>
      </c>
      <c r="AK63" s="173">
        <f t="shared" si="154"/>
        <v>2.5538177022544826</v>
      </c>
      <c r="AM63" s="545">
        <f t="shared" si="155"/>
        <v>3479.9999999999995</v>
      </c>
      <c r="AN63" s="460">
        <f t="shared" si="156"/>
        <v>268.5671369804906</v>
      </c>
      <c r="AP63">
        <f t="shared" si="157"/>
        <v>3479.9999999999995</v>
      </c>
      <c r="AQ63">
        <f t="shared" si="158"/>
        <v>268.5671369804906</v>
      </c>
      <c r="AS63" s="5">
        <f t="shared" si="101"/>
        <v>3.7234637537676196</v>
      </c>
      <c r="AT63" s="5">
        <f t="shared" si="159"/>
        <v>1.584949618752991</v>
      </c>
      <c r="AU63" s="5">
        <f t="shared" si="102"/>
        <v>2.1385141350146286</v>
      </c>
      <c r="AV63" s="5">
        <f t="shared" si="160"/>
        <v>1.9385141350146282</v>
      </c>
      <c r="AW63" s="173">
        <f t="shared" si="103"/>
        <v>0.42566538136681087</v>
      </c>
      <c r="AX63" s="173">
        <f t="shared" si="161"/>
        <v>16.100879618044953</v>
      </c>
      <c r="AY63" s="173">
        <f t="shared" si="162"/>
        <v>3.6309287920744469</v>
      </c>
      <c r="AZ63" s="173">
        <f t="shared" si="104"/>
        <v>4.4343694244816323</v>
      </c>
      <c r="BA63" s="460">
        <f t="shared" si="163"/>
        <v>137.89061683151021</v>
      </c>
      <c r="BB63" s="5">
        <f t="shared" si="164"/>
        <v>1.0365293132790747</v>
      </c>
      <c r="BC63" s="5"/>
      <c r="BD63" s="173">
        <f t="shared" si="105"/>
        <v>1.1906833474990586</v>
      </c>
      <c r="BE63" s="173">
        <f t="shared" si="165"/>
        <v>5.5322857361217395</v>
      </c>
      <c r="BF63" s="173"/>
      <c r="BG63" s="528">
        <f t="shared" si="166"/>
        <v>1.7296267374941079E-2</v>
      </c>
      <c r="BH63" s="528">
        <f t="shared" si="167"/>
        <v>0.69348867952136017</v>
      </c>
      <c r="BI63" s="528">
        <f t="shared" si="168"/>
        <v>0.16068724470195569</v>
      </c>
      <c r="BJ63" s="528">
        <f t="shared" si="169"/>
        <v>5.0977420434360564E-2</v>
      </c>
      <c r="BK63">
        <f t="shared" si="170"/>
        <v>1.0769636364129361E-2</v>
      </c>
      <c r="BL63" s="460">
        <f t="shared" si="106"/>
        <v>171.45688106608506</v>
      </c>
      <c r="BM63" s="528">
        <f t="shared" si="171"/>
        <v>0.76959508218319872</v>
      </c>
      <c r="BN63" s="460">
        <f t="shared" si="107"/>
        <v>769.59508218319877</v>
      </c>
      <c r="BO63" s="528">
        <f t="shared" si="172"/>
        <v>2.1619499999999996</v>
      </c>
      <c r="BP63" s="528"/>
      <c r="BR63" s="460">
        <f t="shared" si="109"/>
        <v>2161.9499999999998</v>
      </c>
      <c r="BS63" s="528">
        <f t="shared" si="173"/>
        <v>4.2531805020346911E-2</v>
      </c>
      <c r="BT63" s="528">
        <f t="shared" si="174"/>
        <v>0.91818556398288165</v>
      </c>
      <c r="BU63" s="528">
        <f t="shared" si="175"/>
        <v>0.20879999999999996</v>
      </c>
      <c r="BV63" s="528">
        <f t="shared" si="176"/>
        <v>1.5166557384198747</v>
      </c>
      <c r="BW63" s="528">
        <f t="shared" si="177"/>
        <v>6.7086998408520657E-2</v>
      </c>
      <c r="BX63" s="460">
        <f t="shared" si="110"/>
        <v>1583.7427368283954</v>
      </c>
      <c r="BY63" s="173">
        <f t="shared" si="45"/>
        <v>4.6867447000776794</v>
      </c>
      <c r="BZ63" s="5">
        <f t="shared" si="111"/>
        <v>13.919999999999998</v>
      </c>
      <c r="CA63" s="173">
        <f t="shared" si="112"/>
        <v>0.74811581630084312</v>
      </c>
      <c r="CB63" s="5">
        <f t="shared" si="113"/>
        <v>74.811581630084305</v>
      </c>
      <c r="CE63" s="562">
        <f t="shared" si="178"/>
        <v>-50</v>
      </c>
      <c r="CF63">
        <f t="shared" si="179"/>
        <v>-50</v>
      </c>
      <c r="CG63" s="173">
        <f t="shared" si="180"/>
        <v>0.54411467949316461</v>
      </c>
      <c r="CI63" s="170">
        <v>58</v>
      </c>
      <c r="CJ63" s="217">
        <f t="shared" si="114"/>
        <v>3.4799999999999995</v>
      </c>
      <c r="CK63" s="217"/>
      <c r="CL63" s="217">
        <f t="shared" si="49"/>
        <v>13.919999999999998</v>
      </c>
      <c r="CM63" s="541">
        <f t="shared" si="50"/>
        <v>24</v>
      </c>
      <c r="CN63" s="172">
        <f t="shared" si="51"/>
        <v>18.8</v>
      </c>
      <c r="CO63" s="443">
        <f t="shared" si="52"/>
        <v>42.8</v>
      </c>
      <c r="CP63" s="443"/>
      <c r="CQ63" s="217">
        <f t="shared" si="53"/>
        <v>0.43925233644859818</v>
      </c>
      <c r="CR63" s="172">
        <f t="shared" si="54"/>
        <v>35.456448598130848</v>
      </c>
      <c r="CS63" s="172">
        <f t="shared" si="115"/>
        <v>13.919999999999998</v>
      </c>
      <c r="CT63" s="217">
        <f t="shared" si="55"/>
        <v>8.864112149532712</v>
      </c>
      <c r="CU63" s="217">
        <f t="shared" si="56"/>
        <v>4</v>
      </c>
      <c r="CV63" s="217">
        <f t="shared" si="57"/>
        <v>8.7850467289719631</v>
      </c>
      <c r="CW63" s="172">
        <f t="shared" si="58"/>
        <v>17.222843562185066</v>
      </c>
      <c r="CX63" s="172">
        <f t="shared" si="59"/>
        <v>4</v>
      </c>
      <c r="CY63" s="217">
        <f t="shared" si="60"/>
        <v>2.6408510638297864</v>
      </c>
      <c r="CZ63" s="217">
        <f t="shared" si="61"/>
        <v>1.3204255319148932</v>
      </c>
      <c r="DA63" s="217">
        <f t="shared" si="62"/>
        <v>1.6856496152105021</v>
      </c>
      <c r="DB63" s="197">
        <f t="shared" si="63"/>
        <v>350</v>
      </c>
      <c r="DC63" s="443">
        <f t="shared" si="116"/>
        <v>332.65968116474562</v>
      </c>
      <c r="DE63" s="217">
        <f t="shared" si="64"/>
        <v>2.5100133511348464</v>
      </c>
      <c r="DF63" s="173">
        <f t="shared" si="65"/>
        <v>1.6021361815754336</v>
      </c>
      <c r="DG63" s="173">
        <f t="shared" si="66"/>
        <v>2.8149682442633783</v>
      </c>
      <c r="DH63" s="173"/>
      <c r="DI63" s="173">
        <f t="shared" si="67"/>
        <v>0.85106382978723416</v>
      </c>
      <c r="DJ63" s="545">
        <f t="shared" si="117"/>
        <v>1533.3749999999995</v>
      </c>
      <c r="DK63" s="528">
        <f t="shared" si="68"/>
        <v>0.79432624113475192</v>
      </c>
      <c r="DM63" s="173">
        <f t="shared" si="69"/>
        <v>2.7908012162408538</v>
      </c>
      <c r="DN63" s="173">
        <f t="shared" si="70"/>
        <v>2.6408510638297864</v>
      </c>
      <c r="DO63" s="173">
        <f t="shared" si="71"/>
        <v>2.1685316522195945</v>
      </c>
      <c r="DQ63" s="545">
        <f t="shared" si="72"/>
        <v>3479.9999999999995</v>
      </c>
      <c r="DR63" s="460">
        <f t="shared" si="73"/>
        <v>332.65968116474562</v>
      </c>
      <c r="DT63">
        <f t="shared" si="74"/>
        <v>3479.9999999999995</v>
      </c>
      <c r="DU63">
        <f t="shared" si="75"/>
        <v>332.65968116474562</v>
      </c>
      <c r="DW63" s="5">
        <f t="shared" si="118"/>
        <v>3.0060751471253959</v>
      </c>
      <c r="DX63" s="5">
        <f t="shared" si="76"/>
        <v>1.3204255319148932</v>
      </c>
      <c r="DY63" s="5">
        <f t="shared" si="119"/>
        <v>1.6856496152105027</v>
      </c>
      <c r="DZ63" s="5">
        <f t="shared" si="77"/>
        <v>1.6856496152105021</v>
      </c>
      <c r="EA63" s="173">
        <f t="shared" si="120"/>
        <v>0.43925233644859801</v>
      </c>
      <c r="EB63" s="173">
        <f t="shared" si="78"/>
        <v>13.919999999999993</v>
      </c>
      <c r="EC63" s="173">
        <f t="shared" si="79"/>
        <v>2.9617021276595739</v>
      </c>
      <c r="ED63" s="173">
        <f t="shared" si="121"/>
        <v>4.6999999999999984</v>
      </c>
      <c r="EE63" s="460">
        <f t="shared" si="80"/>
        <v>114.87702127659568</v>
      </c>
      <c r="EF63" s="5">
        <f t="shared" si="81"/>
        <v>0.81473064735174283</v>
      </c>
      <c r="EG63" s="5"/>
      <c r="EH63" s="173">
        <f t="shared" si="122"/>
        <v>1.0105093161441825</v>
      </c>
      <c r="EI63" s="173">
        <f t="shared" si="82"/>
        <v>4.5669579122436206</v>
      </c>
      <c r="EJ63" s="173"/>
      <c r="EK63" s="528">
        <f t="shared" si="83"/>
        <v>1.2457774751773036E-2</v>
      </c>
      <c r="EL63" s="528">
        <f t="shared" si="84"/>
        <v>0.75199999999999967</v>
      </c>
      <c r="EM63" s="528">
        <f t="shared" si="85"/>
        <v>4.1582460145593199E-2</v>
      </c>
      <c r="EN63" s="528">
        <f t="shared" si="86"/>
        <v>6.0937931034482758E-2</v>
      </c>
      <c r="EO63">
        <f t="shared" si="87"/>
        <v>1.0800000000000001E-2</v>
      </c>
      <c r="EP63" s="460">
        <f t="shared" si="123"/>
        <v>52.382460145593193</v>
      </c>
      <c r="EQ63" s="528">
        <f t="shared" si="88"/>
        <v>0.88375765886943303</v>
      </c>
      <c r="ER63" s="460">
        <f t="shared" si="124"/>
        <v>883.75765886943304</v>
      </c>
      <c r="ES63" s="528">
        <f t="shared" si="125"/>
        <v>2.1619499999999996</v>
      </c>
      <c r="ET63" s="528"/>
      <c r="EV63" s="460">
        <f t="shared" si="126"/>
        <v>2161.9499999999998</v>
      </c>
      <c r="EW63" s="528">
        <f t="shared" si="89"/>
        <v>3.0633872340425496E-2</v>
      </c>
      <c r="EX63" s="528">
        <f t="shared" si="90"/>
        <v>0.62571313716613819</v>
      </c>
      <c r="EY63" s="528">
        <f t="shared" si="91"/>
        <v>1.1437475956681524</v>
      </c>
      <c r="EZ63" s="528">
        <f t="shared" si="92"/>
        <v>2.0661044031638887</v>
      </c>
      <c r="FA63" s="528">
        <f t="shared" si="93"/>
        <v>5.7999999999999975E-2</v>
      </c>
      <c r="FB63" s="460">
        <f t="shared" si="127"/>
        <v>2124.1044031638885</v>
      </c>
      <c r="FC63" s="173">
        <f t="shared" si="128"/>
        <v>5.169812062033321</v>
      </c>
      <c r="FD63" s="5">
        <f t="shared" si="129"/>
        <v>13.919999999999998</v>
      </c>
      <c r="FE63" s="173">
        <f t="shared" si="130"/>
        <v>0.72918475859093057</v>
      </c>
      <c r="FF63" s="5">
        <f t="shared" si="131"/>
        <v>72.918475859093064</v>
      </c>
      <c r="FI63" s="562">
        <f t="shared" si="94"/>
        <v>-50</v>
      </c>
      <c r="FJ63">
        <f t="shared" si="95"/>
        <v>-50</v>
      </c>
      <c r="FL63">
        <f t="shared" si="181"/>
        <v>0.56074766355140193</v>
      </c>
    </row>
    <row r="64" spans="5:168">
      <c r="E64" s="170">
        <v>59</v>
      </c>
      <c r="F64" s="217">
        <f t="shared" si="182"/>
        <v>3.54</v>
      </c>
      <c r="G64" s="217"/>
      <c r="H64" s="217">
        <f t="shared" si="132"/>
        <v>14.16</v>
      </c>
      <c r="I64" s="541">
        <f t="shared" si="133"/>
        <v>23.931397440066895</v>
      </c>
      <c r="J64" s="172">
        <f t="shared" si="134"/>
        <v>19.580313477912085</v>
      </c>
      <c r="K64" s="172">
        <f t="shared" si="135"/>
        <v>43.580313477912085</v>
      </c>
      <c r="L64" s="443"/>
      <c r="M64" s="217">
        <f t="shared" si="136"/>
        <v>0.44971324104406762</v>
      </c>
      <c r="N64" s="172">
        <f t="shared" si="137"/>
        <v>36.197089007451872</v>
      </c>
      <c r="O64" s="172">
        <f t="shared" si="98"/>
        <v>14.16</v>
      </c>
      <c r="P64" s="217">
        <f t="shared" si="138"/>
        <v>9.049272251862968</v>
      </c>
      <c r="Q64" s="217">
        <f t="shared" si="139"/>
        <v>4</v>
      </c>
      <c r="R64" s="217">
        <f t="shared" si="140"/>
        <v>8.9685552545718217</v>
      </c>
      <c r="S64" s="172">
        <f t="shared" si="141"/>
        <v>16.790862182527178</v>
      </c>
      <c r="T64" s="172">
        <f t="shared" si="142"/>
        <v>4</v>
      </c>
      <c r="U64" s="217">
        <f t="shared" si="143"/>
        <v>3.216504797168386</v>
      </c>
      <c r="V64" s="217">
        <f t="shared" si="11"/>
        <v>1.6128626697494159</v>
      </c>
      <c r="W64" s="217">
        <f t="shared" si="144"/>
        <v>1.9712686219023943</v>
      </c>
      <c r="X64" s="197">
        <f t="shared" si="145"/>
        <v>350</v>
      </c>
      <c r="Y64" s="443">
        <f t="shared" si="14"/>
        <v>264.26144415393429</v>
      </c>
      <c r="AA64" s="217">
        <f t="shared" si="146"/>
        <v>2.5640840020567461</v>
      </c>
      <c r="AB64" s="173">
        <f t="shared" si="147"/>
        <v>1.5714257107982703</v>
      </c>
      <c r="AC64" s="173">
        <f t="shared" si="148"/>
        <v>2.8204872678349475</v>
      </c>
      <c r="AD64" s="173"/>
      <c r="AE64" s="173">
        <f t="shared" si="149"/>
        <v>0.81714728510598578</v>
      </c>
      <c r="AF64" s="545">
        <f t="shared" si="150"/>
        <v>1624.5541338705179</v>
      </c>
      <c r="AG64" s="528">
        <f t="shared" si="151"/>
        <v>0.76267079943225347</v>
      </c>
      <c r="AI64" s="173">
        <f t="shared" si="152"/>
        <v>2.8725778557108064</v>
      </c>
      <c r="AJ64" s="173">
        <f t="shared" si="153"/>
        <v>3.216504797168386</v>
      </c>
      <c r="AK64" s="173">
        <f t="shared" si="154"/>
        <v>2.5949418250630019</v>
      </c>
      <c r="AM64" s="545">
        <f t="shared" si="155"/>
        <v>3540</v>
      </c>
      <c r="AN64" s="460">
        <f t="shared" si="156"/>
        <v>264.26144415393429</v>
      </c>
      <c r="AP64">
        <f t="shared" si="157"/>
        <v>3540</v>
      </c>
      <c r="AQ64">
        <f t="shared" si="158"/>
        <v>264.26144415393429</v>
      </c>
      <c r="AS64" s="5">
        <f t="shared" si="101"/>
        <v>3.7841312916518097</v>
      </c>
      <c r="AT64" s="5">
        <f t="shared" si="159"/>
        <v>1.6128626697494159</v>
      </c>
      <c r="AU64" s="5">
        <f t="shared" si="102"/>
        <v>2.171268621902394</v>
      </c>
      <c r="AV64" s="5">
        <f t="shared" si="160"/>
        <v>1.9712686219023943</v>
      </c>
      <c r="AW64" s="173">
        <f t="shared" si="103"/>
        <v>0.42621741832995069</v>
      </c>
      <c r="AX64" s="173">
        <f t="shared" si="161"/>
        <v>16.404139781880275</v>
      </c>
      <c r="AY64" s="173">
        <f t="shared" si="162"/>
        <v>3.6911488529467493</v>
      </c>
      <c r="AZ64" s="173">
        <f t="shared" si="104"/>
        <v>4.4441826746662851</v>
      </c>
      <c r="BA64" s="460">
        <f t="shared" si="163"/>
        <v>142.73834627282332</v>
      </c>
      <c r="BB64" s="5">
        <f t="shared" si="164"/>
        <v>1.0706006534976766</v>
      </c>
      <c r="BC64" s="5"/>
      <c r="BD64" s="173">
        <f t="shared" si="105"/>
        <v>1.2123811438548435</v>
      </c>
      <c r="BE64" s="173">
        <f t="shared" si="165"/>
        <v>5.6267451793651375</v>
      </c>
      <c r="BF64" s="173"/>
      <c r="BG64" s="528">
        <f t="shared" si="166"/>
        <v>1.7932390063292301E-2</v>
      </c>
      <c r="BH64" s="528">
        <f t="shared" si="167"/>
        <v>0.69455977752930642</v>
      </c>
      <c r="BI64" s="528">
        <f t="shared" si="168"/>
        <v>0.15810364120334611</v>
      </c>
      <c r="BJ64" s="528">
        <f t="shared" si="169"/>
        <v>5.0189688899616572E-2</v>
      </c>
      <c r="BK64">
        <f t="shared" si="170"/>
        <v>1.0769128848030102E-2</v>
      </c>
      <c r="BL64" s="460">
        <f t="shared" si="106"/>
        <v>168.87277005137622</v>
      </c>
      <c r="BM64" s="528">
        <f t="shared" si="171"/>
        <v>0.770807810302503</v>
      </c>
      <c r="BN64" s="460">
        <f t="shared" si="107"/>
        <v>770.80781030250296</v>
      </c>
      <c r="BO64" s="528">
        <f t="shared" si="172"/>
        <v>2.1992249999999998</v>
      </c>
      <c r="BP64" s="528"/>
      <c r="BR64" s="460">
        <f t="shared" si="109"/>
        <v>2199.2249999999999</v>
      </c>
      <c r="BS64" s="528">
        <f t="shared" si="173"/>
        <v>4.4096041139243362E-2</v>
      </c>
      <c r="BT64" s="528">
        <f t="shared" si="174"/>
        <v>0.94980783940526436</v>
      </c>
      <c r="BU64" s="528">
        <f t="shared" si="175"/>
        <v>0.21240000000000001</v>
      </c>
      <c r="BV64" s="528">
        <f t="shared" si="176"/>
        <v>1.5696470775958156</v>
      </c>
      <c r="BW64" s="528">
        <f t="shared" si="177"/>
        <v>6.835058242450115E-2</v>
      </c>
      <c r="BX64" s="460">
        <f t="shared" si="110"/>
        <v>1637.9976600203167</v>
      </c>
      <c r="BY64" s="173">
        <f t="shared" si="45"/>
        <v>4.7769032403741951</v>
      </c>
      <c r="BZ64" s="5">
        <f t="shared" si="111"/>
        <v>14.16</v>
      </c>
      <c r="CA64" s="173">
        <f t="shared" si="112"/>
        <v>0.7477463353041981</v>
      </c>
      <c r="CB64" s="5">
        <f t="shared" si="113"/>
        <v>74.774633530419806</v>
      </c>
      <c r="CE64" s="562">
        <f t="shared" si="178"/>
        <v>-50</v>
      </c>
      <c r="CF64">
        <f t="shared" si="179"/>
        <v>-50</v>
      </c>
      <c r="CG64" s="173">
        <f t="shared" si="180"/>
        <v>0.54439659447720257</v>
      </c>
      <c r="CI64" s="170">
        <v>59</v>
      </c>
      <c r="CJ64" s="217">
        <f t="shared" si="114"/>
        <v>3.54</v>
      </c>
      <c r="CK64" s="217"/>
      <c r="CL64" s="217">
        <f t="shared" si="49"/>
        <v>14.16</v>
      </c>
      <c r="CM64" s="541">
        <f t="shared" si="50"/>
        <v>24</v>
      </c>
      <c r="CN64" s="172">
        <f t="shared" si="51"/>
        <v>18.8</v>
      </c>
      <c r="CO64" s="443">
        <f t="shared" si="52"/>
        <v>42.8</v>
      </c>
      <c r="CP64" s="443"/>
      <c r="CQ64" s="217">
        <f t="shared" si="53"/>
        <v>0.43925233644859818</v>
      </c>
      <c r="CR64" s="172">
        <f t="shared" si="54"/>
        <v>35.456448598130848</v>
      </c>
      <c r="CS64" s="172">
        <f t="shared" si="115"/>
        <v>14.16</v>
      </c>
      <c r="CT64" s="217">
        <f t="shared" si="55"/>
        <v>8.864112149532712</v>
      </c>
      <c r="CU64" s="217">
        <f t="shared" si="56"/>
        <v>4</v>
      </c>
      <c r="CV64" s="217">
        <f t="shared" si="57"/>
        <v>8.7850467289719631</v>
      </c>
      <c r="CW64" s="172">
        <f t="shared" si="58"/>
        <v>16.838345327486266</v>
      </c>
      <c r="CX64" s="172">
        <f t="shared" si="59"/>
        <v>4</v>
      </c>
      <c r="CY64" s="217">
        <f t="shared" si="60"/>
        <v>2.6863829787234037</v>
      </c>
      <c r="CZ64" s="217">
        <f t="shared" si="61"/>
        <v>1.3431914893617019</v>
      </c>
      <c r="DA64" s="217">
        <f t="shared" si="62"/>
        <v>1.714712539610683</v>
      </c>
      <c r="DB64" s="197">
        <f t="shared" si="63"/>
        <v>350</v>
      </c>
      <c r="DC64" s="443">
        <f t="shared" si="116"/>
        <v>327.02138148398723</v>
      </c>
      <c r="DE64" s="217">
        <f t="shared" si="64"/>
        <v>2.5100133511348464</v>
      </c>
      <c r="DF64" s="173">
        <f t="shared" si="65"/>
        <v>1.6021361815754336</v>
      </c>
      <c r="DG64" s="173">
        <f t="shared" si="66"/>
        <v>2.8149682442633783</v>
      </c>
      <c r="DH64" s="173"/>
      <c r="DI64" s="173">
        <f t="shared" si="67"/>
        <v>0.85106382978723416</v>
      </c>
      <c r="DJ64" s="545">
        <f t="shared" si="117"/>
        <v>1559.8124999999998</v>
      </c>
      <c r="DK64" s="528">
        <f t="shared" si="68"/>
        <v>0.79432624113475192</v>
      </c>
      <c r="DM64" s="173">
        <f t="shared" si="69"/>
        <v>2.814757030874449</v>
      </c>
      <c r="DN64" s="173">
        <f t="shared" si="70"/>
        <v>2.6863829787234037</v>
      </c>
      <c r="DO64" s="173">
        <f t="shared" si="71"/>
        <v>2.202258996585237</v>
      </c>
      <c r="DQ64" s="545">
        <f t="shared" si="72"/>
        <v>3540</v>
      </c>
      <c r="DR64" s="460">
        <f t="shared" si="73"/>
        <v>327.02138148398723</v>
      </c>
      <c r="DT64">
        <f t="shared" si="74"/>
        <v>3540</v>
      </c>
      <c r="DU64">
        <f t="shared" si="75"/>
        <v>327.02138148398723</v>
      </c>
      <c r="DW64" s="5">
        <f t="shared" si="118"/>
        <v>3.0579040289723856</v>
      </c>
      <c r="DX64" s="5">
        <f t="shared" si="76"/>
        <v>1.3431914893617019</v>
      </c>
      <c r="DY64" s="5">
        <f t="shared" si="119"/>
        <v>1.7147125396106837</v>
      </c>
      <c r="DZ64" s="5">
        <f t="shared" si="77"/>
        <v>1.714712539610683</v>
      </c>
      <c r="EA64" s="173">
        <f t="shared" si="120"/>
        <v>0.43925233644859807</v>
      </c>
      <c r="EB64" s="173">
        <f t="shared" si="78"/>
        <v>14.159999999999997</v>
      </c>
      <c r="EC64" s="173">
        <f t="shared" si="79"/>
        <v>3.0127659574468084</v>
      </c>
      <c r="ED64" s="173">
        <f t="shared" si="121"/>
        <v>4.6999999999999993</v>
      </c>
      <c r="EE64" s="460">
        <f t="shared" si="80"/>
        <v>118.87244680851062</v>
      </c>
      <c r="EF64" s="5">
        <f t="shared" si="81"/>
        <v>0.84306699864191936</v>
      </c>
      <c r="EG64" s="5"/>
      <c r="EH64" s="173">
        <f t="shared" si="122"/>
        <v>1.0279318905604617</v>
      </c>
      <c r="EI64" s="173">
        <f t="shared" si="82"/>
        <v>4.6456985659029932</v>
      </c>
      <c r="EJ64" s="173"/>
      <c r="EK64" s="528">
        <f t="shared" si="83"/>
        <v>1.28910564539007E-2</v>
      </c>
      <c r="EL64" s="528">
        <f t="shared" si="84"/>
        <v>0.75199999999999989</v>
      </c>
      <c r="EM64" s="528">
        <f t="shared" si="85"/>
        <v>4.0877672685498405E-2</v>
      </c>
      <c r="EN64" s="528">
        <f t="shared" si="86"/>
        <v>5.9905084745762713E-2</v>
      </c>
      <c r="EO64">
        <f t="shared" si="87"/>
        <v>1.0800000000000001E-2</v>
      </c>
      <c r="EP64" s="460">
        <f t="shared" si="123"/>
        <v>51.677672685498401</v>
      </c>
      <c r="EQ64" s="528">
        <f t="shared" si="88"/>
        <v>0.88265790527752697</v>
      </c>
      <c r="ER64" s="460">
        <f t="shared" si="124"/>
        <v>882.65790527752699</v>
      </c>
      <c r="ES64" s="528">
        <f t="shared" si="125"/>
        <v>2.1992249999999998</v>
      </c>
      <c r="ET64" s="528"/>
      <c r="EV64" s="460">
        <f t="shared" si="126"/>
        <v>2199.2249999999999</v>
      </c>
      <c r="EW64" s="528">
        <f t="shared" si="89"/>
        <v>3.1699319148936152E-2</v>
      </c>
      <c r="EX64" s="528">
        <f t="shared" si="90"/>
        <v>0.64747545495699388</v>
      </c>
      <c r="EY64" s="528">
        <f t="shared" si="91"/>
        <v>1.1437475956681535</v>
      </c>
      <c r="EZ64" s="528">
        <f t="shared" si="92"/>
        <v>2.100027152936462</v>
      </c>
      <c r="FA64" s="528">
        <f t="shared" si="93"/>
        <v>5.899999999999999E-2</v>
      </c>
      <c r="FB64" s="460">
        <f t="shared" si="127"/>
        <v>2159.0271529364622</v>
      </c>
      <c r="FC64" s="173">
        <f t="shared" si="128"/>
        <v>5.2409100582139887</v>
      </c>
      <c r="FD64" s="5">
        <f t="shared" si="129"/>
        <v>14.16</v>
      </c>
      <c r="FE64" s="173">
        <f t="shared" si="130"/>
        <v>0.72986266920014486</v>
      </c>
      <c r="FF64" s="5">
        <f t="shared" si="131"/>
        <v>72.986266920014486</v>
      </c>
      <c r="FI64" s="562">
        <f t="shared" si="94"/>
        <v>-50</v>
      </c>
      <c r="FJ64">
        <f t="shared" si="95"/>
        <v>-50</v>
      </c>
      <c r="FL64">
        <f t="shared" si="181"/>
        <v>0.56074766355140193</v>
      </c>
    </row>
    <row r="65" spans="5:168">
      <c r="E65" s="170">
        <v>60</v>
      </c>
      <c r="F65" s="217">
        <f t="shared" si="182"/>
        <v>3.5999999999999996</v>
      </c>
      <c r="G65" s="217"/>
      <c r="H65" s="217">
        <f t="shared" si="132"/>
        <v>14.399999999999999</v>
      </c>
      <c r="I65" s="541">
        <f t="shared" si="133"/>
        <v>23.930269590944928</v>
      </c>
      <c r="J65" s="172">
        <f t="shared" si="134"/>
        <v>19.593142093517393</v>
      </c>
      <c r="K65" s="172">
        <f t="shared" si="135"/>
        <v>43.593142093517393</v>
      </c>
      <c r="L65" s="443"/>
      <c r="M65" s="217">
        <f t="shared" si="136"/>
        <v>0.44988732780503599</v>
      </c>
      <c r="N65" s="172">
        <f t="shared" si="137"/>
        <v>36.209394550945476</v>
      </c>
      <c r="O65" s="172">
        <f t="shared" si="98"/>
        <v>14.399999999999999</v>
      </c>
      <c r="P65" s="217">
        <f t="shared" si="138"/>
        <v>9.0523486377363689</v>
      </c>
      <c r="Q65" s="217">
        <f t="shared" si="139"/>
        <v>4</v>
      </c>
      <c r="R65" s="217">
        <f t="shared" si="140"/>
        <v>8.9716041999369391</v>
      </c>
      <c r="S65" s="172">
        <f t="shared" si="141"/>
        <v>16.419708122565613</v>
      </c>
      <c r="T65" s="172">
        <f t="shared" si="142"/>
        <v>4</v>
      </c>
      <c r="U65" s="217">
        <f t="shared" si="143"/>
        <v>3.2720569639269574</v>
      </c>
      <c r="V65" s="217">
        <f t="shared" si="11"/>
        <v>1.6407957051173803</v>
      </c>
      <c r="W65" s="217">
        <f t="shared" si="144"/>
        <v>2.0040013684234261</v>
      </c>
      <c r="X65" s="197">
        <f t="shared" si="145"/>
        <v>350</v>
      </c>
      <c r="Y65" s="443">
        <f t="shared" si="14"/>
        <v>260.09175019452078</v>
      </c>
      <c r="AA65" s="217">
        <f t="shared" si="146"/>
        <v>2.5649532728488627</v>
      </c>
      <c r="AB65" s="173">
        <f t="shared" si="147"/>
        <v>1.5709292122354419</v>
      </c>
      <c r="AC65" s="173">
        <f t="shared" si="148"/>
        <v>2.8205520170360279</v>
      </c>
      <c r="AD65" s="173"/>
      <c r="AE65" s="173">
        <f t="shared" si="149"/>
        <v>0.81661225767835266</v>
      </c>
      <c r="AF65" s="545">
        <f t="shared" si="150"/>
        <v>1653.1713641405295</v>
      </c>
      <c r="AG65" s="528">
        <f t="shared" si="151"/>
        <v>0.76217144049979579</v>
      </c>
      <c r="AI65" s="173">
        <f t="shared" si="152"/>
        <v>2.8977682614767071</v>
      </c>
      <c r="AJ65" s="173">
        <f t="shared" si="153"/>
        <v>3.2720569639269574</v>
      </c>
      <c r="AK65" s="173">
        <f t="shared" si="154"/>
        <v>2.6360915782174992</v>
      </c>
      <c r="AM65" s="545">
        <f t="shared" si="155"/>
        <v>3599.9999999999995</v>
      </c>
      <c r="AN65" s="460">
        <f t="shared" si="156"/>
        <v>260.09175019452078</v>
      </c>
      <c r="AP65">
        <f t="shared" si="157"/>
        <v>3599.9999999999995</v>
      </c>
      <c r="AQ65">
        <f t="shared" si="158"/>
        <v>260.09175019452078</v>
      </c>
      <c r="AS65" s="5">
        <f t="shared" si="101"/>
        <v>3.8447970735408061</v>
      </c>
      <c r="AT65" s="5">
        <f t="shared" si="159"/>
        <v>1.6407957051173803</v>
      </c>
      <c r="AU65" s="5">
        <f t="shared" si="102"/>
        <v>2.2040013684234259</v>
      </c>
      <c r="AV65" s="5">
        <f t="shared" si="160"/>
        <v>2.0040013684234261</v>
      </c>
      <c r="AW65" s="173">
        <f t="shared" si="103"/>
        <v>0.42675742665563232</v>
      </c>
      <c r="AX65" s="173">
        <f t="shared" si="161"/>
        <v>16.707810431185717</v>
      </c>
      <c r="AY65" s="173">
        <f t="shared" si="162"/>
        <v>3.7513647082616957</v>
      </c>
      <c r="AZ65" s="173">
        <f t="shared" si="104"/>
        <v>4.4537952799923231</v>
      </c>
      <c r="BA65" s="460">
        <f t="shared" si="163"/>
        <v>147.6716134605642</v>
      </c>
      <c r="BB65" s="5">
        <f t="shared" si="164"/>
        <v>1.1052118038439849</v>
      </c>
      <c r="BC65" s="5"/>
      <c r="BD65" s="173">
        <f t="shared" si="105"/>
        <v>1.2341011933433104</v>
      </c>
      <c r="BE65" s="173">
        <f t="shared" si="165"/>
        <v>5.7212304079682026</v>
      </c>
      <c r="BF65" s="173"/>
      <c r="BG65" s="528">
        <f t="shared" si="166"/>
        <v>1.8580670216018867E-2</v>
      </c>
      <c r="BH65" s="528">
        <f t="shared" si="167"/>
        <v>0.6956116999069093</v>
      </c>
      <c r="BI65" s="528">
        <f t="shared" si="168"/>
        <v>0.15560164251338965</v>
      </c>
      <c r="BJ65" s="528">
        <f t="shared" si="169"/>
        <v>4.942684883588639E-2</v>
      </c>
      <c r="BK65">
        <f t="shared" si="170"/>
        <v>1.0768621315925217E-2</v>
      </c>
      <c r="BL65" s="460">
        <f t="shared" si="106"/>
        <v>166.37026382931487</v>
      </c>
      <c r="BM65" s="528">
        <f t="shared" si="171"/>
        <v>0.77204439622800058</v>
      </c>
      <c r="BN65" s="460">
        <f t="shared" si="107"/>
        <v>772.04439622800055</v>
      </c>
      <c r="BO65" s="528">
        <f t="shared" si="172"/>
        <v>2.2364999999999995</v>
      </c>
      <c r="BP65" s="528"/>
      <c r="BR65" s="460">
        <f t="shared" si="109"/>
        <v>2236.4999999999995</v>
      </c>
      <c r="BS65" s="528">
        <f t="shared" si="173"/>
        <v>4.5690172662341481E-2</v>
      </c>
      <c r="BT65" s="528">
        <f t="shared" si="174"/>
        <v>0.98197432143180019</v>
      </c>
      <c r="BU65" s="528">
        <f t="shared" si="175"/>
        <v>0.21599999999999997</v>
      </c>
      <c r="BV65" s="528">
        <f t="shared" si="176"/>
        <v>1.6238018534995993</v>
      </c>
      <c r="BW65" s="528">
        <f t="shared" si="177"/>
        <v>6.9615876796607148E-2</v>
      </c>
      <c r="BX65" s="460">
        <f t="shared" si="110"/>
        <v>1693.4177302962064</v>
      </c>
      <c r="BY65" s="173">
        <f t="shared" si="45"/>
        <v>4.8683323903535225</v>
      </c>
      <c r="BZ65" s="5">
        <f t="shared" si="111"/>
        <v>14.399999999999999</v>
      </c>
      <c r="CA65" s="173">
        <f t="shared" si="112"/>
        <v>0.74734023205916877</v>
      </c>
      <c r="CB65" s="5">
        <f t="shared" si="113"/>
        <v>74.734023205916884</v>
      </c>
      <c r="CE65" s="562">
        <f t="shared" si="178"/>
        <v>-50</v>
      </c>
      <c r="CF65">
        <f t="shared" si="179"/>
        <v>-50</v>
      </c>
      <c r="CG65" s="173">
        <f t="shared" si="180"/>
        <v>0.54466911229510584</v>
      </c>
      <c r="CI65" s="170">
        <v>60</v>
      </c>
      <c r="CJ65" s="217">
        <f t="shared" si="114"/>
        <v>3.5999999999999996</v>
      </c>
      <c r="CK65" s="217"/>
      <c r="CL65" s="217">
        <f t="shared" si="49"/>
        <v>14.399999999999999</v>
      </c>
      <c r="CM65" s="541">
        <f t="shared" si="50"/>
        <v>24</v>
      </c>
      <c r="CN65" s="172">
        <f t="shared" si="51"/>
        <v>18.8</v>
      </c>
      <c r="CO65" s="443">
        <f t="shared" si="52"/>
        <v>42.8</v>
      </c>
      <c r="CP65" s="443"/>
      <c r="CQ65" s="217">
        <f t="shared" si="53"/>
        <v>0.43925233644859818</v>
      </c>
      <c r="CR65" s="172">
        <f t="shared" si="54"/>
        <v>35.456448598130848</v>
      </c>
      <c r="CS65" s="172">
        <f t="shared" si="115"/>
        <v>14.399999999999999</v>
      </c>
      <c r="CT65" s="217">
        <f t="shared" si="55"/>
        <v>8.864112149532712</v>
      </c>
      <c r="CU65" s="217">
        <f t="shared" si="56"/>
        <v>4</v>
      </c>
      <c r="CV65" s="217">
        <f t="shared" si="57"/>
        <v>8.7850467289719631</v>
      </c>
      <c r="CW65" s="172">
        <f t="shared" si="58"/>
        <v>16.466879384765537</v>
      </c>
      <c r="CX65" s="172">
        <f t="shared" si="59"/>
        <v>4</v>
      </c>
      <c r="CY65" s="217">
        <f t="shared" si="60"/>
        <v>2.7319148936170206</v>
      </c>
      <c r="CZ65" s="217">
        <f t="shared" si="61"/>
        <v>1.3659574468085103</v>
      </c>
      <c r="DA65" s="217">
        <f t="shared" si="62"/>
        <v>1.743775464010864</v>
      </c>
      <c r="DB65" s="197">
        <f t="shared" si="63"/>
        <v>350</v>
      </c>
      <c r="DC65" s="443">
        <f t="shared" si="116"/>
        <v>321.57102512592081</v>
      </c>
      <c r="DE65" s="217">
        <f t="shared" si="64"/>
        <v>2.5100133511348464</v>
      </c>
      <c r="DF65" s="173">
        <f t="shared" si="65"/>
        <v>1.6021361815754336</v>
      </c>
      <c r="DG65" s="173">
        <f t="shared" si="66"/>
        <v>2.8149682442633783</v>
      </c>
      <c r="DH65" s="173"/>
      <c r="DI65" s="173">
        <f t="shared" si="67"/>
        <v>0.85106382978723416</v>
      </c>
      <c r="DJ65" s="545">
        <f t="shared" si="117"/>
        <v>1586.2499999999995</v>
      </c>
      <c r="DK65" s="528">
        <f t="shared" si="68"/>
        <v>0.79432624113475192</v>
      </c>
      <c r="DM65" s="173">
        <f t="shared" si="69"/>
        <v>2.8385106758902383</v>
      </c>
      <c r="DN65" s="173">
        <f t="shared" si="70"/>
        <v>2.7319148936170206</v>
      </c>
      <c r="DO65" s="173">
        <f t="shared" si="71"/>
        <v>2.2359863409508791</v>
      </c>
      <c r="DQ65" s="545">
        <f t="shared" si="72"/>
        <v>3599.9999999999995</v>
      </c>
      <c r="DR65" s="460">
        <f t="shared" si="73"/>
        <v>321.57102512592081</v>
      </c>
      <c r="DT65">
        <f t="shared" si="74"/>
        <v>3599.9999999999995</v>
      </c>
      <c r="DU65">
        <f t="shared" si="75"/>
        <v>321.57102512592081</v>
      </c>
      <c r="DW65" s="5">
        <f t="shared" si="118"/>
        <v>3.1097329108193748</v>
      </c>
      <c r="DX65" s="5">
        <f t="shared" si="76"/>
        <v>1.3659574468085103</v>
      </c>
      <c r="DY65" s="5">
        <f t="shared" si="119"/>
        <v>1.7437754640108645</v>
      </c>
      <c r="DZ65" s="5">
        <f t="shared" si="77"/>
        <v>1.743775464010864</v>
      </c>
      <c r="EA65" s="173">
        <f t="shared" si="120"/>
        <v>0.43925233644859807</v>
      </c>
      <c r="EB65" s="173">
        <f t="shared" si="78"/>
        <v>14.399999999999995</v>
      </c>
      <c r="EC65" s="173">
        <f t="shared" si="79"/>
        <v>3.0638297872340421</v>
      </c>
      <c r="ED65" s="173">
        <f t="shared" si="121"/>
        <v>4.6999999999999993</v>
      </c>
      <c r="EE65" s="460">
        <f t="shared" si="80"/>
        <v>122.9361702127659</v>
      </c>
      <c r="EF65" s="5">
        <f t="shared" si="81"/>
        <v>0.87188773200543213</v>
      </c>
      <c r="EG65" s="5"/>
      <c r="EH65" s="173">
        <f t="shared" si="122"/>
        <v>1.0453544649767408</v>
      </c>
      <c r="EI65" s="173">
        <f t="shared" si="82"/>
        <v>4.7244392195623659</v>
      </c>
      <c r="EJ65" s="173"/>
      <c r="EK65" s="528">
        <f t="shared" si="83"/>
        <v>1.3331744680851057E-2</v>
      </c>
      <c r="EL65" s="528">
        <f t="shared" si="84"/>
        <v>0.75199999999999989</v>
      </c>
      <c r="EM65" s="528">
        <f t="shared" si="85"/>
        <v>4.0196378140740098E-2</v>
      </c>
      <c r="EN65" s="528">
        <f t="shared" si="86"/>
        <v>5.890666666666667E-2</v>
      </c>
      <c r="EO65">
        <f t="shared" si="87"/>
        <v>1.0800000000000001E-2</v>
      </c>
      <c r="EP65" s="460">
        <f t="shared" si="123"/>
        <v>50.996378140740092</v>
      </c>
      <c r="EQ65" s="528">
        <f t="shared" si="88"/>
        <v>0.88162702217602895</v>
      </c>
      <c r="ER65" s="460">
        <f t="shared" si="124"/>
        <v>881.62702217602896</v>
      </c>
      <c r="ES65" s="528">
        <f t="shared" si="125"/>
        <v>2.2364999999999995</v>
      </c>
      <c r="ET65" s="528"/>
      <c r="EV65" s="460">
        <f t="shared" si="126"/>
        <v>2236.4999999999995</v>
      </c>
      <c r="EW65" s="528">
        <f t="shared" si="89"/>
        <v>3.2782978723404244E-2</v>
      </c>
      <c r="EX65" s="528">
        <f t="shared" si="90"/>
        <v>0.66960977818017164</v>
      </c>
      <c r="EY65" s="528">
        <f t="shared" si="91"/>
        <v>1.143747595668152</v>
      </c>
      <c r="EZ65" s="528">
        <f t="shared" si="92"/>
        <v>2.1346644416048131</v>
      </c>
      <c r="FA65" s="528">
        <f t="shared" si="93"/>
        <v>5.9999999999999991E-2</v>
      </c>
      <c r="FB65" s="460">
        <f t="shared" si="127"/>
        <v>2194.664441604813</v>
      </c>
      <c r="FC65" s="173">
        <f t="shared" si="128"/>
        <v>5.3127914637808411</v>
      </c>
      <c r="FD65" s="5">
        <f t="shared" si="129"/>
        <v>14.399999999999999</v>
      </c>
      <c r="FE65" s="173">
        <f t="shared" si="130"/>
        <v>0.73049015034008447</v>
      </c>
      <c r="FF65" s="5">
        <f t="shared" si="131"/>
        <v>73.049015034008448</v>
      </c>
      <c r="FI65" s="562">
        <f t="shared" si="94"/>
        <v>-50</v>
      </c>
      <c r="FJ65">
        <f t="shared" si="95"/>
        <v>-50</v>
      </c>
      <c r="FL65">
        <f t="shared" si="181"/>
        <v>0.56074766355140193</v>
      </c>
    </row>
    <row r="66" spans="5:168">
      <c r="E66" s="170">
        <v>61</v>
      </c>
      <c r="F66" s="217">
        <f t="shared" si="182"/>
        <v>3.66</v>
      </c>
      <c r="G66" s="217"/>
      <c r="H66" s="217">
        <f t="shared" si="132"/>
        <v>14.64</v>
      </c>
      <c r="I66" s="541">
        <f t="shared" si="133"/>
        <v>23.929141708054917</v>
      </c>
      <c r="J66" s="172">
        <f t="shared" si="134"/>
        <v>19.605971093214215</v>
      </c>
      <c r="K66" s="172">
        <f t="shared" si="135"/>
        <v>43.605971093214215</v>
      </c>
      <c r="L66" s="443"/>
      <c r="M66" s="217">
        <f t="shared" si="136"/>
        <v>0.45006132119802567</v>
      </c>
      <c r="N66" s="172">
        <f t="shared" si="137"/>
        <v>36.221691208174448</v>
      </c>
      <c r="O66" s="172">
        <f t="shared" si="98"/>
        <v>14.64</v>
      </c>
      <c r="P66" s="217">
        <f t="shared" si="138"/>
        <v>9.0554228020436121</v>
      </c>
      <c r="Q66" s="217">
        <f t="shared" si="139"/>
        <v>4</v>
      </c>
      <c r="R66" s="217">
        <f t="shared" si="140"/>
        <v>8.9746509435516462</v>
      </c>
      <c r="S66" s="172">
        <f t="shared" si="141"/>
        <v>16.060946782876048</v>
      </c>
      <c r="T66" s="172">
        <f t="shared" si="142"/>
        <v>4</v>
      </c>
      <c r="U66" s="217">
        <f t="shared" si="143"/>
        <v>3.3276437365464138</v>
      </c>
      <c r="V66" s="217">
        <f t="shared" si="11"/>
        <v>1.6687487301358299</v>
      </c>
      <c r="W66" s="217">
        <f t="shared" si="144"/>
        <v>2.0367124203492097</v>
      </c>
      <c r="X66" s="197">
        <f t="shared" si="145"/>
        <v>350</v>
      </c>
      <c r="Y66" s="443">
        <f t="shared" si="14"/>
        <v>256.05170848410688</v>
      </c>
      <c r="AA66" s="217">
        <f t="shared" si="146"/>
        <v>2.5658219441175971</v>
      </c>
      <c r="AB66" s="173">
        <f t="shared" si="147"/>
        <v>1.5704329657033815</v>
      </c>
      <c r="AC66" s="173">
        <f t="shared" si="148"/>
        <v>2.8206159556171899</v>
      </c>
      <c r="AD66" s="173"/>
      <c r="AE66" s="173">
        <f t="shared" si="149"/>
        <v>0.81607791442361821</v>
      </c>
      <c r="AF66" s="545">
        <f t="shared" si="150"/>
        <v>1681.8247078397815</v>
      </c>
      <c r="AG66" s="528">
        <f t="shared" si="151"/>
        <v>0.76167272012871046</v>
      </c>
      <c r="AI66" s="173">
        <f t="shared" si="152"/>
        <v>2.9227729454432079</v>
      </c>
      <c r="AJ66" s="173">
        <f t="shared" si="153"/>
        <v>3.3276437365464138</v>
      </c>
      <c r="AK66" s="173">
        <f t="shared" si="154"/>
        <v>2.6772669653430228</v>
      </c>
      <c r="AM66" s="545">
        <f t="shared" si="155"/>
        <v>3660</v>
      </c>
      <c r="AN66" s="460">
        <f t="shared" si="156"/>
        <v>256.05170848410688</v>
      </c>
      <c r="AP66">
        <f t="shared" si="157"/>
        <v>3660</v>
      </c>
      <c r="AQ66">
        <f t="shared" si="158"/>
        <v>256.05170848410688</v>
      </c>
      <c r="AS66" s="5">
        <f t="shared" si="101"/>
        <v>3.9054611504850398</v>
      </c>
      <c r="AT66" s="5">
        <f t="shared" si="159"/>
        <v>1.6687487301358299</v>
      </c>
      <c r="AU66" s="5">
        <f t="shared" si="102"/>
        <v>2.2367124203492099</v>
      </c>
      <c r="AV66" s="5">
        <f t="shared" si="160"/>
        <v>2.0367124203492097</v>
      </c>
      <c r="AW66" s="173">
        <f t="shared" si="103"/>
        <v>0.42728596338196301</v>
      </c>
      <c r="AX66" s="173">
        <f t="shared" si="161"/>
        <v>17.011890392510505</v>
      </c>
      <c r="AY66" s="173">
        <f t="shared" si="162"/>
        <v>3.8115765535684485</v>
      </c>
      <c r="AZ66" s="173">
        <f t="shared" si="104"/>
        <v>4.4632162448852686</v>
      </c>
      <c r="BA66" s="460">
        <f t="shared" si="163"/>
        <v>152.69050880742847</v>
      </c>
      <c r="BB66" s="5">
        <f t="shared" si="164"/>
        <v>1.140362318932435</v>
      </c>
      <c r="BC66" s="5"/>
      <c r="BD66" s="173">
        <f t="shared" si="105"/>
        <v>1.2558434635670126</v>
      </c>
      <c r="BE66" s="173">
        <f t="shared" si="165"/>
        <v>5.8157415909693952</v>
      </c>
      <c r="BF66" s="173"/>
      <c r="BG66" s="528">
        <f t="shared" si="166"/>
        <v>1.9241142220804683E-2</v>
      </c>
      <c r="BH66" s="528">
        <f t="shared" si="167"/>
        <v>0.69664533997958655</v>
      </c>
      <c r="BI66" s="528">
        <f t="shared" si="168"/>
        <v>0.15317744042264403</v>
      </c>
      <c r="BJ66" s="528">
        <f t="shared" si="169"/>
        <v>4.8687738572078205E-2</v>
      </c>
      <c r="BK66">
        <f t="shared" si="170"/>
        <v>1.0768113768624712E-2</v>
      </c>
      <c r="BL66" s="460">
        <f t="shared" si="106"/>
        <v>163.94555419126874</v>
      </c>
      <c r="BM66" s="528">
        <f t="shared" si="171"/>
        <v>0.77330464244229191</v>
      </c>
      <c r="BN66" s="460">
        <f t="shared" si="107"/>
        <v>773.30464244229188</v>
      </c>
      <c r="BO66" s="528">
        <f t="shared" si="172"/>
        <v>2.2737749999999997</v>
      </c>
      <c r="BP66" s="528"/>
      <c r="BR66" s="460">
        <f t="shared" si="109"/>
        <v>2273.7749999999996</v>
      </c>
      <c r="BS66" s="528">
        <f t="shared" si="173"/>
        <v>4.7314284149519707E-2</v>
      </c>
      <c r="BT66" s="528">
        <f t="shared" si="174"/>
        <v>1.0146855075879369</v>
      </c>
      <c r="BU66" s="528">
        <f t="shared" si="175"/>
        <v>0.21959999999999999</v>
      </c>
      <c r="BV66" s="528">
        <f t="shared" si="176"/>
        <v>1.679139396942537</v>
      </c>
      <c r="BW66" s="528">
        <f t="shared" si="177"/>
        <v>7.0882876635460446E-2</v>
      </c>
      <c r="BX66" s="460">
        <f t="shared" si="110"/>
        <v>1750.0222735779976</v>
      </c>
      <c r="BY66" s="173">
        <f t="shared" si="45"/>
        <v>4.9610474702115575</v>
      </c>
      <c r="BZ66" s="5">
        <f t="shared" si="111"/>
        <v>14.64</v>
      </c>
      <c r="CA66" s="173">
        <f t="shared" si="112"/>
        <v>0.74689885947416601</v>
      </c>
      <c r="CB66" s="5">
        <f t="shared" si="113"/>
        <v>74.689885947416599</v>
      </c>
      <c r="CE66" s="562">
        <f t="shared" si="178"/>
        <v>-50</v>
      </c>
      <c r="CF66">
        <f t="shared" si="179"/>
        <v>-50</v>
      </c>
      <c r="CG66" s="173">
        <f t="shared" si="180"/>
        <v>0.54493269510258613</v>
      </c>
      <c r="CI66" s="170">
        <v>61</v>
      </c>
      <c r="CJ66" s="217">
        <f t="shared" si="114"/>
        <v>3.66</v>
      </c>
      <c r="CK66" s="217"/>
      <c r="CL66" s="217">
        <f t="shared" si="49"/>
        <v>14.64</v>
      </c>
      <c r="CM66" s="541">
        <f t="shared" si="50"/>
        <v>24</v>
      </c>
      <c r="CN66" s="172">
        <f t="shared" si="51"/>
        <v>18.8</v>
      </c>
      <c r="CO66" s="443">
        <f t="shared" si="52"/>
        <v>42.8</v>
      </c>
      <c r="CP66" s="443"/>
      <c r="CQ66" s="217">
        <f t="shared" si="53"/>
        <v>0.43925233644859818</v>
      </c>
      <c r="CR66" s="172">
        <f t="shared" si="54"/>
        <v>35.456448598130848</v>
      </c>
      <c r="CS66" s="172">
        <f t="shared" si="115"/>
        <v>14.64</v>
      </c>
      <c r="CT66" s="217">
        <f t="shared" si="55"/>
        <v>8.864112149532712</v>
      </c>
      <c r="CU66" s="217">
        <f t="shared" si="56"/>
        <v>4</v>
      </c>
      <c r="CV66" s="217">
        <f t="shared" si="57"/>
        <v>8.7850467289719631</v>
      </c>
      <c r="CW66" s="172">
        <f t="shared" si="58"/>
        <v>16.107807370131724</v>
      </c>
      <c r="CX66" s="172">
        <f t="shared" si="59"/>
        <v>4</v>
      </c>
      <c r="CY66" s="217">
        <f t="shared" si="60"/>
        <v>2.7774468085106379</v>
      </c>
      <c r="CZ66" s="217">
        <f t="shared" si="61"/>
        <v>1.3887234042553189</v>
      </c>
      <c r="DA66" s="217">
        <f t="shared" si="62"/>
        <v>1.7728383884110452</v>
      </c>
      <c r="DB66" s="197">
        <f t="shared" si="63"/>
        <v>350</v>
      </c>
      <c r="DC66" s="443">
        <f t="shared" si="116"/>
        <v>316.29936897631558</v>
      </c>
      <c r="DE66" s="217">
        <f t="shared" si="64"/>
        <v>2.5100133511348464</v>
      </c>
      <c r="DF66" s="173">
        <f t="shared" si="65"/>
        <v>1.6021361815754336</v>
      </c>
      <c r="DG66" s="173">
        <f t="shared" si="66"/>
        <v>2.8149682442633783</v>
      </c>
      <c r="DH66" s="173"/>
      <c r="DI66" s="173">
        <f t="shared" si="67"/>
        <v>0.85106382978723416</v>
      </c>
      <c r="DJ66" s="545">
        <f t="shared" si="117"/>
        <v>1612.6874999999998</v>
      </c>
      <c r="DK66" s="528">
        <f t="shared" si="68"/>
        <v>0.79432624113475192</v>
      </c>
      <c r="DM66" s="173">
        <f t="shared" si="69"/>
        <v>2.8620671849955883</v>
      </c>
      <c r="DN66" s="173">
        <f t="shared" si="70"/>
        <v>2.7774468085106379</v>
      </c>
      <c r="DO66" s="173">
        <f t="shared" si="71"/>
        <v>2.2697136853165216</v>
      </c>
      <c r="DQ66" s="545">
        <f t="shared" si="72"/>
        <v>3660</v>
      </c>
      <c r="DR66" s="460">
        <f t="shared" si="73"/>
        <v>316.29936897631558</v>
      </c>
      <c r="DT66">
        <f t="shared" si="74"/>
        <v>3660</v>
      </c>
      <c r="DU66">
        <f t="shared" si="75"/>
        <v>316.29936897631558</v>
      </c>
      <c r="DW66" s="5">
        <f t="shared" si="118"/>
        <v>3.1615617926663644</v>
      </c>
      <c r="DX66" s="5">
        <f t="shared" si="76"/>
        <v>1.3887234042553189</v>
      </c>
      <c r="DY66" s="5">
        <f t="shared" si="119"/>
        <v>1.7728383884110455</v>
      </c>
      <c r="DZ66" s="5">
        <f t="shared" si="77"/>
        <v>1.7728383884110452</v>
      </c>
      <c r="EA66" s="173">
        <f t="shared" si="120"/>
        <v>0.43925233644859812</v>
      </c>
      <c r="EB66" s="173">
        <f t="shared" si="78"/>
        <v>14.640000000000002</v>
      </c>
      <c r="EC66" s="173">
        <f t="shared" si="79"/>
        <v>3.1148936170212767</v>
      </c>
      <c r="ED66" s="173">
        <f t="shared" si="121"/>
        <v>4.7000000000000011</v>
      </c>
      <c r="EE66" s="460">
        <f t="shared" si="80"/>
        <v>127.06819148936168</v>
      </c>
      <c r="EF66" s="5">
        <f t="shared" si="81"/>
        <v>0.90119284744228134</v>
      </c>
      <c r="EG66" s="5"/>
      <c r="EH66" s="173">
        <f t="shared" si="122"/>
        <v>1.0627770393930198</v>
      </c>
      <c r="EI66" s="173">
        <f t="shared" si="82"/>
        <v>4.8031798732217394</v>
      </c>
      <c r="EJ66" s="173"/>
      <c r="EK66" s="528">
        <f t="shared" si="83"/>
        <v>1.3779839432624107E-2</v>
      </c>
      <c r="EL66" s="528">
        <f t="shared" si="84"/>
        <v>0.752</v>
      </c>
      <c r="EM66" s="528">
        <f t="shared" si="85"/>
        <v>3.9537421122039444E-2</v>
      </c>
      <c r="EN66" s="528">
        <f t="shared" si="86"/>
        <v>5.7940983606557389E-2</v>
      </c>
      <c r="EO66">
        <f t="shared" si="87"/>
        <v>1.0800000000000001E-2</v>
      </c>
      <c r="EP66" s="460">
        <f t="shared" si="123"/>
        <v>50.337421122039444</v>
      </c>
      <c r="EQ66" s="528">
        <f t="shared" si="88"/>
        <v>0.88066216787242757</v>
      </c>
      <c r="ER66" s="460">
        <f t="shared" si="124"/>
        <v>880.66216787242752</v>
      </c>
      <c r="ES66" s="528">
        <f t="shared" si="125"/>
        <v>2.2737749999999997</v>
      </c>
      <c r="ET66" s="528"/>
      <c r="EV66" s="460">
        <f t="shared" si="126"/>
        <v>2273.7749999999996</v>
      </c>
      <c r="EW66" s="528">
        <f t="shared" si="89"/>
        <v>3.3884851063829775E-2</v>
      </c>
      <c r="EX66" s="528">
        <f t="shared" si="90"/>
        <v>0.69211610683567215</v>
      </c>
      <c r="EY66" s="528">
        <f t="shared" si="91"/>
        <v>1.1437475956681535</v>
      </c>
      <c r="EZ66" s="528">
        <f t="shared" si="92"/>
        <v>2.1700239402037584</v>
      </c>
      <c r="FA66" s="528">
        <f t="shared" si="93"/>
        <v>6.1000000000000006E-2</v>
      </c>
      <c r="FB66" s="460">
        <f t="shared" si="127"/>
        <v>2231.0239402037582</v>
      </c>
      <c r="FC66" s="173">
        <f t="shared" si="128"/>
        <v>5.3854611080761856</v>
      </c>
      <c r="FD66" s="5">
        <f t="shared" si="129"/>
        <v>14.64</v>
      </c>
      <c r="FE66" s="173">
        <f t="shared" si="130"/>
        <v>0.73106930826655214</v>
      </c>
      <c r="FF66" s="5">
        <f t="shared" si="131"/>
        <v>73.106930826655216</v>
      </c>
      <c r="FI66" s="562">
        <f t="shared" si="94"/>
        <v>-50</v>
      </c>
      <c r="FJ66">
        <f t="shared" si="95"/>
        <v>-50</v>
      </c>
      <c r="FL66">
        <f t="shared" si="181"/>
        <v>0.56074766355140193</v>
      </c>
    </row>
    <row r="67" spans="5:168">
      <c r="E67" s="170">
        <v>62</v>
      </c>
      <c r="F67" s="217">
        <f t="shared" si="182"/>
        <v>3.7199999999999998</v>
      </c>
      <c r="G67" s="217"/>
      <c r="H67" s="217">
        <f t="shared" si="132"/>
        <v>14.879999999999999</v>
      </c>
      <c r="I67" s="541">
        <f t="shared" si="133"/>
        <v>23.928013793077429</v>
      </c>
      <c r="J67" s="172">
        <f t="shared" si="134"/>
        <v>19.618800457887055</v>
      </c>
      <c r="K67" s="172">
        <f t="shared" si="135"/>
        <v>43.618800457887055</v>
      </c>
      <c r="L67" s="443"/>
      <c r="M67" s="217">
        <f t="shared" si="136"/>
        <v>0.45023522128143162</v>
      </c>
      <c r="N67" s="172">
        <f t="shared" si="137"/>
        <v>36.233978987386422</v>
      </c>
      <c r="O67" s="172">
        <f t="shared" si="98"/>
        <v>14.879999999999999</v>
      </c>
      <c r="P67" s="217">
        <f t="shared" si="138"/>
        <v>9.0584947468466055</v>
      </c>
      <c r="Q67" s="217">
        <f t="shared" si="139"/>
        <v>4</v>
      </c>
      <c r="R67" s="217">
        <f t="shared" si="140"/>
        <v>8.9776954874594725</v>
      </c>
      <c r="S67" s="172">
        <f t="shared" si="141"/>
        <v>15.713981057826439</v>
      </c>
      <c r="T67" s="172">
        <f t="shared" si="142"/>
        <v>4</v>
      </c>
      <c r="U67" s="217">
        <f t="shared" si="143"/>
        <v>3.3832651199216923</v>
      </c>
      <c r="V67" s="217">
        <f t="shared" si="11"/>
        <v>1.6967217500854996</v>
      </c>
      <c r="W67" s="217">
        <f t="shared" si="144"/>
        <v>2.0694018233280325</v>
      </c>
      <c r="X67" s="197">
        <f t="shared" si="145"/>
        <v>350</v>
      </c>
      <c r="Y67" s="443">
        <f t="shared" si="14"/>
        <v>252.13536126392751</v>
      </c>
      <c r="AA67" s="217">
        <f t="shared" si="146"/>
        <v>2.5666900150181093</v>
      </c>
      <c r="AB67" s="173">
        <f t="shared" si="147"/>
        <v>1.5699369717497247</v>
      </c>
      <c r="AC67" s="173">
        <f t="shared" si="148"/>
        <v>2.8206790847184502</v>
      </c>
      <c r="AD67" s="173"/>
      <c r="AE67" s="173">
        <f t="shared" si="149"/>
        <v>0.81554425482561854</v>
      </c>
      <c r="AF67" s="545">
        <f t="shared" si="150"/>
        <v>1710.5141649220272</v>
      </c>
      <c r="AG67" s="528">
        <f t="shared" si="151"/>
        <v>0.76117463783724404</v>
      </c>
      <c r="AI67" s="173">
        <f t="shared" si="152"/>
        <v>2.9475966340502335</v>
      </c>
      <c r="AJ67" s="173">
        <f t="shared" si="153"/>
        <v>3.3832651199216923</v>
      </c>
      <c r="AK67" s="173">
        <f t="shared" si="154"/>
        <v>2.7184679900654509</v>
      </c>
      <c r="AM67" s="545">
        <f t="shared" si="155"/>
        <v>3719.9999999999995</v>
      </c>
      <c r="AN67" s="460">
        <f t="shared" si="156"/>
        <v>252.13536126392751</v>
      </c>
      <c r="AP67">
        <f t="shared" si="157"/>
        <v>3719.9999999999995</v>
      </c>
      <c r="AQ67">
        <f t="shared" si="158"/>
        <v>252.13536126392751</v>
      </c>
      <c r="AS67" s="5">
        <f t="shared" si="101"/>
        <v>3.9661235734135323</v>
      </c>
      <c r="AT67" s="5">
        <f t="shared" si="159"/>
        <v>1.6967217500854996</v>
      </c>
      <c r="AU67" s="5">
        <f t="shared" si="102"/>
        <v>2.2694018233280326</v>
      </c>
      <c r="AV67" s="5">
        <f t="shared" si="160"/>
        <v>2.0694018233280325</v>
      </c>
      <c r="AW67" s="173">
        <f t="shared" si="103"/>
        <v>0.42780355142217075</v>
      </c>
      <c r="AX67" s="173">
        <f t="shared" si="161"/>
        <v>17.316378564312469</v>
      </c>
      <c r="AY67" s="173">
        <f t="shared" si="162"/>
        <v>3.8717845724328717</v>
      </c>
      <c r="AZ67" s="173">
        <f t="shared" si="104"/>
        <v>4.4724540429251114</v>
      </c>
      <c r="BA67" s="460">
        <f t="shared" si="163"/>
        <v>157.79512275795145</v>
      </c>
      <c r="BB67" s="5">
        <f t="shared" si="164"/>
        <v>1.1760517547598917</v>
      </c>
      <c r="BC67" s="5"/>
      <c r="BD67" s="173">
        <f t="shared" si="105"/>
        <v>1.2776079241819083</v>
      </c>
      <c r="BE67" s="173">
        <f t="shared" si="165"/>
        <v>5.910278886992967</v>
      </c>
      <c r="BF67" s="173"/>
      <c r="BG67" s="528">
        <f t="shared" si="166"/>
        <v>1.9913840496775335E-2</v>
      </c>
      <c r="BH67" s="528">
        <f t="shared" si="167"/>
        <v>0.69766153633884131</v>
      </c>
      <c r="BI67" s="528">
        <f t="shared" si="168"/>
        <v>0.15082746005114545</v>
      </c>
      <c r="BJ67" s="528">
        <f t="shared" si="169"/>
        <v>4.797126761603783E-2</v>
      </c>
      <c r="BK67">
        <f t="shared" si="170"/>
        <v>1.0767606206884843E-2</v>
      </c>
      <c r="BL67" s="460">
        <f t="shared" si="106"/>
        <v>161.5950662580303</v>
      </c>
      <c r="BM67" s="528">
        <f t="shared" si="171"/>
        <v>0.77458836832787104</v>
      </c>
      <c r="BN67" s="460">
        <f t="shared" si="107"/>
        <v>774.58836832787108</v>
      </c>
      <c r="BO67" s="528">
        <f t="shared" si="172"/>
        <v>2.3110499999999994</v>
      </c>
      <c r="BP67" s="528"/>
      <c r="BR67" s="460">
        <f t="shared" si="109"/>
        <v>2311.0499999999993</v>
      </c>
      <c r="BS67" s="528">
        <f t="shared" si="173"/>
        <v>4.896846023797214E-2</v>
      </c>
      <c r="BT67" s="528">
        <f t="shared" si="174"/>
        <v>1.0479418956610447</v>
      </c>
      <c r="BU67" s="528">
        <f t="shared" si="175"/>
        <v>0.22319999999999998</v>
      </c>
      <c r="BV67" s="528">
        <f t="shared" si="176"/>
        <v>1.7356796389541289</v>
      </c>
      <c r="BW67" s="528">
        <f t="shared" si="177"/>
        <v>7.2151577351301954E-2</v>
      </c>
      <c r="BX67" s="460">
        <f t="shared" si="110"/>
        <v>1807.8312163054309</v>
      </c>
      <c r="BY67" s="173">
        <f t="shared" si="45"/>
        <v>5.0550646508913308</v>
      </c>
      <c r="BZ67" s="5">
        <f t="shared" si="111"/>
        <v>14.879999999999999</v>
      </c>
      <c r="CA67" s="173">
        <f t="shared" si="112"/>
        <v>0.74642346340896815</v>
      </c>
      <c r="CB67" s="5">
        <f t="shared" si="113"/>
        <v>74.642346340896808</v>
      </c>
      <c r="CE67" s="562">
        <f t="shared" si="178"/>
        <v>-50</v>
      </c>
      <c r="CF67">
        <f t="shared" si="179"/>
        <v>-50</v>
      </c>
      <c r="CG67" s="173">
        <f t="shared" si="180"/>
        <v>0.54518777523885742</v>
      </c>
      <c r="CI67" s="170">
        <v>62</v>
      </c>
      <c r="CJ67" s="217">
        <f t="shared" si="114"/>
        <v>3.7199999999999998</v>
      </c>
      <c r="CK67" s="217"/>
      <c r="CL67" s="217">
        <f t="shared" si="49"/>
        <v>14.879999999999999</v>
      </c>
      <c r="CM67" s="541">
        <f t="shared" si="50"/>
        <v>24</v>
      </c>
      <c r="CN67" s="172">
        <f t="shared" si="51"/>
        <v>18.8</v>
      </c>
      <c r="CO67" s="443">
        <f t="shared" si="52"/>
        <v>42.8</v>
      </c>
      <c r="CP67" s="443"/>
      <c r="CQ67" s="217">
        <f t="shared" si="53"/>
        <v>0.43925233644859818</v>
      </c>
      <c r="CR67" s="172">
        <f t="shared" si="54"/>
        <v>35.456448598130848</v>
      </c>
      <c r="CS67" s="172">
        <f t="shared" si="115"/>
        <v>14.879999999999999</v>
      </c>
      <c r="CT67" s="217">
        <f t="shared" si="55"/>
        <v>8.864112149532712</v>
      </c>
      <c r="CU67" s="217">
        <f t="shared" si="56"/>
        <v>4</v>
      </c>
      <c r="CV67" s="217">
        <f t="shared" si="57"/>
        <v>8.7850467289719631</v>
      </c>
      <c r="CW67" s="172">
        <f t="shared" si="58"/>
        <v>15.760532129270603</v>
      </c>
      <c r="CX67" s="172">
        <f t="shared" si="59"/>
        <v>4</v>
      </c>
      <c r="CY67" s="217">
        <f t="shared" si="60"/>
        <v>2.8229787234042547</v>
      </c>
      <c r="CZ67" s="217">
        <f t="shared" si="61"/>
        <v>1.4114893617021274</v>
      </c>
      <c r="DA67" s="217">
        <f t="shared" si="62"/>
        <v>1.8019013128112265</v>
      </c>
      <c r="DB67" s="197">
        <f t="shared" si="63"/>
        <v>350</v>
      </c>
      <c r="DC67" s="443">
        <f t="shared" si="116"/>
        <v>311.19776625089105</v>
      </c>
      <c r="DE67" s="217">
        <f t="shared" si="64"/>
        <v>2.5100133511348464</v>
      </c>
      <c r="DF67" s="173">
        <f t="shared" si="65"/>
        <v>1.6021361815754336</v>
      </c>
      <c r="DG67" s="173">
        <f t="shared" si="66"/>
        <v>2.8149682442633783</v>
      </c>
      <c r="DH67" s="173"/>
      <c r="DI67" s="173">
        <f t="shared" si="67"/>
        <v>0.85106382978723416</v>
      </c>
      <c r="DJ67" s="545">
        <f t="shared" si="117"/>
        <v>1639.1249999999995</v>
      </c>
      <c r="DK67" s="528">
        <f t="shared" si="68"/>
        <v>0.79432624113475192</v>
      </c>
      <c r="DM67" s="173">
        <f t="shared" si="69"/>
        <v>2.8854313864159526</v>
      </c>
      <c r="DN67" s="173">
        <f t="shared" si="70"/>
        <v>2.8229787234042547</v>
      </c>
      <c r="DO67" s="173">
        <f t="shared" si="71"/>
        <v>2.3034410296821637</v>
      </c>
      <c r="DQ67" s="545">
        <f t="shared" si="72"/>
        <v>3719.9999999999995</v>
      </c>
      <c r="DR67" s="460">
        <f t="shared" si="73"/>
        <v>311.19776625089105</v>
      </c>
      <c r="DT67">
        <f t="shared" si="74"/>
        <v>3719.9999999999995</v>
      </c>
      <c r="DU67">
        <f t="shared" si="75"/>
        <v>311.19776625089105</v>
      </c>
      <c r="DW67" s="5">
        <f t="shared" si="118"/>
        <v>3.2133906745133545</v>
      </c>
      <c r="DX67" s="5">
        <f t="shared" si="76"/>
        <v>1.4114893617021274</v>
      </c>
      <c r="DY67" s="5">
        <f t="shared" si="119"/>
        <v>1.8019013128112271</v>
      </c>
      <c r="DZ67" s="5">
        <f t="shared" si="77"/>
        <v>1.8019013128112265</v>
      </c>
      <c r="EA67" s="173">
        <f t="shared" si="120"/>
        <v>0.43925233644859801</v>
      </c>
      <c r="EB67" s="173">
        <f t="shared" si="78"/>
        <v>14.879999999999994</v>
      </c>
      <c r="EC67" s="173">
        <f t="shared" si="79"/>
        <v>3.1659574468085103</v>
      </c>
      <c r="ED67" s="173">
        <f t="shared" si="121"/>
        <v>4.6999999999999984</v>
      </c>
      <c r="EE67" s="460">
        <f t="shared" si="80"/>
        <v>131.26851063829784</v>
      </c>
      <c r="EF67" s="5">
        <f t="shared" si="81"/>
        <v>0.93098234495246723</v>
      </c>
      <c r="EG67" s="5"/>
      <c r="EH67" s="173">
        <f t="shared" si="122"/>
        <v>1.0801996138092986</v>
      </c>
      <c r="EI67" s="173">
        <f t="shared" si="82"/>
        <v>4.8819205268811121</v>
      </c>
      <c r="EJ67" s="173"/>
      <c r="EK67" s="528">
        <f t="shared" si="83"/>
        <v>1.4235340709219847E-2</v>
      </c>
      <c r="EL67" s="528">
        <f t="shared" si="84"/>
        <v>0.75199999999999967</v>
      </c>
      <c r="EM67" s="528">
        <f t="shared" si="85"/>
        <v>3.8899720781361384E-2</v>
      </c>
      <c r="EN67" s="528">
        <f t="shared" si="86"/>
        <v>5.7006451612903221E-2</v>
      </c>
      <c r="EO67">
        <f t="shared" si="87"/>
        <v>1.0800000000000001E-2</v>
      </c>
      <c r="EP67" s="460">
        <f t="shared" si="123"/>
        <v>49.699720781361378</v>
      </c>
      <c r="EQ67" s="528">
        <f t="shared" si="88"/>
        <v>0.87976068457255563</v>
      </c>
      <c r="ER67" s="460">
        <f t="shared" si="124"/>
        <v>879.76068457255565</v>
      </c>
      <c r="ES67" s="528">
        <f t="shared" si="125"/>
        <v>2.3110499999999994</v>
      </c>
      <c r="ET67" s="528"/>
      <c r="EV67" s="460">
        <f t="shared" si="126"/>
        <v>2311.0499999999993</v>
      </c>
      <c r="EW67" s="528">
        <f t="shared" si="89"/>
        <v>3.500493617021274E-2</v>
      </c>
      <c r="EX67" s="528">
        <f t="shared" si="90"/>
        <v>0.71499444092349473</v>
      </c>
      <c r="EY67" s="528">
        <f t="shared" si="91"/>
        <v>1.1437475956681504</v>
      </c>
      <c r="EZ67" s="528">
        <f t="shared" si="92"/>
        <v>2.206113524817221</v>
      </c>
      <c r="FA67" s="528">
        <f t="shared" si="93"/>
        <v>6.1999999999999979E-2</v>
      </c>
      <c r="FB67" s="460">
        <f t="shared" si="127"/>
        <v>2268.1135248172209</v>
      </c>
      <c r="FC67" s="173">
        <f t="shared" si="128"/>
        <v>5.4589242093897763</v>
      </c>
      <c r="FD67" s="5">
        <f t="shared" si="129"/>
        <v>14.879999999999999</v>
      </c>
      <c r="FE67" s="173">
        <f t="shared" si="130"/>
        <v>0.73160211655296992</v>
      </c>
      <c r="FF67" s="5">
        <f t="shared" si="131"/>
        <v>73.16021165529699</v>
      </c>
      <c r="FI67" s="562">
        <f t="shared" si="94"/>
        <v>-50</v>
      </c>
      <c r="FJ67">
        <f t="shared" si="95"/>
        <v>-50</v>
      </c>
      <c r="FL67">
        <f t="shared" si="181"/>
        <v>0.56074766355140193</v>
      </c>
    </row>
    <row r="68" spans="5:168">
      <c r="E68" s="170">
        <v>63</v>
      </c>
      <c r="F68" s="217">
        <f t="shared" si="182"/>
        <v>3.7800000000000002</v>
      </c>
      <c r="G68" s="217"/>
      <c r="H68" s="217">
        <f t="shared" si="132"/>
        <v>15.120000000000001</v>
      </c>
      <c r="I68" s="541">
        <f t="shared" si="133"/>
        <v>23.926885847583339</v>
      </c>
      <c r="J68" s="172">
        <f t="shared" si="134"/>
        <v>19.631630169668163</v>
      </c>
      <c r="K68" s="172">
        <f t="shared" si="135"/>
        <v>43.631630169668163</v>
      </c>
      <c r="L68" s="443"/>
      <c r="M68" s="217">
        <f t="shared" si="136"/>
        <v>0.45040902811469347</v>
      </c>
      <c r="N68" s="172">
        <f t="shared" si="137"/>
        <v>36.246257896750052</v>
      </c>
      <c r="O68" s="172">
        <f t="shared" si="98"/>
        <v>15.120000000000001</v>
      </c>
      <c r="P68" s="217">
        <f t="shared" si="138"/>
        <v>9.061564474187513</v>
      </c>
      <c r="Q68" s="217">
        <f t="shared" si="139"/>
        <v>4</v>
      </c>
      <c r="R68" s="217">
        <f t="shared" si="140"/>
        <v>8.9807378336843549</v>
      </c>
      <c r="S68" s="172">
        <f t="shared" si="141"/>
        <v>15.378251776930011</v>
      </c>
      <c r="T68" s="172">
        <f t="shared" si="142"/>
        <v>4</v>
      </c>
      <c r="U68" s="217">
        <f t="shared" si="143"/>
        <v>3.4389211189488424</v>
      </c>
      <c r="V68" s="217">
        <f t="shared" si="11"/>
        <v>1.7247147702488896</v>
      </c>
      <c r="W68" s="217">
        <f t="shared" si="144"/>
        <v>2.1020696228857112</v>
      </c>
      <c r="X68" s="197">
        <f t="shared" si="145"/>
        <v>350</v>
      </c>
      <c r="Y68" s="443">
        <f t="shared" si="14"/>
        <v>248.33711030194053</v>
      </c>
      <c r="AA68" s="217">
        <f t="shared" si="146"/>
        <v>2.5675574847931633</v>
      </c>
      <c r="AB68" s="173">
        <f t="shared" si="147"/>
        <v>1.5694412308725127</v>
      </c>
      <c r="AC68" s="173">
        <f t="shared" si="148"/>
        <v>2.8207414054888003</v>
      </c>
      <c r="AD68" s="173"/>
      <c r="AE68" s="173">
        <f t="shared" si="149"/>
        <v>0.81501127831558229</v>
      </c>
      <c r="AF68" s="545">
        <f t="shared" si="150"/>
        <v>1739.2397353440385</v>
      </c>
      <c r="AG68" s="528">
        <f t="shared" si="151"/>
        <v>0.76067719309454362</v>
      </c>
      <c r="AI68" s="173">
        <f t="shared" si="152"/>
        <v>2.9722438621941296</v>
      </c>
      <c r="AJ68" s="173">
        <f t="shared" si="153"/>
        <v>3.4389211189488424</v>
      </c>
      <c r="AK68" s="173">
        <f t="shared" si="154"/>
        <v>2.7596946560114883</v>
      </c>
      <c r="AM68" s="545">
        <f t="shared" si="155"/>
        <v>3780.0000000000005</v>
      </c>
      <c r="AN68" s="460">
        <f t="shared" si="156"/>
        <v>248.33711030194053</v>
      </c>
      <c r="AP68">
        <f t="shared" si="157"/>
        <v>3780.0000000000005</v>
      </c>
      <c r="AQ68">
        <f t="shared" si="158"/>
        <v>248.33711030194053</v>
      </c>
      <c r="AS68" s="5">
        <f t="shared" si="101"/>
        <v>4.0267843931346006</v>
      </c>
      <c r="AT68" s="5">
        <f t="shared" si="159"/>
        <v>1.7247147702488896</v>
      </c>
      <c r="AU68" s="5">
        <f t="shared" si="102"/>
        <v>2.3020696228857109</v>
      </c>
      <c r="AV68" s="5">
        <f t="shared" si="160"/>
        <v>2.1020696228857112</v>
      </c>
      <c r="AW68" s="173">
        <f t="shared" si="103"/>
        <v>0.42831068213868456</v>
      </c>
      <c r="AX68" s="173">
        <f t="shared" si="161"/>
        <v>17.621273911533784</v>
      </c>
      <c r="AY68" s="173">
        <f t="shared" si="162"/>
        <v>3.9319889373414703</v>
      </c>
      <c r="AZ68" s="173">
        <f t="shared" si="104"/>
        <v>4.4815166553973143</v>
      </c>
      <c r="BA68" s="460">
        <f t="shared" si="163"/>
        <v>162.98554578852008</v>
      </c>
      <c r="BB68" s="5">
        <f t="shared" si="164"/>
        <v>1.2122796687012081</v>
      </c>
      <c r="BC68" s="5"/>
      <c r="BD68" s="173">
        <f t="shared" si="105"/>
        <v>1.2993945467414121</v>
      </c>
      <c r="BE68" s="173">
        <f t="shared" si="165"/>
        <v>6.004842445026469</v>
      </c>
      <c r="BF68" s="173"/>
      <c r="BG68" s="528">
        <f t="shared" si="166"/>
        <v>2.05987994948361E-2</v>
      </c>
      <c r="BH68" s="528">
        <f t="shared" si="167"/>
        <v>0.69866107697087931</v>
      </c>
      <c r="BI68" s="528">
        <f t="shared" si="168"/>
        <v>0.14854834224783106</v>
      </c>
      <c r="BJ68" s="528">
        <f t="shared" si="169"/>
        <v>4.7276411285104097E-2</v>
      </c>
      <c r="BK68">
        <f t="shared" si="170"/>
        <v>1.0767098631412503E-2</v>
      </c>
      <c r="BL68" s="460">
        <f t="shared" si="106"/>
        <v>159.31544087924357</v>
      </c>
      <c r="BM68" s="528">
        <f t="shared" si="171"/>
        <v>0.77589540893073383</v>
      </c>
      <c r="BN68" s="460">
        <f t="shared" si="107"/>
        <v>775.89540893073388</v>
      </c>
      <c r="BO68" s="528">
        <f t="shared" si="172"/>
        <v>2.348325</v>
      </c>
      <c r="BP68" s="528"/>
      <c r="BR68" s="460">
        <f t="shared" si="109"/>
        <v>2348.3249999999998</v>
      </c>
      <c r="BS68" s="528">
        <f t="shared" si="173"/>
        <v>5.0652785643039593E-2</v>
      </c>
      <c r="BT68" s="528">
        <f t="shared" si="174"/>
        <v>1.0817439836877438</v>
      </c>
      <c r="BU68" s="528">
        <f t="shared" si="175"/>
        <v>0.2268</v>
      </c>
      <c r="BV68" s="528">
        <f t="shared" si="176"/>
        <v>1.793443130529367</v>
      </c>
      <c r="BW68" s="528">
        <f t="shared" si="177"/>
        <v>7.3421974631390788E-2</v>
      </c>
      <c r="BX68" s="460">
        <f t="shared" si="110"/>
        <v>1866.8651051607578</v>
      </c>
      <c r="BY68" s="173">
        <f t="shared" si="45"/>
        <v>5.1504009549707348</v>
      </c>
      <c r="BZ68" s="5">
        <f t="shared" si="111"/>
        <v>15.120000000000001</v>
      </c>
      <c r="CA68" s="173">
        <f t="shared" si="112"/>
        <v>0.74591519100130343</v>
      </c>
      <c r="CB68" s="5">
        <f t="shared" si="113"/>
        <v>74.591519100130341</v>
      </c>
      <c r="CE68" s="562">
        <f t="shared" si="178"/>
        <v>-50</v>
      </c>
      <c r="CF68">
        <f t="shared" si="179"/>
        <v>-50</v>
      </c>
      <c r="CG68" s="173">
        <f t="shared" si="180"/>
        <v>0.54543475759302462</v>
      </c>
      <c r="CI68" s="170">
        <v>63</v>
      </c>
      <c r="CJ68" s="217">
        <f t="shared" si="114"/>
        <v>3.7800000000000002</v>
      </c>
      <c r="CK68" s="217"/>
      <c r="CL68" s="217">
        <f t="shared" si="49"/>
        <v>15.120000000000001</v>
      </c>
      <c r="CM68" s="541">
        <f t="shared" si="50"/>
        <v>24</v>
      </c>
      <c r="CN68" s="172">
        <f t="shared" si="51"/>
        <v>18.8</v>
      </c>
      <c r="CO68" s="443">
        <f t="shared" si="52"/>
        <v>42.8</v>
      </c>
      <c r="CP68" s="443"/>
      <c r="CQ68" s="217">
        <f t="shared" si="53"/>
        <v>0.43925233644859818</v>
      </c>
      <c r="CR68" s="172">
        <f t="shared" si="54"/>
        <v>35.456448598130848</v>
      </c>
      <c r="CS68" s="172">
        <f t="shared" si="115"/>
        <v>15.120000000000001</v>
      </c>
      <c r="CT68" s="217">
        <f t="shared" si="55"/>
        <v>8.864112149532712</v>
      </c>
      <c r="CU68" s="217">
        <f t="shared" si="56"/>
        <v>4</v>
      </c>
      <c r="CV68" s="217">
        <f t="shared" si="57"/>
        <v>8.7850467289719631</v>
      </c>
      <c r="CW68" s="172">
        <f t="shared" si="58"/>
        <v>15.424494446695812</v>
      </c>
      <c r="CX68" s="172">
        <f t="shared" si="59"/>
        <v>4</v>
      </c>
      <c r="CY68" s="217">
        <f t="shared" si="60"/>
        <v>2.868510638297872</v>
      </c>
      <c r="CZ68" s="217">
        <f t="shared" si="61"/>
        <v>1.434255319148936</v>
      </c>
      <c r="DA68" s="217">
        <f t="shared" si="62"/>
        <v>1.8309642372114077</v>
      </c>
      <c r="DB68" s="197">
        <f t="shared" si="63"/>
        <v>350</v>
      </c>
      <c r="DC68" s="443">
        <f t="shared" si="116"/>
        <v>306.25811916754361</v>
      </c>
      <c r="DE68" s="217">
        <f t="shared" si="64"/>
        <v>2.5100133511348464</v>
      </c>
      <c r="DF68" s="173">
        <f t="shared" si="65"/>
        <v>1.6021361815754336</v>
      </c>
      <c r="DG68" s="173">
        <f t="shared" si="66"/>
        <v>2.8149682442633783</v>
      </c>
      <c r="DH68" s="173"/>
      <c r="DI68" s="173">
        <f t="shared" si="67"/>
        <v>0.85106382978723416</v>
      </c>
      <c r="DJ68" s="545">
        <f t="shared" si="117"/>
        <v>1665.5624999999998</v>
      </c>
      <c r="DK68" s="528">
        <f t="shared" si="68"/>
        <v>0.79432624113475192</v>
      </c>
      <c r="DM68" s="173">
        <f t="shared" si="69"/>
        <v>2.9086079144497976</v>
      </c>
      <c r="DN68" s="173">
        <f t="shared" si="70"/>
        <v>2.868510638297872</v>
      </c>
      <c r="DO68" s="173">
        <f t="shared" si="71"/>
        <v>2.3371683740478062</v>
      </c>
      <c r="DQ68" s="545">
        <f t="shared" si="72"/>
        <v>3780.0000000000005</v>
      </c>
      <c r="DR68" s="460">
        <f t="shared" si="73"/>
        <v>306.25811916754361</v>
      </c>
      <c r="DT68">
        <f t="shared" si="74"/>
        <v>3780.0000000000005</v>
      </c>
      <c r="DU68">
        <f t="shared" si="75"/>
        <v>306.25811916754361</v>
      </c>
      <c r="DW68" s="5">
        <f t="shared" si="118"/>
        <v>3.2652195563603432</v>
      </c>
      <c r="DX68" s="5">
        <f t="shared" si="76"/>
        <v>1.434255319148936</v>
      </c>
      <c r="DY68" s="5">
        <f t="shared" si="119"/>
        <v>1.8309642372114072</v>
      </c>
      <c r="DZ68" s="5">
        <f t="shared" si="77"/>
        <v>1.8309642372114077</v>
      </c>
      <c r="EA68" s="173">
        <f t="shared" si="120"/>
        <v>0.43925233644859818</v>
      </c>
      <c r="EB68" s="173">
        <f t="shared" si="78"/>
        <v>15.119999999999997</v>
      </c>
      <c r="EC68" s="173">
        <f t="shared" si="79"/>
        <v>3.217021276595744</v>
      </c>
      <c r="ED68" s="173">
        <f t="shared" si="121"/>
        <v>4.7</v>
      </c>
      <c r="EE68" s="460">
        <f t="shared" si="80"/>
        <v>135.53712765957445</v>
      </c>
      <c r="EF68" s="5">
        <f t="shared" si="81"/>
        <v>0.96125622453598869</v>
      </c>
      <c r="EG68" s="5"/>
      <c r="EH68" s="173">
        <f t="shared" si="122"/>
        <v>1.0976221882255781</v>
      </c>
      <c r="EI68" s="173">
        <f t="shared" si="82"/>
        <v>4.9606611805404848</v>
      </c>
      <c r="EJ68" s="173"/>
      <c r="EK68" s="528">
        <f t="shared" si="83"/>
        <v>1.4698248510638298E-2</v>
      </c>
      <c r="EL68" s="528">
        <f t="shared" si="84"/>
        <v>0.752</v>
      </c>
      <c r="EM68" s="528">
        <f t="shared" si="85"/>
        <v>3.8282264895942948E-2</v>
      </c>
      <c r="EN68" s="528">
        <f t="shared" si="86"/>
        <v>5.6101587301587305E-2</v>
      </c>
      <c r="EO68">
        <f t="shared" si="87"/>
        <v>1.0800000000000001E-2</v>
      </c>
      <c r="EP68" s="460">
        <f t="shared" si="123"/>
        <v>49.082264895942949</v>
      </c>
      <c r="EQ68" s="528">
        <f t="shared" si="88"/>
        <v>0.87892008379511743</v>
      </c>
      <c r="ER68" s="460">
        <f t="shared" si="124"/>
        <v>878.92008379511742</v>
      </c>
      <c r="ES68" s="528">
        <f t="shared" si="125"/>
        <v>2.348325</v>
      </c>
      <c r="ET68" s="528"/>
      <c r="EV68" s="460">
        <f t="shared" si="126"/>
        <v>2348.3249999999998</v>
      </c>
      <c r="EW68" s="528">
        <f t="shared" si="89"/>
        <v>3.6143234042553193E-2</v>
      </c>
      <c r="EX68" s="528">
        <f t="shared" si="90"/>
        <v>0.73824478044363939</v>
      </c>
      <c r="EY68" s="528">
        <f t="shared" si="91"/>
        <v>1.1437475956681522</v>
      </c>
      <c r="EZ68" s="528">
        <f t="shared" si="92"/>
        <v>2.2429412812635761</v>
      </c>
      <c r="FA68" s="528">
        <f t="shared" si="93"/>
        <v>6.3E-2</v>
      </c>
      <c r="FB68" s="460">
        <f t="shared" si="127"/>
        <v>2305.941281263576</v>
      </c>
      <c r="FC68" s="173">
        <f t="shared" si="128"/>
        <v>5.5331863650586932</v>
      </c>
      <c r="FD68" s="5">
        <f t="shared" si="129"/>
        <v>15.120000000000001</v>
      </c>
      <c r="FE68" s="173">
        <f t="shared" si="130"/>
        <v>0.73209042579406525</v>
      </c>
      <c r="FF68" s="5">
        <f t="shared" si="131"/>
        <v>73.209042579406528</v>
      </c>
      <c r="FI68" s="562">
        <f t="shared" si="94"/>
        <v>-50</v>
      </c>
      <c r="FJ68">
        <f t="shared" si="95"/>
        <v>-50</v>
      </c>
      <c r="FL68">
        <f t="shared" si="181"/>
        <v>0.56074766355140182</v>
      </c>
    </row>
    <row r="69" spans="5:168">
      <c r="E69" s="170">
        <v>64</v>
      </c>
      <c r="F69" s="217">
        <f t="shared" si="182"/>
        <v>3.84</v>
      </c>
      <c r="G69" s="217"/>
      <c r="H69" s="217">
        <f t="shared" ref="H69:H100" si="183">F69*Vout</f>
        <v>15.36</v>
      </c>
      <c r="I69" s="541">
        <f t="shared" ref="I69:I105" si="184">Vin-F69*(Rdcr_pri+RON/1000)/CG69/Nps</f>
        <v>23.925757873042631</v>
      </c>
      <c r="J69" s="172">
        <f t="shared" ref="J69:J105" si="185">(T69+Vfwd1+F69/CG69*Rdcr_sec)*Nps</f>
        <v>19.644460211837384</v>
      </c>
      <c r="K69" s="172">
        <f t="shared" ref="K69:K105" si="186">(Vout+Vfwd1+F69/CG69*Rdcr_sec)*Nps+VIN_nom</f>
        <v>43.644460211837384</v>
      </c>
      <c r="L69" s="443"/>
      <c r="M69" s="217">
        <f t="shared" ref="M69:M105" si="187">(Vout+Vfwd1+F69/FL69*Rdcr_sec)*Nps/((Vout+Vfwd1+F69/FL69*Rdcr_sec)*Nps+I69)</f>
        <v>0.45058274175820534</v>
      </c>
      <c r="N69" s="172">
        <f t="shared" ref="N69:N100" si="188">M69*I69*(Isw_max+VIN_nom/Lmag*ILIM_delay)*0.5*Efficiency</f>
        <v>36.258527944360736</v>
      </c>
      <c r="O69" s="172">
        <f t="shared" si="98"/>
        <v>15.36</v>
      </c>
      <c r="P69" s="217">
        <f t="shared" ref="P69:P100" si="189">N69/Vout</f>
        <v>9.0646319860901841</v>
      </c>
      <c r="Q69" s="217">
        <f t="shared" ref="Q69:Q105" si="190">MIN(Vout,N69/F69)</f>
        <v>4</v>
      </c>
      <c r="R69" s="217">
        <f t="shared" ref="R69:R100" si="191">Isw_max/2*I69*Nps*(Q69+Vfwd1+F69/FL69*Rdcr_sec)/Q69/(I69+Nps*(Q69+Vfwd1+F69/FL69*Rdcr_sec))</f>
        <v>8.9837779842320984</v>
      </c>
      <c r="S69" s="172">
        <f t="shared" ref="S69:S105" si="192">(SQRT(Isw_max^2*Nps^2*I69^2+4*Isw_max*F69/Efficiency*(Nps^2*Vfwd1*I69-Nps*I69^2)+4*(F69/Efficiency)^2*Nps^2*Vfwd1^2+8*(F69/Efficiency)^2*Nps*Vfwd1*I69+4*(F69/Efficiency)^2*I69^2)-2*F69/Efficiency*I69-2*F69/Efficiency*Nps*Vfwd1+Isw_max*Nps*I69)/(4*F69/Efficiency*Nps)</f>
        <v>15.053234740986673</v>
      </c>
      <c r="T69" s="172">
        <f t="shared" ref="T69:T100" si="193">MIN(Vout, S69)</f>
        <v>4</v>
      </c>
      <c r="U69" s="217">
        <f t="shared" ref="U69:U105" si="194">MIN(2*(Vout+Vfwd1+F69/FL69*Rdcr_sec)*F69/(I69*M69), Isw_max)</f>
        <v>3.4946117385250068</v>
      </c>
      <c r="V69" s="217">
        <f t="shared" ref="V69:V104" si="195">L*U69/I69*1000000</f>
        <v>1.7527277959102399</v>
      </c>
      <c r="W69" s="217">
        <f t="shared" ref="W69:W105" si="196">L*U69/J69*1000000</f>
        <v>2.1347158644262785</v>
      </c>
      <c r="X69" s="197">
        <f t="shared" ref="X69:X105" si="197">IF(1/((350000*L)*(1/I69+1/J69))&gt;Isw_min, 350, 0.001/((Isw_min*L)*(1/I69+1/J69)))</f>
        <v>350</v>
      </c>
      <c r="Y69" s="443">
        <f t="shared" ref="Y69:Y104" si="198">MIN(1/(V69+W69+0.2)*1000, 350)</f>
        <v>244.65169017587641</v>
      </c>
      <c r="AA69" s="217">
        <f t="shared" ref="AA69:AA105" si="199">1/((X69*1000*L)*(1/I69+1/J69))</f>
        <v>2.5684243527660491</v>
      </c>
      <c r="AB69" s="173">
        <f t="shared" ref="AB69:AB100" si="200">L*AA69/J69*1000000</f>
        <v>1.5689457435241909</v>
      </c>
      <c r="AC69" s="173">
        <f t="shared" ref="AC69:AC100" si="201">0.5*AB69*AA69*Nps*X69/1000</f>
        <v>2.8208029190853177</v>
      </c>
      <c r="AD69" s="173"/>
      <c r="AE69" s="173">
        <f t="shared" ref="AE69:AE105" si="202">L*Isw_min/J69*1000000</f>
        <v>0.81447898427663101</v>
      </c>
      <c r="AF69" s="545">
        <f t="shared" ref="AF69:AF100" si="203">MAX(12, F69/(0.5*AE69/1000000*Isw_min*Nps)/1000)</f>
        <v>1768.0014190653637</v>
      </c>
      <c r="AG69" s="528">
        <f t="shared" ref="AG69:AG105" si="204">0.5*AE69/1000000*Isw_min*Nps*X69*1000</f>
        <v>0.76018038532485577</v>
      </c>
      <c r="AI69" s="173">
        <f t="shared" ref="AI69:AI105" si="205">SQRT(F69/Efficiency/(0.5*L/J69*Fsw_DCM*Nps))</f>
        <v>2.9967189838669421</v>
      </c>
      <c r="AJ69" s="173">
        <f t="shared" ref="AJ69:AJ100" si="206">MAX(IF(F69&gt;AC69,U69,AI69),Isw_min)</f>
        <v>3.4946117385250068</v>
      </c>
      <c r="AK69" s="173">
        <f t="shared" ref="AK69:AK100" si="207">IF(F69&gt;AG69, (AJ69-Isw_min)/1.08*0.8+1.2, AF69*0.2/350+1)</f>
        <v>2.8009469668086471</v>
      </c>
      <c r="AM69" s="545">
        <f t="shared" ref="AM69:AM105" si="208">F69*1000</f>
        <v>3840</v>
      </c>
      <c r="AN69" s="460">
        <f t="shared" ref="AN69:AN105" si="209">IF(F69&gt;AG69, Y69, AF69)</f>
        <v>244.65169017587641</v>
      </c>
      <c r="AP69">
        <f t="shared" ref="AP69:AP105" si="210">IF(H69&gt;N69, "",AM69)</f>
        <v>3840</v>
      </c>
      <c r="AQ69">
        <f t="shared" ref="AQ69:AQ105" si="211">IF(H69&gt;N69, "",AN69)</f>
        <v>244.65169017587641</v>
      </c>
      <c r="AS69" s="5">
        <f t="shared" si="101"/>
        <v>4.0874436603365174</v>
      </c>
      <c r="AT69" s="5">
        <f t="shared" ref="AT69:AT105" si="212">L*AJ69/I69*1000000</f>
        <v>1.7527277959102399</v>
      </c>
      <c r="AU69" s="5">
        <f t="shared" si="102"/>
        <v>2.3347158644262773</v>
      </c>
      <c r="AV69" s="5">
        <f t="shared" ref="AV69:AV105" si="213">L*AJ69/J69*1000000</f>
        <v>2.1347158644262785</v>
      </c>
      <c r="AW69" s="173">
        <f t="shared" si="103"/>
        <v>0.42880781768767878</v>
      </c>
      <c r="AX69" s="173">
        <f t="shared" ref="AX69:AX132" si="214">0.5*L*AJ69^2*AN69*1000</f>
        <v>17.92657546066042</v>
      </c>
      <c r="AY69" s="173">
        <f t="shared" ref="AY69:AY132" si="215">AJ69*Nps/2*(1-AW69)</f>
        <v>3.9921898105247067</v>
      </c>
      <c r="AZ69" s="173">
        <f t="shared" si="104"/>
        <v>4.4904116065323736</v>
      </c>
      <c r="BA69" s="460">
        <f t="shared" ref="BA69:BA105" si="216">F69*AT69/Vout_ripple*1000</f>
        <v>168.26186840738302</v>
      </c>
      <c r="BB69" s="5">
        <f t="shared" ref="BB69:BB105" si="217">H69/Efficiency/I69*AU69/Vinripple1</f>
        <v>1.2490456195047988</v>
      </c>
      <c r="BC69" s="5"/>
      <c r="BD69" s="173">
        <f t="shared" si="105"/>
        <v>1.3212033045544744</v>
      </c>
      <c r="BE69" s="173">
        <f t="shared" ref="BE69:BE132" si="218">AJ69*Nps*SQRT((1-AW69)/3)</f>
        <v>6.0994324051296358</v>
      </c>
      <c r="BF69" s="173"/>
      <c r="BG69" s="528">
        <f t="shared" ref="BG69:BG105" si="219">Rdson*BD69^2</f>
        <v>2.1296053697981092E-2</v>
      </c>
      <c r="BH69" s="528">
        <f t="shared" ref="BH69:BH105" si="220">0.5*K69*AJ69*AN69*1000*Tfall</f>
        <v>0.6996447030170696</v>
      </c>
      <c r="BI69" s="528">
        <f t="shared" ref="BI69:BI105" si="221">Qg*Vdd*AN69*1000*0+Qg*I69*AN69*1000</f>
        <v>0.14633692755946653</v>
      </c>
      <c r="BJ69" s="528">
        <f t="shared" ref="BJ69:BJ105" si="222">0.5*(Coss+Csw)*K69^2*AN69*1000</f>
        <v>4.6602205815500626E-2</v>
      </c>
      <c r="BK69">
        <f t="shared" ref="BK69:BK105" si="223">I69*IQ</f>
        <v>1.0766591042869183E-2</v>
      </c>
      <c r="BL69" s="460">
        <f t="shared" si="106"/>
        <v>157.1035186023357</v>
      </c>
      <c r="BM69" s="528">
        <f t="shared" ref="BM69:BM105" si="224">(BH69+BI69*0+BJ69+BK69*0+BG69*(1+RdsonTC*(Ta-25)))/(1-BG69*RdsonTC*ThetaJA)</f>
        <v>0.77722561383466848</v>
      </c>
      <c r="BN69" s="460">
        <f t="shared" si="107"/>
        <v>777.22561383466848</v>
      </c>
      <c r="BO69" s="528">
        <f t="shared" ref="BO69:BO105" si="225">Vfwd2*F69*(1+Diode_TC/1000*(Ta-25))</f>
        <v>2.3855999999999997</v>
      </c>
      <c r="BP69" s="528"/>
      <c r="BR69" s="460">
        <f t="shared" si="109"/>
        <v>2385.6</v>
      </c>
      <c r="BS69" s="528">
        <f t="shared" ref="BS69:BS105" si="226">Rdcr_pri*BD69^2</f>
        <v>5.2367345158969895E-2</v>
      </c>
      <c r="BT69" s="528">
        <f t="shared" ref="BT69:BT105" si="227">Rdcr_sec*BE69^2</f>
        <v>1.1160922699423648</v>
      </c>
      <c r="BU69" s="528">
        <f t="shared" ref="BU69:BU105" si="228">AJ69^2.5*AN69^2.5*k_core*0+BZ69*0.015</f>
        <v>0.23039999999999999</v>
      </c>
      <c r="BV69" s="528">
        <f t="shared" ref="BV69:BV100" si="229">(BU69+(BS69+BT69)*(1+Ltc*(Ta-25)))/(1-(BS69+BT69)*Ltc*ThetaCa)</f>
        <v>1.8524510632327773</v>
      </c>
      <c r="BW69" s="528">
        <f t="shared" ref="BW69:BW105" si="230">0.5*Lleak*0.000000001*AJ69^2*AN69*1000</f>
        <v>7.4694064419418421E-2</v>
      </c>
      <c r="BX69" s="460">
        <f t="shared" si="110"/>
        <v>1927.1451276521957</v>
      </c>
      <c r="BY69" s="173">
        <f t="shared" ref="BY69:BY104" si="231">SUM(BM69,BO69:BQ69,BV69, BW69)+BK69+BI69</f>
        <v>5.2470742600891995</v>
      </c>
      <c r="BZ69" s="5">
        <f t="shared" si="111"/>
        <v>15.36</v>
      </c>
      <c r="CA69" s="173">
        <f t="shared" si="112"/>
        <v>0.74537509818890291</v>
      </c>
      <c r="CB69" s="5">
        <f t="shared" si="113"/>
        <v>74.537509818890285</v>
      </c>
      <c r="CE69" s="562">
        <f t="shared" ref="CE69:CE105" si="232">IF(ABS(F69-Ioutmax_Vinnom)&lt;Iout/200, AN69, -50)</f>
        <v>-50</v>
      </c>
      <c r="CF69">
        <f t="shared" ref="CF69:CF105" si="233">IF(ABS(F69-Ioutmax_Vinnom)&lt;Iout/200, N69*CA69, -50)</f>
        <v>-50</v>
      </c>
      <c r="CG69" s="173">
        <f t="shared" ref="CG69:CG105" si="234">MIN(SQRT(2*DU69*1000*Ls1_*CL69)/CU69,1-EA69-0.00000005*DU69*1000)</f>
        <v>0.54567402174862412</v>
      </c>
      <c r="CI69" s="170">
        <v>64</v>
      </c>
      <c r="CJ69" s="217">
        <f t="shared" si="114"/>
        <v>3.84</v>
      </c>
      <c r="CK69" s="217"/>
      <c r="CL69" s="217">
        <f t="shared" ref="CL69:CL105" si="235">CJ69*Vout</f>
        <v>15.36</v>
      </c>
      <c r="CM69" s="541">
        <f t="shared" ref="CM69:CM105" si="236">Vin</f>
        <v>24</v>
      </c>
      <c r="CN69" s="172">
        <f t="shared" ref="CN69:CN105" si="237">(CX69+Vfwd1)*Nps</f>
        <v>18.8</v>
      </c>
      <c r="CO69" s="443">
        <f t="shared" ref="CO69:CO105" si="238">(Vout+Vfwd1)*Nps+CM69</f>
        <v>42.8</v>
      </c>
      <c r="CP69" s="443"/>
      <c r="CQ69" s="217">
        <f t="shared" ref="CQ69:CQ105" si="239">(Vout+Vfwd1)*Nps/((Vout+Vfwd1)*Nps+CM69)</f>
        <v>0.43925233644859818</v>
      </c>
      <c r="CR69" s="172">
        <f t="shared" ref="CR69:CR105" si="240">CQ69*CM69*(Isw_max+VIN_nom/Lmag*ILIM_delay)*0.5*Efficiency</f>
        <v>35.456448598130848</v>
      </c>
      <c r="CS69" s="172">
        <f t="shared" si="115"/>
        <v>15.36</v>
      </c>
      <c r="CT69" s="217">
        <f t="shared" ref="CT69:CT105" si="241">CR69/Vout</f>
        <v>8.864112149532712</v>
      </c>
      <c r="CU69" s="217">
        <f t="shared" ref="CU69:CU105" si="242">MIN(Vout,CR69/CJ69)</f>
        <v>4</v>
      </c>
      <c r="CV69" s="217">
        <f t="shared" ref="CV69:CV105" si="243">Isw_max/2*CM69*Nps*(CU69+Vfwd1)/CU69/(CM69+Nps*(CU69+Vfwd1))</f>
        <v>8.7850467289719631</v>
      </c>
      <c r="CW69" s="172">
        <f t="shared" ref="CW69:CW105" si="244">(SQRT(Isw_max^2*Nps^2*CM69^2+4*Isw_max*CJ69/Efficiency*(Nps^2*Vfwd1*CM69-Nps*CM69^2)+4*(CJ69/Efficiency)^2*Nps^2*Vfwd1^2+8*(CJ69/Efficiency)^2*Nps*Vfwd1*CM69+4*(CJ69/Efficiency)^2*CM69^2)-2*CJ69/Efficiency*CM69-2*CJ69/Efficiency*Nps*Vfwd1+Isw_max*Nps*CM69)/(4*CJ69/Efficiency*Nps)</f>
        <v>15.099170081612169</v>
      </c>
      <c r="CX69" s="172">
        <f t="shared" ref="CX69:CX105" si="245">MIN(Vout, CW69)</f>
        <v>4</v>
      </c>
      <c r="CY69" s="217">
        <f t="shared" ref="CY69:CY105" si="246">MIN(2*Vout*CJ69/(CM69*CQ69), Isw_max)</f>
        <v>2.9140425531914889</v>
      </c>
      <c r="CZ69" s="217">
        <f t="shared" ref="CZ69:CZ105" si="247">L*CY69/CM69*1000000</f>
        <v>1.4570212765957447</v>
      </c>
      <c r="DA69" s="217">
        <f t="shared" ref="DA69:DA105" si="248">L*CY69/CN69*1000000</f>
        <v>1.8600271616115887</v>
      </c>
      <c r="DB69" s="197">
        <f t="shared" ref="DB69:DB105" si="249">IF(1/((350000*L)*(1/CM69+1/CN69))&gt;Isw_min, 350, 0.001/((Isw_min*L)*(1/CM69+1/CN69)))</f>
        <v>350</v>
      </c>
      <c r="DC69" s="443">
        <f t="shared" si="116"/>
        <v>301.47283605555077</v>
      </c>
      <c r="DE69" s="217">
        <f t="shared" ref="DE69:DE105" si="250">1/((DB69*1000*L)*(1/CM69+1/CN69))</f>
        <v>2.5100133511348464</v>
      </c>
      <c r="DF69" s="173">
        <f t="shared" ref="DF69:DF105" si="251">L*DE69/CN69*1000000</f>
        <v>1.6021361815754336</v>
      </c>
      <c r="DG69" s="173">
        <f t="shared" ref="DG69:DG105" si="252">0.5*DF69*DE69*Nps*DB69/1000</f>
        <v>2.8149682442633783</v>
      </c>
      <c r="DH69" s="173"/>
      <c r="DI69" s="173">
        <f t="shared" ref="DI69:DI105" si="253">L*Isw_min/CN69*1000000</f>
        <v>0.85106382978723416</v>
      </c>
      <c r="DJ69" s="545">
        <f t="shared" si="117"/>
        <v>1691.9999999999995</v>
      </c>
      <c r="DK69" s="528">
        <f t="shared" ref="DK69:DK105" si="254">0.5*DI69/1000000*Isw_min*Nps*DB69*1000</f>
        <v>0.79432624113475192</v>
      </c>
      <c r="DM69" s="173">
        <f t="shared" ref="DM69:DM105" si="255">SQRT(CJ69/Efficiency/(0.5*L/CN69*Fsw_DCM*Nps))</f>
        <v>2.9316012202012938</v>
      </c>
      <c r="DN69" s="173">
        <f t="shared" ref="DN69:DN105" si="256">MAX(IF(CJ69&gt;DG69,CY69,DM69),Isw_min)</f>
        <v>2.9140425531914889</v>
      </c>
      <c r="DO69" s="173">
        <f t="shared" ref="DO69:DO105" si="257">IF(CJ69&gt;DK69, (DN69-Isw_min)/1.08*0.8+1.2, DJ69*0.2/350+1)</f>
        <v>2.3708957184134483</v>
      </c>
      <c r="DQ69" s="545">
        <f t="shared" ref="DQ69:DQ105" si="258">CJ69*1000</f>
        <v>3840</v>
      </c>
      <c r="DR69" s="460">
        <f t="shared" ref="DR69:DR105" si="259">IF(CJ69&gt;DK69, DC69, DJ69)</f>
        <v>301.47283605555077</v>
      </c>
      <c r="DT69">
        <f t="shared" ref="DT69:DT105" si="260">IF(CL69&gt;CR69, "",DQ69)</f>
        <v>3840</v>
      </c>
      <c r="DU69">
        <f t="shared" ref="DU69:DU105" si="261">IF(CL69&gt;CR69, "",DR69)</f>
        <v>301.47283605555077</v>
      </c>
      <c r="DW69" s="5">
        <f t="shared" si="118"/>
        <v>3.3170484382073329</v>
      </c>
      <c r="DX69" s="5">
        <f t="shared" ref="DX69:DX105" si="262">L*DN69/CM69*1000000</f>
        <v>1.4570212765957447</v>
      </c>
      <c r="DY69" s="5">
        <f t="shared" si="119"/>
        <v>1.8600271616115882</v>
      </c>
      <c r="DZ69" s="5">
        <f t="shared" ref="DZ69:DZ105" si="263">L*DN69/CN69*1000000</f>
        <v>1.8600271616115887</v>
      </c>
      <c r="EA69" s="173">
        <f t="shared" si="120"/>
        <v>0.43925233644859824</v>
      </c>
      <c r="EB69" s="173">
        <f t="shared" ref="EB69:EB105" si="264">0.5*L*DN69^2*DR69*1000</f>
        <v>15.36</v>
      </c>
      <c r="EC69" s="173">
        <f t="shared" ref="EC69:EC105" si="265">DN69*Nps/2*(1-EA69)</f>
        <v>3.2680851063829772</v>
      </c>
      <c r="ED69" s="173">
        <f t="shared" si="121"/>
        <v>4.700000000000002</v>
      </c>
      <c r="EE69" s="460">
        <f t="shared" ref="EE69:EE105" si="266">CJ69*DX69/Vout_ripple*1000</f>
        <v>139.87404255319149</v>
      </c>
      <c r="EF69" s="5">
        <f t="shared" ref="EF69:EF105" si="267">CL69/Efficiency/CM69*DY69/Vinripple1</f>
        <v>0.99201448619284693</v>
      </c>
      <c r="EG69" s="5"/>
      <c r="EH69" s="173">
        <f t="shared" si="122"/>
        <v>1.1150447626418571</v>
      </c>
      <c r="EI69" s="173">
        <f t="shared" ref="EI69:EI105" si="268">DN69*Nps*SQRT((1-EA69)/3)</f>
        <v>5.0394018341998565</v>
      </c>
      <c r="EJ69" s="173"/>
      <c r="EK69" s="528">
        <f t="shared" ref="EK69:EK105" si="269">Rdson*EH69^2</f>
        <v>1.5168562836879432E-2</v>
      </c>
      <c r="EL69" s="528">
        <f t="shared" ref="EL69:EL105" si="270">0.5*CO69*DN69*DR69*1000*Trise</f>
        <v>0.752</v>
      </c>
      <c r="EM69" s="528">
        <f t="shared" ref="EM69:EM105" si="271">Qg*Vdd*DR69*1000</f>
        <v>3.7684104506943844E-2</v>
      </c>
      <c r="EN69" s="528">
        <f t="shared" ref="EN69:EN105" si="272">0.5*(Coss+Csw)*CO69^2*DR69*1000</f>
        <v>5.522500000000001E-2</v>
      </c>
      <c r="EO69">
        <f t="shared" ref="EO69:EO105" si="273">CM69*IQ</f>
        <v>1.0800000000000001E-2</v>
      </c>
      <c r="EP69" s="460">
        <f t="shared" si="123"/>
        <v>48.484104506943851</v>
      </c>
      <c r="EQ69" s="528">
        <f t="shared" ref="EQ69:EQ105" si="274">(EL69+EM69+EN69+EO69+EK69*(1+RdsonTC*(Ta-25)))/(1-EK69*RdsonTC*ThetaJA)</f>
        <v>0.87813803315361849</v>
      </c>
      <c r="ER69" s="460">
        <f t="shared" si="124"/>
        <v>878.13803315361849</v>
      </c>
      <c r="ES69" s="528">
        <f t="shared" si="125"/>
        <v>2.3855999999999997</v>
      </c>
      <c r="ET69" s="528"/>
      <c r="EV69" s="460">
        <f t="shared" si="126"/>
        <v>2385.6</v>
      </c>
      <c r="EW69" s="528">
        <f t="shared" ref="EW69:EW105" si="275">Rdcr_pri*EH69^2</f>
        <v>3.7299744680851066E-2</v>
      </c>
      <c r="EX69" s="528">
        <f t="shared" ref="EX69:EX105" si="276">Rdcr_sec*EI69^2</f>
        <v>0.76186712539610624</v>
      </c>
      <c r="EY69" s="528">
        <f t="shared" ref="EY69:EY105" si="277">DN69^2.5*DR69^2.5*k_core</f>
        <v>1.143747595668152</v>
      </c>
      <c r="EZ69" s="528">
        <f t="shared" ref="EZ69:EZ105" si="278">(EY69+(EW69+EX69)*(1+Ltc*(Ta-25)))/(1-(EW69+EX69)*Ltc*ThetaCa)</f>
        <v>2.2805155099430294</v>
      </c>
      <c r="FA69" s="528">
        <f t="shared" ref="FA69:FA105" si="279">0.5*Lleak*0.000000001*DN69^2*DR69*1000</f>
        <v>6.4000000000000001E-2</v>
      </c>
      <c r="FB69" s="460">
        <f t="shared" si="127"/>
        <v>2344.5155099430294</v>
      </c>
      <c r="FC69" s="173">
        <f t="shared" si="128"/>
        <v>5.608253543096648</v>
      </c>
      <c r="FD69" s="5">
        <f t="shared" si="129"/>
        <v>15.36</v>
      </c>
      <c r="FE69" s="173">
        <f t="shared" si="130"/>
        <v>0.73253597246094693</v>
      </c>
      <c r="FF69" s="5">
        <f t="shared" si="131"/>
        <v>73.253597246094699</v>
      </c>
      <c r="FI69" s="562">
        <f t="shared" ref="FI69:FI105" si="280">IF(ABS(CJ69-Ioutmax_Vinnom)&lt;Iout/200, DR69, -50)</f>
        <v>-50</v>
      </c>
      <c r="FJ69">
        <f t="shared" ref="FJ69:FJ105" si="281">IF(ABS(CJ69-Ioutmax_Vinnom)&lt;Iout/200, CR69*FE69, -50)</f>
        <v>-50</v>
      </c>
      <c r="FL69">
        <f t="shared" ref="FL69:FL105" si="282">MIN(SQRT(2*L*DR69*1000*CJ69*(CX69+Vfwd1))/(Nps*(CX69+Vfwd1)), 1-EA69)</f>
        <v>0.56074766355140171</v>
      </c>
    </row>
    <row r="70" spans="5:168">
      <c r="E70" s="170">
        <v>65</v>
      </c>
      <c r="F70" s="217">
        <f t="shared" ref="F70:F101" si="283">IF(PLOT_TYPE=1, E70/100*Iout_max, min_I*EXP(N70*rr/100))</f>
        <v>3.9000000000000004</v>
      </c>
      <c r="G70" s="217"/>
      <c r="H70" s="217">
        <f t="shared" si="183"/>
        <v>15.600000000000001</v>
      </c>
      <c r="I70" s="541">
        <f t="shared" si="184"/>
        <v>23.924629870832359</v>
      </c>
      <c r="J70" s="172">
        <f t="shared" si="185"/>
        <v>19.657290568731462</v>
      </c>
      <c r="K70" s="172">
        <f t="shared" si="186"/>
        <v>43.657290568731462</v>
      </c>
      <c r="L70" s="443"/>
      <c r="M70" s="217">
        <f t="shared" si="187"/>
        <v>0.45075636227323435</v>
      </c>
      <c r="N70" s="172">
        <f t="shared" si="188"/>
        <v>36.270789138245817</v>
      </c>
      <c r="O70" s="172">
        <f t="shared" ref="O70:O133" si="284">T70*F70</f>
        <v>15.600000000000001</v>
      </c>
      <c r="P70" s="217">
        <f t="shared" si="189"/>
        <v>9.0676972845614543</v>
      </c>
      <c r="Q70" s="217">
        <f t="shared" si="190"/>
        <v>4</v>
      </c>
      <c r="R70" s="217">
        <f t="shared" si="191"/>
        <v>8.9868159410916295</v>
      </c>
      <c r="S70" s="172">
        <f t="shared" si="192"/>
        <v>14.73843803178921</v>
      </c>
      <c r="T70" s="172">
        <f t="shared" si="193"/>
        <v>4</v>
      </c>
      <c r="U70" s="217">
        <f t="shared" si="194"/>
        <v>3.5503369835484078</v>
      </c>
      <c r="V70" s="217">
        <f t="shared" si="195"/>
        <v>1.7807608323555086</v>
      </c>
      <c r="W70" s="217">
        <f t="shared" si="196"/>
        <v>2.1673405932326433</v>
      </c>
      <c r="X70" s="197">
        <f t="shared" si="197"/>
        <v>350</v>
      </c>
      <c r="Y70" s="443">
        <f t="shared" si="198"/>
        <v>241.07414390384915</v>
      </c>
      <c r="AA70" s="217">
        <f t="shared" si="199"/>
        <v>2.5692906183341826</v>
      </c>
      <c r="AB70" s="173">
        <f t="shared" si="200"/>
        <v>1.5684505101152315</v>
      </c>
      <c r="AC70" s="173">
        <f t="shared" si="201"/>
        <v>2.8208636266723688</v>
      </c>
      <c r="AD70" s="173"/>
      <c r="AE70" s="173">
        <f t="shared" si="202"/>
        <v>0.81394737204785217</v>
      </c>
      <c r="AF70" s="545">
        <f t="shared" si="203"/>
        <v>1796.7992160481101</v>
      </c>
      <c r="AG70" s="528">
        <f t="shared" si="204"/>
        <v>0.75968421391132868</v>
      </c>
      <c r="AI70" s="173">
        <f t="shared" si="205"/>
        <v>3.0210261820489608</v>
      </c>
      <c r="AJ70" s="173">
        <f t="shared" si="153"/>
        <v>3.5503369835484078</v>
      </c>
      <c r="AK70" s="173">
        <f t="shared" si="207"/>
        <v>2.8422249260852404</v>
      </c>
      <c r="AM70" s="545">
        <f t="shared" si="208"/>
        <v>3900.0000000000005</v>
      </c>
      <c r="AN70" s="460">
        <f t="shared" si="209"/>
        <v>241.07414390384915</v>
      </c>
      <c r="AP70">
        <f t="shared" si="210"/>
        <v>3900.0000000000005</v>
      </c>
      <c r="AQ70">
        <f t="shared" si="211"/>
        <v>241.07414390384915</v>
      </c>
      <c r="AS70" s="5">
        <f t="shared" ref="AS70:AS133" si="285">1/AN70*1000</f>
        <v>4.1481014255881519</v>
      </c>
      <c r="AT70" s="5">
        <f t="shared" si="212"/>
        <v>1.7807608323555086</v>
      </c>
      <c r="AU70" s="5">
        <f t="shared" ref="AU70:AU105" si="286">AS70-AT70</f>
        <v>2.367340593232643</v>
      </c>
      <c r="AV70" s="5">
        <f t="shared" si="213"/>
        <v>2.1673405932326433</v>
      </c>
      <c r="AW70" s="173">
        <f t="shared" ref="AW70:AW105" si="287">AT70/AS70</f>
        <v>0.42929539315761012</v>
      </c>
      <c r="AX70" s="173">
        <f t="shared" si="214"/>
        <v>18.232282295215647</v>
      </c>
      <c r="AY70" s="173">
        <f t="shared" si="215"/>
        <v>4.0523873447079808</v>
      </c>
      <c r="AZ70" s="173">
        <f t="shared" ref="AZ70:AZ133" si="288">AX70/AY70</f>
        <v>4.4991459957610456</v>
      </c>
      <c r="BA70" s="460">
        <f t="shared" si="216"/>
        <v>173.6241811546621</v>
      </c>
      <c r="BB70" s="5">
        <f t="shared" si="217"/>
        <v>1.2863491672882315</v>
      </c>
      <c r="BC70" s="5"/>
      <c r="BD70" s="173">
        <f t="shared" ref="BD70:BD133" si="289">AJ70*SQRT(AW70/3)</f>
        <v>1.3430341725562396</v>
      </c>
      <c r="BE70" s="173">
        <f t="shared" si="218"/>
        <v>6.1940488990816069</v>
      </c>
      <c r="BF70" s="173"/>
      <c r="BG70" s="528">
        <f t="shared" si="219"/>
        <v>2.2005637621576639E-2</v>
      </c>
      <c r="BH70" s="528">
        <f t="shared" si="220"/>
        <v>0.70061311220398925</v>
      </c>
      <c r="BI70" s="528">
        <f t="shared" si="221"/>
        <v>0.14419024160818419</v>
      </c>
      <c r="BJ70" s="528">
        <f t="shared" si="222"/>
        <v>4.5947743901474304E-2</v>
      </c>
      <c r="BK70">
        <f t="shared" si="223"/>
        <v>1.076608344187456E-2</v>
      </c>
      <c r="BL70" s="460">
        <f t="shared" ref="BL70:BL105" si="290">(BK70+BI70)*1000</f>
        <v>154.95632505005875</v>
      </c>
      <c r="BM70" s="528">
        <f t="shared" si="224"/>
        <v>0.7785788461348796</v>
      </c>
      <c r="BN70" s="460">
        <f t="shared" ref="BN70:BN105" si="291">BM70*1000</f>
        <v>778.57884613487965</v>
      </c>
      <c r="BO70" s="528">
        <f t="shared" si="225"/>
        <v>2.4228749999999999</v>
      </c>
      <c r="BP70" s="528"/>
      <c r="BR70" s="460">
        <f t="shared" ref="BR70:BR105" si="292">SUM(BO70:BQ70)*1000</f>
        <v>2422.875</v>
      </c>
      <c r="BS70" s="528">
        <f t="shared" si="226"/>
        <v>5.411222365961469E-2</v>
      </c>
      <c r="BT70" s="528">
        <f t="shared" si="227"/>
        <v>1.150987252926422</v>
      </c>
      <c r="BU70" s="528">
        <f t="shared" si="228"/>
        <v>0.23400000000000001</v>
      </c>
      <c r="BV70" s="528">
        <f t="shared" si="229"/>
        <v>1.9127252907007981</v>
      </c>
      <c r="BW70" s="528">
        <f t="shared" si="230"/>
        <v>7.5967842896731863E-2</v>
      </c>
      <c r="BX70" s="460">
        <f t="shared" ref="BX70:BX105" si="293">1000*(BV70+BW70)</f>
        <v>1988.69313359753</v>
      </c>
      <c r="BY70" s="173">
        <f t="shared" si="231"/>
        <v>5.3451033047824676</v>
      </c>
      <c r="BZ70" s="5">
        <f t="shared" ref="BZ70:BZ105" si="294">MIN(H70,O70)</f>
        <v>15.600000000000001</v>
      </c>
      <c r="CA70" s="173">
        <f t="shared" ref="CA70:CA104" si="295">BZ70/(BZ70+BY70)</f>
        <v>0.74480415651318355</v>
      </c>
      <c r="CB70" s="5">
        <f t="shared" ref="CB70:CB104" si="296">CA70*100</f>
        <v>74.480415651318353</v>
      </c>
      <c r="CE70" s="562">
        <f t="shared" si="232"/>
        <v>-50</v>
      </c>
      <c r="CF70">
        <f t="shared" si="233"/>
        <v>-50</v>
      </c>
      <c r="CG70" s="173">
        <f t="shared" si="234"/>
        <v>0.54590592393020554</v>
      </c>
      <c r="CI70" s="170">
        <v>65</v>
      </c>
      <c r="CJ70" s="217">
        <f t="shared" ref="CJ70:CJ105" si="297">IF(PLOT_TYPE=1, CI70/100*Iout_max, min_I*EXP(CR70*rr/100))</f>
        <v>3.9000000000000004</v>
      </c>
      <c r="CK70" s="217"/>
      <c r="CL70" s="217">
        <f t="shared" si="235"/>
        <v>15.600000000000001</v>
      </c>
      <c r="CM70" s="541">
        <f t="shared" si="236"/>
        <v>24</v>
      </c>
      <c r="CN70" s="172">
        <f t="shared" si="237"/>
        <v>18.8</v>
      </c>
      <c r="CO70" s="443">
        <f t="shared" si="238"/>
        <v>42.8</v>
      </c>
      <c r="CP70" s="443"/>
      <c r="CQ70" s="217">
        <f t="shared" si="239"/>
        <v>0.43925233644859818</v>
      </c>
      <c r="CR70" s="172">
        <f t="shared" si="240"/>
        <v>35.456448598130848</v>
      </c>
      <c r="CS70" s="172">
        <f t="shared" ref="CS70:CS105" si="298">CX70*CJ70</f>
        <v>15.600000000000001</v>
      </c>
      <c r="CT70" s="217">
        <f t="shared" si="241"/>
        <v>8.864112149532712</v>
      </c>
      <c r="CU70" s="217">
        <f t="shared" si="242"/>
        <v>4</v>
      </c>
      <c r="CV70" s="217">
        <f t="shared" si="243"/>
        <v>8.7850467289719631</v>
      </c>
      <c r="CW70" s="172">
        <f t="shared" si="244"/>
        <v>14.784067077370606</v>
      </c>
      <c r="CX70" s="172">
        <f t="shared" si="245"/>
        <v>4</v>
      </c>
      <c r="CY70" s="217">
        <f t="shared" si="246"/>
        <v>2.9595744680851062</v>
      </c>
      <c r="CZ70" s="217">
        <f t="shared" si="247"/>
        <v>1.4797872340425531</v>
      </c>
      <c r="DA70" s="217">
        <f t="shared" si="248"/>
        <v>1.8890900860117699</v>
      </c>
      <c r="DB70" s="197">
        <f t="shared" si="249"/>
        <v>350</v>
      </c>
      <c r="DC70" s="443">
        <f t="shared" ref="DC70:DC105" si="299">MIN(1/(CZ70+DA70)*1000, 350)</f>
        <v>296.83479242392684</v>
      </c>
      <c r="DE70" s="217">
        <f t="shared" si="250"/>
        <v>2.5100133511348464</v>
      </c>
      <c r="DF70" s="173">
        <f t="shared" si="251"/>
        <v>1.6021361815754336</v>
      </c>
      <c r="DG70" s="173">
        <f t="shared" si="252"/>
        <v>2.8149682442633783</v>
      </c>
      <c r="DH70" s="173"/>
      <c r="DI70" s="173">
        <f t="shared" si="253"/>
        <v>0.85106382978723416</v>
      </c>
      <c r="DJ70" s="545">
        <f t="shared" ref="DJ70:DJ105" si="300">MAX(12, CJ70/(0.5*DI70/1000000*Isw_min*Nps)/1000)</f>
        <v>1718.4374999999998</v>
      </c>
      <c r="DK70" s="528">
        <f t="shared" si="254"/>
        <v>0.79432624113475192</v>
      </c>
      <c r="DM70" s="173">
        <f t="shared" si="255"/>
        <v>2.9544155815611703</v>
      </c>
      <c r="DN70" s="173">
        <f t="shared" si="256"/>
        <v>2.9595744680851062</v>
      </c>
      <c r="DO70" s="173">
        <f t="shared" si="257"/>
        <v>2.4046230627790912</v>
      </c>
      <c r="DQ70" s="545">
        <f t="shared" si="258"/>
        <v>3900.0000000000005</v>
      </c>
      <c r="DR70" s="460">
        <f t="shared" si="259"/>
        <v>296.83479242392684</v>
      </c>
      <c r="DT70">
        <f t="shared" si="260"/>
        <v>3900.0000000000005</v>
      </c>
      <c r="DU70">
        <f t="shared" si="261"/>
        <v>296.83479242392684</v>
      </c>
      <c r="DW70" s="5">
        <f t="shared" ref="DW70:DW105" si="301">1/DR70*1000</f>
        <v>3.3688773200543234</v>
      </c>
      <c r="DX70" s="5">
        <f t="shared" si="262"/>
        <v>1.4797872340425531</v>
      </c>
      <c r="DY70" s="5">
        <f t="shared" ref="DY70:DY105" si="302">DW70-DX70</f>
        <v>1.8890900860117703</v>
      </c>
      <c r="DZ70" s="5">
        <f t="shared" si="263"/>
        <v>1.8890900860117699</v>
      </c>
      <c r="EA70" s="173">
        <f t="shared" ref="EA70:EA105" si="303">DX70/DW70</f>
        <v>0.43925233644859807</v>
      </c>
      <c r="EB70" s="173">
        <f t="shared" si="264"/>
        <v>15.599999999999998</v>
      </c>
      <c r="EC70" s="173">
        <f t="shared" si="265"/>
        <v>3.3191489361702127</v>
      </c>
      <c r="ED70" s="173">
        <f t="shared" ref="ED70:ED105" si="304">EB70/EC70</f>
        <v>4.6999999999999993</v>
      </c>
      <c r="EE70" s="460">
        <f t="shared" si="266"/>
        <v>144.27925531914892</v>
      </c>
      <c r="EF70" s="5">
        <f t="shared" si="267"/>
        <v>1.0232571299230422</v>
      </c>
      <c r="EG70" s="5"/>
      <c r="EH70" s="173">
        <f t="shared" ref="EH70:EH105" si="305">DN70*SQRT(EA70/3)</f>
        <v>1.132467337058136</v>
      </c>
      <c r="EI70" s="173">
        <f t="shared" si="268"/>
        <v>5.118142487859231</v>
      </c>
      <c r="EJ70" s="173"/>
      <c r="EK70" s="528">
        <f t="shared" si="269"/>
        <v>1.5646283687943258E-2</v>
      </c>
      <c r="EL70" s="528">
        <f t="shared" si="270"/>
        <v>0.75199999999999989</v>
      </c>
      <c r="EM70" s="528">
        <f t="shared" si="271"/>
        <v>3.710434905299085E-2</v>
      </c>
      <c r="EN70" s="528">
        <f t="shared" si="272"/>
        <v>5.437538461538461E-2</v>
      </c>
      <c r="EO70">
        <f t="shared" si="273"/>
        <v>1.0800000000000001E-2</v>
      </c>
      <c r="EP70" s="460">
        <f t="shared" ref="EP70:EP105" si="306">(EO70+EM70)*1000</f>
        <v>47.904349052990845</v>
      </c>
      <c r="EQ70" s="528">
        <f t="shared" si="274"/>
        <v>0.87741234435845317</v>
      </c>
      <c r="ER70" s="460">
        <f t="shared" ref="ER70:ER105" si="307">EQ70*1000</f>
        <v>877.4123443584532</v>
      </c>
      <c r="ES70" s="528">
        <f t="shared" ref="ES70:ES105" si="308">Vfwd2*CJ70*(1+Diode_TC/1000*(Ta-25))</f>
        <v>2.4228749999999999</v>
      </c>
      <c r="ET70" s="528"/>
      <c r="EV70" s="460">
        <f t="shared" ref="EV70:EV105" si="309">SUM(ES70:EU70)*1000</f>
        <v>2422.875</v>
      </c>
      <c r="EW70" s="528">
        <f t="shared" si="275"/>
        <v>3.8474468085106371E-2</v>
      </c>
      <c r="EX70" s="528">
        <f t="shared" si="276"/>
        <v>0.78586147578089627</v>
      </c>
      <c r="EY70" s="528">
        <f t="shared" si="277"/>
        <v>1.1437475956681535</v>
      </c>
      <c r="EZ70" s="528">
        <f t="shared" si="278"/>
        <v>2.3188447308529034</v>
      </c>
      <c r="FA70" s="528">
        <f t="shared" si="279"/>
        <v>6.4999999999999988E-2</v>
      </c>
      <c r="FB70" s="460">
        <f t="shared" ref="FB70:FB105" si="310">1000*(EZ70+FA70)</f>
        <v>2383.8447308529035</v>
      </c>
      <c r="FC70" s="173">
        <f t="shared" ref="FC70:FC105" si="311">SUM(EQ70,ES70:EU70,EZ70, FA70)</f>
        <v>5.6841320752113562</v>
      </c>
      <c r="FD70" s="5">
        <f t="shared" ref="FD70:FD105" si="312">MIN(CL70,CS70)</f>
        <v>15.600000000000001</v>
      </c>
      <c r="FE70" s="173">
        <f t="shared" ref="FE70:FE105" si="313">FD70/(FD70+FC70)</f>
        <v>0.73294038699227015</v>
      </c>
      <c r="FF70" s="5">
        <f t="shared" ref="FF70:FF105" si="314">FE70*100</f>
        <v>73.294038699227016</v>
      </c>
      <c r="FI70" s="562">
        <f t="shared" si="280"/>
        <v>-50</v>
      </c>
      <c r="FJ70">
        <f t="shared" si="281"/>
        <v>-50</v>
      </c>
      <c r="FL70">
        <f t="shared" si="282"/>
        <v>0.56074766355140193</v>
      </c>
    </row>
    <row r="71" spans="5:168">
      <c r="E71" s="170">
        <v>66</v>
      </c>
      <c r="F71" s="217">
        <f t="shared" si="283"/>
        <v>3.96</v>
      </c>
      <c r="G71" s="217"/>
      <c r="H71" s="217">
        <f t="shared" si="183"/>
        <v>15.84</v>
      </c>
      <c r="I71" s="541">
        <f t="shared" si="184"/>
        <v>23.923501842243898</v>
      </c>
      <c r="J71" s="172">
        <f t="shared" si="185"/>
        <v>19.670121225661841</v>
      </c>
      <c r="K71" s="172">
        <f t="shared" si="186"/>
        <v>43.670121225661845</v>
      </c>
      <c r="L71" s="443"/>
      <c r="M71" s="217">
        <f t="shared" si="187"/>
        <v>0.45092988972184583</v>
      </c>
      <c r="N71" s="172">
        <f t="shared" si="188"/>
        <v>36.283041486369221</v>
      </c>
      <c r="O71" s="172">
        <f t="shared" si="284"/>
        <v>15.84</v>
      </c>
      <c r="P71" s="217">
        <f t="shared" si="189"/>
        <v>9.0707603715923053</v>
      </c>
      <c r="Q71" s="217">
        <f t="shared" si="190"/>
        <v>4</v>
      </c>
      <c r="R71" s="217">
        <f t="shared" si="191"/>
        <v>8.9898517062361805</v>
      </c>
      <c r="S71" s="172">
        <f t="shared" si="192"/>
        <v>14.433399566379496</v>
      </c>
      <c r="T71" s="172">
        <f t="shared" si="193"/>
        <v>4</v>
      </c>
      <c r="U71" s="217">
        <f t="shared" si="194"/>
        <v>3.6060968589183435</v>
      </c>
      <c r="V71" s="217">
        <f t="shared" si="195"/>
        <v>1.8088138848723549</v>
      </c>
      <c r="W71" s="217">
        <f t="shared" si="196"/>
        <v>2.1999438544672265</v>
      </c>
      <c r="X71" s="197">
        <f t="shared" si="197"/>
        <v>350</v>
      </c>
      <c r="Y71" s="443">
        <f t="shared" si="198"/>
        <v>237.5998006853479</v>
      </c>
      <c r="AA71" s="217">
        <f t="shared" si="199"/>
        <v>2.570156280963293</v>
      </c>
      <c r="AB71" s="173">
        <f t="shared" si="200"/>
        <v>1.567955531017414</v>
      </c>
      <c r="AC71" s="173">
        <f t="shared" si="201"/>
        <v>2.8209235294208792</v>
      </c>
      <c r="AD71" s="173"/>
      <c r="AE71" s="173">
        <f t="shared" si="202"/>
        <v>0.81341644092799181</v>
      </c>
      <c r="AF71" s="545">
        <f t="shared" si="203"/>
        <v>1825.6331262567389</v>
      </c>
      <c r="AG71" s="528">
        <f t="shared" si="204"/>
        <v>0.75918867819945912</v>
      </c>
      <c r="AI71" s="173">
        <f t="shared" si="205"/>
        <v>3.0451694779175398</v>
      </c>
      <c r="AJ71" s="173">
        <f t="shared" si="153"/>
        <v>3.6060968589183435</v>
      </c>
      <c r="AK71" s="173">
        <f t="shared" si="207"/>
        <v>2.8835285374703776</v>
      </c>
      <c r="AM71" s="545">
        <f t="shared" si="208"/>
        <v>3960</v>
      </c>
      <c r="AN71" s="460">
        <f t="shared" si="209"/>
        <v>237.5998006853479</v>
      </c>
      <c r="AP71">
        <f t="shared" si="210"/>
        <v>3960</v>
      </c>
      <c r="AQ71">
        <f t="shared" si="211"/>
        <v>237.5998006853479</v>
      </c>
      <c r="AS71" s="5">
        <f t="shared" si="285"/>
        <v>4.208757739339581</v>
      </c>
      <c r="AT71" s="5">
        <f t="shared" si="212"/>
        <v>1.8088138848723549</v>
      </c>
      <c r="AU71" s="5">
        <f t="shared" si="286"/>
        <v>2.3999438544672262</v>
      </c>
      <c r="AV71" s="5">
        <f t="shared" si="213"/>
        <v>2.1999438544672265</v>
      </c>
      <c r="AW71" s="173">
        <f t="shared" si="287"/>
        <v>0.42977381852256141</v>
      </c>
      <c r="AX71" s="173">
        <f t="shared" si="214"/>
        <v>18.538393551643946</v>
      </c>
      <c r="AY71" s="173">
        <f t="shared" si="215"/>
        <v>4.1125816837975853</v>
      </c>
      <c r="AZ71" s="173">
        <f t="shared" si="288"/>
        <v>4.5077265272760414</v>
      </c>
      <c r="BA71" s="460">
        <f t="shared" si="216"/>
        <v>179.07257460236315</v>
      </c>
      <c r="BB71" s="5">
        <f t="shared" si="217"/>
        <v>1.3241898735338336</v>
      </c>
      <c r="BC71" s="5"/>
      <c r="BD71" s="173">
        <f t="shared" si="289"/>
        <v>1.3648871271900047</v>
      </c>
      <c r="BE71" s="173">
        <f t="shared" si="218"/>
        <v>6.2886920509726734</v>
      </c>
      <c r="BF71" s="173"/>
      <c r="BG71" s="528">
        <f t="shared" si="219"/>
        <v>2.2727585813621606E-2</v>
      </c>
      <c r="BH71" s="528">
        <f t="shared" si="220"/>
        <v>0.7015669619764392</v>
      </c>
      <c r="BI71" s="528">
        <f t="shared" si="221"/>
        <v>0.14210548173531759</v>
      </c>
      <c r="BJ71" s="528">
        <f t="shared" si="222"/>
        <v>4.5312170620760206E-2</v>
      </c>
      <c r="BK71">
        <f t="shared" si="223"/>
        <v>1.0765575829009754E-2</v>
      </c>
      <c r="BL71" s="460">
        <f t="shared" si="290"/>
        <v>152.87105756432734</v>
      </c>
      <c r="BM71" s="528">
        <f t="shared" si="224"/>
        <v>0.77995498150092168</v>
      </c>
      <c r="BN71" s="460">
        <f t="shared" si="291"/>
        <v>779.95498150092169</v>
      </c>
      <c r="BO71" s="528">
        <f t="shared" si="225"/>
        <v>2.4601499999999996</v>
      </c>
      <c r="BP71" s="528"/>
      <c r="BR71" s="460">
        <f t="shared" si="292"/>
        <v>2460.1499999999996</v>
      </c>
      <c r="BS71" s="528">
        <f t="shared" si="226"/>
        <v>5.5887506099069527E-2</v>
      </c>
      <c r="BT71" s="528">
        <f t="shared" si="227"/>
        <v>1.1864294313590067</v>
      </c>
      <c r="BU71" s="528">
        <f t="shared" si="228"/>
        <v>0.23759999999999998</v>
      </c>
      <c r="BV71" s="528">
        <f t="shared" si="229"/>
        <v>1.9742883510864881</v>
      </c>
      <c r="BW71" s="528">
        <f t="shared" si="230"/>
        <v>7.7243306465183126E-2</v>
      </c>
      <c r="BX71" s="460">
        <f t="shared" si="293"/>
        <v>2051.5316575516713</v>
      </c>
      <c r="BY71" s="173">
        <f t="shared" si="231"/>
        <v>5.4445076966169195</v>
      </c>
      <c r="BZ71" s="5">
        <f t="shared" si="294"/>
        <v>15.84</v>
      </c>
      <c r="CA71" s="173">
        <f t="shared" si="295"/>
        <v>0.74420325928034969</v>
      </c>
      <c r="CB71" s="5">
        <f t="shared" si="296"/>
        <v>74.42032592803497</v>
      </c>
      <c r="CE71" s="562">
        <f t="shared" si="232"/>
        <v>-50</v>
      </c>
      <c r="CF71">
        <f t="shared" si="233"/>
        <v>-50</v>
      </c>
      <c r="CG71" s="173">
        <f t="shared" si="234"/>
        <v>0.54613079877295101</v>
      </c>
      <c r="CI71" s="170">
        <v>66</v>
      </c>
      <c r="CJ71" s="217">
        <f t="shared" si="297"/>
        <v>3.96</v>
      </c>
      <c r="CK71" s="217"/>
      <c r="CL71" s="217">
        <f t="shared" si="235"/>
        <v>15.84</v>
      </c>
      <c r="CM71" s="541">
        <f t="shared" si="236"/>
        <v>24</v>
      </c>
      <c r="CN71" s="172">
        <f t="shared" si="237"/>
        <v>18.8</v>
      </c>
      <c r="CO71" s="443">
        <f t="shared" si="238"/>
        <v>42.8</v>
      </c>
      <c r="CP71" s="443"/>
      <c r="CQ71" s="217">
        <f t="shared" si="239"/>
        <v>0.43925233644859818</v>
      </c>
      <c r="CR71" s="172">
        <f t="shared" si="240"/>
        <v>35.456448598130848</v>
      </c>
      <c r="CS71" s="172">
        <f t="shared" si="298"/>
        <v>15.84</v>
      </c>
      <c r="CT71" s="217">
        <f t="shared" si="241"/>
        <v>8.864112149532712</v>
      </c>
      <c r="CU71" s="217">
        <f t="shared" si="242"/>
        <v>4</v>
      </c>
      <c r="CV71" s="217">
        <f t="shared" si="243"/>
        <v>8.7850467289719631</v>
      </c>
      <c r="CW71" s="172">
        <f t="shared" si="244"/>
        <v>14.478723315496945</v>
      </c>
      <c r="CX71" s="172">
        <f t="shared" si="245"/>
        <v>4</v>
      </c>
      <c r="CY71" s="217">
        <f t="shared" si="246"/>
        <v>3.005106382978723</v>
      </c>
      <c r="CZ71" s="217">
        <f t="shared" si="247"/>
        <v>1.5025531914893615</v>
      </c>
      <c r="DA71" s="217">
        <f t="shared" si="248"/>
        <v>1.9181530104119509</v>
      </c>
      <c r="DB71" s="197">
        <f t="shared" si="249"/>
        <v>350</v>
      </c>
      <c r="DC71" s="443">
        <f t="shared" si="299"/>
        <v>292.33729556901886</v>
      </c>
      <c r="DE71" s="217">
        <f t="shared" si="250"/>
        <v>2.5100133511348464</v>
      </c>
      <c r="DF71" s="173">
        <f t="shared" si="251"/>
        <v>1.6021361815754336</v>
      </c>
      <c r="DG71" s="173">
        <f t="shared" si="252"/>
        <v>2.8149682442633783</v>
      </c>
      <c r="DH71" s="173"/>
      <c r="DI71" s="173">
        <f t="shared" si="253"/>
        <v>0.85106382978723416</v>
      </c>
      <c r="DJ71" s="545">
        <f t="shared" si="300"/>
        <v>1744.8749999999995</v>
      </c>
      <c r="DK71" s="528">
        <f t="shared" si="254"/>
        <v>0.79432624113475192</v>
      </c>
      <c r="DM71" s="173">
        <f t="shared" si="255"/>
        <v>2.9770551124991194</v>
      </c>
      <c r="DN71" s="173">
        <f t="shared" si="256"/>
        <v>3.005106382978723</v>
      </c>
      <c r="DO71" s="173">
        <f t="shared" si="257"/>
        <v>2.4383504071447328</v>
      </c>
      <c r="DQ71" s="545">
        <f t="shared" si="258"/>
        <v>3960</v>
      </c>
      <c r="DR71" s="460">
        <f t="shared" si="259"/>
        <v>292.33729556901886</v>
      </c>
      <c r="DT71">
        <f t="shared" si="260"/>
        <v>3960</v>
      </c>
      <c r="DU71">
        <f t="shared" si="261"/>
        <v>292.33729556901886</v>
      </c>
      <c r="DW71" s="5">
        <f t="shared" si="301"/>
        <v>3.420706201901313</v>
      </c>
      <c r="DX71" s="5">
        <f t="shared" si="262"/>
        <v>1.5025531914893615</v>
      </c>
      <c r="DY71" s="5">
        <f t="shared" si="302"/>
        <v>1.9181530104119515</v>
      </c>
      <c r="DZ71" s="5">
        <f t="shared" si="263"/>
        <v>1.9181530104119509</v>
      </c>
      <c r="EA71" s="173">
        <f t="shared" si="303"/>
        <v>0.43925233644859807</v>
      </c>
      <c r="EB71" s="173">
        <f t="shared" si="264"/>
        <v>15.839999999999996</v>
      </c>
      <c r="EC71" s="173">
        <f t="shared" si="265"/>
        <v>3.3702127659574468</v>
      </c>
      <c r="ED71" s="173">
        <f t="shared" si="304"/>
        <v>4.6999999999999993</v>
      </c>
      <c r="EE71" s="460">
        <f t="shared" si="266"/>
        <v>148.7527659574468</v>
      </c>
      <c r="EF71" s="5">
        <f t="shared" si="267"/>
        <v>1.0549841557265733</v>
      </c>
      <c r="EG71" s="5"/>
      <c r="EH71" s="173">
        <f t="shared" si="305"/>
        <v>1.149889911474415</v>
      </c>
      <c r="EI71" s="173">
        <f t="shared" si="268"/>
        <v>5.1968831415186036</v>
      </c>
      <c r="EJ71" s="173"/>
      <c r="EK71" s="528">
        <f t="shared" si="269"/>
        <v>1.6131411063829783E-2</v>
      </c>
      <c r="EL71" s="528">
        <f t="shared" si="270"/>
        <v>0.75199999999999989</v>
      </c>
      <c r="EM71" s="528">
        <f t="shared" si="271"/>
        <v>3.6542161946127354E-2</v>
      </c>
      <c r="EN71" s="528">
        <f t="shared" si="272"/>
        <v>5.3551515151515142E-2</v>
      </c>
      <c r="EO71">
        <f t="shared" si="273"/>
        <v>1.0800000000000001E-2</v>
      </c>
      <c r="EP71" s="460">
        <f t="shared" si="306"/>
        <v>47.342161946127348</v>
      </c>
      <c r="EQ71" s="528">
        <f t="shared" si="274"/>
        <v>0.8767409623097272</v>
      </c>
      <c r="ER71" s="460">
        <f t="shared" si="307"/>
        <v>876.74096230972725</v>
      </c>
      <c r="ES71" s="528">
        <f t="shared" si="308"/>
        <v>2.4601499999999996</v>
      </c>
      <c r="ET71" s="528"/>
      <c r="EV71" s="460">
        <f t="shared" si="309"/>
        <v>2460.1499999999996</v>
      </c>
      <c r="EW71" s="528">
        <f t="shared" si="275"/>
        <v>3.9667404255319137E-2</v>
      </c>
      <c r="EX71" s="528">
        <f t="shared" si="276"/>
        <v>0.81022783159800815</v>
      </c>
      <c r="EY71" s="528">
        <f t="shared" si="277"/>
        <v>1.1437475956681542</v>
      </c>
      <c r="EZ71" s="528">
        <f t="shared" si="278"/>
        <v>2.3579376887767065</v>
      </c>
      <c r="FA71" s="528">
        <f t="shared" si="279"/>
        <v>6.5999999999999989E-2</v>
      </c>
      <c r="FB71" s="460">
        <f t="shared" si="310"/>
        <v>2423.9376887767062</v>
      </c>
      <c r="FC71" s="173">
        <f t="shared" si="311"/>
        <v>5.7608286510864337</v>
      </c>
      <c r="FD71" s="5">
        <f t="shared" si="312"/>
        <v>15.84</v>
      </c>
      <c r="FE71" s="173">
        <f t="shared" si="313"/>
        <v>0.73330520119668241</v>
      </c>
      <c r="FF71" s="5">
        <f t="shared" si="314"/>
        <v>73.330520119668236</v>
      </c>
      <c r="FI71" s="562">
        <f t="shared" si="280"/>
        <v>-50</v>
      </c>
      <c r="FJ71">
        <f t="shared" si="281"/>
        <v>-50</v>
      </c>
      <c r="FL71">
        <f t="shared" si="282"/>
        <v>0.56074766355140193</v>
      </c>
    </row>
    <row r="72" spans="5:168">
      <c r="E72" s="170">
        <v>67</v>
      </c>
      <c r="F72" s="217">
        <f t="shared" si="283"/>
        <v>4.0200000000000005</v>
      </c>
      <c r="G72" s="217"/>
      <c r="H72" s="217">
        <f t="shared" si="183"/>
        <v>16.080000000000002</v>
      </c>
      <c r="I72" s="541">
        <f t="shared" si="184"/>
        <v>23.922373788489484</v>
      </c>
      <c r="J72" s="172">
        <f t="shared" si="185"/>
        <v>19.68295216884</v>
      </c>
      <c r="K72" s="172">
        <f t="shared" si="186"/>
        <v>43.682952168840004</v>
      </c>
      <c r="L72" s="443"/>
      <c r="M72" s="217">
        <f t="shared" si="187"/>
        <v>0.45110332416683707</v>
      </c>
      <c r="N72" s="172">
        <f t="shared" si="188"/>
        <v>36.295284996635871</v>
      </c>
      <c r="O72" s="172">
        <f t="shared" si="284"/>
        <v>16.080000000000002</v>
      </c>
      <c r="P72" s="217">
        <f t="shared" si="189"/>
        <v>9.0738212491589678</v>
      </c>
      <c r="Q72" s="217">
        <f t="shared" si="190"/>
        <v>4</v>
      </c>
      <c r="R72" s="217">
        <f t="shared" si="191"/>
        <v>8.9928852816243499</v>
      </c>
      <c r="S72" s="172">
        <f t="shared" si="192"/>
        <v>14.13768487030373</v>
      </c>
      <c r="T72" s="172">
        <f t="shared" si="193"/>
        <v>4</v>
      </c>
      <c r="U72" s="217">
        <f t="shared" si="194"/>
        <v>3.6618913695351645</v>
      </c>
      <c r="V72" s="217">
        <f t="shared" si="195"/>
        <v>1.8368869587501173</v>
      </c>
      <c r="W72" s="217">
        <f t="shared" si="196"/>
        <v>2.2325256931725654</v>
      </c>
      <c r="X72" s="197">
        <f t="shared" si="197"/>
        <v>350</v>
      </c>
      <c r="Y72" s="443">
        <f t="shared" si="198"/>
        <v>234.2242555424248</v>
      </c>
      <c r="AA72" s="217">
        <f t="shared" si="199"/>
        <v>2.5710213401821536</v>
      </c>
      <c r="AB72" s="173">
        <f t="shared" si="200"/>
        <v>1.5674608065668074</v>
      </c>
      <c r="AC72" s="173">
        <f t="shared" si="201"/>
        <v>2.8209826285076747</v>
      </c>
      <c r="AD72" s="173"/>
      <c r="AE72" s="173">
        <f t="shared" si="202"/>
        <v>0.81288619017880548</v>
      </c>
      <c r="AF72" s="545">
        <f t="shared" si="203"/>
        <v>1854.5031496578931</v>
      </c>
      <c r="AG72" s="528">
        <f t="shared" si="204"/>
        <v>0.7586937775002186</v>
      </c>
      <c r="AI72" s="173">
        <f t="shared" si="205"/>
        <v>3.0691527394290525</v>
      </c>
      <c r="AJ72" s="173">
        <f t="shared" si="206"/>
        <v>3.6618913695351645</v>
      </c>
      <c r="AK72" s="173">
        <f t="shared" si="207"/>
        <v>2.9248578045939491</v>
      </c>
      <c r="AM72" s="545">
        <f t="shared" si="208"/>
        <v>4020.0000000000005</v>
      </c>
      <c r="AN72" s="460">
        <f t="shared" si="209"/>
        <v>234.2242555424248</v>
      </c>
      <c r="AP72">
        <f t="shared" si="210"/>
        <v>4020.0000000000005</v>
      </c>
      <c r="AQ72">
        <f t="shared" si="211"/>
        <v>234.2242555424248</v>
      </c>
      <c r="AS72" s="5">
        <f t="shared" si="285"/>
        <v>4.2694126519226829</v>
      </c>
      <c r="AT72" s="5">
        <f t="shared" si="212"/>
        <v>1.8368869587501173</v>
      </c>
      <c r="AU72" s="5">
        <f t="shared" si="286"/>
        <v>2.4325256931725656</v>
      </c>
      <c r="AV72" s="5">
        <f t="shared" si="213"/>
        <v>2.2325256931725654</v>
      </c>
      <c r="AW72" s="173">
        <f t="shared" si="287"/>
        <v>0.43024348042883498</v>
      </c>
      <c r="AX72" s="173">
        <f t="shared" si="214"/>
        <v>18.844908415546094</v>
      </c>
      <c r="AY72" s="173">
        <f t="shared" si="215"/>
        <v>4.1727729635080841</v>
      </c>
      <c r="AZ72" s="173">
        <f t="shared" si="288"/>
        <v>4.5161595371589609</v>
      </c>
      <c r="BA72" s="460">
        <f t="shared" si="216"/>
        <v>184.60713935438682</v>
      </c>
      <c r="BB72" s="5">
        <f t="shared" si="217"/>
        <v>1.3625673010843191</v>
      </c>
      <c r="BC72" s="5"/>
      <c r="BD72" s="173">
        <f t="shared" si="289"/>
        <v>1.3867621462993283</v>
      </c>
      <c r="BE72" s="173">
        <f t="shared" si="218"/>
        <v>6.3833619777459853</v>
      </c>
      <c r="BF72" s="173"/>
      <c r="BG72" s="528">
        <f t="shared" si="219"/>
        <v>2.3461932854986375E-2</v>
      </c>
      <c r="BH72" s="528">
        <f t="shared" si="220"/>
        <v>0.70250687236300258</v>
      </c>
      <c r="BI72" s="528">
        <f t="shared" si="221"/>
        <v>0.14008000478541413</v>
      </c>
      <c r="BJ72" s="528">
        <f t="shared" si="222"/>
        <v>4.4694679707894404E-2</v>
      </c>
      <c r="BK72">
        <f t="shared" si="223"/>
        <v>1.0765068204820268E-2</v>
      </c>
      <c r="BL72" s="460">
        <f t="shared" si="290"/>
        <v>150.8450729902344</v>
      </c>
      <c r="BM72" s="528">
        <f t="shared" si="224"/>
        <v>0.78135390732003263</v>
      </c>
      <c r="BN72" s="460">
        <f t="shared" si="291"/>
        <v>781.35390732003259</v>
      </c>
      <c r="BO72" s="528">
        <f t="shared" si="225"/>
        <v>2.4974249999999998</v>
      </c>
      <c r="BP72" s="528"/>
      <c r="BR72" s="460">
        <f t="shared" si="292"/>
        <v>2497.4249999999997</v>
      </c>
      <c r="BS72" s="528">
        <f t="shared" si="226"/>
        <v>5.7693277512261582E-2</v>
      </c>
      <c r="BT72" s="528">
        <f t="shared" si="227"/>
        <v>1.222419304167994</v>
      </c>
      <c r="BU72" s="528">
        <f t="shared" si="228"/>
        <v>0.24120000000000003</v>
      </c>
      <c r="BV72" s="528">
        <f t="shared" si="229"/>
        <v>2.0371634904931084</v>
      </c>
      <c r="BW72" s="528">
        <f t="shared" si="230"/>
        <v>7.8520451731442065E-2</v>
      </c>
      <c r="BX72" s="460">
        <f t="shared" si="293"/>
        <v>2115.6839422245507</v>
      </c>
      <c r="BY72" s="173">
        <f t="shared" si="231"/>
        <v>5.5453079225348167</v>
      </c>
      <c r="BZ72" s="5">
        <f t="shared" si="294"/>
        <v>16.080000000000002</v>
      </c>
      <c r="CA72" s="173">
        <f t="shared" si="295"/>
        <v>0.7435732271466855</v>
      </c>
      <c r="CB72" s="5">
        <f t="shared" si="296"/>
        <v>74.357322714668555</v>
      </c>
      <c r="CE72" s="562">
        <f t="shared" si="232"/>
        <v>-50</v>
      </c>
      <c r="CF72">
        <f t="shared" si="233"/>
        <v>-50</v>
      </c>
      <c r="CG72" s="173">
        <f t="shared" si="234"/>
        <v>0.54634896093382324</v>
      </c>
      <c r="CI72" s="170">
        <v>67</v>
      </c>
      <c r="CJ72" s="217">
        <f t="shared" si="297"/>
        <v>4.0200000000000005</v>
      </c>
      <c r="CK72" s="217"/>
      <c r="CL72" s="217">
        <f t="shared" si="235"/>
        <v>16.080000000000002</v>
      </c>
      <c r="CM72" s="541">
        <f t="shared" si="236"/>
        <v>24</v>
      </c>
      <c r="CN72" s="172">
        <f t="shared" si="237"/>
        <v>18.8</v>
      </c>
      <c r="CO72" s="443">
        <f t="shared" si="238"/>
        <v>42.8</v>
      </c>
      <c r="CP72" s="443"/>
      <c r="CQ72" s="217">
        <f t="shared" si="239"/>
        <v>0.43925233644859818</v>
      </c>
      <c r="CR72" s="172">
        <f t="shared" si="240"/>
        <v>35.456448598130848</v>
      </c>
      <c r="CS72" s="172">
        <f t="shared" si="298"/>
        <v>16.080000000000002</v>
      </c>
      <c r="CT72" s="217">
        <f t="shared" si="241"/>
        <v>8.864112149532712</v>
      </c>
      <c r="CU72" s="217">
        <f t="shared" si="242"/>
        <v>4</v>
      </c>
      <c r="CV72" s="217">
        <f t="shared" si="243"/>
        <v>8.7850467289719631</v>
      </c>
      <c r="CW72" s="172">
        <f t="shared" si="244"/>
        <v>14.182704288741048</v>
      </c>
      <c r="CX72" s="172">
        <f t="shared" si="245"/>
        <v>4</v>
      </c>
      <c r="CY72" s="217">
        <f t="shared" si="246"/>
        <v>3.0506382978723403</v>
      </c>
      <c r="CZ72" s="217">
        <f t="shared" si="247"/>
        <v>1.5253191489361704</v>
      </c>
      <c r="DA72" s="217">
        <f t="shared" si="248"/>
        <v>1.9472159348121321</v>
      </c>
      <c r="DB72" s="197">
        <f t="shared" si="249"/>
        <v>350</v>
      </c>
      <c r="DC72" s="443">
        <f t="shared" si="299"/>
        <v>287.97405235157083</v>
      </c>
      <c r="DE72" s="217">
        <f t="shared" si="250"/>
        <v>2.5100133511348464</v>
      </c>
      <c r="DF72" s="173">
        <f t="shared" si="251"/>
        <v>1.6021361815754336</v>
      </c>
      <c r="DG72" s="173">
        <f t="shared" si="252"/>
        <v>2.8149682442633783</v>
      </c>
      <c r="DH72" s="173"/>
      <c r="DI72" s="173">
        <f t="shared" si="253"/>
        <v>0.85106382978723416</v>
      </c>
      <c r="DJ72" s="545">
        <f t="shared" si="300"/>
        <v>1771.3124999999998</v>
      </c>
      <c r="DK72" s="528">
        <f t="shared" si="254"/>
        <v>0.79432624113475192</v>
      </c>
      <c r="DM72" s="173">
        <f t="shared" si="255"/>
        <v>2.9995237717249146</v>
      </c>
      <c r="DN72" s="173">
        <f t="shared" si="256"/>
        <v>3.0506382978723403</v>
      </c>
      <c r="DO72" s="173">
        <f t="shared" si="257"/>
        <v>2.4720777515103753</v>
      </c>
      <c r="DQ72" s="545">
        <f t="shared" si="258"/>
        <v>4020.0000000000005</v>
      </c>
      <c r="DR72" s="460">
        <f t="shared" si="259"/>
        <v>287.97405235157083</v>
      </c>
      <c r="DT72">
        <f t="shared" si="260"/>
        <v>4020.0000000000005</v>
      </c>
      <c r="DU72">
        <f t="shared" si="261"/>
        <v>287.97405235157083</v>
      </c>
      <c r="DW72" s="5">
        <f t="shared" si="301"/>
        <v>3.4725350837483022</v>
      </c>
      <c r="DX72" s="5">
        <f t="shared" si="262"/>
        <v>1.5253191489361704</v>
      </c>
      <c r="DY72" s="5">
        <f t="shared" si="302"/>
        <v>1.9472159348121318</v>
      </c>
      <c r="DZ72" s="5">
        <f t="shared" si="263"/>
        <v>1.9472159348121321</v>
      </c>
      <c r="EA72" s="173">
        <f t="shared" si="303"/>
        <v>0.43925233644859818</v>
      </c>
      <c r="EB72" s="173">
        <f t="shared" si="264"/>
        <v>16.080000000000002</v>
      </c>
      <c r="EC72" s="173">
        <f t="shared" si="265"/>
        <v>3.4212765957446805</v>
      </c>
      <c r="ED72" s="173">
        <f t="shared" si="304"/>
        <v>4.7000000000000011</v>
      </c>
      <c r="EE72" s="460">
        <f t="shared" si="266"/>
        <v>153.29457446808513</v>
      </c>
      <c r="EF72" s="5">
        <f t="shared" si="267"/>
        <v>1.0871955636034401</v>
      </c>
      <c r="EG72" s="5"/>
      <c r="EH72" s="173">
        <f t="shared" si="305"/>
        <v>1.1673124858906943</v>
      </c>
      <c r="EI72" s="173">
        <f t="shared" si="268"/>
        <v>5.2756237951779763</v>
      </c>
      <c r="EJ72" s="173"/>
      <c r="EK72" s="528">
        <f t="shared" si="269"/>
        <v>1.6623944964539009E-2</v>
      </c>
      <c r="EL72" s="528">
        <f t="shared" si="270"/>
        <v>0.75199999999999989</v>
      </c>
      <c r="EM72" s="528">
        <f t="shared" si="271"/>
        <v>3.5996756543946351E-2</v>
      </c>
      <c r="EN72" s="528">
        <f t="shared" si="272"/>
        <v>5.2752238805970152E-2</v>
      </c>
      <c r="EO72">
        <f t="shared" si="273"/>
        <v>1.0800000000000001E-2</v>
      </c>
      <c r="EP72" s="460">
        <f t="shared" si="306"/>
        <v>46.796756543946358</v>
      </c>
      <c r="EQ72" s="528">
        <f t="shared" si="274"/>
        <v>0.87612195516686564</v>
      </c>
      <c r="ER72" s="460">
        <f t="shared" si="307"/>
        <v>876.12195516686563</v>
      </c>
      <c r="ES72" s="528">
        <f t="shared" si="308"/>
        <v>2.4974249999999998</v>
      </c>
      <c r="ET72" s="528"/>
      <c r="EV72" s="460">
        <f t="shared" si="309"/>
        <v>2497.4249999999997</v>
      </c>
      <c r="EW72" s="528">
        <f t="shared" si="275"/>
        <v>4.0878553191489371E-2</v>
      </c>
      <c r="EX72" s="528">
        <f t="shared" si="276"/>
        <v>0.83496619284744222</v>
      </c>
      <c r="EY72" s="528">
        <f t="shared" si="277"/>
        <v>1.1437475956681533</v>
      </c>
      <c r="EZ72" s="528">
        <f t="shared" si="278"/>
        <v>2.3978033586533085</v>
      </c>
      <c r="FA72" s="528">
        <f t="shared" si="279"/>
        <v>6.7000000000000004E-2</v>
      </c>
      <c r="FB72" s="460">
        <f t="shared" si="310"/>
        <v>2464.8033586533088</v>
      </c>
      <c r="FC72" s="173">
        <f t="shared" si="311"/>
        <v>5.8383503138201736</v>
      </c>
      <c r="FD72" s="5">
        <f t="shared" si="312"/>
        <v>16.080000000000002</v>
      </c>
      <c r="FE72" s="173">
        <f t="shared" si="313"/>
        <v>0.73363185503340911</v>
      </c>
      <c r="FF72" s="5">
        <f t="shared" si="314"/>
        <v>73.363185503340915</v>
      </c>
      <c r="FI72" s="562">
        <f t="shared" si="280"/>
        <v>-50</v>
      </c>
      <c r="FJ72">
        <f t="shared" si="281"/>
        <v>-50</v>
      </c>
      <c r="FL72">
        <f t="shared" si="282"/>
        <v>0.56074766355140182</v>
      </c>
    </row>
    <row r="73" spans="5:168">
      <c r="E73" s="170">
        <v>68</v>
      </c>
      <c r="F73" s="217">
        <f t="shared" si="283"/>
        <v>4.08</v>
      </c>
      <c r="G73" s="217"/>
      <c r="H73" s="217">
        <f t="shared" si="183"/>
        <v>16.32</v>
      </c>
      <c r="I73" s="541">
        <f t="shared" si="184"/>
        <v>23.921245710708202</v>
      </c>
      <c r="J73" s="172">
        <f t="shared" si="185"/>
        <v>19.695783385309568</v>
      </c>
      <c r="K73" s="172">
        <f t="shared" si="186"/>
        <v>43.695783385309568</v>
      </c>
      <c r="L73" s="443"/>
      <c r="M73" s="217">
        <f t="shared" si="187"/>
        <v>0.45127666567167507</v>
      </c>
      <c r="N73" s="172">
        <f t="shared" si="188"/>
        <v>36.307519676895431</v>
      </c>
      <c r="O73" s="172">
        <f t="shared" si="284"/>
        <v>16.32</v>
      </c>
      <c r="P73" s="217">
        <f t="shared" si="189"/>
        <v>9.0768799192238578</v>
      </c>
      <c r="Q73" s="217">
        <f t="shared" si="190"/>
        <v>4</v>
      </c>
      <c r="R73" s="217">
        <f t="shared" si="191"/>
        <v>8.9959166692010459</v>
      </c>
      <c r="S73" s="172">
        <f t="shared" si="192"/>
        <v>13.850885047322299</v>
      </c>
      <c r="T73" s="172">
        <f t="shared" si="193"/>
        <v>4</v>
      </c>
      <c r="U73" s="217">
        <f t="shared" si="194"/>
        <v>3.7177205203002712</v>
      </c>
      <c r="V73" s="217">
        <f t="shared" si="195"/>
        <v>1.8649800592798003</v>
      </c>
      <c r="W73" s="217">
        <f t="shared" si="196"/>
        <v>2.2650861542719012</v>
      </c>
      <c r="X73" s="197">
        <f t="shared" si="197"/>
        <v>350</v>
      </c>
      <c r="Y73" s="443">
        <f t="shared" si="198"/>
        <v>230.94335067448264</v>
      </c>
      <c r="AA73" s="217">
        <f t="shared" si="199"/>
        <v>2.571885795577785</v>
      </c>
      <c r="AB73" s="173">
        <f t="shared" si="200"/>
        <v>1.5669663370664826</v>
      </c>
      <c r="AC73" s="173">
        <f t="shared" si="201"/>
        <v>2.8210409251148869</v>
      </c>
      <c r="AD73" s="173"/>
      <c r="AE73" s="173">
        <f t="shared" si="202"/>
        <v>0.81235661902810485</v>
      </c>
      <c r="AF73" s="545">
        <f t="shared" si="203"/>
        <v>1883.4092862202267</v>
      </c>
      <c r="AG73" s="528">
        <f t="shared" si="204"/>
        <v>0.75819951109289807</v>
      </c>
      <c r="AI73" s="173">
        <f t="shared" si="205"/>
        <v>3.092979689325317</v>
      </c>
      <c r="AJ73" s="173">
        <f t="shared" si="206"/>
        <v>3.7177205203002712</v>
      </c>
      <c r="AK73" s="173">
        <f t="shared" si="207"/>
        <v>2.9662127310866202</v>
      </c>
      <c r="AM73" s="545">
        <f t="shared" si="208"/>
        <v>4080</v>
      </c>
      <c r="AN73" s="460">
        <f t="shared" si="209"/>
        <v>230.94335067448264</v>
      </c>
      <c r="AP73">
        <f t="shared" si="210"/>
        <v>4080</v>
      </c>
      <c r="AQ73">
        <f t="shared" si="211"/>
        <v>230.94335067448264</v>
      </c>
      <c r="AS73" s="5">
        <f t="shared" si="285"/>
        <v>4.3300662135517021</v>
      </c>
      <c r="AT73" s="5">
        <f t="shared" si="212"/>
        <v>1.8649800592798003</v>
      </c>
      <c r="AU73" s="5">
        <f t="shared" si="286"/>
        <v>2.4650861542719018</v>
      </c>
      <c r="AV73" s="5">
        <f t="shared" si="213"/>
        <v>2.2650861542719012</v>
      </c>
      <c r="AW73" s="173">
        <f t="shared" si="287"/>
        <v>0.43070474383117235</v>
      </c>
      <c r="AX73" s="173">
        <f t="shared" si="214"/>
        <v>19.151826118231284</v>
      </c>
      <c r="AY73" s="173">
        <f t="shared" si="215"/>
        <v>4.2329613119368998</v>
      </c>
      <c r="AZ73" s="173">
        <f t="shared" si="288"/>
        <v>4.5244510183032771</v>
      </c>
      <c r="BA73" s="460">
        <f t="shared" si="216"/>
        <v>190.22796604653962</v>
      </c>
      <c r="BB73" s="5">
        <f t="shared" si="217"/>
        <v>1.4014810141384284</v>
      </c>
      <c r="BC73" s="5"/>
      <c r="BD73" s="173">
        <f t="shared" si="289"/>
        <v>1.4086592090293089</v>
      </c>
      <c r="BE73" s="173">
        <f t="shared" si="218"/>
        <v>6.4780587896941206</v>
      </c>
      <c r="BF73" s="173"/>
      <c r="BG73" s="528">
        <f t="shared" si="219"/>
        <v>2.4208713359633552E-2</v>
      </c>
      <c r="BH73" s="528">
        <f t="shared" si="220"/>
        <v>0.70343342860042168</v>
      </c>
      <c r="BI73" s="528">
        <f t="shared" si="221"/>
        <v>0.13811131591846371</v>
      </c>
      <c r="BJ73" s="528">
        <f t="shared" si="222"/>
        <v>4.4094510141215369E-2</v>
      </c>
      <c r="BK73">
        <f t="shared" si="223"/>
        <v>1.0764560569818692E-2</v>
      </c>
      <c r="BL73" s="460">
        <f t="shared" si="290"/>
        <v>148.87587648828242</v>
      </c>
      <c r="BM73" s="528">
        <f t="shared" si="224"/>
        <v>0.78277552191299082</v>
      </c>
      <c r="BN73" s="460">
        <f t="shared" si="291"/>
        <v>782.77552191299083</v>
      </c>
      <c r="BO73" s="528">
        <f t="shared" si="225"/>
        <v>2.5347</v>
      </c>
      <c r="BP73" s="528"/>
      <c r="BR73" s="460">
        <f t="shared" si="292"/>
        <v>2534.6999999999998</v>
      </c>
      <c r="BS73" s="528">
        <f t="shared" si="226"/>
        <v>5.952962301549234E-2</v>
      </c>
      <c r="BT73" s="528">
        <f t="shared" si="227"/>
        <v>1.2589573704819976</v>
      </c>
      <c r="BU73" s="528">
        <f t="shared" si="228"/>
        <v>0.24479999999999999</v>
      </c>
      <c r="BV73" s="528">
        <f t="shared" si="229"/>
        <v>2.1013746874458659</v>
      </c>
      <c r="BW73" s="528">
        <f t="shared" si="230"/>
        <v>7.9799275492630342E-2</v>
      </c>
      <c r="BX73" s="460">
        <f t="shared" si="293"/>
        <v>2181.1739629384965</v>
      </c>
      <c r="BY73" s="173">
        <f t="shared" si="231"/>
        <v>5.6475253613397687</v>
      </c>
      <c r="BZ73" s="5">
        <f t="shared" si="294"/>
        <v>16.32</v>
      </c>
      <c r="CA73" s="173">
        <f t="shared" si="295"/>
        <v>0.74291481318698094</v>
      </c>
      <c r="CB73" s="5">
        <f t="shared" si="296"/>
        <v>74.291481318698089</v>
      </c>
      <c r="CE73" s="562">
        <f t="shared" si="232"/>
        <v>-50</v>
      </c>
      <c r="CF73">
        <f t="shared" si="233"/>
        <v>-50</v>
      </c>
      <c r="CG73" s="173">
        <f t="shared" si="234"/>
        <v>0.54656070656055233</v>
      </c>
      <c r="CI73" s="170">
        <v>68</v>
      </c>
      <c r="CJ73" s="217">
        <f t="shared" si="297"/>
        <v>4.08</v>
      </c>
      <c r="CK73" s="217"/>
      <c r="CL73" s="217">
        <f t="shared" si="235"/>
        <v>16.32</v>
      </c>
      <c r="CM73" s="541">
        <f t="shared" si="236"/>
        <v>24</v>
      </c>
      <c r="CN73" s="172">
        <f t="shared" si="237"/>
        <v>18.8</v>
      </c>
      <c r="CO73" s="443">
        <f t="shared" si="238"/>
        <v>42.8</v>
      </c>
      <c r="CP73" s="443"/>
      <c r="CQ73" s="217">
        <f t="shared" si="239"/>
        <v>0.43925233644859818</v>
      </c>
      <c r="CR73" s="172">
        <f t="shared" si="240"/>
        <v>35.456448598130848</v>
      </c>
      <c r="CS73" s="172">
        <f t="shared" si="298"/>
        <v>16.32</v>
      </c>
      <c r="CT73" s="217">
        <f t="shared" si="241"/>
        <v>8.864112149532712</v>
      </c>
      <c r="CU73" s="217">
        <f t="shared" si="242"/>
        <v>4</v>
      </c>
      <c r="CV73" s="217">
        <f t="shared" si="243"/>
        <v>8.7850467289719631</v>
      </c>
      <c r="CW73" s="172">
        <f t="shared" si="244"/>
        <v>13.895601070599639</v>
      </c>
      <c r="CX73" s="172">
        <f t="shared" si="245"/>
        <v>4</v>
      </c>
      <c r="CY73" s="217">
        <f t="shared" si="246"/>
        <v>3.0961702127659567</v>
      </c>
      <c r="CZ73" s="217">
        <f t="shared" si="247"/>
        <v>1.5480851063829786</v>
      </c>
      <c r="DA73" s="217">
        <f t="shared" si="248"/>
        <v>1.9762788592123128</v>
      </c>
      <c r="DB73" s="197">
        <f t="shared" si="249"/>
        <v>350</v>
      </c>
      <c r="DC73" s="443">
        <f t="shared" si="299"/>
        <v>283.73913981698894</v>
      </c>
      <c r="DE73" s="217">
        <f t="shared" si="250"/>
        <v>2.5100133511348464</v>
      </c>
      <c r="DF73" s="173">
        <f t="shared" si="251"/>
        <v>1.6021361815754336</v>
      </c>
      <c r="DG73" s="173">
        <f t="shared" si="252"/>
        <v>2.8149682442633783</v>
      </c>
      <c r="DH73" s="173"/>
      <c r="DI73" s="173">
        <f t="shared" si="253"/>
        <v>0.85106382978723416</v>
      </c>
      <c r="DJ73" s="545">
        <f t="shared" si="300"/>
        <v>1797.7499999999995</v>
      </c>
      <c r="DK73" s="528">
        <f t="shared" si="254"/>
        <v>0.79432624113475192</v>
      </c>
      <c r="DM73" s="173">
        <f t="shared" si="255"/>
        <v>3.0218253707698879</v>
      </c>
      <c r="DN73" s="173">
        <f t="shared" si="256"/>
        <v>3.0961702127659567</v>
      </c>
      <c r="DO73" s="173">
        <f t="shared" si="257"/>
        <v>2.505805095876017</v>
      </c>
      <c r="DQ73" s="545">
        <f t="shared" si="258"/>
        <v>4080</v>
      </c>
      <c r="DR73" s="460">
        <f t="shared" si="259"/>
        <v>283.73913981698894</v>
      </c>
      <c r="DT73">
        <f t="shared" si="260"/>
        <v>4080</v>
      </c>
      <c r="DU73">
        <f t="shared" si="261"/>
        <v>283.73913981698894</v>
      </c>
      <c r="DW73" s="5">
        <f t="shared" si="301"/>
        <v>3.5243639655952914</v>
      </c>
      <c r="DX73" s="5">
        <f t="shared" si="262"/>
        <v>1.5480851063829786</v>
      </c>
      <c r="DY73" s="5">
        <f t="shared" si="302"/>
        <v>1.9762788592123128</v>
      </c>
      <c r="DZ73" s="5">
        <f t="shared" si="263"/>
        <v>1.9762788592123128</v>
      </c>
      <c r="EA73" s="173">
        <f t="shared" si="303"/>
        <v>0.43925233644859818</v>
      </c>
      <c r="EB73" s="173">
        <f t="shared" si="264"/>
        <v>16.319999999999993</v>
      </c>
      <c r="EC73" s="173">
        <f t="shared" si="265"/>
        <v>3.4723404255319137</v>
      </c>
      <c r="ED73" s="173">
        <f t="shared" si="304"/>
        <v>4.6999999999999993</v>
      </c>
      <c r="EE73" s="460">
        <f t="shared" si="266"/>
        <v>157.90468085106383</v>
      </c>
      <c r="EF73" s="5">
        <f t="shared" si="267"/>
        <v>1.1198913535536439</v>
      </c>
      <c r="EG73" s="5"/>
      <c r="EH73" s="173">
        <f t="shared" si="305"/>
        <v>1.1847350603069731</v>
      </c>
      <c r="EI73" s="173">
        <f t="shared" si="268"/>
        <v>5.3543644488373481</v>
      </c>
      <c r="EJ73" s="173"/>
      <c r="EK73" s="528">
        <f t="shared" si="269"/>
        <v>1.7123885390070915E-2</v>
      </c>
      <c r="EL73" s="528">
        <f t="shared" si="270"/>
        <v>0.75199999999999989</v>
      </c>
      <c r="EM73" s="528">
        <f t="shared" si="271"/>
        <v>3.5467392477123612E-2</v>
      </c>
      <c r="EN73" s="528">
        <f t="shared" si="272"/>
        <v>5.1976470588235298E-2</v>
      </c>
      <c r="EO73">
        <f t="shared" si="273"/>
        <v>1.0800000000000001E-2</v>
      </c>
      <c r="EP73" s="460">
        <f t="shared" si="306"/>
        <v>46.267392477123607</v>
      </c>
      <c r="EQ73" s="528">
        <f t="shared" si="274"/>
        <v>0.87555350529445164</v>
      </c>
      <c r="ER73" s="460">
        <f t="shared" si="307"/>
        <v>875.55350529445161</v>
      </c>
      <c r="ES73" s="528">
        <f t="shared" si="308"/>
        <v>2.5347</v>
      </c>
      <c r="ET73" s="528"/>
      <c r="EV73" s="460">
        <f t="shared" si="309"/>
        <v>2534.6999999999998</v>
      </c>
      <c r="EW73" s="528">
        <f t="shared" si="275"/>
        <v>4.210791489361701E-2</v>
      </c>
      <c r="EX73" s="528">
        <f t="shared" si="276"/>
        <v>0.86007655952919826</v>
      </c>
      <c r="EY73" s="528">
        <f t="shared" si="277"/>
        <v>1.1437475956681531</v>
      </c>
      <c r="EZ73" s="528">
        <f t="shared" si="278"/>
        <v>2.4384509511327228</v>
      </c>
      <c r="FA73" s="528">
        <f t="shared" si="279"/>
        <v>6.7999999999999977E-2</v>
      </c>
      <c r="FB73" s="460">
        <f t="shared" si="310"/>
        <v>2506.4509511327228</v>
      </c>
      <c r="FC73" s="173">
        <f t="shared" si="311"/>
        <v>5.9167044564271745</v>
      </c>
      <c r="FD73" s="5">
        <f t="shared" si="312"/>
        <v>16.32</v>
      </c>
      <c r="FE73" s="173">
        <f t="shared" si="313"/>
        <v>0.73392170283051794</v>
      </c>
      <c r="FF73" s="5">
        <f t="shared" si="314"/>
        <v>73.392170283051797</v>
      </c>
      <c r="FI73" s="562">
        <f t="shared" si="280"/>
        <v>-50</v>
      </c>
      <c r="FJ73">
        <f t="shared" si="281"/>
        <v>-50</v>
      </c>
      <c r="FL73">
        <f t="shared" si="282"/>
        <v>0.56074766355140182</v>
      </c>
    </row>
    <row r="74" spans="5:168">
      <c r="E74" s="170">
        <v>69</v>
      </c>
      <c r="F74" s="217">
        <f t="shared" si="283"/>
        <v>4.1399999999999997</v>
      </c>
      <c r="G74" s="217"/>
      <c r="H74" s="217">
        <f t="shared" si="183"/>
        <v>16.559999999999999</v>
      </c>
      <c r="I74" s="541">
        <f t="shared" si="184"/>
        <v>23.920117609971406</v>
      </c>
      <c r="J74" s="172">
        <f t="shared" si="185"/>
        <v>19.708614862884463</v>
      </c>
      <c r="K74" s="172">
        <f t="shared" si="186"/>
        <v>43.70861486288446</v>
      </c>
      <c r="L74" s="443"/>
      <c r="M74" s="217">
        <f t="shared" si="187"/>
        <v>0.45144991430044168</v>
      </c>
      <c r="N74" s="172">
        <f t="shared" si="188"/>
        <v>36.31974553494593</v>
      </c>
      <c r="O74" s="172">
        <f t="shared" si="284"/>
        <v>16.559999999999999</v>
      </c>
      <c r="P74" s="217">
        <f t="shared" si="189"/>
        <v>9.0799363837364826</v>
      </c>
      <c r="Q74" s="217">
        <f t="shared" si="190"/>
        <v>4</v>
      </c>
      <c r="R74" s="217">
        <f t="shared" si="191"/>
        <v>8.9989458708983996</v>
      </c>
      <c r="S74" s="172">
        <f t="shared" si="192"/>
        <v>13.572614925643203</v>
      </c>
      <c r="T74" s="172">
        <f t="shared" si="193"/>
        <v>4</v>
      </c>
      <c r="U74" s="217">
        <f t="shared" si="194"/>
        <v>3.7735843161161076</v>
      </c>
      <c r="V74" s="217">
        <f t="shared" si="195"/>
        <v>1.8930931917540612</v>
      </c>
      <c r="W74" s="217">
        <f t="shared" si="196"/>
        <v>2.2976252825697503</v>
      </c>
      <c r="X74" s="197">
        <f t="shared" si="197"/>
        <v>350</v>
      </c>
      <c r="Y74" s="443">
        <f t="shared" si="198"/>
        <v>227.75315836071772</v>
      </c>
      <c r="AA74" s="217">
        <f t="shared" si="199"/>
        <v>2.5727496467910829</v>
      </c>
      <c r="AB74" s="173">
        <f t="shared" si="200"/>
        <v>1.5664721227889762</v>
      </c>
      <c r="AC74" s="173">
        <f t="shared" si="201"/>
        <v>2.8210984204293914</v>
      </c>
      <c r="AD74" s="173"/>
      <c r="AE74" s="173">
        <f t="shared" si="202"/>
        <v>0.81182772667253367</v>
      </c>
      <c r="AF74" s="545">
        <f t="shared" si="203"/>
        <v>1912.3515359142575</v>
      </c>
      <c r="AG74" s="528">
        <f t="shared" si="204"/>
        <v>0.75770587822769819</v>
      </c>
      <c r="AI74" s="173">
        <f t="shared" si="205"/>
        <v>3.1166539126109361</v>
      </c>
      <c r="AJ74" s="173">
        <f t="shared" si="206"/>
        <v>3.7735843161161076</v>
      </c>
      <c r="AK74" s="173">
        <f t="shared" si="207"/>
        <v>3.0075933205798329</v>
      </c>
      <c r="AM74" s="545">
        <f t="shared" si="208"/>
        <v>4140</v>
      </c>
      <c r="AN74" s="460">
        <f t="shared" si="209"/>
        <v>227.75315836071772</v>
      </c>
      <c r="AP74">
        <f t="shared" si="210"/>
        <v>4140</v>
      </c>
      <c r="AQ74">
        <f t="shared" si="211"/>
        <v>227.75315836071772</v>
      </c>
      <c r="AS74" s="5">
        <f t="shared" si="285"/>
        <v>4.3907184743238119</v>
      </c>
      <c r="AT74" s="5">
        <f t="shared" si="212"/>
        <v>1.8930931917540612</v>
      </c>
      <c r="AU74" s="5">
        <f t="shared" si="286"/>
        <v>2.4976252825697509</v>
      </c>
      <c r="AV74" s="5">
        <f t="shared" si="213"/>
        <v>2.2976252825697503</v>
      </c>
      <c r="AW74" s="173">
        <f t="shared" si="287"/>
        <v>0.43115795349315922</v>
      </c>
      <c r="AX74" s="173">
        <f t="shared" si="214"/>
        <v>19.459145933555416</v>
      </c>
      <c r="AY74" s="173">
        <f t="shared" si="215"/>
        <v>4.2931468500912073</v>
      </c>
      <c r="AZ74" s="173">
        <f t="shared" si="288"/>
        <v>4.5326066433394905</v>
      </c>
      <c r="BA74" s="460">
        <f t="shared" si="216"/>
        <v>195.93514534654531</v>
      </c>
      <c r="BB74" s="5">
        <f t="shared" si="217"/>
        <v>1.4409305782465909</v>
      </c>
      <c r="BC74" s="5"/>
      <c r="BD74" s="173">
        <f t="shared" si="289"/>
        <v>1.4305782957361155</v>
      </c>
      <c r="BE74" s="173">
        <f t="shared" si="218"/>
        <v>6.5727825909148407</v>
      </c>
      <c r="BF74" s="173"/>
      <c r="BG74" s="528">
        <f t="shared" si="219"/>
        <v>2.4967961974821231E-2</v>
      </c>
      <c r="BH74" s="528">
        <f t="shared" si="220"/>
        <v>0.70434718354013803</v>
      </c>
      <c r="BI74" s="528">
        <f t="shared" si="221"/>
        <v>0.13619705835077026</v>
      </c>
      <c r="BJ74" s="528">
        <f t="shared" si="222"/>
        <v>4.3510943013174624E-2</v>
      </c>
      <c r="BK74">
        <f t="shared" si="223"/>
        <v>1.0764052924487132E-2</v>
      </c>
      <c r="BL74" s="460">
        <f t="shared" si="290"/>
        <v>146.96111127525737</v>
      </c>
      <c r="BM74" s="528">
        <f t="shared" si="224"/>
        <v>0.78421973381546461</v>
      </c>
      <c r="BN74" s="460">
        <f t="shared" si="291"/>
        <v>784.21973381546456</v>
      </c>
      <c r="BO74" s="528">
        <f t="shared" si="225"/>
        <v>2.5719749999999997</v>
      </c>
      <c r="BP74" s="528"/>
      <c r="BR74" s="460">
        <f t="shared" si="292"/>
        <v>2571.9749999999995</v>
      </c>
      <c r="BS74" s="528">
        <f t="shared" si="226"/>
        <v>6.1396627806937457E-2</v>
      </c>
      <c r="BT74" s="528">
        <f t="shared" si="227"/>
        <v>1.2960441296229961</v>
      </c>
      <c r="BU74" s="528">
        <f t="shared" si="228"/>
        <v>0.24839999999999998</v>
      </c>
      <c r="BV74" s="528">
        <f t="shared" si="229"/>
        <v>2.1669466784539861</v>
      </c>
      <c r="BW74" s="528">
        <f t="shared" si="230"/>
        <v>8.1079774723147563E-2</v>
      </c>
      <c r="BX74" s="460">
        <f t="shared" si="293"/>
        <v>2248.026453177134</v>
      </c>
      <c r="BY74" s="173">
        <f t="shared" si="231"/>
        <v>5.7511822982678558</v>
      </c>
      <c r="BZ74" s="5">
        <f t="shared" si="294"/>
        <v>16.559999999999999</v>
      </c>
      <c r="CA74" s="173">
        <f t="shared" si="295"/>
        <v>0.7422287074981968</v>
      </c>
      <c r="CB74" s="5">
        <f t="shared" si="296"/>
        <v>74.222870749819677</v>
      </c>
      <c r="CE74" s="562">
        <f t="shared" si="232"/>
        <v>-50</v>
      </c>
      <c r="CF74">
        <f t="shared" si="233"/>
        <v>-50</v>
      </c>
      <c r="CG74" s="173">
        <f t="shared" si="234"/>
        <v>0.54676631463288361</v>
      </c>
      <c r="CI74" s="170">
        <v>69</v>
      </c>
      <c r="CJ74" s="217">
        <f t="shared" si="297"/>
        <v>4.1399999999999997</v>
      </c>
      <c r="CK74" s="217"/>
      <c r="CL74" s="217">
        <f t="shared" si="235"/>
        <v>16.559999999999999</v>
      </c>
      <c r="CM74" s="541">
        <f t="shared" si="236"/>
        <v>24</v>
      </c>
      <c r="CN74" s="172">
        <f t="shared" si="237"/>
        <v>18.8</v>
      </c>
      <c r="CO74" s="443">
        <f t="shared" si="238"/>
        <v>42.8</v>
      </c>
      <c r="CP74" s="443"/>
      <c r="CQ74" s="217">
        <f t="shared" si="239"/>
        <v>0.43925233644859818</v>
      </c>
      <c r="CR74" s="172">
        <f t="shared" si="240"/>
        <v>35.456448598130848</v>
      </c>
      <c r="CS74" s="172">
        <f t="shared" si="298"/>
        <v>16.559999999999999</v>
      </c>
      <c r="CT74" s="217">
        <f t="shared" si="241"/>
        <v>8.864112149532712</v>
      </c>
      <c r="CU74" s="217">
        <f t="shared" si="242"/>
        <v>4</v>
      </c>
      <c r="CV74" s="217">
        <f t="shared" si="243"/>
        <v>8.7850467289719631</v>
      </c>
      <c r="CW74" s="172">
        <f t="shared" si="244"/>
        <v>13.617028461379755</v>
      </c>
      <c r="CX74" s="172">
        <f t="shared" si="245"/>
        <v>4</v>
      </c>
      <c r="CY74" s="217">
        <f t="shared" si="246"/>
        <v>3.1417021276595736</v>
      </c>
      <c r="CZ74" s="217">
        <f t="shared" si="247"/>
        <v>1.5708510638297868</v>
      </c>
      <c r="DA74" s="217">
        <f t="shared" si="248"/>
        <v>2.0053417836124936</v>
      </c>
      <c r="DB74" s="197">
        <f t="shared" si="249"/>
        <v>350</v>
      </c>
      <c r="DC74" s="443">
        <f t="shared" si="299"/>
        <v>279.62697837036592</v>
      </c>
      <c r="DE74" s="217">
        <f t="shared" si="250"/>
        <v>2.5100133511348464</v>
      </c>
      <c r="DF74" s="173">
        <f t="shared" si="251"/>
        <v>1.6021361815754336</v>
      </c>
      <c r="DG74" s="173">
        <f t="shared" si="252"/>
        <v>2.8149682442633783</v>
      </c>
      <c r="DH74" s="173"/>
      <c r="DI74" s="173">
        <f t="shared" si="253"/>
        <v>0.85106382978723416</v>
      </c>
      <c r="DJ74" s="545">
        <f t="shared" si="300"/>
        <v>1824.1874999999995</v>
      </c>
      <c r="DK74" s="528">
        <f t="shared" si="254"/>
        <v>0.79432624113475192</v>
      </c>
      <c r="DM74" s="173">
        <f t="shared" si="255"/>
        <v>3.0439635815354764</v>
      </c>
      <c r="DN74" s="173">
        <f t="shared" si="256"/>
        <v>3.1417021276595736</v>
      </c>
      <c r="DO74" s="173">
        <f t="shared" si="257"/>
        <v>2.5395324402416595</v>
      </c>
      <c r="DQ74" s="545">
        <f t="shared" si="258"/>
        <v>4140</v>
      </c>
      <c r="DR74" s="460">
        <f t="shared" si="259"/>
        <v>279.62697837036592</v>
      </c>
      <c r="DT74">
        <f t="shared" si="260"/>
        <v>4140</v>
      </c>
      <c r="DU74">
        <f t="shared" si="261"/>
        <v>279.62697837036592</v>
      </c>
      <c r="DW74" s="5">
        <f t="shared" si="301"/>
        <v>3.5761928474422811</v>
      </c>
      <c r="DX74" s="5">
        <f t="shared" si="262"/>
        <v>1.5708510638297868</v>
      </c>
      <c r="DY74" s="5">
        <f t="shared" si="302"/>
        <v>2.0053417836124945</v>
      </c>
      <c r="DZ74" s="5">
        <f t="shared" si="263"/>
        <v>2.0053417836124936</v>
      </c>
      <c r="EA74" s="173">
        <f t="shared" si="303"/>
        <v>0.43925233644859807</v>
      </c>
      <c r="EB74" s="173">
        <f t="shared" si="264"/>
        <v>16.559999999999995</v>
      </c>
      <c r="EC74" s="173">
        <f t="shared" si="265"/>
        <v>3.5234042553191482</v>
      </c>
      <c r="ED74" s="173">
        <f t="shared" si="304"/>
        <v>4.6999999999999993</v>
      </c>
      <c r="EE74" s="460">
        <f t="shared" si="266"/>
        <v>162.58308510638292</v>
      </c>
      <c r="EF74" s="5">
        <f t="shared" si="267"/>
        <v>1.1530715255771842</v>
      </c>
      <c r="EG74" s="5"/>
      <c r="EH74" s="173">
        <f t="shared" si="305"/>
        <v>1.2021576347232519</v>
      </c>
      <c r="EI74" s="173">
        <f t="shared" si="268"/>
        <v>5.4331051024967207</v>
      </c>
      <c r="EJ74" s="173"/>
      <c r="EK74" s="528">
        <f t="shared" si="269"/>
        <v>1.7631232340425521E-2</v>
      </c>
      <c r="EL74" s="528">
        <f t="shared" si="270"/>
        <v>0.75199999999999989</v>
      </c>
      <c r="EM74" s="528">
        <f t="shared" si="271"/>
        <v>3.4953372296295734E-2</v>
      </c>
      <c r="EN74" s="528">
        <f t="shared" si="272"/>
        <v>5.1223188405797107E-2</v>
      </c>
      <c r="EO74">
        <f t="shared" si="273"/>
        <v>1.0800000000000001E-2</v>
      </c>
      <c r="EP74" s="460">
        <f t="shared" si="306"/>
        <v>45.753372296295737</v>
      </c>
      <c r="EQ74" s="528">
        <f t="shared" si="274"/>
        <v>0.87503390099540679</v>
      </c>
      <c r="ER74" s="460">
        <f t="shared" si="307"/>
        <v>875.03390099540684</v>
      </c>
      <c r="ES74" s="528">
        <f t="shared" si="308"/>
        <v>2.5719749999999997</v>
      </c>
      <c r="ET74" s="528"/>
      <c r="EV74" s="460">
        <f t="shared" si="309"/>
        <v>2571.9749999999995</v>
      </c>
      <c r="EW74" s="528">
        <f t="shared" si="275"/>
        <v>4.3355489361702103E-2</v>
      </c>
      <c r="EX74" s="528">
        <f t="shared" si="276"/>
        <v>0.88555893164327704</v>
      </c>
      <c r="EY74" s="528">
        <f t="shared" si="277"/>
        <v>1.143747595668154</v>
      </c>
      <c r="EZ74" s="528">
        <f t="shared" si="278"/>
        <v>2.4798899183253074</v>
      </c>
      <c r="FA74" s="528">
        <f t="shared" si="279"/>
        <v>6.8999999999999978E-2</v>
      </c>
      <c r="FB74" s="460">
        <f t="shared" si="310"/>
        <v>2548.8899183253075</v>
      </c>
      <c r="FC74" s="173">
        <f t="shared" si="311"/>
        <v>5.9958988193207139</v>
      </c>
      <c r="FD74" s="5">
        <f t="shared" si="312"/>
        <v>16.559999999999999</v>
      </c>
      <c r="FE74" s="173">
        <f t="shared" si="313"/>
        <v>0.73417601899398455</v>
      </c>
      <c r="FF74" s="5">
        <f t="shared" si="314"/>
        <v>73.417601899398448</v>
      </c>
      <c r="FI74" s="562">
        <f t="shared" si="280"/>
        <v>-50</v>
      </c>
      <c r="FJ74">
        <f t="shared" si="281"/>
        <v>-50</v>
      </c>
      <c r="FL74">
        <f t="shared" si="282"/>
        <v>0.56074766355140193</v>
      </c>
    </row>
    <row r="75" spans="5:168">
      <c r="E75" s="170">
        <v>70</v>
      </c>
      <c r="F75" s="217">
        <f t="shared" si="283"/>
        <v>4.1999999999999993</v>
      </c>
      <c r="G75" s="217"/>
      <c r="H75" s="217">
        <f t="shared" si="183"/>
        <v>16.799999999999997</v>
      </c>
      <c r="I75" s="541">
        <f t="shared" si="184"/>
        <v>23.9189894872877</v>
      </c>
      <c r="J75" s="172">
        <f t="shared" si="185"/>
        <v>19.721446590092505</v>
      </c>
      <c r="K75" s="172">
        <f t="shared" si="186"/>
        <v>43.721446590092505</v>
      </c>
      <c r="L75" s="443"/>
      <c r="M75" s="217">
        <f t="shared" si="187"/>
        <v>0.4516230701177823</v>
      </c>
      <c r="N75" s="172">
        <f t="shared" si="188"/>
        <v>36.331962578537016</v>
      </c>
      <c r="O75" s="172">
        <f t="shared" si="284"/>
        <v>16.799999999999997</v>
      </c>
      <c r="P75" s="217">
        <f t="shared" si="189"/>
        <v>9.0829906446342541</v>
      </c>
      <c r="Q75" s="217">
        <f t="shared" si="190"/>
        <v>4</v>
      </c>
      <c r="R75" s="217">
        <f t="shared" si="191"/>
        <v>9.0019728886365264</v>
      </c>
      <c r="S75" s="172">
        <f t="shared" si="192"/>
        <v>13.302511363026168</v>
      </c>
      <c r="T75" s="172">
        <f t="shared" si="193"/>
        <v>4</v>
      </c>
      <c r="U75" s="217">
        <f t="shared" si="194"/>
        <v>3.8294827618861449</v>
      </c>
      <c r="V75" s="217">
        <f t="shared" si="195"/>
        <v>1.9212263614671909</v>
      </c>
      <c r="W75" s="217">
        <f t="shared" si="196"/>
        <v>2.3301431227524469</v>
      </c>
      <c r="X75" s="197">
        <f t="shared" si="197"/>
        <v>350</v>
      </c>
      <c r="Y75" s="443">
        <f t="shared" si="198"/>
        <v>224.64996526238895</v>
      </c>
      <c r="AA75" s="217">
        <f t="shared" si="199"/>
        <v>2.5736128935128417</v>
      </c>
      <c r="AB75" s="173">
        <f t="shared" si="200"/>
        <v>1.5659781639785504</v>
      </c>
      <c r="AC75" s="173">
        <f t="shared" si="201"/>
        <v>2.8211551156423353</v>
      </c>
      <c r="AD75" s="173"/>
      <c r="AE75" s="173">
        <f t="shared" si="202"/>
        <v>0.81129951228009556</v>
      </c>
      <c r="AF75" s="545">
        <f t="shared" si="203"/>
        <v>1941.3298987122298</v>
      </c>
      <c r="AG75" s="528">
        <f t="shared" si="204"/>
        <v>0.75721287812808924</v>
      </c>
      <c r="AI75" s="173">
        <f t="shared" si="205"/>
        <v>3.1401788635436438</v>
      </c>
      <c r="AJ75" s="173">
        <f t="shared" si="206"/>
        <v>3.8294827618861449</v>
      </c>
      <c r="AK75" s="173">
        <f t="shared" si="207"/>
        <v>3.048999576705786</v>
      </c>
      <c r="AM75" s="545">
        <f t="shared" si="208"/>
        <v>4199.9999999999991</v>
      </c>
      <c r="AN75" s="460">
        <f t="shared" si="209"/>
        <v>224.64996526238895</v>
      </c>
      <c r="AP75">
        <f t="shared" si="210"/>
        <v>4199.9999999999991</v>
      </c>
      <c r="AQ75">
        <f t="shared" si="211"/>
        <v>224.64996526238895</v>
      </c>
      <c r="AS75" s="5">
        <f t="shared" si="285"/>
        <v>4.4513694842196383</v>
      </c>
      <c r="AT75" s="5">
        <f t="shared" si="212"/>
        <v>1.9212263614671909</v>
      </c>
      <c r="AU75" s="5">
        <f t="shared" si="286"/>
        <v>2.5301431227524471</v>
      </c>
      <c r="AV75" s="5">
        <f t="shared" si="213"/>
        <v>2.3301431227524469</v>
      </c>
      <c r="AW75" s="173">
        <f t="shared" si="287"/>
        <v>0.4316034353647904</v>
      </c>
      <c r="AX75" s="173">
        <f t="shared" si="214"/>
        <v>19.766867175018191</v>
      </c>
      <c r="AY75" s="173">
        <f t="shared" si="215"/>
        <v>4.3533296923716787</v>
      </c>
      <c r="AZ75" s="173">
        <f t="shared" si="288"/>
        <v>4.5406317857468022</v>
      </c>
      <c r="BA75" s="460">
        <f t="shared" si="216"/>
        <v>201.728767954055</v>
      </c>
      <c r="BB75" s="5">
        <f t="shared" si="217"/>
        <v>1.4809155603065964</v>
      </c>
      <c r="BC75" s="5"/>
      <c r="BD75" s="173">
        <f t="shared" si="289"/>
        <v>1.4525193879039857</v>
      </c>
      <c r="BE75" s="173">
        <f t="shared" si="218"/>
        <v>6.6675334797298582</v>
      </c>
      <c r="BF75" s="173"/>
      <c r="BG75" s="528">
        <f t="shared" si="219"/>
        <v>2.573971338129102E-2</v>
      </c>
      <c r="BH75" s="528">
        <f t="shared" si="220"/>
        <v>0.70524865985780838</v>
      </c>
      <c r="BI75" s="528">
        <f t="shared" si="221"/>
        <v>0.1343350039357657</v>
      </c>
      <c r="BJ75" s="528">
        <f t="shared" si="222"/>
        <v>4.2943298656894675E-2</v>
      </c>
      <c r="BK75">
        <f t="shared" si="223"/>
        <v>1.0763545269279464E-2</v>
      </c>
      <c r="BL75" s="460">
        <f t="shared" si="290"/>
        <v>145.09854920504517</v>
      </c>
      <c r="BM75" s="528">
        <f t="shared" si="224"/>
        <v>0.7856864611186033</v>
      </c>
      <c r="BN75" s="460">
        <f t="shared" si="291"/>
        <v>785.68646111860335</v>
      </c>
      <c r="BO75" s="528">
        <f t="shared" si="225"/>
        <v>2.6092499999999994</v>
      </c>
      <c r="BP75" s="528"/>
      <c r="BR75" s="460">
        <f t="shared" si="292"/>
        <v>2609.2499999999995</v>
      </c>
      <c r="BS75" s="528">
        <f t="shared" si="226"/>
        <v>6.3294377167109075E-2</v>
      </c>
      <c r="BT75" s="528">
        <f t="shared" si="227"/>
        <v>1.3336800810995566</v>
      </c>
      <c r="BU75" s="528">
        <f t="shared" si="228"/>
        <v>0.25199999999999995</v>
      </c>
      <c r="BV75" s="528">
        <f t="shared" si="229"/>
        <v>2.2339049847183556</v>
      </c>
      <c r="BW75" s="528">
        <f t="shared" si="230"/>
        <v>8.2361946562575811E-2</v>
      </c>
      <c r="BX75" s="460">
        <f t="shared" si="293"/>
        <v>2316.2669312809317</v>
      </c>
      <c r="BY75" s="173">
        <f t="shared" si="231"/>
        <v>5.8563019416045785</v>
      </c>
      <c r="BZ75" s="5">
        <f t="shared" si="294"/>
        <v>16.799999999999997</v>
      </c>
      <c r="CA75" s="173">
        <f t="shared" si="295"/>
        <v>0.74151554138451692</v>
      </c>
      <c r="CB75" s="5">
        <f t="shared" si="296"/>
        <v>74.151554138451687</v>
      </c>
      <c r="CE75" s="562">
        <f t="shared" si="232"/>
        <v>-50</v>
      </c>
      <c r="CF75">
        <f t="shared" si="233"/>
        <v>-50</v>
      </c>
      <c r="CG75" s="173">
        <f t="shared" si="234"/>
        <v>0.54696604818886241</v>
      </c>
      <c r="CI75" s="170">
        <v>70</v>
      </c>
      <c r="CJ75" s="217">
        <f t="shared" si="297"/>
        <v>4.1999999999999993</v>
      </c>
      <c r="CK75" s="217"/>
      <c r="CL75" s="217">
        <f t="shared" si="235"/>
        <v>16.799999999999997</v>
      </c>
      <c r="CM75" s="541">
        <f t="shared" si="236"/>
        <v>24</v>
      </c>
      <c r="CN75" s="172">
        <f t="shared" si="237"/>
        <v>18.8</v>
      </c>
      <c r="CO75" s="443">
        <f t="shared" si="238"/>
        <v>42.8</v>
      </c>
      <c r="CP75" s="443"/>
      <c r="CQ75" s="217">
        <f t="shared" si="239"/>
        <v>0.43925233644859818</v>
      </c>
      <c r="CR75" s="172">
        <f t="shared" si="240"/>
        <v>35.456448598130848</v>
      </c>
      <c r="CS75" s="172">
        <f t="shared" si="298"/>
        <v>16.799999999999997</v>
      </c>
      <c r="CT75" s="217">
        <f t="shared" si="241"/>
        <v>8.864112149532712</v>
      </c>
      <c r="CU75" s="217">
        <f t="shared" si="242"/>
        <v>4</v>
      </c>
      <c r="CV75" s="217">
        <f t="shared" si="243"/>
        <v>8.7850467289719631</v>
      </c>
      <c r="CW75" s="172">
        <f t="shared" si="244"/>
        <v>13.346623293148204</v>
      </c>
      <c r="CX75" s="172">
        <f t="shared" si="245"/>
        <v>4</v>
      </c>
      <c r="CY75" s="217">
        <f t="shared" si="246"/>
        <v>3.1872340425531904</v>
      </c>
      <c r="CZ75" s="217">
        <f t="shared" si="247"/>
        <v>1.5936170212765952</v>
      </c>
      <c r="DA75" s="217">
        <f t="shared" si="248"/>
        <v>2.0344047080126746</v>
      </c>
      <c r="DB75" s="197">
        <f t="shared" si="249"/>
        <v>350</v>
      </c>
      <c r="DC75" s="443">
        <f t="shared" si="299"/>
        <v>275.63230725078932</v>
      </c>
      <c r="DE75" s="217">
        <f t="shared" si="250"/>
        <v>2.5100133511348464</v>
      </c>
      <c r="DF75" s="173">
        <f t="shared" si="251"/>
        <v>1.6021361815754336</v>
      </c>
      <c r="DG75" s="173">
        <f t="shared" si="252"/>
        <v>2.8149682442633783</v>
      </c>
      <c r="DH75" s="173"/>
      <c r="DI75" s="173">
        <f t="shared" si="253"/>
        <v>0.85106382978723416</v>
      </c>
      <c r="DJ75" s="545">
        <f t="shared" si="300"/>
        <v>1850.6249999999993</v>
      </c>
      <c r="DK75" s="528">
        <f t="shared" si="254"/>
        <v>0.79432624113475192</v>
      </c>
      <c r="DM75" s="173">
        <f t="shared" si="255"/>
        <v>3.0659419433511781</v>
      </c>
      <c r="DN75" s="173">
        <f t="shared" si="256"/>
        <v>3.1872340425531904</v>
      </c>
      <c r="DO75" s="173">
        <f t="shared" si="257"/>
        <v>2.5732597846073011</v>
      </c>
      <c r="DQ75" s="545">
        <f t="shared" si="258"/>
        <v>4199.9999999999991</v>
      </c>
      <c r="DR75" s="460">
        <f t="shared" si="259"/>
        <v>275.63230725078932</v>
      </c>
      <c r="DT75">
        <f t="shared" si="260"/>
        <v>4199.9999999999991</v>
      </c>
      <c r="DU75">
        <f t="shared" si="261"/>
        <v>275.63230725078932</v>
      </c>
      <c r="DW75" s="5">
        <f t="shared" si="301"/>
        <v>3.6280217292892694</v>
      </c>
      <c r="DX75" s="5">
        <f t="shared" si="262"/>
        <v>1.5936170212765952</v>
      </c>
      <c r="DY75" s="5">
        <f t="shared" si="302"/>
        <v>2.0344047080126741</v>
      </c>
      <c r="DZ75" s="5">
        <f t="shared" si="263"/>
        <v>2.0344047080126746</v>
      </c>
      <c r="EA75" s="173">
        <f t="shared" si="303"/>
        <v>0.43925233644859818</v>
      </c>
      <c r="EB75" s="173">
        <f t="shared" si="264"/>
        <v>16.799999999999997</v>
      </c>
      <c r="EC75" s="173">
        <f t="shared" si="265"/>
        <v>3.5744680851063815</v>
      </c>
      <c r="ED75" s="173">
        <f t="shared" si="304"/>
        <v>4.7000000000000011</v>
      </c>
      <c r="EE75" s="460">
        <f t="shared" si="266"/>
        <v>167.32978723404247</v>
      </c>
      <c r="EF75" s="5">
        <f t="shared" si="267"/>
        <v>1.1867360796740596</v>
      </c>
      <c r="EG75" s="5"/>
      <c r="EH75" s="173">
        <f t="shared" si="305"/>
        <v>1.2195802091395309</v>
      </c>
      <c r="EI75" s="173">
        <f t="shared" si="268"/>
        <v>5.5118457561560925</v>
      </c>
      <c r="EJ75" s="173"/>
      <c r="EK75" s="528">
        <f t="shared" si="269"/>
        <v>1.8145985815602825E-2</v>
      </c>
      <c r="EL75" s="528">
        <f t="shared" si="270"/>
        <v>0.752</v>
      </c>
      <c r="EM75" s="528">
        <f t="shared" si="271"/>
        <v>3.4454038406348662E-2</v>
      </c>
      <c r="EN75" s="528">
        <f t="shared" si="272"/>
        <v>5.0491428571428583E-2</v>
      </c>
      <c r="EO75">
        <f t="shared" si="273"/>
        <v>1.0800000000000001E-2</v>
      </c>
      <c r="EP75" s="460">
        <f t="shared" si="306"/>
        <v>45.254038406348663</v>
      </c>
      <c r="EQ75" s="528">
        <f t="shared" si="274"/>
        <v>0.8745615289527745</v>
      </c>
      <c r="ER75" s="460">
        <f t="shared" si="307"/>
        <v>874.56152895277455</v>
      </c>
      <c r="ES75" s="528">
        <f t="shared" si="308"/>
        <v>2.6092499999999994</v>
      </c>
      <c r="ET75" s="528"/>
      <c r="EV75" s="460">
        <f t="shared" si="309"/>
        <v>2609.2499999999995</v>
      </c>
      <c r="EW75" s="528">
        <f t="shared" si="275"/>
        <v>4.4621276595744656E-2</v>
      </c>
      <c r="EX75" s="528">
        <f t="shared" si="276"/>
        <v>0.91141330918967778</v>
      </c>
      <c r="EY75" s="528">
        <f t="shared" si="277"/>
        <v>1.1437475956681524</v>
      </c>
      <c r="EZ75" s="528">
        <f t="shared" si="278"/>
        <v>2.5221299597515205</v>
      </c>
      <c r="FA75" s="528">
        <f t="shared" si="279"/>
        <v>6.9999999999999993E-2</v>
      </c>
      <c r="FB75" s="460">
        <f t="shared" si="310"/>
        <v>2592.1299597515203</v>
      </c>
      <c r="FC75" s="173">
        <f t="shared" si="311"/>
        <v>6.0759414887042951</v>
      </c>
      <c r="FD75" s="5">
        <f t="shared" si="312"/>
        <v>16.799999999999997</v>
      </c>
      <c r="FE75" s="173">
        <f t="shared" si="313"/>
        <v>0.73439600325501442</v>
      </c>
      <c r="FF75" s="5">
        <f t="shared" si="314"/>
        <v>73.439600325501445</v>
      </c>
      <c r="FI75" s="562">
        <f t="shared" si="280"/>
        <v>-50</v>
      </c>
      <c r="FJ75">
        <f t="shared" si="281"/>
        <v>-50</v>
      </c>
      <c r="FL75">
        <f t="shared" si="282"/>
        <v>0.56074766355140182</v>
      </c>
    </row>
    <row r="76" spans="5:168">
      <c r="E76" s="170">
        <v>71</v>
      </c>
      <c r="F76" s="217">
        <f t="shared" si="283"/>
        <v>4.26</v>
      </c>
      <c r="G76" s="217"/>
      <c r="H76" s="217">
        <f t="shared" si="183"/>
        <v>17.04</v>
      </c>
      <c r="I76" s="541">
        <f t="shared" si="184"/>
        <v>23.917861343607441</v>
      </c>
      <c r="J76" s="172">
        <f t="shared" si="185"/>
        <v>19.734278556123883</v>
      </c>
      <c r="K76" s="172">
        <f t="shared" si="186"/>
        <v>43.734278556123883</v>
      </c>
      <c r="L76" s="443"/>
      <c r="M76" s="217">
        <f t="shared" si="187"/>
        <v>0.45179613318885964</v>
      </c>
      <c r="N76" s="172">
        <f t="shared" si="188"/>
        <v>36.344170815372827</v>
      </c>
      <c r="O76" s="172">
        <f t="shared" si="284"/>
        <v>17.04</v>
      </c>
      <c r="P76" s="217">
        <f t="shared" si="189"/>
        <v>9.0860427038432068</v>
      </c>
      <c r="Q76" s="217">
        <f t="shared" si="190"/>
        <v>4</v>
      </c>
      <c r="R76" s="217">
        <f t="shared" si="191"/>
        <v>9.0049977243242871</v>
      </c>
      <c r="S76" s="172">
        <f t="shared" si="192"/>
        <v>13.040231695093423</v>
      </c>
      <c r="T76" s="172">
        <f t="shared" si="193"/>
        <v>4</v>
      </c>
      <c r="U76" s="217">
        <f t="shared" si="194"/>
        <v>3.8854158625148814</v>
      </c>
      <c r="V76" s="217">
        <f t="shared" si="195"/>
        <v>1.9493795737151098</v>
      </c>
      <c r="W76" s="217">
        <f t="shared" si="196"/>
        <v>2.3626397193886803</v>
      </c>
      <c r="X76" s="197">
        <f t="shared" si="197"/>
        <v>350</v>
      </c>
      <c r="Y76" s="443">
        <f t="shared" si="198"/>
        <v>221.63025799300297</v>
      </c>
      <c r="AA76" s="217">
        <f t="shared" si="199"/>
        <v>2.5744755354801101</v>
      </c>
      <c r="AB76" s="173">
        <f t="shared" si="200"/>
        <v>1.5654844608532437</v>
      </c>
      <c r="AC76" s="173">
        <f t="shared" si="201"/>
        <v>2.8212110119486624</v>
      </c>
      <c r="AD76" s="173"/>
      <c r="AE76" s="173">
        <f t="shared" si="202"/>
        <v>0.81077197499246456</v>
      </c>
      <c r="AF76" s="545">
        <f t="shared" si="203"/>
        <v>1970.3443745879931</v>
      </c>
      <c r="AG76" s="528">
        <f t="shared" si="204"/>
        <v>0.75672050999296714</v>
      </c>
      <c r="AI76" s="173">
        <f t="shared" si="205"/>
        <v>3.1635578721758324</v>
      </c>
      <c r="AJ76" s="173">
        <f t="shared" si="206"/>
        <v>3.8854158625148814</v>
      </c>
      <c r="AK76" s="173">
        <f t="shared" si="207"/>
        <v>3.0904315030974425</v>
      </c>
      <c r="AM76" s="545">
        <f t="shared" si="208"/>
        <v>4260</v>
      </c>
      <c r="AN76" s="460">
        <f t="shared" si="209"/>
        <v>221.63025799300297</v>
      </c>
      <c r="AP76">
        <f t="shared" si="210"/>
        <v>4260</v>
      </c>
      <c r="AQ76">
        <f t="shared" si="211"/>
        <v>221.63025799300297</v>
      </c>
      <c r="AS76" s="5">
        <f t="shared" si="285"/>
        <v>4.5120192931037906</v>
      </c>
      <c r="AT76" s="5">
        <f t="shared" si="212"/>
        <v>1.9493795737151098</v>
      </c>
      <c r="AU76" s="5">
        <f t="shared" si="286"/>
        <v>2.562639719388681</v>
      </c>
      <c r="AV76" s="5">
        <f t="shared" si="213"/>
        <v>2.3626397193886803</v>
      </c>
      <c r="AW76" s="173">
        <f t="shared" si="287"/>
        <v>0.43204149784876994</v>
      </c>
      <c r="AX76" s="173">
        <f t="shared" si="214"/>
        <v>20.074989193094741</v>
      </c>
      <c r="AY76" s="173">
        <f t="shared" si="215"/>
        <v>4.4135099470171637</v>
      </c>
      <c r="AZ76" s="173">
        <f t="shared" si="288"/>
        <v>4.5485315393165173</v>
      </c>
      <c r="BA76" s="460">
        <f t="shared" si="216"/>
        <v>207.60892460065921</v>
      </c>
      <c r="BB76" s="5">
        <f t="shared" si="217"/>
        <v>1.5214355285592926</v>
      </c>
      <c r="BC76" s="5"/>
      <c r="BD76" s="173">
        <f t="shared" si="289"/>
        <v>1.4744824680689841</v>
      </c>
      <c r="BE76" s="173">
        <f t="shared" si="218"/>
        <v>6.7623115490701258</v>
      </c>
      <c r="BF76" s="173"/>
      <c r="BG76" s="528">
        <f t="shared" si="219"/>
        <v>2.6524002293442189E-2</v>
      </c>
      <c r="BH76" s="528">
        <f t="shared" si="220"/>
        <v>0.70613835208436071</v>
      </c>
      <c r="BI76" s="528">
        <f t="shared" si="221"/>
        <v>0.13252304450561475</v>
      </c>
      <c r="BJ76" s="528">
        <f t="shared" si="222"/>
        <v>4.2390934004825846E-2</v>
      </c>
      <c r="BK76">
        <f t="shared" si="223"/>
        <v>1.0763037604623348E-2</v>
      </c>
      <c r="BL76" s="460">
        <f t="shared" si="290"/>
        <v>143.28608211023811</v>
      </c>
      <c r="BM76" s="528">
        <f t="shared" si="224"/>
        <v>0.78717563086329245</v>
      </c>
      <c r="BN76" s="460">
        <f t="shared" si="291"/>
        <v>787.17563086329244</v>
      </c>
      <c r="BO76" s="528">
        <f t="shared" si="225"/>
        <v>2.6465249999999996</v>
      </c>
      <c r="BP76" s="528"/>
      <c r="BR76" s="460">
        <f t="shared" si="292"/>
        <v>2646.5249999999996</v>
      </c>
      <c r="BS76" s="528">
        <f t="shared" si="226"/>
        <v>6.5222956459284082E-2</v>
      </c>
      <c r="BT76" s="528">
        <f t="shared" si="227"/>
        <v>1.3718657246006161</v>
      </c>
      <c r="BU76" s="528">
        <f t="shared" si="228"/>
        <v>0.25559999999999999</v>
      </c>
      <c r="BV76" s="528">
        <f t="shared" si="229"/>
        <v>2.3022759400432973</v>
      </c>
      <c r="BW76" s="528">
        <f t="shared" si="230"/>
        <v>8.3645788304561416E-2</v>
      </c>
      <c r="BX76" s="460">
        <f t="shared" si="293"/>
        <v>2385.9217283478588</v>
      </c>
      <c r="BY76" s="173">
        <f t="shared" si="231"/>
        <v>5.9629084413213898</v>
      </c>
      <c r="BZ76" s="5">
        <f t="shared" si="294"/>
        <v>17.04</v>
      </c>
      <c r="CA76" s="173">
        <f t="shared" si="295"/>
        <v>0.74077589116470643</v>
      </c>
      <c r="CB76" s="5">
        <f t="shared" si="296"/>
        <v>74.077589116470648</v>
      </c>
      <c r="CE76" s="562">
        <f t="shared" si="232"/>
        <v>-50</v>
      </c>
      <c r="CF76">
        <f t="shared" si="233"/>
        <v>-50</v>
      </c>
      <c r="CG76" s="173">
        <f t="shared" si="234"/>
        <v>0.54716015544748975</v>
      </c>
      <c r="CI76" s="170">
        <v>71</v>
      </c>
      <c r="CJ76" s="217">
        <f t="shared" si="297"/>
        <v>4.26</v>
      </c>
      <c r="CK76" s="217"/>
      <c r="CL76" s="217">
        <f t="shared" si="235"/>
        <v>17.04</v>
      </c>
      <c r="CM76" s="541">
        <f t="shared" si="236"/>
        <v>24</v>
      </c>
      <c r="CN76" s="172">
        <f t="shared" si="237"/>
        <v>18.8</v>
      </c>
      <c r="CO76" s="443">
        <f t="shared" si="238"/>
        <v>42.8</v>
      </c>
      <c r="CP76" s="443"/>
      <c r="CQ76" s="217">
        <f t="shared" si="239"/>
        <v>0.43925233644859818</v>
      </c>
      <c r="CR76" s="172">
        <f t="shared" si="240"/>
        <v>35.456448598130848</v>
      </c>
      <c r="CS76" s="172">
        <f t="shared" si="298"/>
        <v>17.04</v>
      </c>
      <c r="CT76" s="217">
        <f t="shared" si="241"/>
        <v>8.864112149532712</v>
      </c>
      <c r="CU76" s="217">
        <f t="shared" si="242"/>
        <v>4</v>
      </c>
      <c r="CV76" s="217">
        <f t="shared" si="243"/>
        <v>8.7850467289719631</v>
      </c>
      <c r="CW76" s="172">
        <f t="shared" si="244"/>
        <v>13.084042877901446</v>
      </c>
      <c r="CX76" s="172">
        <f t="shared" si="245"/>
        <v>4</v>
      </c>
      <c r="CY76" s="217">
        <f t="shared" si="246"/>
        <v>3.2327659574468077</v>
      </c>
      <c r="CZ76" s="217">
        <f t="shared" si="247"/>
        <v>1.6163829787234039</v>
      </c>
      <c r="DA76" s="217">
        <f t="shared" si="248"/>
        <v>2.063467632412856</v>
      </c>
      <c r="DB76" s="197">
        <f t="shared" si="249"/>
        <v>350</v>
      </c>
      <c r="DC76" s="443">
        <f t="shared" si="299"/>
        <v>271.75016207824291</v>
      </c>
      <c r="DE76" s="217">
        <f t="shared" si="250"/>
        <v>2.5100133511348464</v>
      </c>
      <c r="DF76" s="173">
        <f t="shared" si="251"/>
        <v>1.6021361815754336</v>
      </c>
      <c r="DG76" s="173">
        <f t="shared" si="252"/>
        <v>2.8149682442633783</v>
      </c>
      <c r="DH76" s="173"/>
      <c r="DI76" s="173">
        <f t="shared" si="253"/>
        <v>0.85106382978723416</v>
      </c>
      <c r="DJ76" s="545">
        <f t="shared" si="300"/>
        <v>1877.0624999999995</v>
      </c>
      <c r="DK76" s="528">
        <f t="shared" si="254"/>
        <v>0.79432624113475192</v>
      </c>
      <c r="DM76" s="173">
        <f t="shared" si="255"/>
        <v>3.0877638695803333</v>
      </c>
      <c r="DN76" s="173">
        <f t="shared" si="256"/>
        <v>3.2327659574468077</v>
      </c>
      <c r="DO76" s="173">
        <f t="shared" si="257"/>
        <v>2.6069871289729436</v>
      </c>
      <c r="DQ76" s="545">
        <f t="shared" si="258"/>
        <v>4260</v>
      </c>
      <c r="DR76" s="460">
        <f t="shared" si="259"/>
        <v>271.75016207824291</v>
      </c>
      <c r="DT76">
        <f t="shared" si="260"/>
        <v>4260</v>
      </c>
      <c r="DU76">
        <f t="shared" si="261"/>
        <v>271.75016207824291</v>
      </c>
      <c r="DW76" s="5">
        <f t="shared" si="301"/>
        <v>3.6798506111362608</v>
      </c>
      <c r="DX76" s="5">
        <f t="shared" si="262"/>
        <v>1.6163829787234039</v>
      </c>
      <c r="DY76" s="5">
        <f t="shared" si="302"/>
        <v>2.0634676324128569</v>
      </c>
      <c r="DZ76" s="5">
        <f t="shared" si="263"/>
        <v>2.063467632412856</v>
      </c>
      <c r="EA76" s="173">
        <f t="shared" si="303"/>
        <v>0.43925233644859801</v>
      </c>
      <c r="EB76" s="173">
        <f t="shared" si="264"/>
        <v>17.039999999999988</v>
      </c>
      <c r="EC76" s="173">
        <f t="shared" si="265"/>
        <v>3.6255319148936165</v>
      </c>
      <c r="ED76" s="173">
        <f t="shared" si="304"/>
        <v>4.6999999999999975</v>
      </c>
      <c r="EE76" s="460">
        <f t="shared" si="266"/>
        <v>172.1447872340425</v>
      </c>
      <c r="EF76" s="5">
        <f t="shared" si="267"/>
        <v>1.2208850158442734</v>
      </c>
      <c r="EG76" s="5"/>
      <c r="EH76" s="173">
        <f t="shared" si="305"/>
        <v>1.2370027835558097</v>
      </c>
      <c r="EI76" s="173">
        <f t="shared" si="268"/>
        <v>5.590586409815467</v>
      </c>
      <c r="EJ76" s="173"/>
      <c r="EK76" s="528">
        <f t="shared" si="269"/>
        <v>1.8668145815602818E-2</v>
      </c>
      <c r="EL76" s="528">
        <f t="shared" si="270"/>
        <v>0.75199999999999989</v>
      </c>
      <c r="EM76" s="528">
        <f t="shared" si="271"/>
        <v>3.3968770259780359E-2</v>
      </c>
      <c r="EN76" s="528">
        <f t="shared" si="272"/>
        <v>4.9780281690140843E-2</v>
      </c>
      <c r="EO76">
        <f t="shared" si="273"/>
        <v>1.0800000000000001E-2</v>
      </c>
      <c r="EP76" s="460">
        <f t="shared" si="306"/>
        <v>44.768770259780361</v>
      </c>
      <c r="EQ76" s="528">
        <f t="shared" si="274"/>
        <v>0.8741348673102477</v>
      </c>
      <c r="ER76" s="460">
        <f t="shared" si="307"/>
        <v>874.13486731024773</v>
      </c>
      <c r="ES76" s="528">
        <f t="shared" si="308"/>
        <v>2.6465249999999996</v>
      </c>
      <c r="ET76" s="528"/>
      <c r="EV76" s="460">
        <f t="shared" si="309"/>
        <v>2646.5249999999996</v>
      </c>
      <c r="EW76" s="528">
        <f t="shared" si="275"/>
        <v>4.5905276595744643E-2</v>
      </c>
      <c r="EX76" s="528">
        <f t="shared" si="276"/>
        <v>0.93763969216840171</v>
      </c>
      <c r="EY76" s="528">
        <f t="shared" si="277"/>
        <v>1.1437475956681515</v>
      </c>
      <c r="EZ76" s="528">
        <f t="shared" si="278"/>
        <v>2.5651810284997025</v>
      </c>
      <c r="FA76" s="528">
        <f t="shared" si="279"/>
        <v>7.099999999999998E-2</v>
      </c>
      <c r="FB76" s="460">
        <f t="shared" si="310"/>
        <v>2636.1810284997027</v>
      </c>
      <c r="FC76" s="173">
        <f t="shared" si="311"/>
        <v>6.1568408958099496</v>
      </c>
      <c r="FD76" s="5">
        <f t="shared" si="312"/>
        <v>17.04</v>
      </c>
      <c r="FE76" s="173">
        <f t="shared" si="313"/>
        <v>0.73458278549808642</v>
      </c>
      <c r="FF76" s="5">
        <f t="shared" si="314"/>
        <v>73.458278549808639</v>
      </c>
      <c r="FI76" s="562">
        <f t="shared" si="280"/>
        <v>-50</v>
      </c>
      <c r="FJ76">
        <f t="shared" si="281"/>
        <v>-50</v>
      </c>
      <c r="FL76">
        <f t="shared" si="282"/>
        <v>0.56074766355140193</v>
      </c>
    </row>
    <row r="77" spans="5:168">
      <c r="E77" s="170">
        <v>72</v>
      </c>
      <c r="F77" s="217">
        <f t="shared" si="283"/>
        <v>4.32</v>
      </c>
      <c r="G77" s="217"/>
      <c r="H77" s="217">
        <f t="shared" si="183"/>
        <v>17.28</v>
      </c>
      <c r="I77" s="541">
        <f t="shared" si="184"/>
        <v>23.916733179826903</v>
      </c>
      <c r="J77" s="172">
        <f t="shared" si="185"/>
        <v>19.747110750784032</v>
      </c>
      <c r="K77" s="172">
        <f t="shared" si="186"/>
        <v>43.747110750784032</v>
      </c>
      <c r="L77" s="443"/>
      <c r="M77" s="217">
        <f t="shared" si="187"/>
        <v>0.45196910357931147</v>
      </c>
      <c r="N77" s="172">
        <f t="shared" si="188"/>
        <v>36.356370253114761</v>
      </c>
      <c r="O77" s="172">
        <f t="shared" si="284"/>
        <v>17.28</v>
      </c>
      <c r="P77" s="217">
        <f t="shared" si="189"/>
        <v>9.0890925632786903</v>
      </c>
      <c r="Q77" s="217">
        <f t="shared" si="190"/>
        <v>4</v>
      </c>
      <c r="R77" s="217">
        <f t="shared" si="191"/>
        <v>9.0080203798599516</v>
      </c>
      <c r="S77" s="172">
        <f t="shared" si="192"/>
        <v>12.785452312923606</v>
      </c>
      <c r="T77" s="172">
        <f t="shared" si="193"/>
        <v>4</v>
      </c>
      <c r="U77" s="217">
        <f t="shared" si="194"/>
        <v>3.9413836229078325</v>
      </c>
      <c r="V77" s="217">
        <f t="shared" si="195"/>
        <v>1.9775528337953514</v>
      </c>
      <c r="W77" s="217">
        <f t="shared" si="196"/>
        <v>2.395115116930012</v>
      </c>
      <c r="X77" s="197">
        <f t="shared" si="197"/>
        <v>350</v>
      </c>
      <c r="Y77" s="443">
        <f t="shared" si="198"/>
        <v>218.69070983852433</v>
      </c>
      <c r="AA77" s="217">
        <f t="shared" si="199"/>
        <v>2.575337572472864</v>
      </c>
      <c r="AB77" s="173">
        <f t="shared" si="200"/>
        <v>1.5649910136067557</v>
      </c>
      <c r="AC77" s="173">
        <f t="shared" si="201"/>
        <v>2.8212661105467087</v>
      </c>
      <c r="AD77" s="173"/>
      <c r="AE77" s="173">
        <f t="shared" si="202"/>
        <v>0.81024511392709664</v>
      </c>
      <c r="AF77" s="545">
        <f t="shared" si="203"/>
        <v>1999.3949635168829</v>
      </c>
      <c r="AG77" s="528">
        <f t="shared" si="204"/>
        <v>0.75622877299862357</v>
      </c>
      <c r="AI77" s="173">
        <f t="shared" si="205"/>
        <v>3.1867941504819655</v>
      </c>
      <c r="AJ77" s="173">
        <f t="shared" si="206"/>
        <v>3.9413836229078325</v>
      </c>
      <c r="AK77" s="173">
        <f t="shared" si="207"/>
        <v>3.1318891033885174</v>
      </c>
      <c r="AM77" s="545">
        <f t="shared" si="208"/>
        <v>4320</v>
      </c>
      <c r="AN77" s="460">
        <f t="shared" si="209"/>
        <v>218.69070983852433</v>
      </c>
      <c r="AP77">
        <f t="shared" si="210"/>
        <v>4320</v>
      </c>
      <c r="AQ77">
        <f t="shared" si="211"/>
        <v>218.69070983852433</v>
      </c>
      <c r="AS77" s="5">
        <f t="shared" si="285"/>
        <v>4.5726679507253625</v>
      </c>
      <c r="AT77" s="5">
        <f t="shared" si="212"/>
        <v>1.9775528337953514</v>
      </c>
      <c r="AU77" s="5">
        <f t="shared" si="286"/>
        <v>2.5951151169300113</v>
      </c>
      <c r="AV77" s="5">
        <f t="shared" si="213"/>
        <v>2.395115116930012</v>
      </c>
      <c r="AW77" s="173">
        <f t="shared" si="287"/>
        <v>0.43247243296589077</v>
      </c>
      <c r="AX77" s="173">
        <f t="shared" si="214"/>
        <v>20.383511372779864</v>
      </c>
      <c r="AY77" s="173">
        <f t="shared" si="215"/>
        <v>4.4736877165139308</v>
      </c>
      <c r="AZ77" s="173">
        <f t="shared" si="288"/>
        <v>4.5563107361153667</v>
      </c>
      <c r="BA77" s="460">
        <f t="shared" si="216"/>
        <v>213.57570604989795</v>
      </c>
      <c r="BB77" s="5">
        <f t="shared" si="217"/>
        <v>1.5624900525842895</v>
      </c>
      <c r="BC77" s="5"/>
      <c r="BD77" s="173">
        <f t="shared" si="289"/>
        <v>1.4964675197488806</v>
      </c>
      <c r="BE77" s="173">
        <f t="shared" si="218"/>
        <v>6.8571168868306822</v>
      </c>
      <c r="BF77" s="173"/>
      <c r="BG77" s="528">
        <f t="shared" si="219"/>
        <v>2.7320863459493066E-2</v>
      </c>
      <c r="BH77" s="528">
        <f t="shared" si="220"/>
        <v>0.70701672847518238</v>
      </c>
      <c r="BI77" s="528">
        <f t="shared" si="221"/>
        <v>0.1307591839028733</v>
      </c>
      <c r="BJ77" s="528">
        <f t="shared" si="222"/>
        <v>4.185324015792085E-2</v>
      </c>
      <c r="BK77">
        <f t="shared" si="223"/>
        <v>1.0762529930922107E-2</v>
      </c>
      <c r="BL77" s="460">
        <f t="shared" si="290"/>
        <v>141.52171383379542</v>
      </c>
      <c r="BM77" s="528">
        <f t="shared" si="224"/>
        <v>0.78868717848308323</v>
      </c>
      <c r="BN77" s="460">
        <f t="shared" si="291"/>
        <v>788.68717848308324</v>
      </c>
      <c r="BO77" s="528">
        <f t="shared" si="225"/>
        <v>2.6837999999999997</v>
      </c>
      <c r="BP77" s="528"/>
      <c r="BR77" s="460">
        <f t="shared" si="292"/>
        <v>2683.7999999999997</v>
      </c>
      <c r="BS77" s="528">
        <f t="shared" si="226"/>
        <v>6.7182451129900983E-2</v>
      </c>
      <c r="BT77" s="528">
        <f t="shared" si="227"/>
        <v>1.4106015599897552</v>
      </c>
      <c r="BU77" s="528">
        <f t="shared" si="228"/>
        <v>0.25919999999999999</v>
      </c>
      <c r="BV77" s="528">
        <f t="shared" si="229"/>
        <v>2.372086720014511</v>
      </c>
      <c r="BW77" s="528">
        <f t="shared" si="230"/>
        <v>8.4931297386582769E-2</v>
      </c>
      <c r="BX77" s="460">
        <f t="shared" si="293"/>
        <v>2457.0180174010934</v>
      </c>
      <c r="BY77" s="173">
        <f t="shared" si="231"/>
        <v>6.0710269097179728</v>
      </c>
      <c r="BZ77" s="5">
        <f t="shared" si="294"/>
        <v>17.28</v>
      </c>
      <c r="CA77" s="173">
        <f t="shared" si="295"/>
        <v>0.74001028163813221</v>
      </c>
      <c r="CB77" s="5">
        <f t="shared" si="296"/>
        <v>74.001028163813217</v>
      </c>
      <c r="CE77" s="562">
        <f t="shared" si="232"/>
        <v>-50</v>
      </c>
      <c r="CF77">
        <f t="shared" si="233"/>
        <v>-50</v>
      </c>
      <c r="CG77" s="173">
        <f t="shared" si="234"/>
        <v>0.54734887083782169</v>
      </c>
      <c r="CI77" s="170">
        <v>72</v>
      </c>
      <c r="CJ77" s="217">
        <f t="shared" si="297"/>
        <v>4.32</v>
      </c>
      <c r="CK77" s="217"/>
      <c r="CL77" s="217">
        <f t="shared" si="235"/>
        <v>17.28</v>
      </c>
      <c r="CM77" s="541">
        <f t="shared" si="236"/>
        <v>24</v>
      </c>
      <c r="CN77" s="172">
        <f t="shared" si="237"/>
        <v>18.8</v>
      </c>
      <c r="CO77" s="443">
        <f t="shared" si="238"/>
        <v>42.8</v>
      </c>
      <c r="CP77" s="443"/>
      <c r="CQ77" s="217">
        <f t="shared" si="239"/>
        <v>0.43925233644859818</v>
      </c>
      <c r="CR77" s="172">
        <f t="shared" si="240"/>
        <v>35.456448598130848</v>
      </c>
      <c r="CS77" s="172">
        <f t="shared" si="298"/>
        <v>17.28</v>
      </c>
      <c r="CT77" s="217">
        <f t="shared" si="241"/>
        <v>8.864112149532712</v>
      </c>
      <c r="CU77" s="217">
        <f t="shared" si="242"/>
        <v>4</v>
      </c>
      <c r="CV77" s="217">
        <f t="shared" si="243"/>
        <v>8.7850467289719631</v>
      </c>
      <c r="CW77" s="172">
        <f t="shared" si="244"/>
        <v>12.828963585031007</v>
      </c>
      <c r="CX77" s="172">
        <f t="shared" si="245"/>
        <v>4</v>
      </c>
      <c r="CY77" s="217">
        <f t="shared" si="246"/>
        <v>3.278297872340425</v>
      </c>
      <c r="CZ77" s="217">
        <f t="shared" si="247"/>
        <v>1.6391489361702125</v>
      </c>
      <c r="DA77" s="217">
        <f t="shared" si="248"/>
        <v>2.092530556813037</v>
      </c>
      <c r="DB77" s="197">
        <f t="shared" si="249"/>
        <v>350</v>
      </c>
      <c r="DC77" s="443">
        <f t="shared" si="299"/>
        <v>267.97585427160072</v>
      </c>
      <c r="DE77" s="217">
        <f t="shared" si="250"/>
        <v>2.5100133511348464</v>
      </c>
      <c r="DF77" s="173">
        <f t="shared" si="251"/>
        <v>1.6021361815754336</v>
      </c>
      <c r="DG77" s="173">
        <f t="shared" si="252"/>
        <v>2.8149682442633783</v>
      </c>
      <c r="DH77" s="173"/>
      <c r="DI77" s="173">
        <f t="shared" si="253"/>
        <v>0.85106382978723416</v>
      </c>
      <c r="DJ77" s="545">
        <f t="shared" si="300"/>
        <v>1903.4999999999998</v>
      </c>
      <c r="DK77" s="528">
        <f t="shared" si="254"/>
        <v>0.79432624113475192</v>
      </c>
      <c r="DM77" s="173">
        <f t="shared" si="255"/>
        <v>3.1094326538086379</v>
      </c>
      <c r="DN77" s="173">
        <f t="shared" si="256"/>
        <v>3.278297872340425</v>
      </c>
      <c r="DO77" s="173">
        <f t="shared" si="257"/>
        <v>2.6407144733385861</v>
      </c>
      <c r="DQ77" s="545">
        <f t="shared" si="258"/>
        <v>4320</v>
      </c>
      <c r="DR77" s="460">
        <f t="shared" si="259"/>
        <v>267.97585427160072</v>
      </c>
      <c r="DT77">
        <f t="shared" si="260"/>
        <v>4320</v>
      </c>
      <c r="DU77">
        <f t="shared" si="261"/>
        <v>267.97585427160072</v>
      </c>
      <c r="DW77" s="5">
        <f t="shared" si="301"/>
        <v>3.7316794929832491</v>
      </c>
      <c r="DX77" s="5">
        <f t="shared" si="262"/>
        <v>1.6391489361702125</v>
      </c>
      <c r="DY77" s="5">
        <f t="shared" si="302"/>
        <v>2.0925305568130366</v>
      </c>
      <c r="DZ77" s="5">
        <f t="shared" si="263"/>
        <v>2.092530556813037</v>
      </c>
      <c r="EA77" s="173">
        <f t="shared" si="303"/>
        <v>0.43925233644859824</v>
      </c>
      <c r="EB77" s="173">
        <f t="shared" si="264"/>
        <v>17.280000000000005</v>
      </c>
      <c r="EC77" s="173">
        <f t="shared" si="265"/>
        <v>3.6765957446808493</v>
      </c>
      <c r="ED77" s="173">
        <f t="shared" si="304"/>
        <v>4.7000000000000037</v>
      </c>
      <c r="EE77" s="460">
        <f t="shared" si="266"/>
        <v>177.02808510638295</v>
      </c>
      <c r="EF77" s="5">
        <f t="shared" si="267"/>
        <v>1.255518334087822</v>
      </c>
      <c r="EG77" s="5"/>
      <c r="EH77" s="173">
        <f t="shared" si="305"/>
        <v>1.2544253579720892</v>
      </c>
      <c r="EI77" s="173">
        <f t="shared" si="268"/>
        <v>5.6693270634748387</v>
      </c>
      <c r="EJ77" s="173"/>
      <c r="EK77" s="528">
        <f t="shared" si="269"/>
        <v>1.919771234042553E-2</v>
      </c>
      <c r="EL77" s="528">
        <f t="shared" si="270"/>
        <v>0.75200000000000011</v>
      </c>
      <c r="EM77" s="528">
        <f t="shared" si="271"/>
        <v>3.3496981783950087E-2</v>
      </c>
      <c r="EN77" s="528">
        <f t="shared" si="272"/>
        <v>4.9088888888888904E-2</v>
      </c>
      <c r="EO77">
        <f t="shared" si="273"/>
        <v>1.0800000000000001E-2</v>
      </c>
      <c r="EP77" s="460">
        <f t="shared" si="306"/>
        <v>44.296981783950088</v>
      </c>
      <c r="EQ77" s="528">
        <f t="shared" si="274"/>
        <v>0.8737524793293433</v>
      </c>
      <c r="ER77" s="460">
        <f t="shared" si="307"/>
        <v>873.75247932934326</v>
      </c>
      <c r="ES77" s="528">
        <f t="shared" si="308"/>
        <v>2.6837999999999997</v>
      </c>
      <c r="ET77" s="528"/>
      <c r="EV77" s="460">
        <f t="shared" si="309"/>
        <v>2683.7999999999997</v>
      </c>
      <c r="EW77" s="528">
        <f t="shared" si="275"/>
        <v>4.7207489361702125E-2</v>
      </c>
      <c r="EX77" s="528">
        <f t="shared" si="276"/>
        <v>0.96423808057944704</v>
      </c>
      <c r="EY77" s="528">
        <f t="shared" si="277"/>
        <v>1.1437475956681555</v>
      </c>
      <c r="EZ77" s="528">
        <f t="shared" si="278"/>
        <v>2.6090533375996037</v>
      </c>
      <c r="FA77" s="528">
        <f t="shared" si="279"/>
        <v>7.2000000000000008E-2</v>
      </c>
      <c r="FB77" s="460">
        <f t="shared" si="310"/>
        <v>2681.0533375996038</v>
      </c>
      <c r="FC77" s="173">
        <f t="shared" si="311"/>
        <v>6.2386058169289464</v>
      </c>
      <c r="FD77" s="5">
        <f t="shared" si="312"/>
        <v>17.28</v>
      </c>
      <c r="FE77" s="173">
        <f t="shared" si="313"/>
        <v>0.73473743020777493</v>
      </c>
      <c r="FF77" s="5">
        <f t="shared" si="314"/>
        <v>73.473743020777491</v>
      </c>
      <c r="FI77" s="562">
        <f t="shared" si="280"/>
        <v>-50</v>
      </c>
      <c r="FJ77">
        <f t="shared" si="281"/>
        <v>-50</v>
      </c>
      <c r="FL77">
        <f t="shared" si="282"/>
        <v>0.56074766355140171</v>
      </c>
    </row>
    <row r="78" spans="5:168">
      <c r="E78" s="170">
        <v>73</v>
      </c>
      <c r="F78" s="217">
        <f t="shared" si="283"/>
        <v>4.38</v>
      </c>
      <c r="G78" s="217"/>
      <c r="H78" s="217">
        <f t="shared" si="183"/>
        <v>17.52</v>
      </c>
      <c r="I78" s="541">
        <f t="shared" si="184"/>
        <v>23.915604996792062</v>
      </c>
      <c r="J78" s="172">
        <f t="shared" si="185"/>
        <v>19.759943164450466</v>
      </c>
      <c r="K78" s="172">
        <f t="shared" si="186"/>
        <v>43.759943164450462</v>
      </c>
      <c r="L78" s="443"/>
      <c r="M78" s="217">
        <f t="shared" si="187"/>
        <v>0.45214198135521139</v>
      </c>
      <c r="N78" s="172">
        <f t="shared" si="188"/>
        <v>36.368560899383937</v>
      </c>
      <c r="O78" s="172">
        <f t="shared" si="284"/>
        <v>17.52</v>
      </c>
      <c r="P78" s="217">
        <f t="shared" si="189"/>
        <v>9.0921402248459842</v>
      </c>
      <c r="Q78" s="217">
        <f t="shared" si="190"/>
        <v>4</v>
      </c>
      <c r="R78" s="217">
        <f t="shared" si="191"/>
        <v>9.0110408571317979</v>
      </c>
      <c r="S78" s="172">
        <f t="shared" si="192"/>
        <v>12.537867357531169</v>
      </c>
      <c r="T78" s="172">
        <f t="shared" si="193"/>
        <v>4</v>
      </c>
      <c r="U78" s="217">
        <f t="shared" si="194"/>
        <v>3.9973860479715229</v>
      </c>
      <c r="V78" s="217">
        <f t="shared" si="195"/>
        <v>2.0057461470070517</v>
      </c>
      <c r="W78" s="217">
        <f t="shared" si="196"/>
        <v>2.4275693597113799</v>
      </c>
      <c r="X78" s="197">
        <f t="shared" si="197"/>
        <v>350</v>
      </c>
      <c r="Y78" s="443">
        <f t="shared" si="198"/>
        <v>215.82816852208171</v>
      </c>
      <c r="AA78" s="217">
        <f t="shared" si="199"/>
        <v>2.5761990043109573</v>
      </c>
      <c r="AB78" s="173">
        <f t="shared" si="200"/>
        <v>1.5644978224101709</v>
      </c>
      <c r="AC78" s="173">
        <f t="shared" si="201"/>
        <v>2.82132041263782</v>
      </c>
      <c r="AD78" s="173"/>
      <c r="AE78" s="173">
        <f t="shared" si="202"/>
        <v>0.80971892817916258</v>
      </c>
      <c r="AF78" s="545">
        <f t="shared" si="203"/>
        <v>2028.4816654756175</v>
      </c>
      <c r="AG78" s="528">
        <f t="shared" si="204"/>
        <v>0.75573766630055184</v>
      </c>
      <c r="AI78" s="173">
        <f t="shared" si="205"/>
        <v>3.2098907981034448</v>
      </c>
      <c r="AJ78" s="173">
        <f t="shared" si="206"/>
        <v>3.9973860479715229</v>
      </c>
      <c r="AK78" s="173">
        <f t="shared" si="207"/>
        <v>3.1733723812134738</v>
      </c>
      <c r="AM78" s="545">
        <f t="shared" si="208"/>
        <v>4380</v>
      </c>
      <c r="AN78" s="460">
        <f t="shared" si="209"/>
        <v>215.82816852208171</v>
      </c>
      <c r="AP78">
        <f t="shared" si="210"/>
        <v>4380</v>
      </c>
      <c r="AQ78">
        <f t="shared" si="211"/>
        <v>215.82816852208171</v>
      </c>
      <c r="AS78" s="5">
        <f t="shared" si="285"/>
        <v>4.6333155067184313</v>
      </c>
      <c r="AT78" s="5">
        <f t="shared" si="212"/>
        <v>2.0057461470070517</v>
      </c>
      <c r="AU78" s="5">
        <f t="shared" si="286"/>
        <v>2.6275693597113796</v>
      </c>
      <c r="AV78" s="5">
        <f t="shared" si="213"/>
        <v>2.4275693597113799</v>
      </c>
      <c r="AW78" s="173">
        <f t="shared" si="287"/>
        <v>0.43289651742875401</v>
      </c>
      <c r="AX78" s="173">
        <f t="shared" si="214"/>
        <v>20.692433131325433</v>
      </c>
      <c r="AY78" s="173">
        <f t="shared" si="215"/>
        <v>4.5338630979727208</v>
      </c>
      <c r="AZ78" s="173">
        <f t="shared" si="288"/>
        <v>4.5639739630819207</v>
      </c>
      <c r="BA78" s="460">
        <f t="shared" si="216"/>
        <v>219.62920309727212</v>
      </c>
      <c r="BB78" s="5">
        <f t="shared" si="217"/>
        <v>1.6040787032956898</v>
      </c>
      <c r="BC78" s="5"/>
      <c r="BD78" s="173">
        <f t="shared" si="289"/>
        <v>1.5184745273785838</v>
      </c>
      <c r="BE78" s="173">
        <f t="shared" si="218"/>
        <v>6.9519495761978591</v>
      </c>
      <c r="BF78" s="173"/>
      <c r="BG78" s="528">
        <f t="shared" si="219"/>
        <v>2.813033166163088E-2</v>
      </c>
      <c r="BH78" s="528">
        <f t="shared" si="220"/>
        <v>0.70788423273229484</v>
      </c>
      <c r="BI78" s="528">
        <f t="shared" si="221"/>
        <v>0.12904153063887941</v>
      </c>
      <c r="BJ78" s="528">
        <f t="shared" si="222"/>
        <v>4.1329640146008428E-2</v>
      </c>
      <c r="BK78">
        <f t="shared" si="223"/>
        <v>1.0762022248556428E-2</v>
      </c>
      <c r="BL78" s="460">
        <f t="shared" si="290"/>
        <v>139.80355288743584</v>
      </c>
      <c r="BM78" s="528">
        <f t="shared" si="224"/>
        <v>0.79022104729133691</v>
      </c>
      <c r="BN78" s="460">
        <f t="shared" si="291"/>
        <v>790.22104729133696</v>
      </c>
      <c r="BO78" s="528">
        <f t="shared" si="225"/>
        <v>2.7210749999999999</v>
      </c>
      <c r="BP78" s="528"/>
      <c r="BR78" s="460">
        <f t="shared" si="292"/>
        <v>2721.0749999999998</v>
      </c>
      <c r="BS78" s="528">
        <f t="shared" si="226"/>
        <v>6.9172946708928401E-2</v>
      </c>
      <c r="BT78" s="528">
        <f t="shared" si="227"/>
        <v>1.4498880872999278</v>
      </c>
      <c r="BU78" s="528">
        <f t="shared" si="228"/>
        <v>0.26279999999999998</v>
      </c>
      <c r="BV78" s="528">
        <f t="shared" si="229"/>
        <v>2.4433653725089752</v>
      </c>
      <c r="BW78" s="528">
        <f t="shared" si="230"/>
        <v>8.6218471380522618E-2</v>
      </c>
      <c r="BX78" s="460">
        <f t="shared" si="293"/>
        <v>2529.583843889498</v>
      </c>
      <c r="BY78" s="173">
        <f t="shared" si="231"/>
        <v>6.1806834440682703</v>
      </c>
      <c r="BZ78" s="5">
        <f t="shared" si="294"/>
        <v>17.52</v>
      </c>
      <c r="CA78" s="173">
        <f t="shared" si="295"/>
        <v>0.73921918924177055</v>
      </c>
      <c r="CB78" s="5">
        <f t="shared" si="296"/>
        <v>73.921918924177049</v>
      </c>
      <c r="CE78" s="562">
        <f t="shared" si="232"/>
        <v>-50</v>
      </c>
      <c r="CF78">
        <f t="shared" si="233"/>
        <v>-50</v>
      </c>
      <c r="CG78" s="173">
        <f t="shared" si="234"/>
        <v>0.54753241594348734</v>
      </c>
      <c r="CI78" s="170">
        <v>73</v>
      </c>
      <c r="CJ78" s="217">
        <f t="shared" si="297"/>
        <v>4.38</v>
      </c>
      <c r="CK78" s="217"/>
      <c r="CL78" s="217">
        <f t="shared" si="235"/>
        <v>17.52</v>
      </c>
      <c r="CM78" s="541">
        <f t="shared" si="236"/>
        <v>24</v>
      </c>
      <c r="CN78" s="172">
        <f t="shared" si="237"/>
        <v>18.8</v>
      </c>
      <c r="CO78" s="443">
        <f t="shared" si="238"/>
        <v>42.8</v>
      </c>
      <c r="CP78" s="443"/>
      <c r="CQ78" s="217">
        <f t="shared" si="239"/>
        <v>0.43925233644859818</v>
      </c>
      <c r="CR78" s="172">
        <f t="shared" si="240"/>
        <v>35.456448598130848</v>
      </c>
      <c r="CS78" s="172">
        <f t="shared" si="298"/>
        <v>17.52</v>
      </c>
      <c r="CT78" s="217">
        <f t="shared" si="241"/>
        <v>8.864112149532712</v>
      </c>
      <c r="CU78" s="217">
        <f t="shared" si="242"/>
        <v>4</v>
      </c>
      <c r="CV78" s="217">
        <f t="shared" si="243"/>
        <v>8.7850467289719631</v>
      </c>
      <c r="CW78" s="172">
        <f t="shared" si="244"/>
        <v>12.581079535685543</v>
      </c>
      <c r="CX78" s="172">
        <f t="shared" si="245"/>
        <v>4</v>
      </c>
      <c r="CY78" s="217">
        <f t="shared" si="246"/>
        <v>3.3238297872340419</v>
      </c>
      <c r="CZ78" s="217">
        <f t="shared" si="247"/>
        <v>1.6619148936170209</v>
      </c>
      <c r="DA78" s="217">
        <f t="shared" si="248"/>
        <v>2.121593481213218</v>
      </c>
      <c r="DB78" s="197">
        <f t="shared" si="249"/>
        <v>350</v>
      </c>
      <c r="DC78" s="443">
        <f t="shared" si="299"/>
        <v>264.30495215829109</v>
      </c>
      <c r="DE78" s="217">
        <f t="shared" si="250"/>
        <v>2.5100133511348464</v>
      </c>
      <c r="DF78" s="173">
        <f t="shared" si="251"/>
        <v>1.6021361815754336</v>
      </c>
      <c r="DG78" s="173">
        <f t="shared" si="252"/>
        <v>2.8149682442633783</v>
      </c>
      <c r="DH78" s="173"/>
      <c r="DI78" s="173">
        <f t="shared" si="253"/>
        <v>0.85106382978723416</v>
      </c>
      <c r="DJ78" s="545">
        <f t="shared" si="300"/>
        <v>1929.9374999999995</v>
      </c>
      <c r="DK78" s="528">
        <f t="shared" si="254"/>
        <v>0.79432624113475192</v>
      </c>
      <c r="DM78" s="173">
        <f t="shared" si="255"/>
        <v>3.1309514756471621</v>
      </c>
      <c r="DN78" s="173">
        <f t="shared" si="256"/>
        <v>3.3238297872340419</v>
      </c>
      <c r="DO78" s="173">
        <f t="shared" si="257"/>
        <v>2.6744418177042286</v>
      </c>
      <c r="DQ78" s="545">
        <f t="shared" si="258"/>
        <v>4380</v>
      </c>
      <c r="DR78" s="460">
        <f t="shared" si="259"/>
        <v>264.30495215829109</v>
      </c>
      <c r="DT78">
        <f t="shared" si="260"/>
        <v>4380</v>
      </c>
      <c r="DU78">
        <f t="shared" si="261"/>
        <v>264.30495215829109</v>
      </c>
      <c r="DW78" s="5">
        <f t="shared" si="301"/>
        <v>3.7835083748302392</v>
      </c>
      <c r="DX78" s="5">
        <f t="shared" si="262"/>
        <v>1.6619148936170209</v>
      </c>
      <c r="DY78" s="5">
        <f t="shared" si="302"/>
        <v>2.1215934812132184</v>
      </c>
      <c r="DZ78" s="5">
        <f t="shared" si="263"/>
        <v>2.121593481213218</v>
      </c>
      <c r="EA78" s="173">
        <f t="shared" si="303"/>
        <v>0.43925233644859812</v>
      </c>
      <c r="EB78" s="173">
        <f t="shared" si="264"/>
        <v>17.519999999999996</v>
      </c>
      <c r="EC78" s="173">
        <f t="shared" si="265"/>
        <v>3.7276595744680847</v>
      </c>
      <c r="ED78" s="173">
        <f t="shared" si="304"/>
        <v>4.6999999999999993</v>
      </c>
      <c r="EE78" s="460">
        <f t="shared" si="266"/>
        <v>181.97968085106382</v>
      </c>
      <c r="EF78" s="5">
        <f t="shared" si="267"/>
        <v>1.2906360344047076</v>
      </c>
      <c r="EG78" s="5"/>
      <c r="EH78" s="173">
        <f t="shared" si="305"/>
        <v>1.271847932388368</v>
      </c>
      <c r="EI78" s="173">
        <f t="shared" si="268"/>
        <v>5.7480677171342123</v>
      </c>
      <c r="EJ78" s="173"/>
      <c r="EK78" s="528">
        <f t="shared" si="269"/>
        <v>1.9734685390070915E-2</v>
      </c>
      <c r="EL78" s="528">
        <f t="shared" si="270"/>
        <v>0.752</v>
      </c>
      <c r="EM78" s="528">
        <f t="shared" si="271"/>
        <v>3.3038119019786379E-2</v>
      </c>
      <c r="EN78" s="528">
        <f t="shared" si="272"/>
        <v>4.8416438356164389E-2</v>
      </c>
      <c r="EO78">
        <f t="shared" si="273"/>
        <v>1.0800000000000001E-2</v>
      </c>
      <c r="EP78" s="460">
        <f t="shared" si="306"/>
        <v>43.838119019786376</v>
      </c>
      <c r="EQ78" s="528">
        <f t="shared" si="274"/>
        <v>0.87341300756792062</v>
      </c>
      <c r="ER78" s="460">
        <f t="shared" si="307"/>
        <v>873.41300756792066</v>
      </c>
      <c r="ES78" s="528">
        <f t="shared" si="308"/>
        <v>2.7210749999999999</v>
      </c>
      <c r="ET78" s="528"/>
      <c r="EV78" s="460">
        <f t="shared" si="309"/>
        <v>2721.0749999999998</v>
      </c>
      <c r="EW78" s="528">
        <f t="shared" si="275"/>
        <v>4.8527914893617005E-2</v>
      </c>
      <c r="EX78" s="528">
        <f t="shared" si="276"/>
        <v>0.99120847442281546</v>
      </c>
      <c r="EY78" s="528">
        <f t="shared" si="277"/>
        <v>1.1437475956681535</v>
      </c>
      <c r="EZ78" s="528">
        <f t="shared" si="278"/>
        <v>2.653757366619824</v>
      </c>
      <c r="FA78" s="528">
        <f t="shared" si="279"/>
        <v>7.2999999999999995E-2</v>
      </c>
      <c r="FB78" s="460">
        <f t="shared" si="310"/>
        <v>2726.7573666198241</v>
      </c>
      <c r="FC78" s="173">
        <f t="shared" si="311"/>
        <v>6.321245374187745</v>
      </c>
      <c r="FD78" s="5">
        <f t="shared" si="312"/>
        <v>17.52</v>
      </c>
      <c r="FE78" s="173">
        <f t="shared" si="313"/>
        <v>0.73486094056849982</v>
      </c>
      <c r="FF78" s="5">
        <f t="shared" si="314"/>
        <v>73.486094056849979</v>
      </c>
      <c r="FI78" s="562">
        <f t="shared" si="280"/>
        <v>-50</v>
      </c>
      <c r="FJ78">
        <f t="shared" si="281"/>
        <v>-50</v>
      </c>
      <c r="FL78">
        <f t="shared" si="282"/>
        <v>0.56074766355140193</v>
      </c>
    </row>
    <row r="79" spans="5:168">
      <c r="E79" s="170">
        <v>74</v>
      </c>
      <c r="F79" s="217">
        <f t="shared" si="283"/>
        <v>4.4399999999999995</v>
      </c>
      <c r="G79" s="217"/>
      <c r="H79" s="217">
        <f t="shared" si="183"/>
        <v>17.759999999999998</v>
      </c>
      <c r="I79" s="541">
        <f t="shared" si="184"/>
        <v>23.914476795302079</v>
      </c>
      <c r="J79" s="172">
        <f t="shared" si="185"/>
        <v>19.772775788033229</v>
      </c>
      <c r="K79" s="172">
        <f t="shared" si="186"/>
        <v>43.772775788033229</v>
      </c>
      <c r="L79" s="443"/>
      <c r="M79" s="217">
        <f t="shared" si="187"/>
        <v>0.4523147665830336</v>
      </c>
      <c r="N79" s="172">
        <f t="shared" si="188"/>
        <v>36.38074276176345</v>
      </c>
      <c r="O79" s="172">
        <f t="shared" si="284"/>
        <v>17.759999999999998</v>
      </c>
      <c r="P79" s="217">
        <f t="shared" si="189"/>
        <v>9.0951856904408626</v>
      </c>
      <c r="Q79" s="217">
        <f t="shared" si="190"/>
        <v>4</v>
      </c>
      <c r="R79" s="217">
        <f t="shared" si="191"/>
        <v>9.0140591580186946</v>
      </c>
      <c r="S79" s="172">
        <f t="shared" si="192"/>
        <v>12.297187520173885</v>
      </c>
      <c r="T79" s="172">
        <f t="shared" si="193"/>
        <v>4</v>
      </c>
      <c r="U79" s="217">
        <f t="shared" si="194"/>
        <v>4.053423142613485</v>
      </c>
      <c r="V79" s="217">
        <f t="shared" si="195"/>
        <v>2.0339595186509456</v>
      </c>
      <c r="W79" s="217">
        <f t="shared" si="196"/>
        <v>2.4600024919515908</v>
      </c>
      <c r="X79" s="197">
        <f t="shared" si="197"/>
        <v>350</v>
      </c>
      <c r="Y79" s="443">
        <f t="shared" si="198"/>
        <v>213.03964491856547</v>
      </c>
      <c r="AA79" s="217">
        <f t="shared" si="199"/>
        <v>2.5770598308513293</v>
      </c>
      <c r="AB79" s="173">
        <f t="shared" si="200"/>
        <v>1.5640048874135335</v>
      </c>
      <c r="AC79" s="173">
        <f t="shared" si="201"/>
        <v>2.821373919426001</v>
      </c>
      <c r="AD79" s="173"/>
      <c r="AE79" s="173">
        <f t="shared" si="202"/>
        <v>0.80919341682331902</v>
      </c>
      <c r="AF79" s="545">
        <f t="shared" si="203"/>
        <v>2057.6044804422068</v>
      </c>
      <c r="AG79" s="528">
        <f t="shared" si="204"/>
        <v>0.75524718903509791</v>
      </c>
      <c r="AI79" s="173">
        <f t="shared" si="205"/>
        <v>3.2328508077397071</v>
      </c>
      <c r="AJ79" s="173">
        <f t="shared" si="206"/>
        <v>4.053423142613485</v>
      </c>
      <c r="AK79" s="173">
        <f t="shared" si="207"/>
        <v>3.2148813402075191</v>
      </c>
      <c r="AM79" s="545">
        <f t="shared" si="208"/>
        <v>4439.9999999999991</v>
      </c>
      <c r="AN79" s="460">
        <f t="shared" si="209"/>
        <v>213.03964491856547</v>
      </c>
      <c r="AP79">
        <f t="shared" si="210"/>
        <v>4439.9999999999991</v>
      </c>
      <c r="AQ79">
        <f t="shared" si="211"/>
        <v>213.03964491856547</v>
      </c>
      <c r="AS79" s="5">
        <f t="shared" si="285"/>
        <v>4.6939620106025366</v>
      </c>
      <c r="AT79" s="5">
        <f t="shared" si="212"/>
        <v>2.0339595186509456</v>
      </c>
      <c r="AU79" s="5">
        <f t="shared" si="286"/>
        <v>2.660002491951591</v>
      </c>
      <c r="AV79" s="5">
        <f t="shared" si="213"/>
        <v>2.4600024919515908</v>
      </c>
      <c r="AW79" s="173">
        <f t="shared" si="287"/>
        <v>0.43331401363213379</v>
      </c>
      <c r="AX79" s="173">
        <f t="shared" si="214"/>
        <v>21.001753916153483</v>
      </c>
      <c r="AY79" s="173">
        <f t="shared" si="215"/>
        <v>4.5940361834765175</v>
      </c>
      <c r="AZ79" s="173">
        <f t="shared" si="288"/>
        <v>4.5715255773759482</v>
      </c>
      <c r="BA79" s="460">
        <f t="shared" si="216"/>
        <v>225.76950657025492</v>
      </c>
      <c r="BB79" s="5">
        <f t="shared" si="217"/>
        <v>1.6462010529378279</v>
      </c>
      <c r="BC79" s="5"/>
      <c r="BD79" s="173">
        <f t="shared" si="289"/>
        <v>1.5405034762506333</v>
      </c>
      <c r="BE79" s="173">
        <f t="shared" si="218"/>
        <v>7.0468096959512954</v>
      </c>
      <c r="BF79" s="173"/>
      <c r="BG79" s="528">
        <f t="shared" si="219"/>
        <v>2.8952441716151481E-2</v>
      </c>
      <c r="BH79" s="528">
        <f t="shared" si="220"/>
        <v>0.70874128559282978</v>
      </c>
      <c r="BI79" s="528">
        <f t="shared" si="221"/>
        <v>0.12736829112211071</v>
      </c>
      <c r="BJ79" s="528">
        <f t="shared" si="222"/>
        <v>4.0819586862047806E-2</v>
      </c>
      <c r="BK79">
        <f t="shared" si="223"/>
        <v>1.0761514557885935E-2</v>
      </c>
      <c r="BL79" s="460">
        <f t="shared" si="290"/>
        <v>138.12980567999665</v>
      </c>
      <c r="BM79" s="528">
        <f t="shared" si="224"/>
        <v>0.79177718800857799</v>
      </c>
      <c r="BN79" s="460">
        <f t="shared" si="291"/>
        <v>791.77718800857804</v>
      </c>
      <c r="BO79" s="528">
        <f t="shared" si="225"/>
        <v>2.7583499999999996</v>
      </c>
      <c r="BP79" s="528"/>
      <c r="BR79" s="460">
        <f t="shared" si="292"/>
        <v>2758.3499999999995</v>
      </c>
      <c r="BS79" s="528">
        <f t="shared" si="226"/>
        <v>7.119452881020856E-2</v>
      </c>
      <c r="BT79" s="528">
        <f t="shared" si="227"/>
        <v>1.4897258067285954</v>
      </c>
      <c r="BU79" s="528">
        <f t="shared" si="228"/>
        <v>0.26639999999999997</v>
      </c>
      <c r="BV79" s="528">
        <f t="shared" si="229"/>
        <v>2.5161408496065807</v>
      </c>
      <c r="BW79" s="528">
        <f t="shared" si="230"/>
        <v>8.7507307983972854E-2</v>
      </c>
      <c r="BX79" s="460">
        <f t="shared" si="293"/>
        <v>2603.6481575905536</v>
      </c>
      <c r="BY79" s="173">
        <f t="shared" si="231"/>
        <v>6.2919051512791278</v>
      </c>
      <c r="BZ79" s="5">
        <f t="shared" si="294"/>
        <v>17.759999999999998</v>
      </c>
      <c r="CA79" s="173">
        <f t="shared" si="295"/>
        <v>0.73840304492700393</v>
      </c>
      <c r="CB79" s="5">
        <f t="shared" si="296"/>
        <v>73.840304492700398</v>
      </c>
      <c r="CE79" s="562">
        <f t="shared" si="232"/>
        <v>-50</v>
      </c>
      <c r="CF79">
        <f t="shared" si="233"/>
        <v>-50</v>
      </c>
      <c r="CG79" s="173">
        <f t="shared" si="234"/>
        <v>0.54771100037062137</v>
      </c>
      <c r="CI79" s="170">
        <v>74</v>
      </c>
      <c r="CJ79" s="217">
        <f t="shared" si="297"/>
        <v>4.4399999999999995</v>
      </c>
      <c r="CK79" s="217"/>
      <c r="CL79" s="217">
        <f t="shared" si="235"/>
        <v>17.759999999999998</v>
      </c>
      <c r="CM79" s="541">
        <f t="shared" si="236"/>
        <v>24</v>
      </c>
      <c r="CN79" s="172">
        <f t="shared" si="237"/>
        <v>18.8</v>
      </c>
      <c r="CO79" s="443">
        <f t="shared" si="238"/>
        <v>42.8</v>
      </c>
      <c r="CP79" s="443"/>
      <c r="CQ79" s="217">
        <f t="shared" si="239"/>
        <v>0.43925233644859818</v>
      </c>
      <c r="CR79" s="172">
        <f t="shared" si="240"/>
        <v>35.456448598130848</v>
      </c>
      <c r="CS79" s="172">
        <f t="shared" si="298"/>
        <v>17.759999999999998</v>
      </c>
      <c r="CT79" s="217">
        <f t="shared" si="241"/>
        <v>8.864112149532712</v>
      </c>
      <c r="CU79" s="217">
        <f t="shared" si="242"/>
        <v>4</v>
      </c>
      <c r="CV79" s="217">
        <f t="shared" si="243"/>
        <v>8.7850467289719631</v>
      </c>
      <c r="CW79" s="172">
        <f t="shared" si="244"/>
        <v>12.340101402971074</v>
      </c>
      <c r="CX79" s="172">
        <f t="shared" si="245"/>
        <v>4</v>
      </c>
      <c r="CY79" s="217">
        <f t="shared" si="246"/>
        <v>3.3693617021276587</v>
      </c>
      <c r="CZ79" s="217">
        <f t="shared" si="247"/>
        <v>1.6846808510638294</v>
      </c>
      <c r="DA79" s="217">
        <f t="shared" si="248"/>
        <v>2.1506564056133994</v>
      </c>
      <c r="DB79" s="197">
        <f t="shared" si="249"/>
        <v>350</v>
      </c>
      <c r="DC79" s="443">
        <f t="shared" si="299"/>
        <v>260.73326361561146</v>
      </c>
      <c r="DE79" s="217">
        <f t="shared" si="250"/>
        <v>2.5100133511348464</v>
      </c>
      <c r="DF79" s="173">
        <f t="shared" si="251"/>
        <v>1.6021361815754336</v>
      </c>
      <c r="DG79" s="173">
        <f t="shared" si="252"/>
        <v>2.8149682442633783</v>
      </c>
      <c r="DH79" s="173"/>
      <c r="DI79" s="173">
        <f t="shared" si="253"/>
        <v>0.85106382978723416</v>
      </c>
      <c r="DJ79" s="545">
        <f t="shared" si="300"/>
        <v>1956.3749999999993</v>
      </c>
      <c r="DK79" s="528">
        <f t="shared" si="254"/>
        <v>0.79432624113475192</v>
      </c>
      <c r="DM79" s="173">
        <f t="shared" si="255"/>
        <v>3.152323406178823</v>
      </c>
      <c r="DN79" s="173">
        <f t="shared" si="256"/>
        <v>3.3693617021276587</v>
      </c>
      <c r="DO79" s="173">
        <f t="shared" si="257"/>
        <v>2.7081691620698702</v>
      </c>
      <c r="DQ79" s="545">
        <f t="shared" si="258"/>
        <v>4439.9999999999991</v>
      </c>
      <c r="DR79" s="460">
        <f t="shared" si="259"/>
        <v>260.73326361561146</v>
      </c>
      <c r="DT79">
        <f t="shared" si="260"/>
        <v>4439.9999999999991</v>
      </c>
      <c r="DU79">
        <f t="shared" si="261"/>
        <v>260.73326361561146</v>
      </c>
      <c r="DW79" s="5">
        <f t="shared" si="301"/>
        <v>3.8353372566772288</v>
      </c>
      <c r="DX79" s="5">
        <f t="shared" si="262"/>
        <v>1.6846808510638294</v>
      </c>
      <c r="DY79" s="5">
        <f t="shared" si="302"/>
        <v>2.1506564056133994</v>
      </c>
      <c r="DZ79" s="5">
        <f t="shared" si="263"/>
        <v>2.1506564056133994</v>
      </c>
      <c r="EA79" s="173">
        <f t="shared" si="303"/>
        <v>0.43925233644859812</v>
      </c>
      <c r="EB79" s="173">
        <f t="shared" si="264"/>
        <v>17.759999999999994</v>
      </c>
      <c r="EC79" s="173">
        <f t="shared" si="265"/>
        <v>3.7787234042553188</v>
      </c>
      <c r="ED79" s="173">
        <f t="shared" si="304"/>
        <v>4.6999999999999993</v>
      </c>
      <c r="EE79" s="460">
        <f t="shared" si="266"/>
        <v>186.99957446808506</v>
      </c>
      <c r="EF79" s="5">
        <f t="shared" si="267"/>
        <v>1.3262381167949293</v>
      </c>
      <c r="EG79" s="5"/>
      <c r="EH79" s="173">
        <f t="shared" si="305"/>
        <v>1.2892705068046468</v>
      </c>
      <c r="EI79" s="173">
        <f t="shared" si="268"/>
        <v>5.8268083707935849</v>
      </c>
      <c r="EJ79" s="173"/>
      <c r="EK79" s="528">
        <f t="shared" si="269"/>
        <v>2.027906496453899E-2</v>
      </c>
      <c r="EL79" s="528">
        <f t="shared" si="270"/>
        <v>0.75199999999999989</v>
      </c>
      <c r="EM79" s="528">
        <f t="shared" si="271"/>
        <v>3.259165795195143E-2</v>
      </c>
      <c r="EN79" s="528">
        <f t="shared" si="272"/>
        <v>4.7762162162162163E-2</v>
      </c>
      <c r="EO79">
        <f t="shared" si="273"/>
        <v>1.0800000000000001E-2</v>
      </c>
      <c r="EP79" s="460">
        <f t="shared" si="306"/>
        <v>43.391657951951437</v>
      </c>
      <c r="EQ79" s="528">
        <f t="shared" si="274"/>
        <v>0.87311516853073823</v>
      </c>
      <c r="ER79" s="460">
        <f t="shared" si="307"/>
        <v>873.11516853073817</v>
      </c>
      <c r="ES79" s="528">
        <f t="shared" si="308"/>
        <v>2.7583499999999996</v>
      </c>
      <c r="ET79" s="528"/>
      <c r="EV79" s="460">
        <f t="shared" si="309"/>
        <v>2758.3499999999995</v>
      </c>
      <c r="EW79" s="528">
        <f t="shared" si="275"/>
        <v>4.9866553191489325E-2</v>
      </c>
      <c r="EX79" s="528">
        <f t="shared" si="276"/>
        <v>1.0185508736985058</v>
      </c>
      <c r="EY79" s="528">
        <f t="shared" si="277"/>
        <v>1.1437475956681531</v>
      </c>
      <c r="EZ79" s="528">
        <f t="shared" si="278"/>
        <v>2.6993038684977098</v>
      </c>
      <c r="FA79" s="528">
        <f t="shared" si="279"/>
        <v>7.3999999999999996E-2</v>
      </c>
      <c r="FB79" s="460">
        <f t="shared" si="310"/>
        <v>2773.3038684977096</v>
      </c>
      <c r="FC79" s="173">
        <f t="shared" si="311"/>
        <v>6.4047690370284478</v>
      </c>
      <c r="FD79" s="5">
        <f t="shared" si="312"/>
        <v>17.759999999999998</v>
      </c>
      <c r="FE79" s="173">
        <f t="shared" si="313"/>
        <v>0.73495426224789417</v>
      </c>
      <c r="FF79" s="5">
        <f t="shared" si="314"/>
        <v>73.495426224789412</v>
      </c>
      <c r="FI79" s="562">
        <f t="shared" si="280"/>
        <v>-50</v>
      </c>
      <c r="FJ79">
        <f t="shared" si="281"/>
        <v>-50</v>
      </c>
      <c r="FL79">
        <f t="shared" si="282"/>
        <v>0.56074766355140193</v>
      </c>
    </row>
    <row r="80" spans="5:168">
      <c r="E80" s="170">
        <v>75</v>
      </c>
      <c r="F80" s="217">
        <f t="shared" si="283"/>
        <v>4.5</v>
      </c>
      <c r="G80" s="217"/>
      <c r="H80" s="217">
        <f t="shared" si="183"/>
        <v>18</v>
      </c>
      <c r="I80" s="541">
        <f t="shared" si="184"/>
        <v>23.913348576112487</v>
      </c>
      <c r="J80" s="172">
        <f t="shared" si="185"/>
        <v>19.785608612938539</v>
      </c>
      <c r="K80" s="172">
        <f t="shared" si="186"/>
        <v>43.785608612938539</v>
      </c>
      <c r="L80" s="443"/>
      <c r="M80" s="217">
        <f t="shared" si="187"/>
        <v>0.45248745932961992</v>
      </c>
      <c r="N80" s="172">
        <f t="shared" si="188"/>
        <v>36.392915847800474</v>
      </c>
      <c r="O80" s="172">
        <f t="shared" si="284"/>
        <v>18</v>
      </c>
      <c r="P80" s="217">
        <f t="shared" si="189"/>
        <v>9.0982289619501184</v>
      </c>
      <c r="Q80" s="217">
        <f t="shared" si="190"/>
        <v>4</v>
      </c>
      <c r="R80" s="217">
        <f t="shared" si="191"/>
        <v>9.0170752843906037</v>
      </c>
      <c r="S80" s="172">
        <f t="shared" si="192"/>
        <v>12.063138938610589</v>
      </c>
      <c r="T80" s="172">
        <f t="shared" si="193"/>
        <v>4</v>
      </c>
      <c r="U80" s="217">
        <f t="shared" si="194"/>
        <v>4.1094949117422521</v>
      </c>
      <c r="V80" s="217">
        <f t="shared" si="195"/>
        <v>2.0621929540293524</v>
      </c>
      <c r="W80" s="217">
        <f t="shared" si="196"/>
        <v>2.4924145577538019</v>
      </c>
      <c r="X80" s="197">
        <f t="shared" si="197"/>
        <v>350</v>
      </c>
      <c r="Y80" s="443">
        <f t="shared" si="198"/>
        <v>210.32230263417952</v>
      </c>
      <c r="AA80" s="217">
        <f t="shared" si="199"/>
        <v>2.5779200519854366</v>
      </c>
      <c r="AB80" s="173">
        <f t="shared" si="200"/>
        <v>1.5635122087473052</v>
      </c>
      <c r="AC80" s="173">
        <f t="shared" si="201"/>
        <v>2.8214266321176029</v>
      </c>
      <c r="AD80" s="173"/>
      <c r="AE80" s="173">
        <f t="shared" si="202"/>
        <v>0.80866857891533417</v>
      </c>
      <c r="AF80" s="545">
        <f t="shared" si="203"/>
        <v>2086.7634083958606</v>
      </c>
      <c r="AG80" s="528">
        <f t="shared" si="204"/>
        <v>0.75475734032097874</v>
      </c>
      <c r="AI80" s="173">
        <f t="shared" si="205"/>
        <v>3.2556770702117843</v>
      </c>
      <c r="AJ80" s="173">
        <f t="shared" si="206"/>
        <v>4.1094949117422521</v>
      </c>
      <c r="AK80" s="173">
        <f t="shared" si="207"/>
        <v>3.2564159840066065</v>
      </c>
      <c r="AM80" s="545">
        <f t="shared" si="208"/>
        <v>4500</v>
      </c>
      <c r="AN80" s="460">
        <f t="shared" si="209"/>
        <v>210.32230263417952</v>
      </c>
      <c r="AP80">
        <f t="shared" si="210"/>
        <v>4500</v>
      </c>
      <c r="AQ80">
        <f t="shared" si="211"/>
        <v>210.32230263417952</v>
      </c>
      <c r="AS80" s="5">
        <f t="shared" si="285"/>
        <v>4.7546075117831554</v>
      </c>
      <c r="AT80" s="5">
        <f t="shared" si="212"/>
        <v>2.0621929540293524</v>
      </c>
      <c r="AU80" s="5">
        <f t="shared" si="286"/>
        <v>2.692414557753803</v>
      </c>
      <c r="AV80" s="5">
        <f t="shared" si="213"/>
        <v>2.4924145577538019</v>
      </c>
      <c r="AW80" s="173">
        <f t="shared" si="287"/>
        <v>0.43372517056743409</v>
      </c>
      <c r="AX80" s="173">
        <f t="shared" si="214"/>
        <v>21.311473202929239</v>
      </c>
      <c r="AY80" s="173">
        <f t="shared" si="215"/>
        <v>4.6542070604016823</v>
      </c>
      <c r="AZ80" s="173">
        <f t="shared" si="288"/>
        <v>4.5789697205886553</v>
      </c>
      <c r="BA80" s="460">
        <f t="shared" si="216"/>
        <v>231.99670732830216</v>
      </c>
      <c r="BB80" s="5">
        <f t="shared" si="217"/>
        <v>1.688856675081031</v>
      </c>
      <c r="BC80" s="5"/>
      <c r="BD80" s="173">
        <f t="shared" si="289"/>
        <v>1.5625543524602774</v>
      </c>
      <c r="BE80" s="173">
        <f t="shared" si="218"/>
        <v>7.1416973207430328</v>
      </c>
      <c r="BF80" s="173"/>
      <c r="BG80" s="528">
        <f t="shared" si="219"/>
        <v>2.9787228473589191E-2</v>
      </c>
      <c r="BH80" s="528">
        <f t="shared" si="220"/>
        <v>0.70958828629576132</v>
      </c>
      <c r="BI80" s="528">
        <f t="shared" si="221"/>
        <v>0.12573776340554391</v>
      </c>
      <c r="BJ80" s="528">
        <f t="shared" si="222"/>
        <v>4.0322561154715032E-2</v>
      </c>
      <c r="BK80">
        <f t="shared" si="223"/>
        <v>1.0761006859250619E-2</v>
      </c>
      <c r="BL80" s="460">
        <f t="shared" si="290"/>
        <v>136.4987702647945</v>
      </c>
      <c r="BM80" s="528">
        <f t="shared" si="224"/>
        <v>0.79335555832646953</v>
      </c>
      <c r="BN80" s="460">
        <f t="shared" si="291"/>
        <v>793.35555832646958</v>
      </c>
      <c r="BO80" s="528">
        <f t="shared" si="225"/>
        <v>2.7956249999999998</v>
      </c>
      <c r="BP80" s="528"/>
      <c r="BR80" s="460">
        <f t="shared" si="292"/>
        <v>2795.625</v>
      </c>
      <c r="BS80" s="528">
        <f t="shared" si="226"/>
        <v>7.3247283131776697E-2</v>
      </c>
      <c r="BT80" s="528">
        <f t="shared" si="227"/>
        <v>1.5301152186332463</v>
      </c>
      <c r="BU80" s="528">
        <f t="shared" si="228"/>
        <v>0.27</v>
      </c>
      <c r="BV80" s="528">
        <f t="shared" si="229"/>
        <v>2.5904430409775538</v>
      </c>
      <c r="BW80" s="528">
        <f t="shared" si="230"/>
        <v>8.8797805012205161E-2</v>
      </c>
      <c r="BX80" s="460">
        <f t="shared" si="293"/>
        <v>2679.2408459897592</v>
      </c>
      <c r="BY80" s="173">
        <f t="shared" si="231"/>
        <v>6.4047201745810227</v>
      </c>
      <c r="BZ80" s="5">
        <f t="shared" si="294"/>
        <v>18</v>
      </c>
      <c r="CA80" s="173">
        <f t="shared" si="295"/>
        <v>0.73756223678188604</v>
      </c>
      <c r="CB80" s="5">
        <f t="shared" si="296"/>
        <v>73.756223678188604</v>
      </c>
      <c r="CE80" s="562">
        <f t="shared" si="232"/>
        <v>-50</v>
      </c>
      <c r="CF80">
        <f t="shared" si="233"/>
        <v>-50</v>
      </c>
      <c r="CG80" s="173">
        <f t="shared" si="234"/>
        <v>0.54788482254636484</v>
      </c>
      <c r="CI80" s="170">
        <v>75</v>
      </c>
      <c r="CJ80" s="217">
        <f t="shared" si="297"/>
        <v>4.5</v>
      </c>
      <c r="CK80" s="217"/>
      <c r="CL80" s="217">
        <f t="shared" si="235"/>
        <v>18</v>
      </c>
      <c r="CM80" s="541">
        <f t="shared" si="236"/>
        <v>24</v>
      </c>
      <c r="CN80" s="172">
        <f t="shared" si="237"/>
        <v>18.8</v>
      </c>
      <c r="CO80" s="443">
        <f t="shared" si="238"/>
        <v>42.8</v>
      </c>
      <c r="CP80" s="443"/>
      <c r="CQ80" s="217">
        <f t="shared" si="239"/>
        <v>0.43925233644859818</v>
      </c>
      <c r="CR80" s="172">
        <f t="shared" si="240"/>
        <v>35.456448598130848</v>
      </c>
      <c r="CS80" s="172">
        <f t="shared" si="298"/>
        <v>18</v>
      </c>
      <c r="CT80" s="217">
        <f t="shared" si="241"/>
        <v>8.864112149532712</v>
      </c>
      <c r="CU80" s="217">
        <f t="shared" si="242"/>
        <v>4</v>
      </c>
      <c r="CV80" s="217">
        <f t="shared" si="243"/>
        <v>8.7850467289719631</v>
      </c>
      <c r="CW80" s="172">
        <f t="shared" si="244"/>
        <v>12.10575530811056</v>
      </c>
      <c r="CX80" s="172">
        <f t="shared" si="245"/>
        <v>4</v>
      </c>
      <c r="CY80" s="217">
        <f t="shared" si="246"/>
        <v>3.414893617021276</v>
      </c>
      <c r="CZ80" s="217">
        <f t="shared" si="247"/>
        <v>1.7074468085106382</v>
      </c>
      <c r="DA80" s="217">
        <f t="shared" si="248"/>
        <v>2.1797193300135804</v>
      </c>
      <c r="DB80" s="197">
        <f t="shared" si="249"/>
        <v>350</v>
      </c>
      <c r="DC80" s="443">
        <f t="shared" si="299"/>
        <v>257.25682010073666</v>
      </c>
      <c r="DE80" s="217">
        <f t="shared" si="250"/>
        <v>2.5100133511348464</v>
      </c>
      <c r="DF80" s="173">
        <f t="shared" si="251"/>
        <v>1.6021361815754336</v>
      </c>
      <c r="DG80" s="173">
        <f t="shared" si="252"/>
        <v>2.8149682442633783</v>
      </c>
      <c r="DH80" s="173"/>
      <c r="DI80" s="173">
        <f t="shared" si="253"/>
        <v>0.85106382978723416</v>
      </c>
      <c r="DJ80" s="545">
        <f t="shared" si="300"/>
        <v>1982.8124999999995</v>
      </c>
      <c r="DK80" s="528">
        <f t="shared" si="254"/>
        <v>0.79432624113475192</v>
      </c>
      <c r="DM80" s="173">
        <f t="shared" si="255"/>
        <v>3.1735514130747231</v>
      </c>
      <c r="DN80" s="173">
        <f t="shared" si="256"/>
        <v>3.414893617021276</v>
      </c>
      <c r="DO80" s="173">
        <f t="shared" si="257"/>
        <v>2.7418965064355127</v>
      </c>
      <c r="DQ80" s="545">
        <f t="shared" si="258"/>
        <v>4500</v>
      </c>
      <c r="DR80" s="460">
        <f t="shared" si="259"/>
        <v>257.25682010073666</v>
      </c>
      <c r="DT80">
        <f t="shared" si="260"/>
        <v>4500</v>
      </c>
      <c r="DU80">
        <f t="shared" si="261"/>
        <v>257.25682010073666</v>
      </c>
      <c r="DW80" s="5">
        <f t="shared" si="301"/>
        <v>3.887166138524218</v>
      </c>
      <c r="DX80" s="5">
        <f t="shared" si="262"/>
        <v>1.7074468085106382</v>
      </c>
      <c r="DY80" s="5">
        <f t="shared" si="302"/>
        <v>2.1797193300135795</v>
      </c>
      <c r="DZ80" s="5">
        <f t="shared" si="263"/>
        <v>2.1797193300135804</v>
      </c>
      <c r="EA80" s="173">
        <f t="shared" si="303"/>
        <v>0.43925233644859824</v>
      </c>
      <c r="EB80" s="173">
        <f t="shared" si="264"/>
        <v>18</v>
      </c>
      <c r="EC80" s="173">
        <f t="shared" si="265"/>
        <v>3.8297872340425516</v>
      </c>
      <c r="ED80" s="173">
        <f t="shared" si="304"/>
        <v>4.700000000000002</v>
      </c>
      <c r="EE80" s="460">
        <f t="shared" si="266"/>
        <v>192.08776595744681</v>
      </c>
      <c r="EF80" s="5">
        <f t="shared" si="267"/>
        <v>1.362324581258487</v>
      </c>
      <c r="EG80" s="5"/>
      <c r="EH80" s="173">
        <f t="shared" si="305"/>
        <v>1.3066930812209263</v>
      </c>
      <c r="EI80" s="173">
        <f t="shared" si="268"/>
        <v>5.9055490244529567</v>
      </c>
      <c r="EJ80" s="173"/>
      <c r="EK80" s="528">
        <f t="shared" si="269"/>
        <v>2.0830851063829786E-2</v>
      </c>
      <c r="EL80" s="528">
        <f t="shared" si="270"/>
        <v>0.752</v>
      </c>
      <c r="EM80" s="528">
        <f t="shared" si="271"/>
        <v>3.215710251259208E-2</v>
      </c>
      <c r="EN80" s="528">
        <f t="shared" si="272"/>
        <v>4.7125333333333339E-2</v>
      </c>
      <c r="EO80">
        <f t="shared" si="273"/>
        <v>1.0800000000000001E-2</v>
      </c>
      <c r="EP80" s="460">
        <f t="shared" si="306"/>
        <v>42.95710251259208</v>
      </c>
      <c r="EQ80" s="528">
        <f t="shared" si="274"/>
        <v>0.87285774774798508</v>
      </c>
      <c r="ER80" s="460">
        <f t="shared" si="307"/>
        <v>872.85774774798506</v>
      </c>
      <c r="ES80" s="528">
        <f t="shared" si="308"/>
        <v>2.7956249999999998</v>
      </c>
      <c r="ET80" s="528"/>
      <c r="EV80" s="460">
        <f t="shared" si="309"/>
        <v>2795.625</v>
      </c>
      <c r="EW80" s="528">
        <f t="shared" si="275"/>
        <v>5.1223404255319148E-2</v>
      </c>
      <c r="EX80" s="528">
        <f t="shared" si="276"/>
        <v>1.0462652784065178</v>
      </c>
      <c r="EY80" s="528">
        <f t="shared" si="277"/>
        <v>1.1437475956681527</v>
      </c>
      <c r="EZ80" s="528">
        <f t="shared" si="278"/>
        <v>2.7457038766104906</v>
      </c>
      <c r="FA80" s="528">
        <f t="shared" si="279"/>
        <v>7.5000000000000011E-2</v>
      </c>
      <c r="FB80" s="460">
        <f t="shared" si="310"/>
        <v>2820.7038766104906</v>
      </c>
      <c r="FC80" s="173">
        <f t="shared" si="311"/>
        <v>6.4891866243584753</v>
      </c>
      <c r="FD80" s="5">
        <f t="shared" si="312"/>
        <v>18</v>
      </c>
      <c r="FE80" s="173">
        <f t="shared" si="313"/>
        <v>0.73501828689141013</v>
      </c>
      <c r="FF80" s="5">
        <f t="shared" si="314"/>
        <v>73.501828689141007</v>
      </c>
      <c r="FI80" s="562">
        <f t="shared" si="280"/>
        <v>-50</v>
      </c>
      <c r="FJ80">
        <f t="shared" si="281"/>
        <v>-50</v>
      </c>
      <c r="FL80">
        <f t="shared" si="282"/>
        <v>0.56074766355140171</v>
      </c>
    </row>
    <row r="81" spans="5:168">
      <c r="E81" s="170">
        <v>76</v>
      </c>
      <c r="F81" s="217">
        <f t="shared" si="283"/>
        <v>4.5600000000000005</v>
      </c>
      <c r="G81" s="217"/>
      <c r="H81" s="217">
        <f t="shared" si="183"/>
        <v>18.240000000000002</v>
      </c>
      <c r="I81" s="541">
        <f t="shared" si="184"/>
        <v>23.912220339938138</v>
      </c>
      <c r="J81" s="172">
        <f t="shared" si="185"/>
        <v>19.798441631035388</v>
      </c>
      <c r="K81" s="172">
        <f t="shared" si="186"/>
        <v>43.798441631035388</v>
      </c>
      <c r="L81" s="443"/>
      <c r="M81" s="217">
        <f t="shared" si="187"/>
        <v>0.45266005966214989</v>
      </c>
      <c r="N81" s="172">
        <f t="shared" si="188"/>
        <v>36.405080165008165</v>
      </c>
      <c r="O81" s="172">
        <f t="shared" si="284"/>
        <v>18.240000000000002</v>
      </c>
      <c r="P81" s="217">
        <f t="shared" si="189"/>
        <v>9.1012700412520413</v>
      </c>
      <c r="Q81" s="217">
        <f t="shared" si="190"/>
        <v>4</v>
      </c>
      <c r="R81" s="217">
        <f t="shared" si="191"/>
        <v>9.02008923810906</v>
      </c>
      <c r="S81" s="172">
        <f t="shared" si="192"/>
        <v>11.835462180470952</v>
      </c>
      <c r="T81" s="172">
        <f t="shared" si="193"/>
        <v>4</v>
      </c>
      <c r="U81" s="217">
        <f t="shared" si="194"/>
        <v>4.1656013602673525</v>
      </c>
      <c r="V81" s="217">
        <f t="shared" si="195"/>
        <v>2.0904464584461735</v>
      </c>
      <c r="W81" s="217">
        <f t="shared" si="196"/>
        <v>2.5248056011059932</v>
      </c>
      <c r="X81" s="197">
        <f t="shared" si="197"/>
        <v>350</v>
      </c>
      <c r="Y81" s="443">
        <f t="shared" si="198"/>
        <v>207.67344837458063</v>
      </c>
      <c r="AA81" s="217">
        <f t="shared" si="199"/>
        <v>2.5787796676368955</v>
      </c>
      <c r="AB81" s="173">
        <f t="shared" si="200"/>
        <v>1.5630197865236941</v>
      </c>
      <c r="AC81" s="173">
        <f t="shared" si="201"/>
        <v>2.8214785519210244</v>
      </c>
      <c r="AD81" s="173"/>
      <c r="AE81" s="173">
        <f t="shared" si="202"/>
        <v>0.80814441349358157</v>
      </c>
      <c r="AF81" s="545">
        <f t="shared" si="203"/>
        <v>2115.9584493169068</v>
      </c>
      <c r="AG81" s="528">
        <f t="shared" si="204"/>
        <v>0.75426811926067627</v>
      </c>
      <c r="AI81" s="173">
        <f t="shared" si="205"/>
        <v>3.2783723792223154</v>
      </c>
      <c r="AJ81" s="173">
        <f t="shared" si="206"/>
        <v>4.1656013602673525</v>
      </c>
      <c r="AK81" s="173">
        <f t="shared" si="207"/>
        <v>3.2979763162474214</v>
      </c>
      <c r="AM81" s="545">
        <f t="shared" si="208"/>
        <v>4560.0000000000009</v>
      </c>
      <c r="AN81" s="460">
        <f t="shared" si="209"/>
        <v>207.67344837458063</v>
      </c>
      <c r="AP81">
        <f t="shared" si="210"/>
        <v>4560.0000000000009</v>
      </c>
      <c r="AQ81">
        <f t="shared" si="211"/>
        <v>207.67344837458063</v>
      </c>
      <c r="AS81" s="5">
        <f t="shared" si="285"/>
        <v>4.8152520595521668</v>
      </c>
      <c r="AT81" s="5">
        <f t="shared" si="212"/>
        <v>2.0904464584461735</v>
      </c>
      <c r="AU81" s="5">
        <f t="shared" si="286"/>
        <v>2.7248056011059933</v>
      </c>
      <c r="AV81" s="5">
        <f t="shared" si="213"/>
        <v>2.5248056011059932</v>
      </c>
      <c r="AW81" s="173">
        <f t="shared" si="287"/>
        <v>0.43413022466794632</v>
      </c>
      <c r="AX81" s="173">
        <f t="shared" si="214"/>
        <v>21.621590493779916</v>
      </c>
      <c r="AY81" s="173">
        <f t="shared" si="215"/>
        <v>4.7143758117147678</v>
      </c>
      <c r="AZ81" s="173">
        <f t="shared" si="288"/>
        <v>4.5863103319112479</v>
      </c>
      <c r="BA81" s="460">
        <f t="shared" si="216"/>
        <v>238.31089626286382</v>
      </c>
      <c r="BB81" s="5">
        <f t="shared" si="217"/>
        <v>1.7320451446173921</v>
      </c>
      <c r="BC81" s="5"/>
      <c r="BD81" s="173">
        <f t="shared" si="289"/>
        <v>1.5846271428547418</v>
      </c>
      <c r="BE81" s="173">
        <f t="shared" si="218"/>
        <v>7.2366125213556547</v>
      </c>
      <c r="BF81" s="173"/>
      <c r="BG81" s="528">
        <f t="shared" si="219"/>
        <v>3.0634726818838182E-2</v>
      </c>
      <c r="BH81" s="528">
        <f t="shared" si="220"/>
        <v>0.71042561393764037</v>
      </c>
      <c r="BI81" s="528">
        <f t="shared" si="221"/>
        <v>0.1241483314071935</v>
      </c>
      <c r="BJ81" s="528">
        <f t="shared" si="222"/>
        <v>3.9838070065341957E-2</v>
      </c>
      <c r="BK81">
        <f t="shared" si="223"/>
        <v>1.0760499152972162E-2</v>
      </c>
      <c r="BL81" s="460">
        <f t="shared" si="290"/>
        <v>134.90883056016568</v>
      </c>
      <c r="BM81" s="528">
        <f t="shared" si="224"/>
        <v>0.79495612250517489</v>
      </c>
      <c r="BN81" s="460">
        <f t="shared" si="291"/>
        <v>794.9561225051749</v>
      </c>
      <c r="BO81" s="528">
        <f t="shared" si="225"/>
        <v>2.8329</v>
      </c>
      <c r="BP81" s="528"/>
      <c r="BR81" s="460">
        <f t="shared" si="292"/>
        <v>2832.9</v>
      </c>
      <c r="BS81" s="528">
        <f t="shared" si="226"/>
        <v>7.5331295456159464E-2</v>
      </c>
      <c r="BT81" s="528">
        <f t="shared" si="227"/>
        <v>1.5710568235272433</v>
      </c>
      <c r="BU81" s="528">
        <f t="shared" si="228"/>
        <v>0.27360000000000001</v>
      </c>
      <c r="BV81" s="528">
        <f t="shared" si="229"/>
        <v>2.6663028088242444</v>
      </c>
      <c r="BW81" s="528">
        <f t="shared" si="230"/>
        <v>9.0089960390749665E-2</v>
      </c>
      <c r="BX81" s="460">
        <f t="shared" si="293"/>
        <v>2756.3927692149937</v>
      </c>
      <c r="BY81" s="173">
        <f t="shared" si="231"/>
        <v>6.5191577222803341</v>
      </c>
      <c r="BZ81" s="5">
        <f t="shared" si="294"/>
        <v>18.240000000000002</v>
      </c>
      <c r="CA81" s="173">
        <f t="shared" si="295"/>
        <v>0.7366971124218068</v>
      </c>
      <c r="CB81" s="5">
        <f t="shared" si="296"/>
        <v>73.669711242180682</v>
      </c>
      <c r="CE81" s="562">
        <f t="shared" si="232"/>
        <v>-50</v>
      </c>
      <c r="CF81">
        <f t="shared" si="233"/>
        <v>-50</v>
      </c>
      <c r="CG81" s="173">
        <f t="shared" si="234"/>
        <v>0.54805407045432608</v>
      </c>
      <c r="CI81" s="170">
        <v>76</v>
      </c>
      <c r="CJ81" s="217">
        <f t="shared" si="297"/>
        <v>4.5600000000000005</v>
      </c>
      <c r="CK81" s="217"/>
      <c r="CL81" s="217">
        <f t="shared" si="235"/>
        <v>18.240000000000002</v>
      </c>
      <c r="CM81" s="541">
        <f t="shared" si="236"/>
        <v>24</v>
      </c>
      <c r="CN81" s="172">
        <f t="shared" si="237"/>
        <v>18.8</v>
      </c>
      <c r="CO81" s="443">
        <f t="shared" si="238"/>
        <v>42.8</v>
      </c>
      <c r="CP81" s="443"/>
      <c r="CQ81" s="217">
        <f t="shared" si="239"/>
        <v>0.43925233644859818</v>
      </c>
      <c r="CR81" s="172">
        <f t="shared" si="240"/>
        <v>35.456448598130848</v>
      </c>
      <c r="CS81" s="172">
        <f t="shared" si="298"/>
        <v>18.240000000000002</v>
      </c>
      <c r="CT81" s="217">
        <f t="shared" si="241"/>
        <v>8.864112149532712</v>
      </c>
      <c r="CU81" s="217">
        <f t="shared" si="242"/>
        <v>4</v>
      </c>
      <c r="CV81" s="217">
        <f t="shared" si="243"/>
        <v>8.7850467289719631</v>
      </c>
      <c r="CW81" s="172">
        <f t="shared" si="244"/>
        <v>11.877781803723751</v>
      </c>
      <c r="CX81" s="172">
        <f t="shared" si="245"/>
        <v>4</v>
      </c>
      <c r="CY81" s="217">
        <f t="shared" si="246"/>
        <v>3.4604255319148933</v>
      </c>
      <c r="CZ81" s="217">
        <f t="shared" si="247"/>
        <v>1.7302127659574467</v>
      </c>
      <c r="DA81" s="217">
        <f t="shared" si="248"/>
        <v>2.2087822544137619</v>
      </c>
      <c r="DB81" s="197">
        <f t="shared" si="249"/>
        <v>350</v>
      </c>
      <c r="DC81" s="443">
        <f t="shared" si="299"/>
        <v>253.87186194151639</v>
      </c>
      <c r="DE81" s="217">
        <f t="shared" si="250"/>
        <v>2.5100133511348464</v>
      </c>
      <c r="DF81" s="173">
        <f t="shared" si="251"/>
        <v>1.6021361815754336</v>
      </c>
      <c r="DG81" s="173">
        <f t="shared" si="252"/>
        <v>2.8149682442633783</v>
      </c>
      <c r="DH81" s="173"/>
      <c r="DI81" s="173">
        <f t="shared" si="253"/>
        <v>0.85106382978723416</v>
      </c>
      <c r="DJ81" s="545">
        <f t="shared" si="300"/>
        <v>2009.2499999999998</v>
      </c>
      <c r="DK81" s="528">
        <f t="shared" si="254"/>
        <v>0.79432624113475192</v>
      </c>
      <c r="DM81" s="173">
        <f t="shared" si="255"/>
        <v>3.1946383654044928</v>
      </c>
      <c r="DN81" s="173">
        <f t="shared" si="256"/>
        <v>3.4604255319148933</v>
      </c>
      <c r="DO81" s="173">
        <f t="shared" si="257"/>
        <v>2.7756238508011553</v>
      </c>
      <c r="DQ81" s="545">
        <f t="shared" si="258"/>
        <v>4560.0000000000009</v>
      </c>
      <c r="DR81" s="460">
        <f t="shared" si="259"/>
        <v>253.87186194151639</v>
      </c>
      <c r="DT81">
        <f t="shared" si="260"/>
        <v>4560.0000000000009</v>
      </c>
      <c r="DU81">
        <f t="shared" si="261"/>
        <v>253.87186194151639</v>
      </c>
      <c r="DW81" s="5">
        <f t="shared" si="301"/>
        <v>3.938995020371209</v>
      </c>
      <c r="DX81" s="5">
        <f t="shared" si="262"/>
        <v>1.7302127659574467</v>
      </c>
      <c r="DY81" s="5">
        <f t="shared" si="302"/>
        <v>2.2087822544137623</v>
      </c>
      <c r="DZ81" s="5">
        <f t="shared" si="263"/>
        <v>2.2087822544137619</v>
      </c>
      <c r="EA81" s="173">
        <f t="shared" si="303"/>
        <v>0.43925233644859807</v>
      </c>
      <c r="EB81" s="173">
        <f t="shared" si="264"/>
        <v>18.239999999999995</v>
      </c>
      <c r="EC81" s="173">
        <f t="shared" si="265"/>
        <v>3.8808510638297875</v>
      </c>
      <c r="ED81" s="173">
        <f t="shared" si="304"/>
        <v>4.6999999999999984</v>
      </c>
      <c r="EE81" s="460">
        <f t="shared" si="266"/>
        <v>197.24425531914895</v>
      </c>
      <c r="EF81" s="5">
        <f t="shared" si="267"/>
        <v>1.3988954277953829</v>
      </c>
      <c r="EG81" s="5"/>
      <c r="EH81" s="173">
        <f t="shared" si="305"/>
        <v>1.3241156556372051</v>
      </c>
      <c r="EI81" s="173">
        <f t="shared" si="268"/>
        <v>5.9842896781123311</v>
      </c>
      <c r="EJ81" s="173"/>
      <c r="EK81" s="528">
        <f t="shared" si="269"/>
        <v>2.1390043687943252E-2</v>
      </c>
      <c r="EL81" s="528">
        <f t="shared" si="270"/>
        <v>0.75199999999999989</v>
      </c>
      <c r="EM81" s="528">
        <f t="shared" si="271"/>
        <v>3.173398274268955E-2</v>
      </c>
      <c r="EN81" s="528">
        <f t="shared" si="272"/>
        <v>4.650526315789473E-2</v>
      </c>
      <c r="EO81">
        <f t="shared" si="273"/>
        <v>1.0800000000000001E-2</v>
      </c>
      <c r="EP81" s="460">
        <f t="shared" si="306"/>
        <v>42.533982742689545</v>
      </c>
      <c r="EQ81" s="528">
        <f t="shared" si="274"/>
        <v>0.87263959524236878</v>
      </c>
      <c r="ER81" s="460">
        <f t="shared" si="307"/>
        <v>872.63959524236873</v>
      </c>
      <c r="ES81" s="528">
        <f t="shared" si="308"/>
        <v>2.8329</v>
      </c>
      <c r="ET81" s="528"/>
      <c r="EV81" s="460">
        <f t="shared" si="309"/>
        <v>2832.9</v>
      </c>
      <c r="EW81" s="528">
        <f t="shared" si="275"/>
        <v>5.2598468085106362E-2</v>
      </c>
      <c r="EX81" s="528">
        <f t="shared" si="276"/>
        <v>1.0743516885468536</v>
      </c>
      <c r="EY81" s="528">
        <f t="shared" si="277"/>
        <v>1.1437475956681524</v>
      </c>
      <c r="EZ81" s="528">
        <f t="shared" si="278"/>
        <v>2.7929687120970579</v>
      </c>
      <c r="FA81" s="528">
        <f t="shared" si="279"/>
        <v>7.5999999999999984E-2</v>
      </c>
      <c r="FB81" s="460">
        <f t="shared" si="310"/>
        <v>2868.968712097058</v>
      </c>
      <c r="FC81" s="173">
        <f t="shared" si="311"/>
        <v>6.5745083073394257</v>
      </c>
      <c r="FD81" s="5">
        <f t="shared" si="312"/>
        <v>18.240000000000002</v>
      </c>
      <c r="FE81" s="173">
        <f t="shared" si="313"/>
        <v>0.73505385535304468</v>
      </c>
      <c r="FF81" s="5">
        <f t="shared" si="314"/>
        <v>73.50538553530447</v>
      </c>
      <c r="FI81" s="562">
        <f t="shared" si="280"/>
        <v>-50</v>
      </c>
      <c r="FJ81">
        <f t="shared" si="281"/>
        <v>-50</v>
      </c>
      <c r="FL81">
        <f t="shared" si="282"/>
        <v>0.56074766355140193</v>
      </c>
    </row>
    <row r="82" spans="5:168">
      <c r="E82" s="170">
        <v>77</v>
      </c>
      <c r="F82" s="217">
        <f t="shared" si="283"/>
        <v>4.62</v>
      </c>
      <c r="G82" s="217"/>
      <c r="H82" s="217">
        <f t="shared" si="183"/>
        <v>18.48</v>
      </c>
      <c r="I82" s="541">
        <f t="shared" si="184"/>
        <v>23.911092087455902</v>
      </c>
      <c r="J82" s="172">
        <f t="shared" si="185"/>
        <v>19.811274834624815</v>
      </c>
      <c r="K82" s="172">
        <f t="shared" si="186"/>
        <v>43.811274834624811</v>
      </c>
      <c r="L82" s="443"/>
      <c r="M82" s="217">
        <f t="shared" si="187"/>
        <v>0.45283256764811314</v>
      </c>
      <c r="N82" s="172">
        <f t="shared" si="188"/>
        <v>36.417235720867453</v>
      </c>
      <c r="O82" s="172">
        <f t="shared" si="284"/>
        <v>18.48</v>
      </c>
      <c r="P82" s="217">
        <f t="shared" si="189"/>
        <v>9.1043089302168632</v>
      </c>
      <c r="Q82" s="217">
        <f t="shared" si="190"/>
        <v>4</v>
      </c>
      <c r="R82" s="217">
        <f t="shared" si="191"/>
        <v>9.0231010210276139</v>
      </c>
      <c r="S82" s="172">
        <f t="shared" si="192"/>
        <v>11.613911305817497</v>
      </c>
      <c r="T82" s="172">
        <f t="shared" si="193"/>
        <v>4</v>
      </c>
      <c r="U82" s="217">
        <f t="shared" si="194"/>
        <v>4.2217424930993044</v>
      </c>
      <c r="V82" s="217">
        <f t="shared" si="195"/>
        <v>2.1187200372068777</v>
      </c>
      <c r="W82" s="217">
        <f t="shared" si="196"/>
        <v>2.5571756658814264</v>
      </c>
      <c r="X82" s="197">
        <f t="shared" si="197"/>
        <v>350</v>
      </c>
      <c r="Y82" s="443">
        <f t="shared" si="198"/>
        <v>205.09052303284869</v>
      </c>
      <c r="AA82" s="217">
        <f t="shared" si="199"/>
        <v>2.5796386777593105</v>
      </c>
      <c r="AB82" s="173">
        <f t="shared" si="200"/>
        <v>1.5625276208378827</v>
      </c>
      <c r="AC82" s="173">
        <f t="shared" si="201"/>
        <v>2.8215296800464458</v>
      </c>
      <c r="AD82" s="173"/>
      <c r="AE82" s="173">
        <f t="shared" si="202"/>
        <v>0.80762091958041371</v>
      </c>
      <c r="AF82" s="545">
        <f t="shared" si="203"/>
        <v>2145.1896031867177</v>
      </c>
      <c r="AG82" s="528">
        <f t="shared" si="204"/>
        <v>0.75377952494171951</v>
      </c>
      <c r="AI82" s="173">
        <f t="shared" si="205"/>
        <v>3.3009394358339339</v>
      </c>
      <c r="AJ82" s="173">
        <f t="shared" si="206"/>
        <v>4.2217424930993044</v>
      </c>
      <c r="AK82" s="173">
        <f t="shared" si="207"/>
        <v>3.3395623405673858</v>
      </c>
      <c r="AM82" s="545">
        <f t="shared" si="208"/>
        <v>4620</v>
      </c>
      <c r="AN82" s="460">
        <f t="shared" si="209"/>
        <v>205.09052303284869</v>
      </c>
      <c r="AP82">
        <f t="shared" si="210"/>
        <v>4620</v>
      </c>
      <c r="AQ82">
        <f t="shared" si="211"/>
        <v>205.09052303284869</v>
      </c>
      <c r="AS82" s="5">
        <f t="shared" si="285"/>
        <v>4.8758957030883057</v>
      </c>
      <c r="AT82" s="5">
        <f t="shared" si="212"/>
        <v>2.1187200372068777</v>
      </c>
      <c r="AU82" s="5">
        <f t="shared" si="286"/>
        <v>2.7571756658814279</v>
      </c>
      <c r="AV82" s="5">
        <f t="shared" si="213"/>
        <v>2.5571756658814264</v>
      </c>
      <c r="AW82" s="173">
        <f t="shared" si="287"/>
        <v>0.43452940059093514</v>
      </c>
      <c r="AX82" s="173">
        <f t="shared" si="214"/>
        <v>21.932105315646709</v>
      </c>
      <c r="AY82" s="173">
        <f t="shared" si="215"/>
        <v>4.7745425162471671</v>
      </c>
      <c r="AZ82" s="173">
        <f t="shared" si="288"/>
        <v>4.5935511603498167</v>
      </c>
      <c r="BA82" s="460">
        <f t="shared" si="216"/>
        <v>244.71216429739439</v>
      </c>
      <c r="BB82" s="5">
        <f t="shared" si="217"/>
        <v>1.7757660377565676</v>
      </c>
      <c r="BC82" s="5"/>
      <c r="BD82" s="173">
        <f t="shared" si="289"/>
        <v>1.6067218349863135</v>
      </c>
      <c r="BE82" s="173">
        <f t="shared" si="218"/>
        <v>7.3315553649413197</v>
      </c>
      <c r="BF82" s="173"/>
      <c r="BG82" s="528">
        <f t="shared" si="219"/>
        <v>3.149497167126579E-2</v>
      </c>
      <c r="BH82" s="528">
        <f t="shared" si="220"/>
        <v>0.7112536287270157</v>
      </c>
      <c r="BI82" s="528">
        <f t="shared" si="221"/>
        <v>0.12259845956257351</v>
      </c>
      <c r="BJ82" s="528">
        <f t="shared" si="222"/>
        <v>3.936564519662096E-2</v>
      </c>
      <c r="BK82">
        <f t="shared" si="223"/>
        <v>1.0759991439355156E-2</v>
      </c>
      <c r="BL82" s="460">
        <f t="shared" si="290"/>
        <v>133.35845100192867</v>
      </c>
      <c r="BM82" s="528">
        <f t="shared" si="224"/>
        <v>0.7965788510012044</v>
      </c>
      <c r="BN82" s="460">
        <f t="shared" si="291"/>
        <v>796.57885100120438</v>
      </c>
      <c r="BO82" s="528">
        <f t="shared" si="225"/>
        <v>2.8701749999999997</v>
      </c>
      <c r="BP82" s="528"/>
      <c r="BR82" s="460">
        <f t="shared" si="292"/>
        <v>2870.1749999999997</v>
      </c>
      <c r="BS82" s="528">
        <f t="shared" si="226"/>
        <v>7.7446651650653592E-2</v>
      </c>
      <c r="BT82" s="528">
        <f t="shared" si="227"/>
        <v>1.6125511220759954</v>
      </c>
      <c r="BU82" s="528">
        <f t="shared" si="228"/>
        <v>0.2772</v>
      </c>
      <c r="BV82" s="528">
        <f t="shared" si="229"/>
        <v>2.7437520244607807</v>
      </c>
      <c r="BW82" s="528">
        <f t="shared" si="230"/>
        <v>9.138377214852797E-2</v>
      </c>
      <c r="BX82" s="460">
        <f t="shared" si="293"/>
        <v>2835.1357966093083</v>
      </c>
      <c r="BY82" s="173">
        <f t="shared" si="231"/>
        <v>6.6352480986124407</v>
      </c>
      <c r="BZ82" s="5">
        <f t="shared" si="294"/>
        <v>18.48</v>
      </c>
      <c r="CA82" s="173">
        <f t="shared" si="295"/>
        <v>0.73580798116905632</v>
      </c>
      <c r="CB82" s="5">
        <f t="shared" si="296"/>
        <v>73.580798116905626</v>
      </c>
      <c r="CE82" s="562">
        <f t="shared" si="232"/>
        <v>-50</v>
      </c>
      <c r="CF82">
        <f t="shared" si="233"/>
        <v>-50</v>
      </c>
      <c r="CG82" s="173">
        <f t="shared" si="234"/>
        <v>0.54821892231272973</v>
      </c>
      <c r="CI82" s="170">
        <v>77</v>
      </c>
      <c r="CJ82" s="217">
        <f t="shared" si="297"/>
        <v>4.62</v>
      </c>
      <c r="CK82" s="217"/>
      <c r="CL82" s="217">
        <f t="shared" si="235"/>
        <v>18.48</v>
      </c>
      <c r="CM82" s="541">
        <f t="shared" si="236"/>
        <v>24</v>
      </c>
      <c r="CN82" s="172">
        <f t="shared" si="237"/>
        <v>18.8</v>
      </c>
      <c r="CO82" s="443">
        <f t="shared" si="238"/>
        <v>42.8</v>
      </c>
      <c r="CP82" s="443"/>
      <c r="CQ82" s="217">
        <f t="shared" si="239"/>
        <v>0.43925233644859818</v>
      </c>
      <c r="CR82" s="172">
        <f t="shared" si="240"/>
        <v>35.456448598130848</v>
      </c>
      <c r="CS82" s="172">
        <f t="shared" si="298"/>
        <v>18.48</v>
      </c>
      <c r="CT82" s="217">
        <f t="shared" si="241"/>
        <v>8.864112149532712</v>
      </c>
      <c r="CU82" s="217">
        <f t="shared" si="242"/>
        <v>4</v>
      </c>
      <c r="CV82" s="217">
        <f t="shared" si="243"/>
        <v>8.7850467289719631</v>
      </c>
      <c r="CW82" s="172">
        <f t="shared" si="244"/>
        <v>11.655934936306712</v>
      </c>
      <c r="CX82" s="172">
        <f t="shared" si="245"/>
        <v>4</v>
      </c>
      <c r="CY82" s="217">
        <f t="shared" si="246"/>
        <v>3.5059574468085102</v>
      </c>
      <c r="CZ82" s="217">
        <f t="shared" si="247"/>
        <v>1.7529787234042551</v>
      </c>
      <c r="DA82" s="217">
        <f t="shared" si="248"/>
        <v>2.2378451788139428</v>
      </c>
      <c r="DB82" s="197">
        <f t="shared" si="249"/>
        <v>350</v>
      </c>
      <c r="DC82" s="443">
        <f t="shared" si="299"/>
        <v>250.57482477344479</v>
      </c>
      <c r="DE82" s="217">
        <f t="shared" si="250"/>
        <v>2.5100133511348464</v>
      </c>
      <c r="DF82" s="173">
        <f t="shared" si="251"/>
        <v>1.6021361815754336</v>
      </c>
      <c r="DG82" s="173">
        <f t="shared" si="252"/>
        <v>2.8149682442633783</v>
      </c>
      <c r="DH82" s="173"/>
      <c r="DI82" s="173">
        <f t="shared" si="253"/>
        <v>0.85106382978723416</v>
      </c>
      <c r="DJ82" s="545">
        <f t="shared" si="300"/>
        <v>2035.6874999999995</v>
      </c>
      <c r="DK82" s="528">
        <f t="shared" si="254"/>
        <v>0.79432624113475192</v>
      </c>
      <c r="DM82" s="173">
        <f t="shared" si="255"/>
        <v>3.2155870381627052</v>
      </c>
      <c r="DN82" s="173">
        <f t="shared" si="256"/>
        <v>3.5059574468085102</v>
      </c>
      <c r="DO82" s="173">
        <f t="shared" si="257"/>
        <v>2.8093511951667978</v>
      </c>
      <c r="DQ82" s="545">
        <f t="shared" si="258"/>
        <v>4620</v>
      </c>
      <c r="DR82" s="460">
        <f t="shared" si="259"/>
        <v>250.57482477344479</v>
      </c>
      <c r="DT82">
        <f t="shared" si="260"/>
        <v>4620</v>
      </c>
      <c r="DU82">
        <f t="shared" si="261"/>
        <v>250.57482477344479</v>
      </c>
      <c r="DW82" s="5">
        <f t="shared" si="301"/>
        <v>3.9908239022181977</v>
      </c>
      <c r="DX82" s="5">
        <f t="shared" si="262"/>
        <v>1.7529787234042551</v>
      </c>
      <c r="DY82" s="5">
        <f t="shared" si="302"/>
        <v>2.2378451788139424</v>
      </c>
      <c r="DZ82" s="5">
        <f t="shared" si="263"/>
        <v>2.2378451788139428</v>
      </c>
      <c r="EA82" s="173">
        <f t="shared" si="303"/>
        <v>0.43925233644859812</v>
      </c>
      <c r="EB82" s="173">
        <f t="shared" si="264"/>
        <v>18.48</v>
      </c>
      <c r="EC82" s="173">
        <f t="shared" si="265"/>
        <v>3.9319148936170212</v>
      </c>
      <c r="ED82" s="173">
        <f t="shared" si="304"/>
        <v>4.7</v>
      </c>
      <c r="EE82" s="460">
        <f t="shared" si="266"/>
        <v>202.46904255319149</v>
      </c>
      <c r="EF82" s="5">
        <f t="shared" si="267"/>
        <v>1.4359506564056128</v>
      </c>
      <c r="EG82" s="5"/>
      <c r="EH82" s="173">
        <f t="shared" si="305"/>
        <v>1.3415382300534842</v>
      </c>
      <c r="EI82" s="173">
        <f t="shared" si="268"/>
        <v>6.0630303317717038</v>
      </c>
      <c r="EJ82" s="173"/>
      <c r="EK82" s="528">
        <f t="shared" si="269"/>
        <v>2.1956642836879425E-2</v>
      </c>
      <c r="EL82" s="528">
        <f t="shared" si="270"/>
        <v>0.752</v>
      </c>
      <c r="EM82" s="528">
        <f t="shared" si="271"/>
        <v>3.1321853096680598E-2</v>
      </c>
      <c r="EN82" s="528">
        <f t="shared" si="272"/>
        <v>4.5901298701298707E-2</v>
      </c>
      <c r="EO82">
        <f t="shared" si="273"/>
        <v>1.0800000000000001E-2</v>
      </c>
      <c r="EP82" s="460">
        <f t="shared" si="306"/>
        <v>42.121853096680596</v>
      </c>
      <c r="EQ82" s="528">
        <f t="shared" si="274"/>
        <v>0.87245962134944322</v>
      </c>
      <c r="ER82" s="460">
        <f t="shared" si="307"/>
        <v>872.45962134944318</v>
      </c>
      <c r="ES82" s="528">
        <f t="shared" si="308"/>
        <v>2.8701749999999997</v>
      </c>
      <c r="ET82" s="528"/>
      <c r="EV82" s="460">
        <f t="shared" si="309"/>
        <v>2870.1749999999997</v>
      </c>
      <c r="EW82" s="528">
        <f t="shared" si="275"/>
        <v>5.399174468085105E-2</v>
      </c>
      <c r="EX82" s="528">
        <f t="shared" si="276"/>
        <v>1.1028101041195109</v>
      </c>
      <c r="EY82" s="528">
        <f t="shared" si="277"/>
        <v>1.1437475956681531</v>
      </c>
      <c r="EZ82" s="528">
        <f t="shared" si="278"/>
        <v>2.8411099914400437</v>
      </c>
      <c r="FA82" s="528">
        <f t="shared" si="279"/>
        <v>7.6999999999999999E-2</v>
      </c>
      <c r="FB82" s="460">
        <f t="shared" si="310"/>
        <v>2918.1099914400438</v>
      </c>
      <c r="FC82" s="173">
        <f t="shared" si="311"/>
        <v>6.660744612789486</v>
      </c>
      <c r="FD82" s="5">
        <f t="shared" si="312"/>
        <v>18.48</v>
      </c>
      <c r="FE82" s="173">
        <f t="shared" si="313"/>
        <v>0.73506176068464324</v>
      </c>
      <c r="FF82" s="5">
        <f t="shared" si="314"/>
        <v>73.506176068464327</v>
      </c>
      <c r="FI82" s="562">
        <f t="shared" si="280"/>
        <v>-50</v>
      </c>
      <c r="FJ82">
        <f t="shared" si="281"/>
        <v>-50</v>
      </c>
      <c r="FL82">
        <f t="shared" si="282"/>
        <v>0.56074766355140193</v>
      </c>
    </row>
    <row r="83" spans="5:168">
      <c r="E83" s="170">
        <v>78</v>
      </c>
      <c r="F83" s="217">
        <f t="shared" si="283"/>
        <v>4.68</v>
      </c>
      <c r="G83" s="217"/>
      <c r="H83" s="217">
        <f t="shared" si="183"/>
        <v>18.72</v>
      </c>
      <c r="I83" s="541">
        <f t="shared" si="184"/>
        <v>23.909963819307148</v>
      </c>
      <c r="J83" s="172">
        <f t="shared" si="185"/>
        <v>19.824108216411588</v>
      </c>
      <c r="K83" s="172">
        <f t="shared" si="186"/>
        <v>43.824108216411588</v>
      </c>
      <c r="L83" s="443"/>
      <c r="M83" s="217">
        <f t="shared" si="187"/>
        <v>0.453004983355284</v>
      </c>
      <c r="N83" s="172">
        <f t="shared" si="188"/>
        <v>36.429382522828639</v>
      </c>
      <c r="O83" s="172">
        <f t="shared" si="284"/>
        <v>18.72</v>
      </c>
      <c r="P83" s="217">
        <f t="shared" si="189"/>
        <v>9.1073456307071599</v>
      </c>
      <c r="Q83" s="217">
        <f t="shared" si="190"/>
        <v>4</v>
      </c>
      <c r="R83" s="217">
        <f t="shared" si="191"/>
        <v>9.0261106349922322</v>
      </c>
      <c r="S83" s="172">
        <f t="shared" si="192"/>
        <v>11.398253001792176</v>
      </c>
      <c r="T83" s="172">
        <f t="shared" si="193"/>
        <v>4</v>
      </c>
      <c r="U83" s="217">
        <f t="shared" si="194"/>
        <v>4.2779183151496163</v>
      </c>
      <c r="V83" s="217">
        <f t="shared" si="195"/>
        <v>2.1470136956185057</v>
      </c>
      <c r="W83" s="217">
        <f t="shared" si="196"/>
        <v>2.5895247958390977</v>
      </c>
      <c r="X83" s="197">
        <f t="shared" si="197"/>
        <v>350</v>
      </c>
      <c r="Y83" s="443">
        <f t="shared" si="198"/>
        <v>202.57109343529737</v>
      </c>
      <c r="AA83" s="217">
        <f t="shared" si="199"/>
        <v>2.5804970823342743</v>
      </c>
      <c r="AB83" s="173">
        <f t="shared" si="200"/>
        <v>1.5620357117691581</v>
      </c>
      <c r="AC83" s="173">
        <f t="shared" si="201"/>
        <v>2.8215800177055779</v>
      </c>
      <c r="AD83" s="173"/>
      <c r="AE83" s="173">
        <f t="shared" si="202"/>
        <v>0.80709809618342587</v>
      </c>
      <c r="AF83" s="545">
        <f t="shared" si="203"/>
        <v>2174.4568699876454</v>
      </c>
      <c r="AG83" s="528">
        <f t="shared" si="204"/>
        <v>0.75329155643786427</v>
      </c>
      <c r="AI83" s="173">
        <f t="shared" si="205"/>
        <v>3.3233808526861228</v>
      </c>
      <c r="AJ83" s="173">
        <f t="shared" si="206"/>
        <v>4.2779183151496163</v>
      </c>
      <c r="AK83" s="173">
        <f t="shared" si="207"/>
        <v>3.3811740606046534</v>
      </c>
      <c r="AM83" s="545">
        <f t="shared" si="208"/>
        <v>4680</v>
      </c>
      <c r="AN83" s="460">
        <f t="shared" si="209"/>
        <v>202.57109343529737</v>
      </c>
      <c r="AP83">
        <f t="shared" si="210"/>
        <v>4680</v>
      </c>
      <c r="AQ83">
        <f t="shared" si="211"/>
        <v>202.57109343529737</v>
      </c>
      <c r="AS83" s="5">
        <f t="shared" si="285"/>
        <v>4.9365384914576032</v>
      </c>
      <c r="AT83" s="5">
        <f t="shared" si="212"/>
        <v>2.1470136956185057</v>
      </c>
      <c r="AU83" s="5">
        <f t="shared" si="286"/>
        <v>2.7895247958390974</v>
      </c>
      <c r="AV83" s="5">
        <f t="shared" si="213"/>
        <v>2.5895247958390977</v>
      </c>
      <c r="AW83" s="173">
        <f t="shared" si="287"/>
        <v>0.43492291194199939</v>
      </c>
      <c r="AX83" s="173">
        <f t="shared" si="214"/>
        <v>22.243017218758421</v>
      </c>
      <c r="AY83" s="173">
        <f t="shared" si="215"/>
        <v>4.8347072489494662</v>
      </c>
      <c r="AZ83" s="173">
        <f t="shared" si="288"/>
        <v>4.6006957760661944</v>
      </c>
      <c r="BA83" s="460">
        <f t="shared" si="216"/>
        <v>251.20060238736514</v>
      </c>
      <c r="BB83" s="5">
        <f t="shared" si="217"/>
        <v>1.8200189320215758</v>
      </c>
      <c r="BC83" s="5"/>
      <c r="BD83" s="173">
        <f t="shared" si="289"/>
        <v>1.6288384170689207</v>
      </c>
      <c r="BE83" s="173">
        <f t="shared" si="218"/>
        <v>7.4265259152432854</v>
      </c>
      <c r="BF83" s="173"/>
      <c r="BG83" s="528">
        <f t="shared" si="219"/>
        <v>3.2367997984818965E-2</v>
      </c>
      <c r="BH83" s="528">
        <f t="shared" si="220"/>
        <v>0.71207267314625788</v>
      </c>
      <c r="BI83" s="528">
        <f t="shared" si="221"/>
        <v>0.12108668787188619</v>
      </c>
      <c r="BJ83" s="528">
        <f t="shared" si="222"/>
        <v>3.8904841201727887E-2</v>
      </c>
      <c r="BK83">
        <f t="shared" si="223"/>
        <v>1.0759483718688217E-2</v>
      </c>
      <c r="BL83" s="460">
        <f t="shared" si="290"/>
        <v>131.84617159057441</v>
      </c>
      <c r="BM83" s="528">
        <f t="shared" si="224"/>
        <v>0.79822372012312248</v>
      </c>
      <c r="BN83" s="460">
        <f t="shared" si="291"/>
        <v>798.22372012312246</v>
      </c>
      <c r="BO83" s="528">
        <f t="shared" si="225"/>
        <v>2.9074499999999999</v>
      </c>
      <c r="BP83" s="528"/>
      <c r="BR83" s="460">
        <f t="shared" si="292"/>
        <v>2907.45</v>
      </c>
      <c r="BS83" s="528">
        <f t="shared" si="226"/>
        <v>7.9593437667587613E-2</v>
      </c>
      <c r="BT83" s="528">
        <f t="shared" si="227"/>
        <v>1.6545986150934036</v>
      </c>
      <c r="BU83" s="528">
        <f t="shared" si="228"/>
        <v>0.28079999999999999</v>
      </c>
      <c r="BV83" s="528">
        <f t="shared" si="229"/>
        <v>2.822823606619246</v>
      </c>
      <c r="BW83" s="528">
        <f t="shared" si="230"/>
        <v>9.2679238411493434E-2</v>
      </c>
      <c r="BX83" s="460">
        <f t="shared" si="293"/>
        <v>2915.5028450307395</v>
      </c>
      <c r="BY83" s="173">
        <f t="shared" si="231"/>
        <v>6.7530227367444366</v>
      </c>
      <c r="BZ83" s="5">
        <f t="shared" si="294"/>
        <v>18.72</v>
      </c>
      <c r="CA83" s="173">
        <f t="shared" si="295"/>
        <v>0.73489511603963242</v>
      </c>
      <c r="CB83" s="5">
        <f t="shared" si="296"/>
        <v>73.489511603963237</v>
      </c>
      <c r="CE83" s="562">
        <f t="shared" si="232"/>
        <v>-50</v>
      </c>
      <c r="CF83">
        <f t="shared" si="233"/>
        <v>-50</v>
      </c>
      <c r="CG83" s="173">
        <f t="shared" si="234"/>
        <v>0.54837954720040494</v>
      </c>
      <c r="CI83" s="170">
        <v>78</v>
      </c>
      <c r="CJ83" s="217">
        <f t="shared" si="297"/>
        <v>4.68</v>
      </c>
      <c r="CK83" s="217"/>
      <c r="CL83" s="217">
        <f t="shared" si="235"/>
        <v>18.72</v>
      </c>
      <c r="CM83" s="541">
        <f t="shared" si="236"/>
        <v>24</v>
      </c>
      <c r="CN83" s="172">
        <f t="shared" si="237"/>
        <v>18.8</v>
      </c>
      <c r="CO83" s="443">
        <f t="shared" si="238"/>
        <v>42.8</v>
      </c>
      <c r="CP83" s="443"/>
      <c r="CQ83" s="217">
        <f t="shared" si="239"/>
        <v>0.43925233644859818</v>
      </c>
      <c r="CR83" s="172">
        <f t="shared" si="240"/>
        <v>35.456448598130848</v>
      </c>
      <c r="CS83" s="172">
        <f t="shared" si="298"/>
        <v>18.72</v>
      </c>
      <c r="CT83" s="217">
        <f t="shared" si="241"/>
        <v>8.864112149532712</v>
      </c>
      <c r="CU83" s="217">
        <f t="shared" si="242"/>
        <v>4</v>
      </c>
      <c r="CV83" s="217">
        <f t="shared" si="243"/>
        <v>8.7850467289719631</v>
      </c>
      <c r="CW83" s="172">
        <f t="shared" si="244"/>
        <v>11.439981380802706</v>
      </c>
      <c r="CX83" s="172">
        <f t="shared" si="245"/>
        <v>4</v>
      </c>
      <c r="CY83" s="217">
        <f t="shared" si="246"/>
        <v>3.5514893617021266</v>
      </c>
      <c r="CZ83" s="217">
        <f t="shared" si="247"/>
        <v>1.7757446808510633</v>
      </c>
      <c r="DA83" s="217">
        <f t="shared" si="248"/>
        <v>2.2669081032141234</v>
      </c>
      <c r="DB83" s="197">
        <f t="shared" si="249"/>
        <v>350</v>
      </c>
      <c r="DC83" s="443">
        <f t="shared" si="299"/>
        <v>247.36232701993913</v>
      </c>
      <c r="DE83" s="217">
        <f t="shared" si="250"/>
        <v>2.5100133511348464</v>
      </c>
      <c r="DF83" s="173">
        <f t="shared" si="251"/>
        <v>1.6021361815754336</v>
      </c>
      <c r="DG83" s="173">
        <f t="shared" si="252"/>
        <v>2.8149682442633783</v>
      </c>
      <c r="DH83" s="173"/>
      <c r="DI83" s="173">
        <f t="shared" si="253"/>
        <v>0.85106382978723416</v>
      </c>
      <c r="DJ83" s="545">
        <f t="shared" si="300"/>
        <v>2062.1249999999991</v>
      </c>
      <c r="DK83" s="528">
        <f t="shared" si="254"/>
        <v>0.79432624113475192</v>
      </c>
      <c r="DM83" s="173">
        <f t="shared" si="255"/>
        <v>3.2364001165315939</v>
      </c>
      <c r="DN83" s="173">
        <f t="shared" si="256"/>
        <v>3.5514893617021266</v>
      </c>
      <c r="DO83" s="173">
        <f t="shared" si="257"/>
        <v>2.8430785395324394</v>
      </c>
      <c r="DQ83" s="545">
        <f t="shared" si="258"/>
        <v>4680</v>
      </c>
      <c r="DR83" s="460">
        <f t="shared" si="259"/>
        <v>247.36232701993913</v>
      </c>
      <c r="DT83">
        <f t="shared" si="260"/>
        <v>4680</v>
      </c>
      <c r="DU83">
        <f t="shared" si="261"/>
        <v>247.36232701993913</v>
      </c>
      <c r="DW83" s="5">
        <f t="shared" si="301"/>
        <v>4.0426527840651865</v>
      </c>
      <c r="DX83" s="5">
        <f t="shared" si="262"/>
        <v>1.7757446808510633</v>
      </c>
      <c r="DY83" s="5">
        <f t="shared" si="302"/>
        <v>2.2669081032141234</v>
      </c>
      <c r="DZ83" s="5">
        <f t="shared" si="263"/>
        <v>2.2669081032141234</v>
      </c>
      <c r="EA83" s="173">
        <f t="shared" si="303"/>
        <v>0.43925233644859812</v>
      </c>
      <c r="EB83" s="173">
        <f t="shared" si="264"/>
        <v>18.719999999999995</v>
      </c>
      <c r="EC83" s="173">
        <f t="shared" si="265"/>
        <v>3.9829787234042544</v>
      </c>
      <c r="ED83" s="173">
        <f t="shared" si="304"/>
        <v>4.7</v>
      </c>
      <c r="EE83" s="460">
        <f t="shared" si="266"/>
        <v>207.76212765957439</v>
      </c>
      <c r="EF83" s="5">
        <f t="shared" si="267"/>
        <v>1.4734902670891799</v>
      </c>
      <c r="EG83" s="5"/>
      <c r="EH83" s="173">
        <f t="shared" si="305"/>
        <v>1.358960804469763</v>
      </c>
      <c r="EI83" s="173">
        <f t="shared" si="268"/>
        <v>6.1417709854310756</v>
      </c>
      <c r="EJ83" s="173"/>
      <c r="EK83" s="528">
        <f t="shared" si="269"/>
        <v>2.2530648510638282E-2</v>
      </c>
      <c r="EL83" s="528">
        <f t="shared" si="270"/>
        <v>0.752</v>
      </c>
      <c r="EM83" s="528">
        <f t="shared" si="271"/>
        <v>3.0920290877492391E-2</v>
      </c>
      <c r="EN83" s="528">
        <f t="shared" si="272"/>
        <v>4.5312820512820526E-2</v>
      </c>
      <c r="EO83">
        <f t="shared" si="273"/>
        <v>1.0800000000000001E-2</v>
      </c>
      <c r="EP83" s="460">
        <f t="shared" si="306"/>
        <v>41.720290877492388</v>
      </c>
      <c r="EQ83" s="528">
        <f t="shared" si="274"/>
        <v>0.87231679285946639</v>
      </c>
      <c r="ER83" s="460">
        <f t="shared" si="307"/>
        <v>872.31679285946643</v>
      </c>
      <c r="ES83" s="528">
        <f t="shared" si="308"/>
        <v>2.9074499999999999</v>
      </c>
      <c r="ET83" s="528"/>
      <c r="EV83" s="460">
        <f t="shared" si="309"/>
        <v>2907.45</v>
      </c>
      <c r="EW83" s="528">
        <f t="shared" si="275"/>
        <v>5.5403234042553158E-2</v>
      </c>
      <c r="EX83" s="528">
        <f t="shared" si="276"/>
        <v>1.1316405251244903</v>
      </c>
      <c r="EY83" s="528">
        <f t="shared" si="277"/>
        <v>1.1437475956681535</v>
      </c>
      <c r="EZ83" s="528">
        <f t="shared" si="278"/>
        <v>2.8901396343184063</v>
      </c>
      <c r="FA83" s="528">
        <f t="shared" si="279"/>
        <v>7.7999999999999986E-2</v>
      </c>
      <c r="FB83" s="460">
        <f t="shared" si="310"/>
        <v>2968.139634318406</v>
      </c>
      <c r="FC83" s="173">
        <f t="shared" si="311"/>
        <v>6.747906427177873</v>
      </c>
      <c r="FD83" s="5">
        <f t="shared" si="312"/>
        <v>18.72</v>
      </c>
      <c r="FE83" s="173">
        <f t="shared" si="313"/>
        <v>0.73504275090405946</v>
      </c>
      <c r="FF83" s="5">
        <f t="shared" si="314"/>
        <v>73.50427509040594</v>
      </c>
      <c r="FI83" s="562">
        <f t="shared" si="280"/>
        <v>-50</v>
      </c>
      <c r="FJ83">
        <f t="shared" si="281"/>
        <v>-50</v>
      </c>
      <c r="FL83">
        <f t="shared" si="282"/>
        <v>0.56074766355140193</v>
      </c>
    </row>
    <row r="84" spans="5:168">
      <c r="E84" s="170">
        <v>79</v>
      </c>
      <c r="F84" s="217">
        <f t="shared" si="283"/>
        <v>4.74</v>
      </c>
      <c r="G84" s="217"/>
      <c r="H84" s="217">
        <f t="shared" si="183"/>
        <v>18.96</v>
      </c>
      <c r="I84" s="541">
        <f t="shared" si="184"/>
        <v>23.908835536100053</v>
      </c>
      <c r="J84" s="172">
        <f t="shared" si="185"/>
        <v>19.836941769478067</v>
      </c>
      <c r="K84" s="172">
        <f t="shared" si="186"/>
        <v>43.836941769478067</v>
      </c>
      <c r="L84" s="443"/>
      <c r="M84" s="217">
        <f t="shared" si="187"/>
        <v>0.45317730685169788</v>
      </c>
      <c r="N84" s="172">
        <f t="shared" si="188"/>
        <v>36.441520578312939</v>
      </c>
      <c r="O84" s="172">
        <f t="shared" si="284"/>
        <v>18.96</v>
      </c>
      <c r="P84" s="217">
        <f t="shared" si="189"/>
        <v>9.1103801445782349</v>
      </c>
      <c r="Q84" s="217">
        <f t="shared" si="190"/>
        <v>4</v>
      </c>
      <c r="R84" s="217">
        <f t="shared" si="191"/>
        <v>9.029118081841661</v>
      </c>
      <c r="S84" s="172">
        <f t="shared" si="192"/>
        <v>11.188265782959835</v>
      </c>
      <c r="T84" s="172">
        <f t="shared" si="193"/>
        <v>4</v>
      </c>
      <c r="U84" s="217">
        <f t="shared" si="194"/>
        <v>4.33412883133078</v>
      </c>
      <c r="V84" s="217">
        <f t="shared" si="195"/>
        <v>2.1753274389896542</v>
      </c>
      <c r="W84" s="217">
        <f t="shared" si="196"/>
        <v>2.6218530346241868</v>
      </c>
      <c r="X84" s="197">
        <f t="shared" si="197"/>
        <v>350</v>
      </c>
      <c r="Y84" s="443">
        <f t="shared" si="198"/>
        <v>200.1128446891621</v>
      </c>
      <c r="AA84" s="217">
        <f t="shared" si="199"/>
        <v>2.5813548813695246</v>
      </c>
      <c r="AB84" s="173">
        <f t="shared" si="200"/>
        <v>1.5615440593819576</v>
      </c>
      <c r="AC84" s="173">
        <f t="shared" si="201"/>
        <v>2.8216295661114392</v>
      </c>
      <c r="AD84" s="173"/>
      <c r="AE84" s="173">
        <f t="shared" si="202"/>
        <v>0.80657594229662255</v>
      </c>
      <c r="AF84" s="545">
        <f t="shared" si="203"/>
        <v>2203.7602497029534</v>
      </c>
      <c r="AG84" s="528">
        <f t="shared" si="204"/>
        <v>0.75280421281018117</v>
      </c>
      <c r="AI84" s="173">
        <f t="shared" si="205"/>
        <v>3.3456991579689368</v>
      </c>
      <c r="AJ84" s="173">
        <f t="shared" si="206"/>
        <v>4.33412883133078</v>
      </c>
      <c r="AK84" s="173">
        <f t="shared" si="207"/>
        <v>3.4228114799981082</v>
      </c>
      <c r="AM84" s="545">
        <f t="shared" si="208"/>
        <v>4740</v>
      </c>
      <c r="AN84" s="460">
        <f t="shared" si="209"/>
        <v>200.1128446891621</v>
      </c>
      <c r="AP84">
        <f t="shared" si="210"/>
        <v>4740</v>
      </c>
      <c r="AQ84">
        <f t="shared" si="211"/>
        <v>200.1128446891621</v>
      </c>
      <c r="AS84" s="5">
        <f t="shared" si="285"/>
        <v>4.9971804736138408</v>
      </c>
      <c r="AT84" s="5">
        <f t="shared" si="212"/>
        <v>2.1753274389896542</v>
      </c>
      <c r="AU84" s="5">
        <f t="shared" si="286"/>
        <v>2.8218530346241866</v>
      </c>
      <c r="AV84" s="5">
        <f t="shared" si="213"/>
        <v>2.6218530346241868</v>
      </c>
      <c r="AW84" s="173">
        <f t="shared" si="287"/>
        <v>0.4353109619466094</v>
      </c>
      <c r="AX84" s="173">
        <f t="shared" si="214"/>
        <v>22.554325775216309</v>
      </c>
      <c r="AY84" s="173">
        <f t="shared" si="215"/>
        <v>4.8948700811272889</v>
      </c>
      <c r="AZ84" s="173">
        <f t="shared" si="288"/>
        <v>4.6077475809168051</v>
      </c>
      <c r="BA84" s="460">
        <f t="shared" si="216"/>
        <v>257.77630152027405</v>
      </c>
      <c r="BB84" s="5">
        <f t="shared" si="217"/>
        <v>1.8648034062446348</v>
      </c>
      <c r="BC84" s="5"/>
      <c r="BD84" s="173">
        <f t="shared" si="289"/>
        <v>1.6509768779378877</v>
      </c>
      <c r="BE84" s="173">
        <f t="shared" si="218"/>
        <v>7.5215242328014371</v>
      </c>
      <c r="BF84" s="173"/>
      <c r="BG84" s="528">
        <f t="shared" si="219"/>
        <v>3.3253840748123521E-2</v>
      </c>
      <c r="BH84" s="528">
        <f t="shared" si="220"/>
        <v>0.71288307302866794</v>
      </c>
      <c r="BI84" s="528">
        <f t="shared" si="221"/>
        <v>0.11961162730835774</v>
      </c>
      <c r="BJ84" s="528">
        <f t="shared" si="222"/>
        <v>3.8455234383618322E-2</v>
      </c>
      <c r="BK84">
        <f t="shared" si="223"/>
        <v>1.0758975991245024E-2</v>
      </c>
      <c r="BL84" s="460">
        <f t="shared" si="290"/>
        <v>130.37060329960275</v>
      </c>
      <c r="BM84" s="528">
        <f t="shared" si="224"/>
        <v>0.79989071171274728</v>
      </c>
      <c r="BN84" s="460">
        <f t="shared" si="291"/>
        <v>799.89071171274725</v>
      </c>
      <c r="BO84" s="528">
        <f t="shared" si="225"/>
        <v>2.944725</v>
      </c>
      <c r="BP84" s="528"/>
      <c r="BR84" s="460">
        <f t="shared" si="292"/>
        <v>2944.7249999999999</v>
      </c>
      <c r="BS84" s="528">
        <f t="shared" si="226"/>
        <v>8.1771739544566041E-2</v>
      </c>
      <c r="BT84" s="528">
        <f t="shared" si="227"/>
        <v>1.6971998035385774</v>
      </c>
      <c r="BU84" s="528">
        <f t="shared" si="228"/>
        <v>0.28439999999999999</v>
      </c>
      <c r="BV84" s="528">
        <f t="shared" si="229"/>
        <v>2.9035515615766574</v>
      </c>
      <c r="BW84" s="528">
        <f t="shared" si="230"/>
        <v>9.3976357396734614E-2</v>
      </c>
      <c r="BX84" s="460">
        <f t="shared" si="293"/>
        <v>2997.5279189733919</v>
      </c>
      <c r="BY84" s="173">
        <f t="shared" si="231"/>
        <v>6.8725142339857426</v>
      </c>
      <c r="BZ84" s="5">
        <f t="shared" si="294"/>
        <v>18.96</v>
      </c>
      <c r="CA84" s="173">
        <f t="shared" si="295"/>
        <v>0.73395875555372259</v>
      </c>
      <c r="CB84" s="5">
        <f t="shared" si="296"/>
        <v>73.395875555372257</v>
      </c>
      <c r="CE84" s="562">
        <f t="shared" si="232"/>
        <v>-50</v>
      </c>
      <c r="CF84">
        <f t="shared" si="233"/>
        <v>-50</v>
      </c>
      <c r="CG84" s="173">
        <f t="shared" si="234"/>
        <v>0.5485361056352277</v>
      </c>
      <c r="CI84" s="170">
        <v>79</v>
      </c>
      <c r="CJ84" s="217">
        <f t="shared" si="297"/>
        <v>4.74</v>
      </c>
      <c r="CK84" s="217"/>
      <c r="CL84" s="217">
        <f t="shared" si="235"/>
        <v>18.96</v>
      </c>
      <c r="CM84" s="541">
        <f t="shared" si="236"/>
        <v>24</v>
      </c>
      <c r="CN84" s="172">
        <f t="shared" si="237"/>
        <v>18.8</v>
      </c>
      <c r="CO84" s="443">
        <f t="shared" si="238"/>
        <v>42.8</v>
      </c>
      <c r="CP84" s="443"/>
      <c r="CQ84" s="217">
        <f t="shared" si="239"/>
        <v>0.43925233644859818</v>
      </c>
      <c r="CR84" s="172">
        <f t="shared" si="240"/>
        <v>35.456448598130848</v>
      </c>
      <c r="CS84" s="172">
        <f t="shared" si="298"/>
        <v>18.96</v>
      </c>
      <c r="CT84" s="217">
        <f t="shared" si="241"/>
        <v>8.864112149532712</v>
      </c>
      <c r="CU84" s="217">
        <f t="shared" si="242"/>
        <v>4</v>
      </c>
      <c r="CV84" s="217">
        <f t="shared" si="243"/>
        <v>8.7850467289719631</v>
      </c>
      <c r="CW84" s="172">
        <f t="shared" si="244"/>
        <v>11.229699640876046</v>
      </c>
      <c r="CX84" s="172">
        <f t="shared" si="245"/>
        <v>4</v>
      </c>
      <c r="CY84" s="217">
        <f t="shared" si="246"/>
        <v>3.5970212765957443</v>
      </c>
      <c r="CZ84" s="217">
        <f t="shared" si="247"/>
        <v>1.7985106382978724</v>
      </c>
      <c r="DA84" s="217">
        <f t="shared" si="248"/>
        <v>2.2959710276143048</v>
      </c>
      <c r="DB84" s="197">
        <f t="shared" si="249"/>
        <v>350</v>
      </c>
      <c r="DC84" s="443">
        <f t="shared" si="299"/>
        <v>244.23115832348412</v>
      </c>
      <c r="DE84" s="217">
        <f t="shared" si="250"/>
        <v>2.5100133511348464</v>
      </c>
      <c r="DF84" s="173">
        <f t="shared" si="251"/>
        <v>1.6021361815754336</v>
      </c>
      <c r="DG84" s="173">
        <f t="shared" si="252"/>
        <v>2.8149682442633783</v>
      </c>
      <c r="DH84" s="173"/>
      <c r="DI84" s="173">
        <f t="shared" si="253"/>
        <v>0.85106382978723416</v>
      </c>
      <c r="DJ84" s="545">
        <f t="shared" si="300"/>
        <v>2088.5624999999995</v>
      </c>
      <c r="DK84" s="528">
        <f t="shared" si="254"/>
        <v>0.79432624113475192</v>
      </c>
      <c r="DM84" s="173">
        <f t="shared" si="255"/>
        <v>3.2570801998985885</v>
      </c>
      <c r="DN84" s="173">
        <f t="shared" si="256"/>
        <v>3.5970212765957443</v>
      </c>
      <c r="DO84" s="173">
        <f t="shared" si="257"/>
        <v>2.8768058838980819</v>
      </c>
      <c r="DQ84" s="545">
        <f t="shared" si="258"/>
        <v>4740</v>
      </c>
      <c r="DR84" s="460">
        <f t="shared" si="259"/>
        <v>244.23115832348412</v>
      </c>
      <c r="DT84">
        <f t="shared" si="260"/>
        <v>4740</v>
      </c>
      <c r="DU84">
        <f t="shared" si="261"/>
        <v>244.23115832348412</v>
      </c>
      <c r="DW84" s="5">
        <f t="shared" si="301"/>
        <v>4.0944816659121779</v>
      </c>
      <c r="DX84" s="5">
        <f t="shared" si="262"/>
        <v>1.7985106382978724</v>
      </c>
      <c r="DY84" s="5">
        <f t="shared" si="302"/>
        <v>2.2959710276143053</v>
      </c>
      <c r="DZ84" s="5">
        <f t="shared" si="263"/>
        <v>2.2959710276143048</v>
      </c>
      <c r="EA84" s="173">
        <f t="shared" si="303"/>
        <v>0.43925233644859812</v>
      </c>
      <c r="EB84" s="173">
        <f t="shared" si="264"/>
        <v>18.959999999999997</v>
      </c>
      <c r="EC84" s="173">
        <f t="shared" si="265"/>
        <v>4.0340425531914894</v>
      </c>
      <c r="ED84" s="173">
        <f t="shared" si="304"/>
        <v>4.6999999999999993</v>
      </c>
      <c r="EE84" s="460">
        <f t="shared" si="266"/>
        <v>213.12351063829792</v>
      </c>
      <c r="EF84" s="5">
        <f t="shared" si="267"/>
        <v>1.5115142598460842</v>
      </c>
      <c r="EG84" s="5"/>
      <c r="EH84" s="173">
        <f t="shared" si="305"/>
        <v>1.3763833788860422</v>
      </c>
      <c r="EI84" s="173">
        <f t="shared" si="268"/>
        <v>6.22051163909045</v>
      </c>
      <c r="EJ84" s="173"/>
      <c r="EK84" s="528">
        <f t="shared" si="269"/>
        <v>2.311206070921985E-2</v>
      </c>
      <c r="EL84" s="528">
        <f t="shared" si="270"/>
        <v>0.75199999999999989</v>
      </c>
      <c r="EM84" s="528">
        <f t="shared" si="271"/>
        <v>3.0528894790435517E-2</v>
      </c>
      <c r="EN84" s="528">
        <f t="shared" si="272"/>
        <v>4.473924050632911E-2</v>
      </c>
      <c r="EO84">
        <f t="shared" si="273"/>
        <v>1.0800000000000001E-2</v>
      </c>
      <c r="EP84" s="460">
        <f t="shared" si="306"/>
        <v>41.328894790435513</v>
      </c>
      <c r="EQ84" s="528">
        <f t="shared" si="274"/>
        <v>0.87221012945230592</v>
      </c>
      <c r="ER84" s="460">
        <f t="shared" si="307"/>
        <v>872.21012945230586</v>
      </c>
      <c r="ES84" s="528">
        <f t="shared" si="308"/>
        <v>2.944725</v>
      </c>
      <c r="ET84" s="528"/>
      <c r="EV84" s="460">
        <f t="shared" si="309"/>
        <v>2944.7249999999999</v>
      </c>
      <c r="EW84" s="528">
        <f t="shared" si="275"/>
        <v>5.6832936170212754E-2</v>
      </c>
      <c r="EX84" s="528">
        <f t="shared" si="276"/>
        <v>1.1608429515617926</v>
      </c>
      <c r="EY84" s="528">
        <f t="shared" si="277"/>
        <v>1.1437475956681515</v>
      </c>
      <c r="EZ84" s="528">
        <f t="shared" si="278"/>
        <v>2.9400698717411617</v>
      </c>
      <c r="FA84" s="528">
        <f t="shared" si="279"/>
        <v>7.9000000000000001E-2</v>
      </c>
      <c r="FB84" s="460">
        <f t="shared" si="310"/>
        <v>3019.0698717411619</v>
      </c>
      <c r="FC84" s="173">
        <f t="shared" si="311"/>
        <v>6.8360050011934677</v>
      </c>
      <c r="FD84" s="5">
        <f t="shared" si="312"/>
        <v>18.96</v>
      </c>
      <c r="FE84" s="173">
        <f t="shared" si="313"/>
        <v>0.73499753156051895</v>
      </c>
      <c r="FF84" s="5">
        <f t="shared" si="314"/>
        <v>73.499753156051895</v>
      </c>
      <c r="FI84" s="562">
        <f t="shared" si="280"/>
        <v>-50</v>
      </c>
      <c r="FJ84">
        <f t="shared" si="281"/>
        <v>-50</v>
      </c>
      <c r="FL84">
        <f t="shared" si="282"/>
        <v>0.56074766355140193</v>
      </c>
    </row>
    <row r="85" spans="5:168">
      <c r="E85" s="170">
        <v>80</v>
      </c>
      <c r="F85" s="217">
        <f t="shared" si="283"/>
        <v>4.8000000000000007</v>
      </c>
      <c r="G85" s="217"/>
      <c r="H85" s="217">
        <f t="shared" si="183"/>
        <v>19.200000000000003</v>
      </c>
      <c r="I85" s="541">
        <f t="shared" si="184"/>
        <v>23.907707238411717</v>
      </c>
      <c r="J85" s="172">
        <f t="shared" si="185"/>
        <v>19.8497754872601</v>
      </c>
      <c r="K85" s="172">
        <f t="shared" si="186"/>
        <v>43.849775487260104</v>
      </c>
      <c r="L85" s="443"/>
      <c r="M85" s="217">
        <f t="shared" si="187"/>
        <v>0.45334953820562962</v>
      </c>
      <c r="N85" s="172">
        <f t="shared" si="188"/>
        <v>36.453649894713813</v>
      </c>
      <c r="O85" s="172">
        <f t="shared" si="284"/>
        <v>19.200000000000003</v>
      </c>
      <c r="P85" s="217">
        <f t="shared" si="189"/>
        <v>9.1134124736784532</v>
      </c>
      <c r="Q85" s="217">
        <f t="shared" si="190"/>
        <v>4</v>
      </c>
      <c r="R85" s="217">
        <f t="shared" si="191"/>
        <v>9.0321233634077842</v>
      </c>
      <c r="S85" s="172">
        <f t="shared" si="192"/>
        <v>10.983739251599459</v>
      </c>
      <c r="T85" s="172">
        <f t="shared" si="193"/>
        <v>4</v>
      </c>
      <c r="U85" s="217">
        <f t="shared" si="194"/>
        <v>4.3903740465562642</v>
      </c>
      <c r="V85" s="217">
        <f t="shared" si="195"/>
        <v>2.2036612726304745</v>
      </c>
      <c r="W85" s="217">
        <f t="shared" si="196"/>
        <v>2.6541604257684881</v>
      </c>
      <c r="X85" s="197">
        <f t="shared" si="197"/>
        <v>350</v>
      </c>
      <c r="Y85" s="443">
        <f t="shared" si="198"/>
        <v>197.71357308157911</v>
      </c>
      <c r="AA85" s="217">
        <f t="shared" si="199"/>
        <v>2.5822120748972384</v>
      </c>
      <c r="AB85" s="173">
        <f t="shared" si="200"/>
        <v>1.5610526637268272</v>
      </c>
      <c r="AC85" s="173">
        <f t="shared" si="201"/>
        <v>2.8216783264781378</v>
      </c>
      <c r="AD85" s="173"/>
      <c r="AE85" s="173">
        <f t="shared" si="202"/>
        <v>0.80605445690149269</v>
      </c>
      <c r="AF85" s="545">
        <f t="shared" si="203"/>
        <v>2233.099742316761</v>
      </c>
      <c r="AG85" s="528">
        <f t="shared" si="204"/>
        <v>0.75231749310805984</v>
      </c>
      <c r="AI85" s="173">
        <f t="shared" si="205"/>
        <v>3.3678967991705022</v>
      </c>
      <c r="AJ85" s="173">
        <f t="shared" si="206"/>
        <v>4.3903740465562642</v>
      </c>
      <c r="AK85" s="173">
        <f t="shared" si="207"/>
        <v>3.4644746023873561</v>
      </c>
      <c r="AM85" s="545">
        <f t="shared" si="208"/>
        <v>4800.0000000000009</v>
      </c>
      <c r="AN85" s="460">
        <f t="shared" si="209"/>
        <v>197.71357308157911</v>
      </c>
      <c r="AP85">
        <f t="shared" si="210"/>
        <v>4800.0000000000009</v>
      </c>
      <c r="AQ85">
        <f t="shared" si="211"/>
        <v>197.71357308157911</v>
      </c>
      <c r="AS85" s="5">
        <f t="shared" si="285"/>
        <v>5.0578216983989632</v>
      </c>
      <c r="AT85" s="5">
        <f t="shared" si="212"/>
        <v>2.2036612726304745</v>
      </c>
      <c r="AU85" s="5">
        <f t="shared" si="286"/>
        <v>2.8541604257684887</v>
      </c>
      <c r="AV85" s="5">
        <f t="shared" si="213"/>
        <v>2.6541604257684881</v>
      </c>
      <c r="AW85" s="173">
        <f t="shared" si="287"/>
        <v>0.43569374407327094</v>
      </c>
      <c r="AX85" s="173">
        <f t="shared" si="214"/>
        <v>22.866030577680963</v>
      </c>
      <c r="AY85" s="173">
        <f t="shared" si="215"/>
        <v>4.9550310806600972</v>
      </c>
      <c r="AZ85" s="173">
        <f t="shared" si="288"/>
        <v>4.6147098182550259</v>
      </c>
      <c r="BA85" s="460">
        <f t="shared" si="216"/>
        <v>264.43935271565698</v>
      </c>
      <c r="BB85" s="5">
        <f t="shared" si="217"/>
        <v>1.9101190405629891</v>
      </c>
      <c r="BC85" s="5"/>
      <c r="BD85" s="173">
        <f t="shared" si="289"/>
        <v>1.6731372070126189</v>
      </c>
      <c r="BE85" s="173">
        <f t="shared" si="218"/>
        <v>7.616550375143107</v>
      </c>
      <c r="BF85" s="173"/>
      <c r="BG85" s="528">
        <f t="shared" si="219"/>
        <v>3.4152534984577841E-2</v>
      </c>
      <c r="BH85" s="528">
        <f t="shared" si="220"/>
        <v>0.71368513855799232</v>
      </c>
      <c r="BI85" s="528">
        <f t="shared" si="221"/>
        <v>0.11817195555736783</v>
      </c>
      <c r="BJ85" s="528">
        <f t="shared" si="222"/>
        <v>3.8016421395237671E-2</v>
      </c>
      <c r="BK85">
        <f t="shared" si="223"/>
        <v>1.0758468257285273E-2</v>
      </c>
      <c r="BL85" s="460">
        <f t="shared" si="290"/>
        <v>128.93042381465312</v>
      </c>
      <c r="BM85" s="528">
        <f t="shared" si="224"/>
        <v>0.80157981284970825</v>
      </c>
      <c r="BN85" s="460">
        <f t="shared" si="291"/>
        <v>801.57981284970822</v>
      </c>
      <c r="BO85" s="528">
        <f t="shared" si="225"/>
        <v>2.9820000000000002</v>
      </c>
      <c r="BP85" s="528"/>
      <c r="BR85" s="460">
        <f t="shared" si="292"/>
        <v>2982</v>
      </c>
      <c r="BS85" s="528">
        <f t="shared" si="226"/>
        <v>8.3981643404699616E-2</v>
      </c>
      <c r="BT85" s="528">
        <f t="shared" si="227"/>
        <v>1.7403551885127782</v>
      </c>
      <c r="BU85" s="528">
        <f t="shared" si="228"/>
        <v>0.28800000000000003</v>
      </c>
      <c r="BV85" s="528">
        <f t="shared" si="229"/>
        <v>2.9859710252029652</v>
      </c>
      <c r="BW85" s="528">
        <f t="shared" si="230"/>
        <v>9.5275127407004029E-2</v>
      </c>
      <c r="BX85" s="460">
        <f t="shared" si="293"/>
        <v>3081.2461526099692</v>
      </c>
      <c r="BY85" s="173">
        <f t="shared" si="231"/>
        <v>6.9937563892743304</v>
      </c>
      <c r="BZ85" s="5">
        <f t="shared" si="294"/>
        <v>19.200000000000003</v>
      </c>
      <c r="CA85" s="173">
        <f t="shared" si="295"/>
        <v>0.73299910538459101</v>
      </c>
      <c r="CB85" s="5">
        <f t="shared" si="296"/>
        <v>73.299910538459102</v>
      </c>
      <c r="CE85" s="562">
        <f t="shared" si="232"/>
        <v>-50</v>
      </c>
      <c r="CF85">
        <f t="shared" si="233"/>
        <v>-50</v>
      </c>
      <c r="CG85" s="173">
        <f t="shared" si="234"/>
        <v>0.54868875010917995</v>
      </c>
      <c r="CI85" s="170">
        <v>80</v>
      </c>
      <c r="CJ85" s="217">
        <f t="shared" si="297"/>
        <v>4.8000000000000007</v>
      </c>
      <c r="CK85" s="217"/>
      <c r="CL85" s="217">
        <f t="shared" si="235"/>
        <v>19.200000000000003</v>
      </c>
      <c r="CM85" s="541">
        <f t="shared" si="236"/>
        <v>24</v>
      </c>
      <c r="CN85" s="172">
        <f t="shared" si="237"/>
        <v>18.8</v>
      </c>
      <c r="CO85" s="443">
        <f t="shared" si="238"/>
        <v>42.8</v>
      </c>
      <c r="CP85" s="443"/>
      <c r="CQ85" s="217">
        <f t="shared" si="239"/>
        <v>0.43925233644859818</v>
      </c>
      <c r="CR85" s="172">
        <f t="shared" si="240"/>
        <v>35.456448598130848</v>
      </c>
      <c r="CS85" s="172">
        <f t="shared" si="298"/>
        <v>19.200000000000003</v>
      </c>
      <c r="CT85" s="217">
        <f t="shared" si="241"/>
        <v>8.864112149532712</v>
      </c>
      <c r="CU85" s="217">
        <f t="shared" si="242"/>
        <v>4</v>
      </c>
      <c r="CV85" s="217">
        <f t="shared" si="243"/>
        <v>8.7850467289719631</v>
      </c>
      <c r="CW85" s="172">
        <f t="shared" si="244"/>
        <v>11.024879309139338</v>
      </c>
      <c r="CX85" s="172">
        <f t="shared" si="245"/>
        <v>4</v>
      </c>
      <c r="CY85" s="217">
        <f t="shared" si="246"/>
        <v>3.6425531914893616</v>
      </c>
      <c r="CZ85" s="217">
        <f t="shared" si="247"/>
        <v>1.8212765957446808</v>
      </c>
      <c r="DA85" s="217">
        <f t="shared" si="248"/>
        <v>2.3250339520144863</v>
      </c>
      <c r="DB85" s="197">
        <f t="shared" si="249"/>
        <v>350</v>
      </c>
      <c r="DC85" s="443">
        <f t="shared" si="299"/>
        <v>241.17826884444054</v>
      </c>
      <c r="DE85" s="217">
        <f t="shared" si="250"/>
        <v>2.5100133511348464</v>
      </c>
      <c r="DF85" s="173">
        <f t="shared" si="251"/>
        <v>1.6021361815754336</v>
      </c>
      <c r="DG85" s="173">
        <f t="shared" si="252"/>
        <v>2.8149682442633783</v>
      </c>
      <c r="DH85" s="173"/>
      <c r="DI85" s="173">
        <f t="shared" si="253"/>
        <v>0.85106382978723416</v>
      </c>
      <c r="DJ85" s="545">
        <f t="shared" si="300"/>
        <v>2115</v>
      </c>
      <c r="DK85" s="528">
        <f t="shared" si="254"/>
        <v>0.79432624113475192</v>
      </c>
      <c r="DM85" s="173">
        <f t="shared" si="255"/>
        <v>3.2776298056457116</v>
      </c>
      <c r="DN85" s="173">
        <f t="shared" si="256"/>
        <v>3.6425531914893616</v>
      </c>
      <c r="DO85" s="173">
        <f t="shared" si="257"/>
        <v>2.9105332282637244</v>
      </c>
      <c r="DQ85" s="545">
        <f t="shared" si="258"/>
        <v>4800.0000000000009</v>
      </c>
      <c r="DR85" s="460">
        <f t="shared" si="259"/>
        <v>241.17826884444054</v>
      </c>
      <c r="DT85">
        <f t="shared" si="260"/>
        <v>4800.0000000000009</v>
      </c>
      <c r="DU85">
        <f t="shared" si="261"/>
        <v>241.17826884444054</v>
      </c>
      <c r="DW85" s="5">
        <f t="shared" si="301"/>
        <v>4.1463105477591675</v>
      </c>
      <c r="DX85" s="5">
        <f t="shared" si="262"/>
        <v>1.8212765957446808</v>
      </c>
      <c r="DY85" s="5">
        <f t="shared" si="302"/>
        <v>2.3250339520144867</v>
      </c>
      <c r="DZ85" s="5">
        <f t="shared" si="263"/>
        <v>2.3250339520144863</v>
      </c>
      <c r="EA85" s="173">
        <f t="shared" si="303"/>
        <v>0.43925233644859807</v>
      </c>
      <c r="EB85" s="173">
        <f t="shared" si="264"/>
        <v>19.199999999999996</v>
      </c>
      <c r="EC85" s="173">
        <f t="shared" si="265"/>
        <v>4.085106382978724</v>
      </c>
      <c r="ED85" s="173">
        <f t="shared" si="304"/>
        <v>4.6999999999999984</v>
      </c>
      <c r="EE85" s="460">
        <f t="shared" si="266"/>
        <v>218.55319148936175</v>
      </c>
      <c r="EF85" s="5">
        <f t="shared" si="267"/>
        <v>1.5500226346763246</v>
      </c>
      <c r="EG85" s="5"/>
      <c r="EH85" s="173">
        <f t="shared" si="305"/>
        <v>1.3938059533023213</v>
      </c>
      <c r="EI85" s="173">
        <f t="shared" si="268"/>
        <v>6.2992522927498227</v>
      </c>
      <c r="EJ85" s="173"/>
      <c r="EK85" s="528">
        <f t="shared" si="269"/>
        <v>2.3700879432624108E-2</v>
      </c>
      <c r="EL85" s="528">
        <f t="shared" si="270"/>
        <v>0.75199999999999989</v>
      </c>
      <c r="EM85" s="528">
        <f t="shared" si="271"/>
        <v>3.0147283605555068E-2</v>
      </c>
      <c r="EN85" s="528">
        <f t="shared" si="272"/>
        <v>4.4179999999999997E-2</v>
      </c>
      <c r="EO85">
        <f t="shared" si="273"/>
        <v>1.0800000000000001E-2</v>
      </c>
      <c r="EP85" s="460">
        <f t="shared" si="306"/>
        <v>40.947283605555064</v>
      </c>
      <c r="EQ85" s="528">
        <f t="shared" si="274"/>
        <v>0.8721387003997475</v>
      </c>
      <c r="ER85" s="460">
        <f t="shared" si="307"/>
        <v>872.13870039974745</v>
      </c>
      <c r="ES85" s="528">
        <f t="shared" si="308"/>
        <v>2.9820000000000002</v>
      </c>
      <c r="ET85" s="528"/>
      <c r="EV85" s="460">
        <f t="shared" si="309"/>
        <v>2982</v>
      </c>
      <c r="EW85" s="528">
        <f t="shared" si="275"/>
        <v>5.8280851063829776E-2</v>
      </c>
      <c r="EX85" s="528">
        <f t="shared" si="276"/>
        <v>1.1904173834314169</v>
      </c>
      <c r="EY85" s="528">
        <f t="shared" si="277"/>
        <v>1.1437475956681529</v>
      </c>
      <c r="EZ85" s="528">
        <f t="shared" si="278"/>
        <v>2.9909132544734089</v>
      </c>
      <c r="FA85" s="528">
        <f t="shared" si="279"/>
        <v>7.9999999999999988E-2</v>
      </c>
      <c r="FB85" s="460">
        <f t="shared" si="310"/>
        <v>3070.9132544734089</v>
      </c>
      <c r="FC85" s="173">
        <f t="shared" si="311"/>
        <v>6.9250519548731564</v>
      </c>
      <c r="FD85" s="5">
        <f t="shared" si="312"/>
        <v>19.200000000000003</v>
      </c>
      <c r="FE85" s="173">
        <f t="shared" si="313"/>
        <v>0.73492676811379853</v>
      </c>
      <c r="FF85" s="5">
        <f t="shared" si="314"/>
        <v>73.492676811379852</v>
      </c>
      <c r="FI85" s="562">
        <f t="shared" si="280"/>
        <v>-50</v>
      </c>
      <c r="FJ85">
        <f t="shared" si="281"/>
        <v>-50</v>
      </c>
      <c r="FL85">
        <f t="shared" si="282"/>
        <v>0.56074766355140193</v>
      </c>
    </row>
    <row r="86" spans="5:168">
      <c r="E86" s="170">
        <v>81</v>
      </c>
      <c r="F86" s="217">
        <f t="shared" si="283"/>
        <v>4.8600000000000003</v>
      </c>
      <c r="G86" s="217"/>
      <c r="H86" s="217">
        <f t="shared" si="183"/>
        <v>19.440000000000001</v>
      </c>
      <c r="I86" s="541">
        <f t="shared" si="184"/>
        <v>23.906578926790118</v>
      </c>
      <c r="J86" s="172">
        <f t="shared" si="185"/>
        <v>19.862609363524733</v>
      </c>
      <c r="K86" s="172">
        <f t="shared" si="186"/>
        <v>43.862609363524733</v>
      </c>
      <c r="L86" s="443"/>
      <c r="M86" s="217">
        <f t="shared" si="187"/>
        <v>0.45352167748557365</v>
      </c>
      <c r="N86" s="172">
        <f t="shared" si="188"/>
        <v>36.465770479398302</v>
      </c>
      <c r="O86" s="172">
        <f t="shared" si="284"/>
        <v>19.440000000000001</v>
      </c>
      <c r="P86" s="217">
        <f t="shared" si="189"/>
        <v>9.1164426198495754</v>
      </c>
      <c r="Q86" s="217">
        <f t="shared" si="190"/>
        <v>4</v>
      </c>
      <c r="R86" s="217">
        <f t="shared" si="191"/>
        <v>9.0351264815159347</v>
      </c>
      <c r="S86" s="172">
        <f t="shared" si="192"/>
        <v>10.784473412762022</v>
      </c>
      <c r="T86" s="172">
        <f t="shared" si="193"/>
        <v>4</v>
      </c>
      <c r="U86" s="217">
        <f t="shared" si="194"/>
        <v>4.44665396574052</v>
      </c>
      <c r="V86" s="217">
        <f t="shared" si="195"/>
        <v>2.2320152018526702</v>
      </c>
      <c r="W86" s="217">
        <f t="shared" si="196"/>
        <v>2.6864470126908455</v>
      </c>
      <c r="X86" s="197">
        <f t="shared" si="197"/>
        <v>350</v>
      </c>
      <c r="Y86" s="443">
        <f t="shared" si="198"/>
        <v>195.37117948406774</v>
      </c>
      <c r="AA86" s="217">
        <f t="shared" si="199"/>
        <v>2.58306866297246</v>
      </c>
      <c r="AB86" s="173">
        <f t="shared" si="200"/>
        <v>1.5605615248413141</v>
      </c>
      <c r="AC86" s="173">
        <f t="shared" si="201"/>
        <v>2.8217263000206816</v>
      </c>
      <c r="AD86" s="173"/>
      <c r="AE86" s="173">
        <f t="shared" si="202"/>
        <v>0.80553363896800267</v>
      </c>
      <c r="AF86" s="545">
        <f t="shared" si="203"/>
        <v>2262.4753478139887</v>
      </c>
      <c r="AG86" s="528">
        <f t="shared" si="204"/>
        <v>0.75183139637013607</v>
      </c>
      <c r="AI86" s="173">
        <f t="shared" si="205"/>
        <v>3.3899761466138281</v>
      </c>
      <c r="AJ86" s="173">
        <f t="shared" si="206"/>
        <v>4.44665396574052</v>
      </c>
      <c r="AK86" s="173">
        <f t="shared" si="207"/>
        <v>3.5061634314127303</v>
      </c>
      <c r="AM86" s="545">
        <f t="shared" si="208"/>
        <v>4860</v>
      </c>
      <c r="AN86" s="460">
        <f t="shared" si="209"/>
        <v>195.37117948406774</v>
      </c>
      <c r="AP86">
        <f t="shared" si="210"/>
        <v>4860</v>
      </c>
      <c r="AQ86">
        <f t="shared" si="211"/>
        <v>195.37117948406774</v>
      </c>
      <c r="AS86" s="5">
        <f t="shared" si="285"/>
        <v>5.1184622145435155</v>
      </c>
      <c r="AT86" s="5">
        <f t="shared" si="212"/>
        <v>2.2320152018526702</v>
      </c>
      <c r="AU86" s="5">
        <f t="shared" si="286"/>
        <v>2.8864470126908452</v>
      </c>
      <c r="AV86" s="5">
        <f t="shared" si="213"/>
        <v>2.6864470126908455</v>
      </c>
      <c r="AW86" s="173">
        <f t="shared" si="287"/>
        <v>0.43607144261232572</v>
      </c>
      <c r="AX86" s="173">
        <f t="shared" si="214"/>
        <v>23.178131238152712</v>
      </c>
      <c r="AY86" s="173">
        <f t="shared" si="215"/>
        <v>5.0151903122044637</v>
      </c>
      <c r="AZ86" s="173">
        <f t="shared" si="288"/>
        <v>4.6215855820563254</v>
      </c>
      <c r="BA86" s="460">
        <f t="shared" si="216"/>
        <v>271.18984702509943</v>
      </c>
      <c r="BB86" s="5">
        <f t="shared" si="217"/>
        <v>1.9559654164147737</v>
      </c>
      <c r="BC86" s="5"/>
      <c r="BD86" s="173">
        <f t="shared" si="289"/>
        <v>1.6953193942619567</v>
      </c>
      <c r="BE86" s="173">
        <f t="shared" si="218"/>
        <v>7.7116043969604515</v>
      </c>
      <c r="BF86" s="173"/>
      <c r="BG86" s="528">
        <f t="shared" si="219"/>
        <v>3.5064115752440873E-2</v>
      </c>
      <c r="BH86" s="528">
        <f t="shared" si="220"/>
        <v>0.71447916519678423</v>
      </c>
      <c r="BI86" s="528">
        <f t="shared" si="221"/>
        <v>0.11676641305889858</v>
      </c>
      <c r="BJ86" s="528">
        <f t="shared" si="222"/>
        <v>3.7588018032262666E-2</v>
      </c>
      <c r="BK86">
        <f t="shared" si="223"/>
        <v>1.0757960517055553E-2</v>
      </c>
      <c r="BL86" s="460">
        <f t="shared" si="290"/>
        <v>127.52437357595414</v>
      </c>
      <c r="BM86" s="528">
        <f t="shared" si="224"/>
        <v>0.80329101557742388</v>
      </c>
      <c r="BN86" s="460">
        <f t="shared" si="291"/>
        <v>803.29101557742388</v>
      </c>
      <c r="BO86" s="528">
        <f t="shared" si="225"/>
        <v>3.0192749999999999</v>
      </c>
      <c r="BP86" s="528"/>
      <c r="BR86" s="460">
        <f t="shared" si="292"/>
        <v>3019.2750000000001</v>
      </c>
      <c r="BS86" s="528">
        <f t="shared" si="226"/>
        <v>8.6223235456821826E-2</v>
      </c>
      <c r="BT86" s="528">
        <f t="shared" si="227"/>
        <v>1.7840652712565932</v>
      </c>
      <c r="BU86" s="528">
        <f t="shared" si="228"/>
        <v>0.29160000000000003</v>
      </c>
      <c r="BV86" s="528">
        <f t="shared" si="229"/>
        <v>3.0701183070367342</v>
      </c>
      <c r="BW86" s="528">
        <f t="shared" si="230"/>
        <v>9.6575546825636321E-2</v>
      </c>
      <c r="BX86" s="460">
        <f t="shared" si="293"/>
        <v>3166.6938538623704</v>
      </c>
      <c r="BY86" s="173">
        <f t="shared" si="231"/>
        <v>7.116784243015748</v>
      </c>
      <c r="BZ86" s="5">
        <f t="shared" si="294"/>
        <v>19.440000000000001</v>
      </c>
      <c r="CA86" s="173">
        <f t="shared" si="295"/>
        <v>0.7320163398590922</v>
      </c>
      <c r="CB86" s="5">
        <f t="shared" si="296"/>
        <v>73.201633985909226</v>
      </c>
      <c r="CE86" s="562">
        <f t="shared" si="232"/>
        <v>-50</v>
      </c>
      <c r="CF86">
        <f t="shared" si="233"/>
        <v>-50</v>
      </c>
      <c r="CG86" s="173">
        <f t="shared" si="234"/>
        <v>0.54883762558377525</v>
      </c>
      <c r="CI86" s="170">
        <v>81</v>
      </c>
      <c r="CJ86" s="217">
        <f t="shared" si="297"/>
        <v>4.8600000000000003</v>
      </c>
      <c r="CK86" s="217"/>
      <c r="CL86" s="217">
        <f t="shared" si="235"/>
        <v>19.440000000000001</v>
      </c>
      <c r="CM86" s="541">
        <f t="shared" si="236"/>
        <v>24</v>
      </c>
      <c r="CN86" s="172">
        <f t="shared" si="237"/>
        <v>18.8</v>
      </c>
      <c r="CO86" s="443">
        <f t="shared" si="238"/>
        <v>42.8</v>
      </c>
      <c r="CP86" s="443"/>
      <c r="CQ86" s="217">
        <f t="shared" si="239"/>
        <v>0.43925233644859818</v>
      </c>
      <c r="CR86" s="172">
        <f t="shared" si="240"/>
        <v>35.456448598130848</v>
      </c>
      <c r="CS86" s="172">
        <f t="shared" si="298"/>
        <v>19.440000000000001</v>
      </c>
      <c r="CT86" s="217">
        <f t="shared" si="241"/>
        <v>8.864112149532712</v>
      </c>
      <c r="CU86" s="217">
        <f t="shared" si="242"/>
        <v>4</v>
      </c>
      <c r="CV86" s="217">
        <f t="shared" si="243"/>
        <v>8.7850467289719631</v>
      </c>
      <c r="CW86" s="172">
        <f t="shared" si="244"/>
        <v>10.825320382152379</v>
      </c>
      <c r="CX86" s="172">
        <f t="shared" si="245"/>
        <v>4</v>
      </c>
      <c r="CY86" s="217">
        <f t="shared" si="246"/>
        <v>3.688085106382978</v>
      </c>
      <c r="CZ86" s="217">
        <f t="shared" si="247"/>
        <v>1.844042553191489</v>
      </c>
      <c r="DA86" s="217">
        <f t="shared" si="248"/>
        <v>2.3540968764146668</v>
      </c>
      <c r="DB86" s="197">
        <f t="shared" si="249"/>
        <v>350</v>
      </c>
      <c r="DC86" s="443">
        <f t="shared" si="299"/>
        <v>238.20075935253391</v>
      </c>
      <c r="DE86" s="217">
        <f t="shared" si="250"/>
        <v>2.5100133511348464</v>
      </c>
      <c r="DF86" s="173">
        <f t="shared" si="251"/>
        <v>1.6021361815754336</v>
      </c>
      <c r="DG86" s="173">
        <f t="shared" si="252"/>
        <v>2.8149682442633783</v>
      </c>
      <c r="DH86" s="173"/>
      <c r="DI86" s="173">
        <f t="shared" si="253"/>
        <v>0.85106382978723416</v>
      </c>
      <c r="DJ86" s="545">
        <f t="shared" si="300"/>
        <v>2141.4374999999995</v>
      </c>
      <c r="DK86" s="528">
        <f t="shared" si="254"/>
        <v>0.79432624113475192</v>
      </c>
      <c r="DM86" s="173">
        <f t="shared" si="255"/>
        <v>3.2980513727264555</v>
      </c>
      <c r="DN86" s="173">
        <f t="shared" si="256"/>
        <v>3.688085106382978</v>
      </c>
      <c r="DO86" s="173">
        <f t="shared" si="257"/>
        <v>2.9442605726293665</v>
      </c>
      <c r="DQ86" s="545">
        <f t="shared" si="258"/>
        <v>4860</v>
      </c>
      <c r="DR86" s="460">
        <f t="shared" si="259"/>
        <v>238.20075935253391</v>
      </c>
      <c r="DT86">
        <f t="shared" si="260"/>
        <v>4860</v>
      </c>
      <c r="DU86">
        <f t="shared" si="261"/>
        <v>238.20075935253391</v>
      </c>
      <c r="DW86" s="5">
        <f t="shared" si="301"/>
        <v>4.1981394296061563</v>
      </c>
      <c r="DX86" s="5">
        <f t="shared" si="262"/>
        <v>1.844042553191489</v>
      </c>
      <c r="DY86" s="5">
        <f t="shared" si="302"/>
        <v>2.3540968764146672</v>
      </c>
      <c r="DZ86" s="5">
        <f t="shared" si="263"/>
        <v>2.3540968764146668</v>
      </c>
      <c r="EA86" s="173">
        <f t="shared" si="303"/>
        <v>0.43925233644859807</v>
      </c>
      <c r="EB86" s="173">
        <f t="shared" si="264"/>
        <v>19.439999999999994</v>
      </c>
      <c r="EC86" s="173">
        <f t="shared" si="265"/>
        <v>4.1361702127659568</v>
      </c>
      <c r="ED86" s="173">
        <f t="shared" si="304"/>
        <v>4.6999999999999993</v>
      </c>
      <c r="EE86" s="460">
        <f t="shared" si="266"/>
        <v>224.05117021276592</v>
      </c>
      <c r="EF86" s="5">
        <f t="shared" si="267"/>
        <v>1.5890153915799001</v>
      </c>
      <c r="EG86" s="5"/>
      <c r="EH86" s="173">
        <f t="shared" si="305"/>
        <v>1.4112285277186001</v>
      </c>
      <c r="EI86" s="173">
        <f t="shared" si="268"/>
        <v>6.3779929464091945</v>
      </c>
      <c r="EJ86" s="173"/>
      <c r="EK86" s="528">
        <f t="shared" si="269"/>
        <v>2.4297104680851053E-2</v>
      </c>
      <c r="EL86" s="528">
        <f t="shared" si="270"/>
        <v>0.75199999999999989</v>
      </c>
      <c r="EM86" s="528">
        <f t="shared" si="271"/>
        <v>2.9775094919066734E-2</v>
      </c>
      <c r="EN86" s="528">
        <f t="shared" si="272"/>
        <v>4.3634567901234565E-2</v>
      </c>
      <c r="EO86">
        <f t="shared" si="273"/>
        <v>1.0800000000000001E-2</v>
      </c>
      <c r="EP86" s="460">
        <f t="shared" si="306"/>
        <v>40.575094919066728</v>
      </c>
      <c r="EQ86" s="528">
        <f t="shared" si="274"/>
        <v>0.87210162151209814</v>
      </c>
      <c r="ER86" s="460">
        <f t="shared" si="307"/>
        <v>872.10162151209818</v>
      </c>
      <c r="ES86" s="528">
        <f t="shared" si="308"/>
        <v>3.0192749999999999</v>
      </c>
      <c r="ET86" s="528"/>
      <c r="EV86" s="460">
        <f t="shared" si="309"/>
        <v>3019.2750000000001</v>
      </c>
      <c r="EW86" s="528">
        <f t="shared" si="275"/>
        <v>5.9746978723404225E-2</v>
      </c>
      <c r="EX86" s="528">
        <f t="shared" si="276"/>
        <v>1.2203638207333631</v>
      </c>
      <c r="EY86" s="528">
        <f t="shared" si="277"/>
        <v>1.1437475956681542</v>
      </c>
      <c r="EZ86" s="528">
        <f t="shared" si="278"/>
        <v>3.0426826617662979</v>
      </c>
      <c r="FA86" s="528">
        <f t="shared" si="279"/>
        <v>8.0999999999999975E-2</v>
      </c>
      <c r="FB86" s="460">
        <f t="shared" si="310"/>
        <v>3123.6826617662978</v>
      </c>
      <c r="FC86" s="173">
        <f t="shared" si="311"/>
        <v>7.0150592832783962</v>
      </c>
      <c r="FD86" s="5">
        <f t="shared" si="312"/>
        <v>19.440000000000001</v>
      </c>
      <c r="FE86" s="173">
        <f t="shared" si="313"/>
        <v>0.73483108814228038</v>
      </c>
      <c r="FF86" s="5">
        <f t="shared" si="314"/>
        <v>73.483108814228032</v>
      </c>
      <c r="FI86" s="562">
        <f t="shared" si="280"/>
        <v>-50</v>
      </c>
      <c r="FJ86">
        <f t="shared" si="281"/>
        <v>-50</v>
      </c>
      <c r="FL86">
        <f t="shared" si="282"/>
        <v>0.56074766355140193</v>
      </c>
    </row>
    <row r="87" spans="5:168">
      <c r="E87" s="170">
        <v>82</v>
      </c>
      <c r="F87" s="217">
        <f t="shared" si="283"/>
        <v>4.92</v>
      </c>
      <c r="G87" s="217"/>
      <c r="H87" s="217">
        <f t="shared" si="183"/>
        <v>19.68</v>
      </c>
      <c r="I87" s="541">
        <f t="shared" si="184"/>
        <v>23.905450601755934</v>
      </c>
      <c r="J87" s="172">
        <f t="shared" si="185"/>
        <v>19.87544339234956</v>
      </c>
      <c r="K87" s="172">
        <f t="shared" si="186"/>
        <v>43.87544339234956</v>
      </c>
      <c r="L87" s="443"/>
      <c r="M87" s="217">
        <f t="shared" si="187"/>
        <v>0.45369372476022529</v>
      </c>
      <c r="N87" s="172">
        <f t="shared" si="188"/>
        <v>36.477882339708195</v>
      </c>
      <c r="O87" s="172">
        <f t="shared" si="284"/>
        <v>19.68</v>
      </c>
      <c r="P87" s="217">
        <f t="shared" si="189"/>
        <v>9.1194705849270488</v>
      </c>
      <c r="Q87" s="217">
        <f t="shared" si="190"/>
        <v>4</v>
      </c>
      <c r="R87" s="217">
        <f t="shared" si="191"/>
        <v>9.0381274379851835</v>
      </c>
      <c r="S87" s="172">
        <f t="shared" si="192"/>
        <v>10.590278039419269</v>
      </c>
      <c r="T87" s="172">
        <f t="shared" si="193"/>
        <v>4</v>
      </c>
      <c r="U87" s="217">
        <f t="shared" si="194"/>
        <v>4.5029685937989674</v>
      </c>
      <c r="V87" s="217">
        <f t="shared" si="195"/>
        <v>2.2603892319694872</v>
      </c>
      <c r="W87" s="217">
        <f t="shared" si="196"/>
        <v>2.7187128386975736</v>
      </c>
      <c r="X87" s="197">
        <f t="shared" si="197"/>
        <v>350</v>
      </c>
      <c r="Y87" s="443">
        <f t="shared" si="198"/>
        <v>193.08366322102654</v>
      </c>
      <c r="AA87" s="217">
        <f t="shared" si="199"/>
        <v>2.5839246456716443</v>
      </c>
      <c r="AB87" s="173">
        <f t="shared" si="200"/>
        <v>1.5600706427507907</v>
      </c>
      <c r="AC87" s="173">
        <f t="shared" si="201"/>
        <v>2.8217734879547995</v>
      </c>
      <c r="AD87" s="173"/>
      <c r="AE87" s="173">
        <f t="shared" si="202"/>
        <v>0.8050134874555156</v>
      </c>
      <c r="AF87" s="545">
        <f t="shared" si="203"/>
        <v>2291.887066180308</v>
      </c>
      <c r="AG87" s="528">
        <f t="shared" si="204"/>
        <v>0.75134592162514813</v>
      </c>
      <c r="AI87" s="173">
        <f t="shared" si="205"/>
        <v>3.4119394967972019</v>
      </c>
      <c r="AJ87" s="173">
        <f t="shared" si="206"/>
        <v>4.5029685937989674</v>
      </c>
      <c r="AK87" s="173">
        <f t="shared" si="207"/>
        <v>3.5478779707152839</v>
      </c>
      <c r="AM87" s="545">
        <f t="shared" si="208"/>
        <v>4920</v>
      </c>
      <c r="AN87" s="460">
        <f t="shared" si="209"/>
        <v>193.08366322102654</v>
      </c>
      <c r="AP87">
        <f t="shared" si="210"/>
        <v>4920</v>
      </c>
      <c r="AQ87">
        <f t="shared" si="211"/>
        <v>193.08366322102654</v>
      </c>
      <c r="AS87" s="5">
        <f t="shared" si="285"/>
        <v>5.179102070667061</v>
      </c>
      <c r="AT87" s="5">
        <f t="shared" si="212"/>
        <v>2.2603892319694872</v>
      </c>
      <c r="AU87" s="5">
        <f t="shared" si="286"/>
        <v>2.9187128386975738</v>
      </c>
      <c r="AV87" s="5">
        <f t="shared" si="213"/>
        <v>2.7187128386975736</v>
      </c>
      <c r="AW87" s="173">
        <f t="shared" si="287"/>
        <v>0.43644423321403131</v>
      </c>
      <c r="AX87" s="173">
        <f t="shared" si="214"/>
        <v>23.490627386837623</v>
      </c>
      <c r="AY87" s="173">
        <f t="shared" si="215"/>
        <v>5.075347837383025</v>
      </c>
      <c r="AZ87" s="173">
        <f t="shared" si="288"/>
        <v>4.6283778254201335</v>
      </c>
      <c r="BA87" s="460">
        <f t="shared" si="216"/>
        <v>278.02787553224687</v>
      </c>
      <c r="BB87" s="5">
        <f t="shared" si="217"/>
        <v>2.0023421165348889</v>
      </c>
      <c r="BC87" s="5"/>
      <c r="BD87" s="173">
        <f t="shared" si="289"/>
        <v>1.7175234301719842</v>
      </c>
      <c r="BE87" s="173">
        <f t="shared" si="218"/>
        <v>7.80668635027543</v>
      </c>
      <c r="BF87" s="173"/>
      <c r="BG87" s="528">
        <f t="shared" si="219"/>
        <v>3.5988618144914809E-2</v>
      </c>
      <c r="BH87" s="528">
        <f t="shared" si="220"/>
        <v>0.71526543454945302</v>
      </c>
      <c r="BI87" s="528">
        <f t="shared" si="221"/>
        <v>0.11539379932840822</v>
      </c>
      <c r="BJ87" s="528">
        <f t="shared" si="222"/>
        <v>3.7169658110779935E-2</v>
      </c>
      <c r="BK87">
        <f t="shared" si="223"/>
        <v>1.075745277079017E-2</v>
      </c>
      <c r="BL87" s="460">
        <f t="shared" si="290"/>
        <v>126.15125209919839</v>
      </c>
      <c r="BM87" s="528">
        <f t="shared" si="224"/>
        <v>0.80502431664874285</v>
      </c>
      <c r="BN87" s="460">
        <f t="shared" si="291"/>
        <v>805.02431664874291</v>
      </c>
      <c r="BO87" s="528">
        <f t="shared" si="225"/>
        <v>3.0565499999999997</v>
      </c>
      <c r="BP87" s="528"/>
      <c r="BR87" s="460">
        <f t="shared" si="292"/>
        <v>3056.5499999999997</v>
      </c>
      <c r="BS87" s="528">
        <f t="shared" si="226"/>
        <v>8.8496601995692148E-2</v>
      </c>
      <c r="BT87" s="528">
        <f t="shared" si="227"/>
        <v>1.8283305531473013</v>
      </c>
      <c r="BU87" s="528">
        <f t="shared" si="228"/>
        <v>0.29519999999999996</v>
      </c>
      <c r="BV87" s="528">
        <f t="shared" si="229"/>
        <v>3.1560309365019812</v>
      </c>
      <c r="BW87" s="528">
        <f t="shared" si="230"/>
        <v>9.7877614111823441E-2</v>
      </c>
      <c r="BX87" s="460">
        <f t="shared" si="293"/>
        <v>3253.9085506138049</v>
      </c>
      <c r="BY87" s="173">
        <f t="shared" si="231"/>
        <v>7.2416341193617448</v>
      </c>
      <c r="BZ87" s="5">
        <f t="shared" si="294"/>
        <v>19.68</v>
      </c>
      <c r="CA87" s="173">
        <f t="shared" si="295"/>
        <v>0.73101060332167422</v>
      </c>
      <c r="CB87" s="5">
        <f t="shared" si="296"/>
        <v>73.101060332167421</v>
      </c>
      <c r="CE87" s="562">
        <f t="shared" si="232"/>
        <v>-50</v>
      </c>
      <c r="CF87">
        <f t="shared" si="233"/>
        <v>-50</v>
      </c>
      <c r="CG87" s="173">
        <f t="shared" si="234"/>
        <v>0.54898286994923395</v>
      </c>
      <c r="CI87" s="170">
        <v>82</v>
      </c>
      <c r="CJ87" s="217">
        <f t="shared" si="297"/>
        <v>4.92</v>
      </c>
      <c r="CK87" s="217"/>
      <c r="CL87" s="217">
        <f t="shared" si="235"/>
        <v>19.68</v>
      </c>
      <c r="CM87" s="541">
        <f t="shared" si="236"/>
        <v>24</v>
      </c>
      <c r="CN87" s="172">
        <f t="shared" si="237"/>
        <v>18.8</v>
      </c>
      <c r="CO87" s="443">
        <f t="shared" si="238"/>
        <v>42.8</v>
      </c>
      <c r="CP87" s="443"/>
      <c r="CQ87" s="217">
        <f t="shared" si="239"/>
        <v>0.43925233644859818</v>
      </c>
      <c r="CR87" s="172">
        <f t="shared" si="240"/>
        <v>35.456448598130848</v>
      </c>
      <c r="CS87" s="172">
        <f t="shared" si="298"/>
        <v>19.68</v>
      </c>
      <c r="CT87" s="217">
        <f t="shared" si="241"/>
        <v>8.864112149532712</v>
      </c>
      <c r="CU87" s="217">
        <f t="shared" si="242"/>
        <v>4</v>
      </c>
      <c r="CV87" s="217">
        <f t="shared" si="243"/>
        <v>8.7850467289719631</v>
      </c>
      <c r="CW87" s="172">
        <f t="shared" si="244"/>
        <v>10.630832625516563</v>
      </c>
      <c r="CX87" s="172">
        <f t="shared" si="245"/>
        <v>4</v>
      </c>
      <c r="CY87" s="217">
        <f t="shared" si="246"/>
        <v>3.7336170212765949</v>
      </c>
      <c r="CZ87" s="217">
        <f t="shared" si="247"/>
        <v>1.8668085106382974</v>
      </c>
      <c r="DA87" s="217">
        <f t="shared" si="248"/>
        <v>2.3831598008148478</v>
      </c>
      <c r="DB87" s="197">
        <f t="shared" si="249"/>
        <v>350</v>
      </c>
      <c r="DC87" s="443">
        <f t="shared" si="299"/>
        <v>235.29587204335672</v>
      </c>
      <c r="DE87" s="217">
        <f t="shared" si="250"/>
        <v>2.5100133511348464</v>
      </c>
      <c r="DF87" s="173">
        <f t="shared" si="251"/>
        <v>1.6021361815754336</v>
      </c>
      <c r="DG87" s="173">
        <f t="shared" si="252"/>
        <v>2.8149682442633783</v>
      </c>
      <c r="DH87" s="173"/>
      <c r="DI87" s="173">
        <f t="shared" si="253"/>
        <v>0.85106382978723416</v>
      </c>
      <c r="DJ87" s="545">
        <f t="shared" si="300"/>
        <v>2167.8749999999995</v>
      </c>
      <c r="DK87" s="528">
        <f t="shared" si="254"/>
        <v>0.79432624113475192</v>
      </c>
      <c r="DM87" s="173">
        <f t="shared" si="255"/>
        <v>3.3183472650445389</v>
      </c>
      <c r="DN87" s="173">
        <f t="shared" si="256"/>
        <v>3.7336170212765949</v>
      </c>
      <c r="DO87" s="173">
        <f t="shared" si="257"/>
        <v>2.9779879169950085</v>
      </c>
      <c r="DQ87" s="545">
        <f t="shared" si="258"/>
        <v>4920</v>
      </c>
      <c r="DR87" s="460">
        <f t="shared" si="259"/>
        <v>235.29587204335672</v>
      </c>
      <c r="DT87">
        <f t="shared" si="260"/>
        <v>4920</v>
      </c>
      <c r="DU87">
        <f t="shared" si="261"/>
        <v>235.29587204335672</v>
      </c>
      <c r="DW87" s="5">
        <f t="shared" si="301"/>
        <v>4.249968311453145</v>
      </c>
      <c r="DX87" s="5">
        <f t="shared" si="262"/>
        <v>1.8668085106382974</v>
      </c>
      <c r="DY87" s="5">
        <f t="shared" si="302"/>
        <v>2.3831598008148474</v>
      </c>
      <c r="DZ87" s="5">
        <f t="shared" si="263"/>
        <v>2.3831598008148478</v>
      </c>
      <c r="EA87" s="173">
        <f t="shared" si="303"/>
        <v>0.43925233644859818</v>
      </c>
      <c r="EB87" s="173">
        <f t="shared" si="264"/>
        <v>19.68</v>
      </c>
      <c r="EC87" s="173">
        <f t="shared" si="265"/>
        <v>4.1872340425531904</v>
      </c>
      <c r="ED87" s="173">
        <f t="shared" si="304"/>
        <v>4.7000000000000011</v>
      </c>
      <c r="EE87" s="460">
        <f t="shared" si="266"/>
        <v>229.61744680851061</v>
      </c>
      <c r="EF87" s="5">
        <f t="shared" si="267"/>
        <v>1.6284925305568121</v>
      </c>
      <c r="EG87" s="5"/>
      <c r="EH87" s="173">
        <f t="shared" si="305"/>
        <v>1.4286511021348793</v>
      </c>
      <c r="EI87" s="173">
        <f t="shared" si="268"/>
        <v>6.4567336000685662</v>
      </c>
      <c r="EJ87" s="173"/>
      <c r="EK87" s="528">
        <f t="shared" si="269"/>
        <v>2.4900736453900705E-2</v>
      </c>
      <c r="EL87" s="528">
        <f t="shared" si="270"/>
        <v>0.752</v>
      </c>
      <c r="EM87" s="528">
        <f t="shared" si="271"/>
        <v>2.9411984005419591E-2</v>
      </c>
      <c r="EN87" s="528">
        <f t="shared" si="272"/>
        <v>4.3102439024390253E-2</v>
      </c>
      <c r="EO87">
        <f t="shared" si="273"/>
        <v>1.0800000000000001E-2</v>
      </c>
      <c r="EP87" s="460">
        <f t="shared" si="306"/>
        <v>40.211984005419588</v>
      </c>
      <c r="EQ87" s="528">
        <f t="shared" si="274"/>
        <v>0.87209805230823079</v>
      </c>
      <c r="ER87" s="460">
        <f t="shared" si="307"/>
        <v>872.09805230823076</v>
      </c>
      <c r="ES87" s="528">
        <f t="shared" si="308"/>
        <v>3.0565499999999997</v>
      </c>
      <c r="ET87" s="528"/>
      <c r="EV87" s="460">
        <f t="shared" si="309"/>
        <v>3056.5499999999997</v>
      </c>
      <c r="EW87" s="528">
        <f t="shared" si="275"/>
        <v>6.1231319148936161E-2</v>
      </c>
      <c r="EX87" s="528">
        <f t="shared" si="276"/>
        <v>1.2506822634676316</v>
      </c>
      <c r="EY87" s="528">
        <f t="shared" si="277"/>
        <v>1.1437475956681535</v>
      </c>
      <c r="EZ87" s="528">
        <f t="shared" si="278"/>
        <v>3.0953913104031976</v>
      </c>
      <c r="FA87" s="528">
        <f t="shared" si="279"/>
        <v>8.2000000000000003E-2</v>
      </c>
      <c r="FB87" s="460">
        <f t="shared" si="310"/>
        <v>3177.3913104031976</v>
      </c>
      <c r="FC87" s="173">
        <f t="shared" si="311"/>
        <v>7.106039362711428</v>
      </c>
      <c r="FD87" s="5">
        <f t="shared" si="312"/>
        <v>19.68</v>
      </c>
      <c r="FE87" s="173">
        <f t="shared" si="313"/>
        <v>0.7347110833935504</v>
      </c>
      <c r="FF87" s="5">
        <f t="shared" si="314"/>
        <v>73.471108339355041</v>
      </c>
      <c r="FI87" s="562">
        <f t="shared" si="280"/>
        <v>-50</v>
      </c>
      <c r="FJ87">
        <f t="shared" si="281"/>
        <v>-50</v>
      </c>
      <c r="FL87">
        <f t="shared" si="282"/>
        <v>0.56074766355140182</v>
      </c>
    </row>
    <row r="88" spans="5:168">
      <c r="E88" s="170">
        <v>83</v>
      </c>
      <c r="F88" s="217">
        <f t="shared" si="283"/>
        <v>4.9799999999999995</v>
      </c>
      <c r="G88" s="217"/>
      <c r="H88" s="217">
        <f t="shared" si="183"/>
        <v>19.919999999999998</v>
      </c>
      <c r="I88" s="541">
        <f t="shared" si="184"/>
        <v>23.904322263804222</v>
      </c>
      <c r="J88" s="172">
        <f t="shared" si="185"/>
        <v>19.888277568103639</v>
      </c>
      <c r="K88" s="172">
        <f t="shared" si="186"/>
        <v>43.888277568103639</v>
      </c>
      <c r="L88" s="443"/>
      <c r="M88" s="217">
        <f t="shared" si="187"/>
        <v>0.45386568009846362</v>
      </c>
      <c r="N88" s="172">
        <f t="shared" si="188"/>
        <v>36.489985482961124</v>
      </c>
      <c r="O88" s="172">
        <f t="shared" si="284"/>
        <v>19.919999999999998</v>
      </c>
      <c r="P88" s="217">
        <f t="shared" si="189"/>
        <v>9.1224963707402811</v>
      </c>
      <c r="Q88" s="217">
        <f t="shared" si="190"/>
        <v>4</v>
      </c>
      <c r="R88" s="217">
        <f t="shared" si="191"/>
        <v>9.0411262346286243</v>
      </c>
      <c r="S88" s="172">
        <f t="shared" si="192"/>
        <v>10.400972083478447</v>
      </c>
      <c r="T88" s="172">
        <f t="shared" si="193"/>
        <v>4</v>
      </c>
      <c r="U88" s="217">
        <f t="shared" si="194"/>
        <v>4.5593179356480054</v>
      </c>
      <c r="V88" s="217">
        <f t="shared" si="195"/>
        <v>2.2887833682957144</v>
      </c>
      <c r="W88" s="217">
        <f t="shared" si="196"/>
        <v>2.7509579469828807</v>
      </c>
      <c r="X88" s="197">
        <f t="shared" si="197"/>
        <v>350</v>
      </c>
      <c r="Y88" s="443">
        <f t="shared" si="198"/>
        <v>190.84911636459867</v>
      </c>
      <c r="AA88" s="217">
        <f t="shared" si="199"/>
        <v>2.5847800230913056</v>
      </c>
      <c r="AB88" s="173">
        <f t="shared" si="200"/>
        <v>1.5595800174692152</v>
      </c>
      <c r="AC88" s="173">
        <f t="shared" si="201"/>
        <v>2.8218198914967716</v>
      </c>
      <c r="AD88" s="173"/>
      <c r="AE88" s="173">
        <f t="shared" si="202"/>
        <v>0.80449400131363979</v>
      </c>
      <c r="AF88" s="545">
        <f t="shared" si="203"/>
        <v>2321.3348974020955</v>
      </c>
      <c r="AG88" s="528">
        <f t="shared" si="204"/>
        <v>0.75086106789273066</v>
      </c>
      <c r="AI88" s="173">
        <f t="shared" si="205"/>
        <v>3.4337890755513403</v>
      </c>
      <c r="AJ88" s="173">
        <f t="shared" si="206"/>
        <v>4.5593179356480054</v>
      </c>
      <c r="AK88" s="173">
        <f t="shared" si="207"/>
        <v>3.5896182239367942</v>
      </c>
      <c r="AM88" s="545">
        <f t="shared" si="208"/>
        <v>4979.9999999999991</v>
      </c>
      <c r="AN88" s="460">
        <f t="shared" si="209"/>
        <v>190.84911636459867</v>
      </c>
      <c r="AP88">
        <f t="shared" si="210"/>
        <v>4979.9999999999991</v>
      </c>
      <c r="AQ88">
        <f t="shared" si="211"/>
        <v>190.84911636459867</v>
      </c>
      <c r="AS88" s="5">
        <f t="shared" si="285"/>
        <v>5.2397413152785957</v>
      </c>
      <c r="AT88" s="5">
        <f t="shared" si="212"/>
        <v>2.2887833682957144</v>
      </c>
      <c r="AU88" s="5">
        <f t="shared" si="286"/>
        <v>2.9509579469828813</v>
      </c>
      <c r="AV88" s="5">
        <f t="shared" si="213"/>
        <v>2.7509579469828807</v>
      </c>
      <c r="AW88" s="173">
        <f t="shared" si="287"/>
        <v>0.4368122833892269</v>
      </c>
      <c r="AX88" s="173">
        <f t="shared" si="214"/>
        <v>23.803518671092636</v>
      </c>
      <c r="AY88" s="173">
        <f t="shared" si="215"/>
        <v>5.1355037149602873</v>
      </c>
      <c r="AZ88" s="173">
        <f t="shared" si="288"/>
        <v>4.6350893684976544</v>
      </c>
      <c r="BA88" s="460">
        <f t="shared" si="216"/>
        <v>284.95352935281636</v>
      </c>
      <c r="BB88" s="5">
        <f t="shared" si="217"/>
        <v>2.0492487249508833</v>
      </c>
      <c r="BC88" s="5"/>
      <c r="BD88" s="173">
        <f t="shared" si="289"/>
        <v>1.7397493057160933</v>
      </c>
      <c r="BE88" s="173">
        <f t="shared" si="218"/>
        <v>7.9017962845934218</v>
      </c>
      <c r="BF88" s="173"/>
      <c r="BG88" s="528">
        <f t="shared" si="219"/>
        <v>3.6926077290223465E-2</v>
      </c>
      <c r="BH88" s="528">
        <f t="shared" si="220"/>
        <v>0.7160442151653017</v>
      </c>
      <c r="BI88" s="528">
        <f t="shared" si="221"/>
        <v>0.11405296953354098</v>
      </c>
      <c r="BJ88" s="528">
        <f t="shared" si="222"/>
        <v>3.6760992423010383E-2</v>
      </c>
      <c r="BK88">
        <f t="shared" si="223"/>
        <v>1.0756945018711899E-2</v>
      </c>
      <c r="BL88" s="460">
        <f t="shared" si="290"/>
        <v>124.80991455225288</v>
      </c>
      <c r="BM88" s="528">
        <f t="shared" si="224"/>
        <v>0.80677971728966102</v>
      </c>
      <c r="BN88" s="460">
        <f t="shared" si="291"/>
        <v>806.77971728966099</v>
      </c>
      <c r="BO88" s="528">
        <f t="shared" si="225"/>
        <v>3.0938249999999994</v>
      </c>
      <c r="BP88" s="528"/>
      <c r="BR88" s="460">
        <f t="shared" si="292"/>
        <v>3093.8249999999994</v>
      </c>
      <c r="BS88" s="528">
        <f t="shared" si="226"/>
        <v>9.0801829402188852E-2</v>
      </c>
      <c r="BT88" s="528">
        <f t="shared" si="227"/>
        <v>1.8731515356964321</v>
      </c>
      <c r="BU88" s="528">
        <f t="shared" si="228"/>
        <v>0.29879999999999995</v>
      </c>
      <c r="BV88" s="528">
        <f t="shared" si="229"/>
        <v>3.2437477113870541</v>
      </c>
      <c r="BW88" s="528">
        <f t="shared" si="230"/>
        <v>9.9181327796219326E-2</v>
      </c>
      <c r="BX88" s="460">
        <f t="shared" si="293"/>
        <v>3342.9290391832733</v>
      </c>
      <c r="BY88" s="173">
        <f t="shared" si="231"/>
        <v>7.3683436710251868</v>
      </c>
      <c r="BZ88" s="5">
        <f t="shared" si="294"/>
        <v>19.919999999999998</v>
      </c>
      <c r="CA88" s="173">
        <f t="shared" si="295"/>
        <v>0.72998201137253671</v>
      </c>
      <c r="CB88" s="5">
        <f t="shared" si="296"/>
        <v>72.998201137253673</v>
      </c>
      <c r="CE88" s="562">
        <f t="shared" si="232"/>
        <v>-50</v>
      </c>
      <c r="CF88">
        <f t="shared" si="233"/>
        <v>-50</v>
      </c>
      <c r="CG88" s="173">
        <f t="shared" si="234"/>
        <v>0.54912461445046479</v>
      </c>
      <c r="CI88" s="170">
        <v>83</v>
      </c>
      <c r="CJ88" s="217">
        <f t="shared" si="297"/>
        <v>4.9799999999999995</v>
      </c>
      <c r="CK88" s="217"/>
      <c r="CL88" s="217">
        <f t="shared" si="235"/>
        <v>19.919999999999998</v>
      </c>
      <c r="CM88" s="541">
        <f t="shared" si="236"/>
        <v>24</v>
      </c>
      <c r="CN88" s="172">
        <f t="shared" si="237"/>
        <v>18.8</v>
      </c>
      <c r="CO88" s="443">
        <f t="shared" si="238"/>
        <v>42.8</v>
      </c>
      <c r="CP88" s="443"/>
      <c r="CQ88" s="217">
        <f t="shared" si="239"/>
        <v>0.43925233644859818</v>
      </c>
      <c r="CR88" s="172">
        <f t="shared" si="240"/>
        <v>35.456448598130848</v>
      </c>
      <c r="CS88" s="172">
        <f t="shared" si="298"/>
        <v>19.919999999999998</v>
      </c>
      <c r="CT88" s="217">
        <f t="shared" si="241"/>
        <v>8.864112149532712</v>
      </c>
      <c r="CU88" s="217">
        <f t="shared" si="242"/>
        <v>4</v>
      </c>
      <c r="CV88" s="217">
        <f t="shared" si="243"/>
        <v>8.7850467289719631</v>
      </c>
      <c r="CW88" s="172">
        <f t="shared" si="244"/>
        <v>10.441234984839438</v>
      </c>
      <c r="CX88" s="172">
        <f t="shared" si="245"/>
        <v>4</v>
      </c>
      <c r="CY88" s="217">
        <f t="shared" si="246"/>
        <v>3.7791489361702117</v>
      </c>
      <c r="CZ88" s="217">
        <f t="shared" si="247"/>
        <v>1.8895744680851061</v>
      </c>
      <c r="DA88" s="217">
        <f t="shared" si="248"/>
        <v>2.4122227252150288</v>
      </c>
      <c r="DB88" s="197">
        <f t="shared" si="249"/>
        <v>350</v>
      </c>
      <c r="DC88" s="443">
        <f t="shared" si="299"/>
        <v>232.46098201873798</v>
      </c>
      <c r="DE88" s="217">
        <f t="shared" si="250"/>
        <v>2.5100133511348464</v>
      </c>
      <c r="DF88" s="173">
        <f t="shared" si="251"/>
        <v>1.6021361815754336</v>
      </c>
      <c r="DG88" s="173">
        <f t="shared" si="252"/>
        <v>2.8149682442633783</v>
      </c>
      <c r="DH88" s="173"/>
      <c r="DI88" s="173">
        <f t="shared" si="253"/>
        <v>0.85106382978723416</v>
      </c>
      <c r="DJ88" s="545">
        <f t="shared" si="300"/>
        <v>2194.3124999999991</v>
      </c>
      <c r="DK88" s="528">
        <f t="shared" si="254"/>
        <v>0.79432624113475192</v>
      </c>
      <c r="DM88" s="173">
        <f t="shared" si="255"/>
        <v>3.3385197746477835</v>
      </c>
      <c r="DN88" s="173">
        <f t="shared" si="256"/>
        <v>3.7791489361702117</v>
      </c>
      <c r="DO88" s="173">
        <f t="shared" si="257"/>
        <v>3.0117152613606502</v>
      </c>
      <c r="DQ88" s="545">
        <f t="shared" si="258"/>
        <v>4979.9999999999991</v>
      </c>
      <c r="DR88" s="460">
        <f t="shared" si="259"/>
        <v>232.46098201873798</v>
      </c>
      <c r="DT88">
        <f t="shared" si="260"/>
        <v>4979.9999999999991</v>
      </c>
      <c r="DU88">
        <f t="shared" si="261"/>
        <v>232.46098201873798</v>
      </c>
      <c r="DW88" s="5">
        <f t="shared" si="301"/>
        <v>4.3017971933001338</v>
      </c>
      <c r="DX88" s="5">
        <f t="shared" si="262"/>
        <v>1.8895744680851061</v>
      </c>
      <c r="DY88" s="5">
        <f t="shared" si="302"/>
        <v>2.4122227252150275</v>
      </c>
      <c r="DZ88" s="5">
        <f t="shared" si="263"/>
        <v>2.4122227252150288</v>
      </c>
      <c r="EA88" s="173">
        <f t="shared" si="303"/>
        <v>0.43925233644859829</v>
      </c>
      <c r="EB88" s="173">
        <f t="shared" si="264"/>
        <v>19.919999999999998</v>
      </c>
      <c r="EC88" s="173">
        <f t="shared" si="265"/>
        <v>4.2382978723404232</v>
      </c>
      <c r="ED88" s="173">
        <f t="shared" si="304"/>
        <v>4.700000000000002</v>
      </c>
      <c r="EE88" s="460">
        <f t="shared" si="266"/>
        <v>235.25202127659568</v>
      </c>
      <c r="EF88" s="5">
        <f t="shared" si="267"/>
        <v>1.6684540516070603</v>
      </c>
      <c r="EG88" s="5"/>
      <c r="EH88" s="173">
        <f t="shared" si="305"/>
        <v>1.4460736765511581</v>
      </c>
      <c r="EI88" s="173">
        <f t="shared" si="268"/>
        <v>6.535474253727938</v>
      </c>
      <c r="EJ88" s="173"/>
      <c r="EK88" s="528">
        <f t="shared" si="269"/>
        <v>2.5511774751773037E-2</v>
      </c>
      <c r="EL88" s="528">
        <f t="shared" si="270"/>
        <v>0.752</v>
      </c>
      <c r="EM88" s="528">
        <f t="shared" si="271"/>
        <v>2.9057622752342249E-2</v>
      </c>
      <c r="EN88" s="528">
        <f t="shared" si="272"/>
        <v>4.2583132530120492E-2</v>
      </c>
      <c r="EO88">
        <f t="shared" si="273"/>
        <v>1.0800000000000001E-2</v>
      </c>
      <c r="EP88" s="460">
        <f t="shared" si="306"/>
        <v>39.857622752342252</v>
      </c>
      <c r="EQ88" s="528">
        <f t="shared" si="274"/>
        <v>0.87212719339022438</v>
      </c>
      <c r="ER88" s="460">
        <f t="shared" si="307"/>
        <v>872.12719339022442</v>
      </c>
      <c r="ES88" s="528">
        <f t="shared" si="308"/>
        <v>3.0938249999999994</v>
      </c>
      <c r="ET88" s="528"/>
      <c r="EV88" s="460">
        <f t="shared" si="309"/>
        <v>3093.8249999999994</v>
      </c>
      <c r="EW88" s="528">
        <f t="shared" si="275"/>
        <v>6.2733872340425503E-2</v>
      </c>
      <c r="EX88" s="528">
        <f t="shared" si="276"/>
        <v>1.2813727116342224</v>
      </c>
      <c r="EY88" s="528">
        <f t="shared" si="277"/>
        <v>1.1437475956681533</v>
      </c>
      <c r="EZ88" s="528">
        <f t="shared" si="278"/>
        <v>3.1490527640748414</v>
      </c>
      <c r="FA88" s="528">
        <f t="shared" si="279"/>
        <v>8.3000000000000004E-2</v>
      </c>
      <c r="FB88" s="460">
        <f t="shared" si="310"/>
        <v>3232.0527640748414</v>
      </c>
      <c r="FC88" s="173">
        <f t="shared" si="311"/>
        <v>7.1980049574650646</v>
      </c>
      <c r="FD88" s="5">
        <f t="shared" si="312"/>
        <v>19.919999999999998</v>
      </c>
      <c r="FE88" s="173">
        <f t="shared" si="313"/>
        <v>0.73456731168995559</v>
      </c>
      <c r="FF88" s="5">
        <f t="shared" si="314"/>
        <v>73.45673116899556</v>
      </c>
      <c r="FI88" s="562">
        <f t="shared" si="280"/>
        <v>-50</v>
      </c>
      <c r="FJ88">
        <f t="shared" si="281"/>
        <v>-50</v>
      </c>
      <c r="FL88">
        <f t="shared" si="282"/>
        <v>0.56074766355140171</v>
      </c>
    </row>
    <row r="89" spans="5:168">
      <c r="E89" s="170">
        <v>84</v>
      </c>
      <c r="F89" s="217">
        <f t="shared" si="283"/>
        <v>5.04</v>
      </c>
      <c r="G89" s="217"/>
      <c r="H89" s="217">
        <f t="shared" si="183"/>
        <v>20.16</v>
      </c>
      <c r="I89" s="541">
        <f t="shared" si="184"/>
        <v>23.903193913405964</v>
      </c>
      <c r="J89" s="172">
        <f t="shared" si="185"/>
        <v>19.901111885429781</v>
      </c>
      <c r="K89" s="172">
        <f t="shared" si="186"/>
        <v>43.901111885429785</v>
      </c>
      <c r="L89" s="443"/>
      <c r="M89" s="217">
        <f t="shared" si="187"/>
        <v>0.45403754356933584</v>
      </c>
      <c r="N89" s="172">
        <f t="shared" si="188"/>
        <v>36.502079916451606</v>
      </c>
      <c r="O89" s="172">
        <f t="shared" si="284"/>
        <v>20.16</v>
      </c>
      <c r="P89" s="217">
        <f t="shared" si="189"/>
        <v>9.1255199791129016</v>
      </c>
      <c r="Q89" s="217">
        <f t="shared" si="190"/>
        <v>4</v>
      </c>
      <c r="R89" s="217">
        <f t="shared" si="191"/>
        <v>9.0441228732536203</v>
      </c>
      <c r="S89" s="172">
        <f t="shared" si="192"/>
        <v>10.216383128840292</v>
      </c>
      <c r="T89" s="172">
        <f t="shared" si="193"/>
        <v>4</v>
      </c>
      <c r="U89" s="217">
        <f t="shared" si="194"/>
        <v>4.6157019962049963</v>
      </c>
      <c r="V89" s="217">
        <f t="shared" si="195"/>
        <v>2.3171976161476766</v>
      </c>
      <c r="W89" s="217">
        <f t="shared" si="196"/>
        <v>2.7831823806292721</v>
      </c>
      <c r="X89" s="197">
        <f t="shared" si="197"/>
        <v>350</v>
      </c>
      <c r="Y89" s="443">
        <f t="shared" si="198"/>
        <v>188.665718421713</v>
      </c>
      <c r="AA89" s="217">
        <f t="shared" si="199"/>
        <v>2.5856347953467718</v>
      </c>
      <c r="AB89" s="173">
        <f t="shared" si="200"/>
        <v>1.55908964899984</v>
      </c>
      <c r="AC89" s="173">
        <f t="shared" si="201"/>
        <v>2.8218655118632801</v>
      </c>
      <c r="AD89" s="173"/>
      <c r="AE89" s="173">
        <f t="shared" si="202"/>
        <v>0.80397517948301656</v>
      </c>
      <c r="AF89" s="545">
        <f t="shared" si="203"/>
        <v>2350.8188414663923</v>
      </c>
      <c r="AG89" s="528">
        <f t="shared" si="204"/>
        <v>0.7503768341841488</v>
      </c>
      <c r="AI89" s="173">
        <f t="shared" si="205"/>
        <v>3.455527041025416</v>
      </c>
      <c r="AJ89" s="173">
        <f t="shared" si="206"/>
        <v>4.6157019962049963</v>
      </c>
      <c r="AK89" s="173">
        <f t="shared" si="207"/>
        <v>3.6313841947197503</v>
      </c>
      <c r="AM89" s="545">
        <f t="shared" si="208"/>
        <v>5040</v>
      </c>
      <c r="AN89" s="460">
        <f t="shared" si="209"/>
        <v>188.665718421713</v>
      </c>
      <c r="AP89">
        <f t="shared" si="210"/>
        <v>5040</v>
      </c>
      <c r="AQ89">
        <f t="shared" si="211"/>
        <v>188.665718421713</v>
      </c>
      <c r="AS89" s="5">
        <f t="shared" si="285"/>
        <v>5.3003799967769494</v>
      </c>
      <c r="AT89" s="5">
        <f t="shared" si="212"/>
        <v>2.3171976161476766</v>
      </c>
      <c r="AU89" s="5">
        <f t="shared" si="286"/>
        <v>2.9831823806292728</v>
      </c>
      <c r="AV89" s="5">
        <f t="shared" si="213"/>
        <v>2.7831823806292721</v>
      </c>
      <c r="AW89" s="173">
        <f t="shared" si="287"/>
        <v>0.43717575297558214</v>
      </c>
      <c r="AX89" s="173">
        <f t="shared" si="214"/>
        <v>24.116804754442963</v>
      </c>
      <c r="AY89" s="173">
        <f t="shared" si="215"/>
        <v>5.1956580010063584</v>
      </c>
      <c r="AZ89" s="173">
        <f t="shared" si="288"/>
        <v>4.6417229058902114</v>
      </c>
      <c r="BA89" s="460">
        <f t="shared" si="216"/>
        <v>291.96689963460727</v>
      </c>
      <c r="BB89" s="5">
        <f t="shared" si="217"/>
        <v>2.096684826978862</v>
      </c>
      <c r="BC89" s="5"/>
      <c r="BD89" s="173">
        <f t="shared" si="289"/>
        <v>1.7619970123271143</v>
      </c>
      <c r="BE89" s="173">
        <f t="shared" si="218"/>
        <v>7.9969342470463447</v>
      </c>
      <c r="BF89" s="173"/>
      <c r="BG89" s="528">
        <f t="shared" si="219"/>
        <v>3.7876528351686055E-2</v>
      </c>
      <c r="BH89" s="528">
        <f t="shared" si="220"/>
        <v>0.71681576328636443</v>
      </c>
      <c r="BI89" s="528">
        <f t="shared" si="221"/>
        <v>0.11274283130615632</v>
      </c>
      <c r="BJ89" s="528">
        <f t="shared" si="222"/>
        <v>3.6361687764820252E-2</v>
      </c>
      <c r="BK89">
        <f t="shared" si="223"/>
        <v>1.0756437261032684E-2</v>
      </c>
      <c r="BL89" s="460">
        <f t="shared" si="290"/>
        <v>123.49926856718902</v>
      </c>
      <c r="BM89" s="528">
        <f t="shared" si="224"/>
        <v>0.80855722297966959</v>
      </c>
      <c r="BN89" s="460">
        <f t="shared" si="291"/>
        <v>808.55722297966963</v>
      </c>
      <c r="BO89" s="528">
        <f t="shared" si="225"/>
        <v>3.1310999999999996</v>
      </c>
      <c r="BP89" s="528"/>
      <c r="BR89" s="460">
        <f t="shared" si="292"/>
        <v>3131.0999999999995</v>
      </c>
      <c r="BS89" s="528">
        <f t="shared" si="226"/>
        <v>9.31390041434903E-2</v>
      </c>
      <c r="BT89" s="528">
        <f t="shared" si="227"/>
        <v>1.9185287205474806</v>
      </c>
      <c r="BU89" s="528">
        <f t="shared" si="228"/>
        <v>0.3024</v>
      </c>
      <c r="BV89" s="528">
        <f t="shared" si="229"/>
        <v>3.3333087487142907</v>
      </c>
      <c r="BW89" s="528">
        <f t="shared" si="230"/>
        <v>0.10048668647684571</v>
      </c>
      <c r="BX89" s="460">
        <f t="shared" si="293"/>
        <v>3433.7954351911362</v>
      </c>
      <c r="BY89" s="173">
        <f t="shared" si="231"/>
        <v>7.4969519267379949</v>
      </c>
      <c r="BZ89" s="5">
        <f t="shared" si="294"/>
        <v>20.16</v>
      </c>
      <c r="CA89" s="173">
        <f t="shared" si="295"/>
        <v>0.72893065198952223</v>
      </c>
      <c r="CB89" s="5">
        <f t="shared" si="296"/>
        <v>72.893065198952229</v>
      </c>
      <c r="CE89" s="562">
        <f t="shared" si="232"/>
        <v>-50</v>
      </c>
      <c r="CF89">
        <f t="shared" si="233"/>
        <v>-50</v>
      </c>
      <c r="CG89" s="173">
        <f t="shared" si="234"/>
        <v>0.54926298408261909</v>
      </c>
      <c r="CI89" s="170">
        <v>84</v>
      </c>
      <c r="CJ89" s="217">
        <f t="shared" si="297"/>
        <v>5.04</v>
      </c>
      <c r="CK89" s="217"/>
      <c r="CL89" s="217">
        <f t="shared" si="235"/>
        <v>20.16</v>
      </c>
      <c r="CM89" s="541">
        <f t="shared" si="236"/>
        <v>24</v>
      </c>
      <c r="CN89" s="172">
        <f t="shared" si="237"/>
        <v>18.8</v>
      </c>
      <c r="CO89" s="443">
        <f t="shared" si="238"/>
        <v>42.8</v>
      </c>
      <c r="CP89" s="443"/>
      <c r="CQ89" s="217">
        <f t="shared" si="239"/>
        <v>0.43925233644859818</v>
      </c>
      <c r="CR89" s="172">
        <f t="shared" si="240"/>
        <v>35.456448598130848</v>
      </c>
      <c r="CS89" s="172">
        <f t="shared" si="298"/>
        <v>20.16</v>
      </c>
      <c r="CT89" s="217">
        <f t="shared" si="241"/>
        <v>8.864112149532712</v>
      </c>
      <c r="CU89" s="217">
        <f t="shared" si="242"/>
        <v>4</v>
      </c>
      <c r="CV89" s="217">
        <f t="shared" si="243"/>
        <v>8.7850467289719631</v>
      </c>
      <c r="CW89" s="172">
        <f t="shared" si="244"/>
        <v>10.256355038746356</v>
      </c>
      <c r="CX89" s="172">
        <f t="shared" si="245"/>
        <v>4</v>
      </c>
      <c r="CY89" s="217">
        <f t="shared" si="246"/>
        <v>3.824680851063829</v>
      </c>
      <c r="CZ89" s="217">
        <f t="shared" si="247"/>
        <v>1.9123404255319145</v>
      </c>
      <c r="DA89" s="217">
        <f t="shared" si="248"/>
        <v>2.4412856496152098</v>
      </c>
      <c r="DB89" s="197">
        <f t="shared" si="249"/>
        <v>350</v>
      </c>
      <c r="DC89" s="443">
        <f t="shared" si="299"/>
        <v>229.69358937565772</v>
      </c>
      <c r="DE89" s="217">
        <f t="shared" si="250"/>
        <v>2.5100133511348464</v>
      </c>
      <c r="DF89" s="173">
        <f t="shared" si="251"/>
        <v>1.6021361815754336</v>
      </c>
      <c r="DG89" s="173">
        <f t="shared" si="252"/>
        <v>2.8149682442633783</v>
      </c>
      <c r="DH89" s="173"/>
      <c r="DI89" s="173">
        <f t="shared" si="253"/>
        <v>0.85106382978723416</v>
      </c>
      <c r="DJ89" s="545">
        <f t="shared" si="300"/>
        <v>2220.7499999999995</v>
      </c>
      <c r="DK89" s="528">
        <f t="shared" si="254"/>
        <v>0.79432624113475192</v>
      </c>
      <c r="DM89" s="173">
        <f t="shared" si="255"/>
        <v>3.3585711247493331</v>
      </c>
      <c r="DN89" s="173">
        <f t="shared" si="256"/>
        <v>3.824680851063829</v>
      </c>
      <c r="DO89" s="173">
        <f t="shared" si="257"/>
        <v>3.0454426057262927</v>
      </c>
      <c r="DQ89" s="545">
        <f t="shared" si="258"/>
        <v>5040</v>
      </c>
      <c r="DR89" s="460">
        <f t="shared" si="259"/>
        <v>229.69358937565772</v>
      </c>
      <c r="DT89">
        <f t="shared" si="260"/>
        <v>5040</v>
      </c>
      <c r="DU89">
        <f t="shared" si="261"/>
        <v>229.69358937565772</v>
      </c>
      <c r="DW89" s="5">
        <f t="shared" si="301"/>
        <v>4.3536260751471252</v>
      </c>
      <c r="DX89" s="5">
        <f t="shared" si="262"/>
        <v>1.9123404255319145</v>
      </c>
      <c r="DY89" s="5">
        <f t="shared" si="302"/>
        <v>2.4412856496152107</v>
      </c>
      <c r="DZ89" s="5">
        <f t="shared" si="263"/>
        <v>2.4412856496152098</v>
      </c>
      <c r="EA89" s="173">
        <f t="shared" si="303"/>
        <v>0.43925233644859807</v>
      </c>
      <c r="EB89" s="173">
        <f t="shared" si="264"/>
        <v>20.159999999999997</v>
      </c>
      <c r="EC89" s="173">
        <f t="shared" si="265"/>
        <v>4.2893617021276595</v>
      </c>
      <c r="ED89" s="173">
        <f t="shared" si="304"/>
        <v>4.6999999999999993</v>
      </c>
      <c r="EE89" s="460">
        <f t="shared" si="266"/>
        <v>240.95489361702124</v>
      </c>
      <c r="EF89" s="5">
        <f t="shared" si="267"/>
        <v>1.7088999547306474</v>
      </c>
      <c r="EG89" s="5"/>
      <c r="EH89" s="173">
        <f t="shared" si="305"/>
        <v>1.4634962509674372</v>
      </c>
      <c r="EI89" s="173">
        <f t="shared" si="268"/>
        <v>6.6142149073873133</v>
      </c>
      <c r="EJ89" s="173"/>
      <c r="EK89" s="528">
        <f t="shared" si="269"/>
        <v>2.6130219574468073E-2</v>
      </c>
      <c r="EL89" s="528">
        <f t="shared" si="270"/>
        <v>0.752</v>
      </c>
      <c r="EM89" s="528">
        <f t="shared" si="271"/>
        <v>2.8711698671957213E-2</v>
      </c>
      <c r="EN89" s="528">
        <f t="shared" si="272"/>
        <v>4.2076190476190482E-2</v>
      </c>
      <c r="EO89">
        <f t="shared" si="273"/>
        <v>1.0800000000000001E-2</v>
      </c>
      <c r="EP89" s="460">
        <f t="shared" si="306"/>
        <v>39.511698671957213</v>
      </c>
      <c r="EQ89" s="528">
        <f t="shared" si="274"/>
        <v>0.87218828400555348</v>
      </c>
      <c r="ER89" s="460">
        <f t="shared" si="307"/>
        <v>872.18828400555344</v>
      </c>
      <c r="ES89" s="528">
        <f t="shared" si="308"/>
        <v>3.1310999999999996</v>
      </c>
      <c r="ET89" s="528"/>
      <c r="EV89" s="460">
        <f t="shared" si="309"/>
        <v>3131.0999999999995</v>
      </c>
      <c r="EW89" s="528">
        <f t="shared" si="275"/>
        <v>6.4254638297872313E-2</v>
      </c>
      <c r="EX89" s="528">
        <f t="shared" si="276"/>
        <v>1.312435165233137</v>
      </c>
      <c r="EY89" s="528">
        <f t="shared" si="277"/>
        <v>1.1437475956681524</v>
      </c>
      <c r="EZ89" s="528">
        <f t="shared" si="278"/>
        <v>3.2036809430968471</v>
      </c>
      <c r="FA89" s="528">
        <f t="shared" si="279"/>
        <v>8.3999999999999977E-2</v>
      </c>
      <c r="FB89" s="460">
        <f t="shared" si="310"/>
        <v>3287.6809430968474</v>
      </c>
      <c r="FC89" s="173">
        <f t="shared" si="311"/>
        <v>7.2909692271023996</v>
      </c>
      <c r="FD89" s="5">
        <f t="shared" si="312"/>
        <v>20.16</v>
      </c>
      <c r="FE89" s="173">
        <f t="shared" si="313"/>
        <v>0.73440029870041856</v>
      </c>
      <c r="FF89" s="5">
        <f t="shared" si="314"/>
        <v>73.440029870041855</v>
      </c>
      <c r="FI89" s="562">
        <f t="shared" si="280"/>
        <v>-50</v>
      </c>
      <c r="FJ89">
        <f t="shared" si="281"/>
        <v>-50</v>
      </c>
      <c r="FL89">
        <f t="shared" si="282"/>
        <v>0.56074766355140193</v>
      </c>
    </row>
    <row r="90" spans="5:168">
      <c r="E90" s="170">
        <v>85</v>
      </c>
      <c r="F90" s="217">
        <f t="shared" si="283"/>
        <v>5.0999999999999996</v>
      </c>
      <c r="G90" s="217"/>
      <c r="H90" s="217">
        <f t="shared" si="183"/>
        <v>20.399999999999999</v>
      </c>
      <c r="I90" s="541">
        <f t="shared" si="184"/>
        <v>23.902065551009528</v>
      </c>
      <c r="J90" s="172">
        <f t="shared" si="185"/>
        <v>19.913946339228101</v>
      </c>
      <c r="K90" s="172">
        <f t="shared" si="186"/>
        <v>43.913946339228104</v>
      </c>
      <c r="L90" s="443"/>
      <c r="M90" s="217">
        <f t="shared" si="187"/>
        <v>0.45420931524204211</v>
      </c>
      <c r="N90" s="172">
        <f t="shared" si="188"/>
        <v>36.514165647451975</v>
      </c>
      <c r="O90" s="172">
        <f t="shared" si="284"/>
        <v>20.399999999999999</v>
      </c>
      <c r="P90" s="217">
        <f t="shared" si="189"/>
        <v>9.1285414118629937</v>
      </c>
      <c r="Q90" s="217">
        <f t="shared" si="190"/>
        <v>4</v>
      </c>
      <c r="R90" s="217">
        <f t="shared" si="191"/>
        <v>9.0471173556620368</v>
      </c>
      <c r="S90" s="172">
        <f t="shared" si="192"/>
        <v>10.036346883037593</v>
      </c>
      <c r="T90" s="172">
        <f t="shared" si="193"/>
        <v>4</v>
      </c>
      <c r="U90" s="217">
        <f t="shared" si="194"/>
        <v>4.6721207803882736</v>
      </c>
      <c r="V90" s="217">
        <f t="shared" si="195"/>
        <v>2.3456319808432333</v>
      </c>
      <c r="W90" s="217">
        <f t="shared" si="196"/>
        <v>2.8153861826079662</v>
      </c>
      <c r="X90" s="197">
        <f t="shared" si="197"/>
        <v>350</v>
      </c>
      <c r="Y90" s="443">
        <f t="shared" si="198"/>
        <v>186.53173138220478</v>
      </c>
      <c r="AA90" s="217">
        <f t="shared" si="199"/>
        <v>2.5864889625710168</v>
      </c>
      <c r="AB90" s="173">
        <f t="shared" si="200"/>
        <v>1.5585995373358672</v>
      </c>
      <c r="AC90" s="173">
        <f t="shared" si="201"/>
        <v>2.8219103502712595</v>
      </c>
      <c r="AD90" s="173"/>
      <c r="AE90" s="173">
        <f t="shared" si="202"/>
        <v>0.80345702089604965</v>
      </c>
      <c r="AF90" s="545">
        <f t="shared" si="203"/>
        <v>2380.3388983608579</v>
      </c>
      <c r="AG90" s="528">
        <f t="shared" si="204"/>
        <v>0.74989321950297971</v>
      </c>
      <c r="AI90" s="173">
        <f t="shared" si="205"/>
        <v>3.4771554865131482</v>
      </c>
      <c r="AJ90" s="173">
        <f t="shared" si="206"/>
        <v>4.6721207803882736</v>
      </c>
      <c r="AK90" s="173">
        <f t="shared" si="207"/>
        <v>3.6731758867073632</v>
      </c>
      <c r="AM90" s="545">
        <f t="shared" si="208"/>
        <v>5100</v>
      </c>
      <c r="AN90" s="460">
        <f t="shared" si="209"/>
        <v>186.53173138220478</v>
      </c>
      <c r="AP90">
        <f t="shared" si="210"/>
        <v>5100</v>
      </c>
      <c r="AQ90">
        <f t="shared" si="211"/>
        <v>186.53173138220478</v>
      </c>
      <c r="AS90" s="5">
        <f t="shared" si="285"/>
        <v>5.3610181634511997</v>
      </c>
      <c r="AT90" s="5">
        <f t="shared" si="212"/>
        <v>2.3456319808432333</v>
      </c>
      <c r="AU90" s="5">
        <f t="shared" si="286"/>
        <v>3.0153861826079664</v>
      </c>
      <c r="AV90" s="5">
        <f t="shared" si="213"/>
        <v>2.8153861826079662</v>
      </c>
      <c r="AW90" s="173">
        <f t="shared" si="287"/>
        <v>0.43753479457215894</v>
      </c>
      <c r="AX90" s="173">
        <f t="shared" si="214"/>
        <v>24.430485315666438</v>
      </c>
      <c r="AY90" s="173">
        <f t="shared" si="215"/>
        <v>5.2558107490495507</v>
      </c>
      <c r="AZ90" s="173">
        <f t="shared" si="288"/>
        <v>4.6482810135590205</v>
      </c>
      <c r="BA90" s="460">
        <f t="shared" si="216"/>
        <v>299.0680775575122</v>
      </c>
      <c r="BB90" s="5">
        <f t="shared" si="217"/>
        <v>2.1446500092194056</v>
      </c>
      <c r="BC90" s="5"/>
      <c r="BD90" s="173">
        <f t="shared" si="289"/>
        <v>1.7842665418713557</v>
      </c>
      <c r="BE90" s="173">
        <f t="shared" si="218"/>
        <v>8.0921002825261574</v>
      </c>
      <c r="BF90" s="173"/>
      <c r="BG90" s="528">
        <f t="shared" si="219"/>
        <v>3.8840006527787102E-2</v>
      </c>
      <c r="BH90" s="528">
        <f t="shared" si="220"/>
        <v>0.71758032354441714</v>
      </c>
      <c r="BI90" s="528">
        <f t="shared" si="221"/>
        <v>0.11146234177101898</v>
      </c>
      <c r="BJ90" s="528">
        <f t="shared" si="222"/>
        <v>3.5971426029326486E-2</v>
      </c>
      <c r="BK90">
        <f t="shared" si="223"/>
        <v>1.0755929497954288E-2</v>
      </c>
      <c r="BL90" s="460">
        <f t="shared" si="290"/>
        <v>122.21827126897327</v>
      </c>
      <c r="BM90" s="528">
        <f t="shared" si="224"/>
        <v>0.81035684324741342</v>
      </c>
      <c r="BN90" s="460">
        <f t="shared" si="291"/>
        <v>810.35684324741339</v>
      </c>
      <c r="BO90" s="528">
        <f t="shared" si="225"/>
        <v>3.1683749999999993</v>
      </c>
      <c r="BP90" s="528"/>
      <c r="BR90" s="460">
        <f t="shared" si="292"/>
        <v>3168.3749999999991</v>
      </c>
      <c r="BS90" s="528">
        <f t="shared" si="226"/>
        <v>9.5508212773246989E-2</v>
      </c>
      <c r="BT90" s="528">
        <f t="shared" si="227"/>
        <v>1.9644626094737976</v>
      </c>
      <c r="BU90" s="528">
        <f t="shared" si="228"/>
        <v>0.30599999999999999</v>
      </c>
      <c r="BV90" s="528">
        <f t="shared" si="229"/>
        <v>3.4247555381377555</v>
      </c>
      <c r="BW90" s="528">
        <f t="shared" si="230"/>
        <v>0.10179368881527684</v>
      </c>
      <c r="BX90" s="460">
        <f t="shared" si="293"/>
        <v>3526.5492269530323</v>
      </c>
      <c r="BY90" s="173">
        <f t="shared" si="231"/>
        <v>7.6274993414694183</v>
      </c>
      <c r="BZ90" s="5">
        <f t="shared" si="294"/>
        <v>20.399999999999999</v>
      </c>
      <c r="CA90" s="173">
        <f t="shared" si="295"/>
        <v>0.72785658654235386</v>
      </c>
      <c r="CB90" s="5">
        <f t="shared" si="296"/>
        <v>72.785658654235391</v>
      </c>
      <c r="CE90" s="562">
        <f t="shared" si="232"/>
        <v>-50</v>
      </c>
      <c r="CF90">
        <f t="shared" si="233"/>
        <v>-50</v>
      </c>
      <c r="CG90" s="173">
        <f t="shared" si="234"/>
        <v>0.54939809795872241</v>
      </c>
      <c r="CI90" s="170">
        <v>85</v>
      </c>
      <c r="CJ90" s="217">
        <f t="shared" si="297"/>
        <v>5.0999999999999996</v>
      </c>
      <c r="CK90" s="217"/>
      <c r="CL90" s="217">
        <f t="shared" si="235"/>
        <v>20.399999999999999</v>
      </c>
      <c r="CM90" s="541">
        <f t="shared" si="236"/>
        <v>24</v>
      </c>
      <c r="CN90" s="172">
        <f t="shared" si="237"/>
        <v>18.8</v>
      </c>
      <c r="CO90" s="443">
        <f t="shared" si="238"/>
        <v>42.8</v>
      </c>
      <c r="CP90" s="443"/>
      <c r="CQ90" s="217">
        <f t="shared" si="239"/>
        <v>0.43925233644859818</v>
      </c>
      <c r="CR90" s="172">
        <f t="shared" si="240"/>
        <v>35.456448598130848</v>
      </c>
      <c r="CS90" s="172">
        <f t="shared" si="298"/>
        <v>20.399999999999999</v>
      </c>
      <c r="CT90" s="217">
        <f t="shared" si="241"/>
        <v>8.864112149532712</v>
      </c>
      <c r="CU90" s="217">
        <f t="shared" si="242"/>
        <v>4</v>
      </c>
      <c r="CV90" s="217">
        <f t="shared" si="243"/>
        <v>8.7850467289719631</v>
      </c>
      <c r="CW90" s="172">
        <f t="shared" si="244"/>
        <v>10.076028490476114</v>
      </c>
      <c r="CX90" s="172">
        <f t="shared" si="245"/>
        <v>4</v>
      </c>
      <c r="CY90" s="217">
        <f t="shared" si="246"/>
        <v>3.8702127659574459</v>
      </c>
      <c r="CZ90" s="217">
        <f t="shared" si="247"/>
        <v>1.9351063829787232</v>
      </c>
      <c r="DA90" s="217">
        <f t="shared" si="248"/>
        <v>2.4703485740153912</v>
      </c>
      <c r="DB90" s="197">
        <f t="shared" si="249"/>
        <v>350</v>
      </c>
      <c r="DC90" s="443">
        <f t="shared" si="299"/>
        <v>226.99131185359113</v>
      </c>
      <c r="DE90" s="217">
        <f t="shared" si="250"/>
        <v>2.5100133511348464</v>
      </c>
      <c r="DF90" s="173">
        <f t="shared" si="251"/>
        <v>1.6021361815754336</v>
      </c>
      <c r="DG90" s="173">
        <f t="shared" si="252"/>
        <v>2.8149682442633783</v>
      </c>
      <c r="DH90" s="173"/>
      <c r="DI90" s="173">
        <f t="shared" si="253"/>
        <v>0.85106382978723416</v>
      </c>
      <c r="DJ90" s="545">
        <f t="shared" si="300"/>
        <v>2247.1874999999995</v>
      </c>
      <c r="DK90" s="528">
        <f t="shared" si="254"/>
        <v>0.79432624113475192</v>
      </c>
      <c r="DM90" s="173">
        <f t="shared" si="255"/>
        <v>3.3785034725874881</v>
      </c>
      <c r="DN90" s="173">
        <f t="shared" si="256"/>
        <v>3.8702127659574459</v>
      </c>
      <c r="DO90" s="173">
        <f t="shared" si="257"/>
        <v>3.0791699500919352</v>
      </c>
      <c r="DQ90" s="545">
        <f t="shared" si="258"/>
        <v>5100</v>
      </c>
      <c r="DR90" s="460">
        <f t="shared" si="259"/>
        <v>226.99131185359113</v>
      </c>
      <c r="DT90">
        <f t="shared" si="260"/>
        <v>5100</v>
      </c>
      <c r="DU90">
        <f t="shared" si="261"/>
        <v>226.99131185359113</v>
      </c>
      <c r="DW90" s="5">
        <f t="shared" si="301"/>
        <v>4.4054549569941148</v>
      </c>
      <c r="DX90" s="5">
        <f t="shared" si="262"/>
        <v>1.9351063829787232</v>
      </c>
      <c r="DY90" s="5">
        <f t="shared" si="302"/>
        <v>2.4703485740153917</v>
      </c>
      <c r="DZ90" s="5">
        <f t="shared" si="263"/>
        <v>2.4703485740153912</v>
      </c>
      <c r="EA90" s="173">
        <f t="shared" si="303"/>
        <v>0.43925233644859807</v>
      </c>
      <c r="EB90" s="173">
        <f t="shared" si="264"/>
        <v>20.399999999999991</v>
      </c>
      <c r="EC90" s="173">
        <f t="shared" si="265"/>
        <v>4.3404255319148932</v>
      </c>
      <c r="ED90" s="173">
        <f t="shared" si="304"/>
        <v>4.6999999999999984</v>
      </c>
      <c r="EE90" s="460">
        <f t="shared" si="266"/>
        <v>246.72606382978717</v>
      </c>
      <c r="EF90" s="5">
        <f t="shared" si="267"/>
        <v>1.7498302399275687</v>
      </c>
      <c r="EG90" s="5"/>
      <c r="EH90" s="173">
        <f t="shared" si="305"/>
        <v>1.480918825383716</v>
      </c>
      <c r="EI90" s="173">
        <f t="shared" si="268"/>
        <v>6.6929555610466851</v>
      </c>
      <c r="EJ90" s="173"/>
      <c r="EK90" s="528">
        <f t="shared" si="269"/>
        <v>2.6756070921985793E-2</v>
      </c>
      <c r="EL90" s="528">
        <f t="shared" si="270"/>
        <v>0.75199999999999967</v>
      </c>
      <c r="EM90" s="528">
        <f t="shared" si="271"/>
        <v>2.8373913981698889E-2</v>
      </c>
      <c r="EN90" s="528">
        <f t="shared" si="272"/>
        <v>4.1581176470588233E-2</v>
      </c>
      <c r="EO90">
        <f t="shared" si="273"/>
        <v>1.0800000000000001E-2</v>
      </c>
      <c r="EP90" s="460">
        <f t="shared" si="306"/>
        <v>39.173913981698895</v>
      </c>
      <c r="EQ90" s="528">
        <f t="shared" si="274"/>
        <v>0.8722805997813784</v>
      </c>
      <c r="ER90" s="460">
        <f t="shared" si="307"/>
        <v>872.28059978137844</v>
      </c>
      <c r="ES90" s="528">
        <f t="shared" si="308"/>
        <v>3.1683749999999993</v>
      </c>
      <c r="ET90" s="528"/>
      <c r="EV90" s="460">
        <f t="shared" si="309"/>
        <v>3168.3749999999991</v>
      </c>
      <c r="EW90" s="528">
        <f t="shared" si="275"/>
        <v>6.5793617021276549E-2</v>
      </c>
      <c r="EX90" s="528">
        <f t="shared" si="276"/>
        <v>1.3438696242643724</v>
      </c>
      <c r="EY90" s="528">
        <f t="shared" si="277"/>
        <v>1.143747595668154</v>
      </c>
      <c r="EZ90" s="528">
        <f t="shared" si="278"/>
        <v>3.2592901344836878</v>
      </c>
      <c r="FA90" s="528">
        <f t="shared" si="279"/>
        <v>8.4999999999999978E-2</v>
      </c>
      <c r="FB90" s="460">
        <f t="shared" si="310"/>
        <v>3344.2901344836878</v>
      </c>
      <c r="FC90" s="173">
        <f t="shared" si="311"/>
        <v>7.3849457342650657</v>
      </c>
      <c r="FD90" s="5">
        <f t="shared" si="312"/>
        <v>20.399999999999999</v>
      </c>
      <c r="FE90" s="173">
        <f t="shared" si="313"/>
        <v>0.7342105395887899</v>
      </c>
      <c r="FF90" s="5">
        <f t="shared" si="314"/>
        <v>73.421053958878986</v>
      </c>
      <c r="FI90" s="562">
        <f t="shared" si="280"/>
        <v>-50</v>
      </c>
      <c r="FJ90">
        <f t="shared" si="281"/>
        <v>-50</v>
      </c>
      <c r="FL90">
        <f t="shared" si="282"/>
        <v>0.56074766355140193</v>
      </c>
    </row>
    <row r="91" spans="5:168">
      <c r="E91" s="170">
        <v>86</v>
      </c>
      <c r="F91" s="217">
        <f t="shared" si="283"/>
        <v>5.16</v>
      </c>
      <c r="G91" s="217"/>
      <c r="H91" s="217">
        <f t="shared" si="183"/>
        <v>20.64</v>
      </c>
      <c r="I91" s="541">
        <f t="shared" si="184"/>
        <v>23.900937177042</v>
      </c>
      <c r="J91" s="172">
        <f t="shared" si="185"/>
        <v>19.926780924640763</v>
      </c>
      <c r="K91" s="172">
        <f t="shared" si="186"/>
        <v>43.926780924640767</v>
      </c>
      <c r="L91" s="443"/>
      <c r="M91" s="217">
        <f t="shared" si="187"/>
        <v>0.45438099518592251</v>
      </c>
      <c r="N91" s="172">
        <f t="shared" si="188"/>
        <v>36.526242683213269</v>
      </c>
      <c r="O91" s="172">
        <f t="shared" si="284"/>
        <v>20.64</v>
      </c>
      <c r="P91" s="217">
        <f t="shared" si="189"/>
        <v>9.1315606708033172</v>
      </c>
      <c r="Q91" s="217">
        <f t="shared" si="190"/>
        <v>4</v>
      </c>
      <c r="R91" s="217">
        <f t="shared" si="191"/>
        <v>9.0501096836504633</v>
      </c>
      <c r="S91" s="172">
        <f t="shared" si="192"/>
        <v>9.860706704313591</v>
      </c>
      <c r="T91" s="172">
        <f t="shared" si="193"/>
        <v>4</v>
      </c>
      <c r="U91" s="217">
        <f t="shared" si="194"/>
        <v>4.7285742931171324</v>
      </c>
      <c r="V91" s="217">
        <f t="shared" si="195"/>
        <v>2.3740864677017712</v>
      </c>
      <c r="W91" s="217">
        <f t="shared" si="196"/>
        <v>2.8475693957792902</v>
      </c>
      <c r="X91" s="197">
        <f t="shared" si="197"/>
        <v>350</v>
      </c>
      <c r="Y91" s="443">
        <f t="shared" si="198"/>
        <v>184.44549509970815</v>
      </c>
      <c r="AA91" s="217">
        <f t="shared" si="199"/>
        <v>2.5873425249135913</v>
      </c>
      <c r="AB91" s="173">
        <f t="shared" si="200"/>
        <v>1.5581096824610585</v>
      </c>
      <c r="AC91" s="173">
        <f t="shared" si="201"/>
        <v>2.8219544079377767</v>
      </c>
      <c r="AD91" s="173"/>
      <c r="AE91" s="173">
        <f t="shared" si="202"/>
        <v>0.80293952447758188</v>
      </c>
      <c r="AF91" s="545">
        <f t="shared" si="203"/>
        <v>2409.8950680737416</v>
      </c>
      <c r="AG91" s="528">
        <f t="shared" si="204"/>
        <v>0.74941022284574321</v>
      </c>
      <c r="AI91" s="173">
        <f t="shared" si="205"/>
        <v>3.4986764431293014</v>
      </c>
      <c r="AJ91" s="173">
        <f t="shared" si="206"/>
        <v>4.7285742931171324</v>
      </c>
      <c r="AK91" s="173">
        <f t="shared" si="207"/>
        <v>3.7149933035435545</v>
      </c>
      <c r="AM91" s="545">
        <f t="shared" si="208"/>
        <v>5160</v>
      </c>
      <c r="AN91" s="460">
        <f t="shared" si="209"/>
        <v>184.44549509970815</v>
      </c>
      <c r="AP91">
        <f t="shared" si="210"/>
        <v>5160</v>
      </c>
      <c r="AQ91">
        <f t="shared" si="211"/>
        <v>184.44549509970815</v>
      </c>
      <c r="AS91" s="5">
        <f t="shared" si="285"/>
        <v>5.4216558634810612</v>
      </c>
      <c r="AT91" s="5">
        <f t="shared" si="212"/>
        <v>2.3740864677017712</v>
      </c>
      <c r="AU91" s="5">
        <f t="shared" si="286"/>
        <v>3.04756939577929</v>
      </c>
      <c r="AV91" s="5">
        <f t="shared" si="213"/>
        <v>2.8475693957792902</v>
      </c>
      <c r="AW91" s="173">
        <f t="shared" si="287"/>
        <v>0.43788955394477047</v>
      </c>
      <c r="AX91" s="173">
        <f t="shared" si="214"/>
        <v>24.74456004793927</v>
      </c>
      <c r="AY91" s="173">
        <f t="shared" si="215"/>
        <v>5.3159620102187262</v>
      </c>
      <c r="AZ91" s="173">
        <f t="shared" si="288"/>
        <v>4.6547661552835571</v>
      </c>
      <c r="BA91" s="460">
        <f t="shared" si="216"/>
        <v>306.25715433352849</v>
      </c>
      <c r="BB91" s="5">
        <f t="shared" si="217"/>
        <v>2.1931438595535067</v>
      </c>
      <c r="BC91" s="5"/>
      <c r="BD91" s="173">
        <f t="shared" si="289"/>
        <v>1.8065578866243965</v>
      </c>
      <c r="BE91" s="173">
        <f t="shared" si="218"/>
        <v>8.1872944338094253</v>
      </c>
      <c r="BF91" s="173"/>
      <c r="BG91" s="528">
        <f t="shared" si="219"/>
        <v>3.9816547052242628E-2</v>
      </c>
      <c r="BH91" s="528">
        <f t="shared" si="220"/>
        <v>0.71833812961115395</v>
      </c>
      <c r="BI91" s="528">
        <f t="shared" si="221"/>
        <v>0.11021050477416329</v>
      </c>
      <c r="BJ91" s="528">
        <f t="shared" si="222"/>
        <v>3.558990336141471E-2</v>
      </c>
      <c r="BK91">
        <f t="shared" si="223"/>
        <v>1.0755421729668899E-2</v>
      </c>
      <c r="BL91" s="460">
        <f t="shared" si="290"/>
        <v>120.96592650383218</v>
      </c>
      <c r="BM91" s="528">
        <f t="shared" si="224"/>
        <v>0.81217859148047233</v>
      </c>
      <c r="BN91" s="460">
        <f t="shared" si="291"/>
        <v>812.17859148047228</v>
      </c>
      <c r="BO91" s="528">
        <f t="shared" si="225"/>
        <v>3.2056499999999994</v>
      </c>
      <c r="BP91" s="528"/>
      <c r="BR91" s="460">
        <f t="shared" si="292"/>
        <v>3205.6499999999996</v>
      </c>
      <c r="BS91" s="528">
        <f t="shared" si="226"/>
        <v>9.7909541931744171E-2</v>
      </c>
      <c r="BT91" s="528">
        <f t="shared" si="227"/>
        <v>2.0109537043766039</v>
      </c>
      <c r="BU91" s="528">
        <f t="shared" si="228"/>
        <v>0.30959999999999999</v>
      </c>
      <c r="BV91" s="528">
        <f t="shared" si="229"/>
        <v>3.5181309980153697</v>
      </c>
      <c r="BW91" s="528">
        <f t="shared" si="230"/>
        <v>0.10310233353308029</v>
      </c>
      <c r="BX91" s="460">
        <f t="shared" si="293"/>
        <v>3621.2333315484502</v>
      </c>
      <c r="BY91" s="173">
        <f t="shared" si="231"/>
        <v>7.7600278495327526</v>
      </c>
      <c r="BZ91" s="5">
        <f t="shared" si="294"/>
        <v>20.64</v>
      </c>
      <c r="CA91" s="173">
        <f t="shared" si="295"/>
        <v>0.72675985070696247</v>
      </c>
      <c r="CB91" s="5">
        <f t="shared" si="296"/>
        <v>72.675985070696242</v>
      </c>
      <c r="CE91" s="562">
        <f t="shared" si="232"/>
        <v>-50</v>
      </c>
      <c r="CF91">
        <f t="shared" si="233"/>
        <v>-50</v>
      </c>
      <c r="CG91" s="173">
        <f t="shared" si="234"/>
        <v>0.5495300696516604</v>
      </c>
      <c r="CI91" s="170">
        <v>86</v>
      </c>
      <c r="CJ91" s="217">
        <f t="shared" si="297"/>
        <v>5.16</v>
      </c>
      <c r="CK91" s="217"/>
      <c r="CL91" s="217">
        <f t="shared" si="235"/>
        <v>20.64</v>
      </c>
      <c r="CM91" s="541">
        <f t="shared" si="236"/>
        <v>24</v>
      </c>
      <c r="CN91" s="172">
        <f t="shared" si="237"/>
        <v>18.8</v>
      </c>
      <c r="CO91" s="443">
        <f t="shared" si="238"/>
        <v>42.8</v>
      </c>
      <c r="CP91" s="443"/>
      <c r="CQ91" s="217">
        <f t="shared" si="239"/>
        <v>0.43925233644859818</v>
      </c>
      <c r="CR91" s="172">
        <f t="shared" si="240"/>
        <v>35.456448598130848</v>
      </c>
      <c r="CS91" s="172">
        <f t="shared" si="298"/>
        <v>20.64</v>
      </c>
      <c r="CT91" s="217">
        <f t="shared" si="241"/>
        <v>8.864112149532712</v>
      </c>
      <c r="CU91" s="217">
        <f t="shared" si="242"/>
        <v>4</v>
      </c>
      <c r="CV91" s="217">
        <f t="shared" si="243"/>
        <v>8.7850467289719631</v>
      </c>
      <c r="CW91" s="172">
        <f t="shared" si="244"/>
        <v>9.900098694919599</v>
      </c>
      <c r="CX91" s="172">
        <f t="shared" si="245"/>
        <v>4</v>
      </c>
      <c r="CY91" s="217">
        <f t="shared" si="246"/>
        <v>3.9157446808510632</v>
      </c>
      <c r="CZ91" s="217">
        <f t="shared" si="247"/>
        <v>1.9578723404255316</v>
      </c>
      <c r="DA91" s="217">
        <f t="shared" si="248"/>
        <v>2.4994114984155722</v>
      </c>
      <c r="DB91" s="197">
        <f t="shared" si="249"/>
        <v>350</v>
      </c>
      <c r="DC91" s="443">
        <f t="shared" si="299"/>
        <v>224.35187799482847</v>
      </c>
      <c r="DE91" s="217">
        <f t="shared" si="250"/>
        <v>2.5100133511348464</v>
      </c>
      <c r="DF91" s="173">
        <f t="shared" si="251"/>
        <v>1.6021361815754336</v>
      </c>
      <c r="DG91" s="173">
        <f t="shared" si="252"/>
        <v>2.8149682442633783</v>
      </c>
      <c r="DH91" s="173"/>
      <c r="DI91" s="173">
        <f t="shared" si="253"/>
        <v>0.85106382978723416</v>
      </c>
      <c r="DJ91" s="545">
        <f t="shared" si="300"/>
        <v>2273.6249999999995</v>
      </c>
      <c r="DK91" s="528">
        <f t="shared" si="254"/>
        <v>0.79432624113475192</v>
      </c>
      <c r="DM91" s="173">
        <f t="shared" si="255"/>
        <v>3.3983189121345614</v>
      </c>
      <c r="DN91" s="173">
        <f t="shared" si="256"/>
        <v>3.9157446808510632</v>
      </c>
      <c r="DO91" s="173">
        <f t="shared" si="257"/>
        <v>3.1128972944575777</v>
      </c>
      <c r="DQ91" s="545">
        <f t="shared" si="258"/>
        <v>5160</v>
      </c>
      <c r="DR91" s="460">
        <f t="shared" si="259"/>
        <v>224.35187799482847</v>
      </c>
      <c r="DT91">
        <f t="shared" si="260"/>
        <v>5160</v>
      </c>
      <c r="DU91">
        <f t="shared" si="261"/>
        <v>224.35187799482847</v>
      </c>
      <c r="DW91" s="5">
        <f t="shared" si="301"/>
        <v>4.4572838388411036</v>
      </c>
      <c r="DX91" s="5">
        <f t="shared" si="262"/>
        <v>1.9578723404255316</v>
      </c>
      <c r="DY91" s="5">
        <f t="shared" si="302"/>
        <v>2.4994114984155722</v>
      </c>
      <c r="DZ91" s="5">
        <f t="shared" si="263"/>
        <v>2.4994114984155722</v>
      </c>
      <c r="EA91" s="173">
        <f t="shared" si="303"/>
        <v>0.43925233644859818</v>
      </c>
      <c r="EB91" s="173">
        <f t="shared" si="264"/>
        <v>20.639999999999993</v>
      </c>
      <c r="EC91" s="173">
        <f t="shared" si="265"/>
        <v>4.3914893617021269</v>
      </c>
      <c r="ED91" s="173">
        <f t="shared" si="304"/>
        <v>4.6999999999999993</v>
      </c>
      <c r="EE91" s="460">
        <f t="shared" si="266"/>
        <v>252.56553191489357</v>
      </c>
      <c r="EF91" s="5">
        <f t="shared" si="267"/>
        <v>1.7912449071978265</v>
      </c>
      <c r="EG91" s="5"/>
      <c r="EH91" s="173">
        <f t="shared" si="305"/>
        <v>1.4983413997999955</v>
      </c>
      <c r="EI91" s="173">
        <f t="shared" si="268"/>
        <v>6.7716962147060578</v>
      </c>
      <c r="EJ91" s="173"/>
      <c r="EK91" s="528">
        <f t="shared" si="269"/>
        <v>2.7389328794326238E-2</v>
      </c>
      <c r="EL91" s="528">
        <f t="shared" si="270"/>
        <v>0.752</v>
      </c>
      <c r="EM91" s="528">
        <f t="shared" si="271"/>
        <v>2.8043984749353559E-2</v>
      </c>
      <c r="EN91" s="528">
        <f t="shared" si="272"/>
        <v>4.1097674418604652E-2</v>
      </c>
      <c r="EO91">
        <f t="shared" si="273"/>
        <v>1.0800000000000001E-2</v>
      </c>
      <c r="EP91" s="460">
        <f t="shared" si="306"/>
        <v>38.843984749353567</v>
      </c>
      <c r="EQ91" s="528">
        <f t="shared" si="274"/>
        <v>0.87240345061693236</v>
      </c>
      <c r="ER91" s="460">
        <f t="shared" si="307"/>
        <v>872.40345061693233</v>
      </c>
      <c r="ES91" s="528">
        <f t="shared" si="308"/>
        <v>3.2056499999999994</v>
      </c>
      <c r="ET91" s="528"/>
      <c r="EV91" s="460">
        <f t="shared" si="309"/>
        <v>3205.6499999999996</v>
      </c>
      <c r="EW91" s="528">
        <f t="shared" si="275"/>
        <v>6.7350808510638294E-2</v>
      </c>
      <c r="EX91" s="528">
        <f t="shared" si="276"/>
        <v>1.3756760887279305</v>
      </c>
      <c r="EY91" s="528">
        <f t="shared" si="277"/>
        <v>1.143747595668154</v>
      </c>
      <c r="EZ91" s="528">
        <f t="shared" si="278"/>
        <v>3.3158950023938396</v>
      </c>
      <c r="FA91" s="528">
        <f t="shared" si="279"/>
        <v>8.6000000000000007E-2</v>
      </c>
      <c r="FB91" s="460">
        <f t="shared" si="310"/>
        <v>3401.8950023938396</v>
      </c>
      <c r="FC91" s="173">
        <f t="shared" si="311"/>
        <v>7.4799484530107723</v>
      </c>
      <c r="FD91" s="5">
        <f t="shared" si="312"/>
        <v>20.64</v>
      </c>
      <c r="FE91" s="173">
        <f t="shared" si="313"/>
        <v>0.73399850054810822</v>
      </c>
      <c r="FF91" s="5">
        <f t="shared" si="314"/>
        <v>73.399850054810827</v>
      </c>
      <c r="FI91" s="562">
        <f t="shared" si="280"/>
        <v>-50</v>
      </c>
      <c r="FJ91">
        <f t="shared" si="281"/>
        <v>-50</v>
      </c>
      <c r="FL91">
        <f t="shared" si="282"/>
        <v>0.56074766355140182</v>
      </c>
    </row>
    <row r="92" spans="5:168">
      <c r="E92" s="170">
        <v>87</v>
      </c>
      <c r="F92" s="217">
        <f t="shared" si="283"/>
        <v>5.22</v>
      </c>
      <c r="G92" s="217"/>
      <c r="H92" s="217">
        <f t="shared" si="183"/>
        <v>20.88</v>
      </c>
      <c r="I92" s="541">
        <f t="shared" si="184"/>
        <v>23.899808791910427</v>
      </c>
      <c r="J92" s="172">
        <f t="shared" si="185"/>
        <v>19.939615637037782</v>
      </c>
      <c r="K92" s="172">
        <f t="shared" si="186"/>
        <v>43.939615637037782</v>
      </c>
      <c r="L92" s="443"/>
      <c r="M92" s="217">
        <f t="shared" si="187"/>
        <v>0.45455258347044342</v>
      </c>
      <c r="N92" s="172">
        <f t="shared" si="188"/>
        <v>36.538311030966042</v>
      </c>
      <c r="O92" s="172">
        <f t="shared" si="284"/>
        <v>20.88</v>
      </c>
      <c r="P92" s="217">
        <f t="shared" si="189"/>
        <v>9.1345777577415106</v>
      </c>
      <c r="Q92" s="217">
        <f t="shared" si="190"/>
        <v>4</v>
      </c>
      <c r="R92" s="217">
        <f t="shared" si="191"/>
        <v>9.0530998590104179</v>
      </c>
      <c r="S92" s="172">
        <f t="shared" si="192"/>
        <v>9.6893131612884034</v>
      </c>
      <c r="T92" s="172">
        <f t="shared" si="193"/>
        <v>4</v>
      </c>
      <c r="U92" s="217">
        <f t="shared" si="194"/>
        <v>4.7850625393118351</v>
      </c>
      <c r="V92" s="217">
        <f t="shared" si="195"/>
        <v>2.4025610820442092</v>
      </c>
      <c r="W92" s="217">
        <f t="shared" si="196"/>
        <v>2.8797320628930847</v>
      </c>
      <c r="X92" s="197">
        <f t="shared" si="197"/>
        <v>350</v>
      </c>
      <c r="Y92" s="443">
        <f t="shared" si="198"/>
        <v>182.40542297951816</v>
      </c>
      <c r="AA92" s="217">
        <f t="shared" si="199"/>
        <v>2.5881954825396134</v>
      </c>
      <c r="AB92" s="173">
        <f t="shared" si="200"/>
        <v>1.5576200843503005</v>
      </c>
      <c r="AC92" s="173">
        <f t="shared" si="201"/>
        <v>2.8219976860798934</v>
      </c>
      <c r="AD92" s="173"/>
      <c r="AE92" s="173">
        <f t="shared" si="202"/>
        <v>0.80242268914552428</v>
      </c>
      <c r="AF92" s="545">
        <f t="shared" si="203"/>
        <v>2439.4873505938403</v>
      </c>
      <c r="AG92" s="528">
        <f t="shared" si="204"/>
        <v>0.7489278432024894</v>
      </c>
      <c r="AI92" s="173">
        <f t="shared" si="205"/>
        <v>3.5200918823461405</v>
      </c>
      <c r="AJ92" s="173">
        <f t="shared" si="206"/>
        <v>4.7850625393118351</v>
      </c>
      <c r="AK92" s="173">
        <f t="shared" si="207"/>
        <v>3.7568364488729644</v>
      </c>
      <c r="AM92" s="545">
        <f t="shared" si="208"/>
        <v>5220</v>
      </c>
      <c r="AN92" s="460">
        <f t="shared" si="209"/>
        <v>182.40542297951816</v>
      </c>
      <c r="AP92">
        <f t="shared" si="210"/>
        <v>5220</v>
      </c>
      <c r="AQ92">
        <f t="shared" si="211"/>
        <v>182.40542297951816</v>
      </c>
      <c r="AS92" s="5">
        <f t="shared" si="285"/>
        <v>5.4822931449372936</v>
      </c>
      <c r="AT92" s="5">
        <f t="shared" si="212"/>
        <v>2.4025610820442092</v>
      </c>
      <c r="AU92" s="5">
        <f t="shared" si="286"/>
        <v>3.0797320628930844</v>
      </c>
      <c r="AV92" s="5">
        <f t="shared" si="213"/>
        <v>2.8797320628930847</v>
      </c>
      <c r="AW92" s="173">
        <f t="shared" si="287"/>
        <v>0.43824017040440283</v>
      </c>
      <c r="AX92" s="173">
        <f t="shared" si="214"/>
        <v>25.059028658038667</v>
      </c>
      <c r="AY92" s="173">
        <f t="shared" si="215"/>
        <v>5.3761118333761848</v>
      </c>
      <c r="AZ92" s="173">
        <f t="shared" si="288"/>
        <v>4.6611806887026122</v>
      </c>
      <c r="BA92" s="460">
        <f t="shared" si="216"/>
        <v>313.53422120676925</v>
      </c>
      <c r="BB92" s="5">
        <f t="shared" si="217"/>
        <v>2.2421659671385248</v>
      </c>
      <c r="BC92" s="5"/>
      <c r="BD92" s="173">
        <f t="shared" si="289"/>
        <v>1.8288710392485032</v>
      </c>
      <c r="BE92" s="173">
        <f t="shared" si="218"/>
        <v>8.2825167416737049</v>
      </c>
      <c r="BF92" s="173"/>
      <c r="BG92" s="528">
        <f t="shared" si="219"/>
        <v>4.0806185194063184E-2</v>
      </c>
      <c r="BH92" s="528">
        <f t="shared" si="220"/>
        <v>0.71908940480515005</v>
      </c>
      <c r="BI92" s="528">
        <f t="shared" si="221"/>
        <v>0.10898636829545071</v>
      </c>
      <c r="BJ92" s="528">
        <f t="shared" si="222"/>
        <v>3.5216829368446667E-2</v>
      </c>
      <c r="BK92">
        <f t="shared" si="223"/>
        <v>1.0754913956359692E-2</v>
      </c>
      <c r="BL92" s="460">
        <f t="shared" si="290"/>
        <v>119.74128225181039</v>
      </c>
      <c r="BM92" s="528">
        <f t="shared" si="224"/>
        <v>0.81402248474816508</v>
      </c>
      <c r="BN92" s="460">
        <f t="shared" si="291"/>
        <v>814.02248474816508</v>
      </c>
      <c r="BO92" s="528">
        <f t="shared" si="225"/>
        <v>3.2429249999999992</v>
      </c>
      <c r="BP92" s="528"/>
      <c r="BR92" s="460">
        <f t="shared" si="292"/>
        <v>3242.9249999999993</v>
      </c>
      <c r="BS92" s="528">
        <f t="shared" si="226"/>
        <v>0.100343078346057</v>
      </c>
      <c r="BT92" s="528">
        <f t="shared" si="227"/>
        <v>2.058002507283156</v>
      </c>
      <c r="BU92" s="528">
        <f t="shared" si="228"/>
        <v>0.31319999999999998</v>
      </c>
      <c r="BV92" s="528">
        <f t="shared" si="229"/>
        <v>3.6134795343116717</v>
      </c>
      <c r="BW92" s="528">
        <f t="shared" si="230"/>
        <v>0.10441261940849444</v>
      </c>
      <c r="BX92" s="460">
        <f t="shared" si="293"/>
        <v>3717.8921537201663</v>
      </c>
      <c r="BY92" s="173">
        <f t="shared" si="231"/>
        <v>7.8945809207201414</v>
      </c>
      <c r="BZ92" s="5">
        <f t="shared" si="294"/>
        <v>20.88</v>
      </c>
      <c r="CA92" s="173">
        <f t="shared" si="295"/>
        <v>0.72564045528686139</v>
      </c>
      <c r="CB92" s="5">
        <f t="shared" si="296"/>
        <v>72.564045528686137</v>
      </c>
      <c r="CE92" s="562">
        <f t="shared" si="232"/>
        <v>-50</v>
      </c>
      <c r="CF92">
        <f t="shared" si="233"/>
        <v>-50</v>
      </c>
      <c r="CG92" s="173">
        <f t="shared" si="234"/>
        <v>0.54965900751257712</v>
      </c>
      <c r="CI92" s="170">
        <v>87</v>
      </c>
      <c r="CJ92" s="217">
        <f t="shared" si="297"/>
        <v>5.22</v>
      </c>
      <c r="CK92" s="217"/>
      <c r="CL92" s="217">
        <f t="shared" si="235"/>
        <v>20.88</v>
      </c>
      <c r="CM92" s="541">
        <f t="shared" si="236"/>
        <v>24</v>
      </c>
      <c r="CN92" s="172">
        <f t="shared" si="237"/>
        <v>18.8</v>
      </c>
      <c r="CO92" s="443">
        <f t="shared" si="238"/>
        <v>42.8</v>
      </c>
      <c r="CP92" s="443"/>
      <c r="CQ92" s="217">
        <f t="shared" si="239"/>
        <v>0.43925233644859818</v>
      </c>
      <c r="CR92" s="172">
        <f t="shared" si="240"/>
        <v>35.456448598130848</v>
      </c>
      <c r="CS92" s="172">
        <f t="shared" si="298"/>
        <v>20.88</v>
      </c>
      <c r="CT92" s="217">
        <f t="shared" si="241"/>
        <v>8.864112149532712</v>
      </c>
      <c r="CU92" s="217">
        <f t="shared" si="242"/>
        <v>4</v>
      </c>
      <c r="CV92" s="217">
        <f t="shared" si="243"/>
        <v>8.7850467289719631</v>
      </c>
      <c r="CW92" s="172">
        <f t="shared" si="244"/>
        <v>9.7284162182493699</v>
      </c>
      <c r="CX92" s="172">
        <f t="shared" si="245"/>
        <v>4</v>
      </c>
      <c r="CY92" s="217">
        <f t="shared" si="246"/>
        <v>3.9612765957446801</v>
      </c>
      <c r="CZ92" s="217">
        <f t="shared" si="247"/>
        <v>1.9806382978723398</v>
      </c>
      <c r="DA92" s="217">
        <f t="shared" si="248"/>
        <v>2.5284744228157532</v>
      </c>
      <c r="DB92" s="197">
        <f t="shared" si="249"/>
        <v>350</v>
      </c>
      <c r="DC92" s="443">
        <f t="shared" si="299"/>
        <v>221.77312077649711</v>
      </c>
      <c r="DE92" s="217">
        <f t="shared" si="250"/>
        <v>2.5100133511348464</v>
      </c>
      <c r="DF92" s="173">
        <f t="shared" si="251"/>
        <v>1.6021361815754336</v>
      </c>
      <c r="DG92" s="173">
        <f t="shared" si="252"/>
        <v>2.8149682442633783</v>
      </c>
      <c r="DH92" s="173"/>
      <c r="DI92" s="173">
        <f t="shared" si="253"/>
        <v>0.85106382978723416</v>
      </c>
      <c r="DJ92" s="545">
        <f t="shared" si="300"/>
        <v>2300.0624999999995</v>
      </c>
      <c r="DK92" s="528">
        <f t="shared" si="254"/>
        <v>0.79432624113475192</v>
      </c>
      <c r="DM92" s="173">
        <f t="shared" si="255"/>
        <v>3.4180194766643948</v>
      </c>
      <c r="DN92" s="173">
        <f t="shared" si="256"/>
        <v>3.9612765957446801</v>
      </c>
      <c r="DO92" s="173">
        <f t="shared" si="257"/>
        <v>3.1466246388232197</v>
      </c>
      <c r="DQ92" s="545">
        <f t="shared" si="258"/>
        <v>5220</v>
      </c>
      <c r="DR92" s="460">
        <f t="shared" si="259"/>
        <v>221.77312077649711</v>
      </c>
      <c r="DT92">
        <f t="shared" si="260"/>
        <v>5220</v>
      </c>
      <c r="DU92">
        <f t="shared" si="261"/>
        <v>221.77312077649711</v>
      </c>
      <c r="DW92" s="5">
        <f t="shared" si="301"/>
        <v>4.5091127206880932</v>
      </c>
      <c r="DX92" s="5">
        <f t="shared" si="262"/>
        <v>1.9806382978723398</v>
      </c>
      <c r="DY92" s="5">
        <f t="shared" si="302"/>
        <v>2.5284744228157532</v>
      </c>
      <c r="DZ92" s="5">
        <f t="shared" si="263"/>
        <v>2.5284744228157532</v>
      </c>
      <c r="EA92" s="173">
        <f t="shared" si="303"/>
        <v>0.43925233644859807</v>
      </c>
      <c r="EB92" s="173">
        <f t="shared" si="264"/>
        <v>20.879999999999995</v>
      </c>
      <c r="EC92" s="173">
        <f t="shared" si="265"/>
        <v>4.4425531914893615</v>
      </c>
      <c r="ED92" s="173">
        <f t="shared" si="304"/>
        <v>4.6999999999999993</v>
      </c>
      <c r="EE92" s="460">
        <f t="shared" si="266"/>
        <v>258.47329787234037</v>
      </c>
      <c r="EF92" s="5">
        <f t="shared" si="267"/>
        <v>1.8331439565414207</v>
      </c>
      <c r="EG92" s="5"/>
      <c r="EH92" s="173">
        <f t="shared" si="305"/>
        <v>1.5157639742162741</v>
      </c>
      <c r="EI92" s="173">
        <f t="shared" si="268"/>
        <v>6.8504368683654313</v>
      </c>
      <c r="EJ92" s="173"/>
      <c r="EK92" s="528">
        <f t="shared" si="269"/>
        <v>2.8029993191489341E-2</v>
      </c>
      <c r="EL92" s="528">
        <f t="shared" si="270"/>
        <v>0.75199999999999989</v>
      </c>
      <c r="EM92" s="528">
        <f t="shared" si="271"/>
        <v>2.7721640097062138E-2</v>
      </c>
      <c r="EN92" s="528">
        <f t="shared" si="272"/>
        <v>4.0625287356321843E-2</v>
      </c>
      <c r="EO92">
        <f t="shared" si="273"/>
        <v>1.0800000000000001E-2</v>
      </c>
      <c r="EP92" s="460">
        <f t="shared" si="306"/>
        <v>38.521640097062139</v>
      </c>
      <c r="EQ92" s="528">
        <f t="shared" si="274"/>
        <v>0.87255617872127822</v>
      </c>
      <c r="ER92" s="460">
        <f t="shared" si="307"/>
        <v>872.55617872127823</v>
      </c>
      <c r="ES92" s="528">
        <f t="shared" si="308"/>
        <v>3.2429249999999992</v>
      </c>
      <c r="ET92" s="528"/>
      <c r="EV92" s="460">
        <f t="shared" si="309"/>
        <v>3242.9249999999993</v>
      </c>
      <c r="EW92" s="528">
        <f t="shared" si="275"/>
        <v>6.8926212765957395E-2</v>
      </c>
      <c r="EX92" s="528">
        <f t="shared" si="276"/>
        <v>1.4078545586238111</v>
      </c>
      <c r="EY92" s="528">
        <f t="shared" si="277"/>
        <v>1.1437475956681524</v>
      </c>
      <c r="EZ92" s="528">
        <f t="shared" si="278"/>
        <v>3.3735105989615444</v>
      </c>
      <c r="FA92" s="528">
        <f t="shared" si="279"/>
        <v>8.699999999999998E-2</v>
      </c>
      <c r="FB92" s="460">
        <f t="shared" si="310"/>
        <v>3460.5105989615445</v>
      </c>
      <c r="FC92" s="173">
        <f t="shared" si="311"/>
        <v>7.5759917776828214</v>
      </c>
      <c r="FD92" s="5">
        <f t="shared" si="312"/>
        <v>20.88</v>
      </c>
      <c r="FE92" s="173">
        <f t="shared" si="313"/>
        <v>0.73376462022931699</v>
      </c>
      <c r="FF92" s="5">
        <f t="shared" si="314"/>
        <v>73.376462022931705</v>
      </c>
      <c r="FI92" s="562">
        <f t="shared" si="280"/>
        <v>-50</v>
      </c>
      <c r="FJ92">
        <f t="shared" si="281"/>
        <v>-50</v>
      </c>
      <c r="FL92">
        <f t="shared" si="282"/>
        <v>0.56074766355140193</v>
      </c>
    </row>
    <row r="93" spans="5:168">
      <c r="E93" s="170">
        <v>88</v>
      </c>
      <c r="F93" s="217">
        <f t="shared" si="283"/>
        <v>5.28</v>
      </c>
      <c r="G93" s="217"/>
      <c r="H93" s="217">
        <f t="shared" si="183"/>
        <v>21.12</v>
      </c>
      <c r="I93" s="541">
        <f t="shared" si="184"/>
        <v>23.898680396002998</v>
      </c>
      <c r="J93" s="172">
        <f t="shared" si="185"/>
        <v>19.952450472003829</v>
      </c>
      <c r="K93" s="172">
        <f t="shared" si="186"/>
        <v>43.952450472003832</v>
      </c>
      <c r="L93" s="443"/>
      <c r="M93" s="217">
        <f t="shared" si="187"/>
        <v>0.45472408016518673</v>
      </c>
      <c r="N93" s="172">
        <f t="shared" si="188"/>
        <v>36.550370697921174</v>
      </c>
      <c r="O93" s="172">
        <f t="shared" si="284"/>
        <v>21.12</v>
      </c>
      <c r="P93" s="217">
        <f t="shared" si="189"/>
        <v>9.1375926744802936</v>
      </c>
      <c r="Q93" s="217">
        <f t="shared" si="190"/>
        <v>4</v>
      </c>
      <c r="R93" s="217">
        <f t="shared" si="191"/>
        <v>9.0560878835285372</v>
      </c>
      <c r="S93" s="172">
        <f t="shared" si="192"/>
        <v>9.5220236226209423</v>
      </c>
      <c r="T93" s="172">
        <f t="shared" si="193"/>
        <v>4</v>
      </c>
      <c r="U93" s="217">
        <f t="shared" si="194"/>
        <v>4.8415855238936025</v>
      </c>
      <c r="V93" s="217">
        <f t="shared" si="195"/>
        <v>2.4310558291929865</v>
      </c>
      <c r="W93" s="217">
        <f t="shared" si="196"/>
        <v>2.911874226589088</v>
      </c>
      <c r="X93" s="197">
        <f t="shared" si="197"/>
        <v>350</v>
      </c>
      <c r="Y93" s="443">
        <f t="shared" si="198"/>
        <v>180.409997949885</v>
      </c>
      <c r="AA93" s="217">
        <f t="shared" si="199"/>
        <v>2.5890478356288416</v>
      </c>
      <c r="AB93" s="173">
        <f t="shared" si="200"/>
        <v>1.5571307429701329</v>
      </c>
      <c r="AC93" s="173">
        <f t="shared" si="201"/>
        <v>2.8220401859145663</v>
      </c>
      <c r="AD93" s="173"/>
      <c r="AE93" s="173">
        <f t="shared" si="202"/>
        <v>0.80190651381143963</v>
      </c>
      <c r="AF93" s="545">
        <f t="shared" si="203"/>
        <v>2469.1157459104734</v>
      </c>
      <c r="AG93" s="528">
        <f t="shared" si="204"/>
        <v>0.74844607955734377</v>
      </c>
      <c r="AI93" s="173">
        <f t="shared" si="205"/>
        <v>3.5414037183986973</v>
      </c>
      <c r="AJ93" s="173">
        <f t="shared" si="206"/>
        <v>4.8415855238936025</v>
      </c>
      <c r="AK93" s="173">
        <f t="shared" si="207"/>
        <v>3.79870532634094</v>
      </c>
      <c r="AM93" s="545">
        <f t="shared" si="208"/>
        <v>5280</v>
      </c>
      <c r="AN93" s="460">
        <f t="shared" si="209"/>
        <v>180.409997949885</v>
      </c>
      <c r="AP93">
        <f t="shared" si="210"/>
        <v>5280</v>
      </c>
      <c r="AQ93">
        <f t="shared" si="211"/>
        <v>180.409997949885</v>
      </c>
      <c r="AS93" s="5">
        <f t="shared" si="285"/>
        <v>5.5429300557820751</v>
      </c>
      <c r="AT93" s="5">
        <f t="shared" si="212"/>
        <v>2.4310558291929865</v>
      </c>
      <c r="AU93" s="5">
        <f t="shared" si="286"/>
        <v>3.1118742265890886</v>
      </c>
      <c r="AV93" s="5">
        <f t="shared" si="213"/>
        <v>2.911874226589088</v>
      </c>
      <c r="AW93" s="173">
        <f t="shared" si="287"/>
        <v>0.43858677716076261</v>
      </c>
      <c r="AX93" s="173">
        <f t="shared" si="214"/>
        <v>25.373890865597847</v>
      </c>
      <c r="AY93" s="173">
        <f t="shared" si="215"/>
        <v>5.4362602652418106</v>
      </c>
      <c r="AZ93" s="173">
        <f t="shared" si="288"/>
        <v>4.667526870969116</v>
      </c>
      <c r="BA93" s="460">
        <f t="shared" si="216"/>
        <v>320.89936945347421</v>
      </c>
      <c r="BB93" s="5">
        <f t="shared" si="217"/>
        <v>2.2917159224041486</v>
      </c>
      <c r="BC93" s="5"/>
      <c r="BD93" s="173">
        <f t="shared" si="289"/>
        <v>1.8512059927715336</v>
      </c>
      <c r="BE93" s="173">
        <f t="shared" si="218"/>
        <v>8.3777672450063125</v>
      </c>
      <c r="BF93" s="173"/>
      <c r="BG93" s="528">
        <f t="shared" si="219"/>
        <v>4.1808956257613515E-2</v>
      </c>
      <c r="BH93" s="528">
        <f t="shared" si="220"/>
        <v>0.71983436265893697</v>
      </c>
      <c r="BI93" s="528">
        <f t="shared" si="221"/>
        <v>0.10778902203119645</v>
      </c>
      <c r="BJ93" s="528">
        <f t="shared" si="222"/>
        <v>3.4851926382848467E-2</v>
      </c>
      <c r="BK93">
        <f t="shared" si="223"/>
        <v>1.0754406178201349E-2</v>
      </c>
      <c r="BL93" s="460">
        <f t="shared" si="290"/>
        <v>118.5434282093978</v>
      </c>
      <c r="BM93" s="528">
        <f t="shared" si="224"/>
        <v>0.81588854363639352</v>
      </c>
      <c r="BN93" s="460">
        <f t="shared" si="291"/>
        <v>815.88854363639348</v>
      </c>
      <c r="BO93" s="528">
        <f t="shared" si="225"/>
        <v>3.2801999999999998</v>
      </c>
      <c r="BP93" s="528"/>
      <c r="BR93" s="460">
        <f t="shared" si="292"/>
        <v>3280.2</v>
      </c>
      <c r="BS93" s="528">
        <f t="shared" si="226"/>
        <v>0.10280890883019718</v>
      </c>
      <c r="BT93" s="528">
        <f t="shared" si="227"/>
        <v>2.1056095203450198</v>
      </c>
      <c r="BU93" s="528">
        <f t="shared" si="228"/>
        <v>0.31680000000000003</v>
      </c>
      <c r="BV93" s="528">
        <f t="shared" si="229"/>
        <v>3.7108471024978935</v>
      </c>
      <c r="BW93" s="528">
        <f t="shared" si="230"/>
        <v>0.10572454527332437</v>
      </c>
      <c r="BX93" s="460">
        <f t="shared" si="293"/>
        <v>3816.5716477712176</v>
      </c>
      <c r="BY93" s="173">
        <f t="shared" si="231"/>
        <v>8.0312036196170098</v>
      </c>
      <c r="BZ93" s="5">
        <f t="shared" si="294"/>
        <v>21.12</v>
      </c>
      <c r="CA93" s="173">
        <f t="shared" si="295"/>
        <v>0.72449838694782087</v>
      </c>
      <c r="CB93" s="5">
        <f t="shared" si="296"/>
        <v>72.449838694782088</v>
      </c>
      <c r="CE93" s="562">
        <f t="shared" si="232"/>
        <v>-50</v>
      </c>
      <c r="CF93">
        <f t="shared" si="233"/>
        <v>-50</v>
      </c>
      <c r="CG93" s="173">
        <f t="shared" si="234"/>
        <v>0.5497850149675636</v>
      </c>
      <c r="CI93" s="170">
        <v>88</v>
      </c>
      <c r="CJ93" s="217">
        <f t="shared" si="297"/>
        <v>5.28</v>
      </c>
      <c r="CK93" s="217"/>
      <c r="CL93" s="217">
        <f t="shared" si="235"/>
        <v>21.12</v>
      </c>
      <c r="CM93" s="541">
        <f t="shared" si="236"/>
        <v>24</v>
      </c>
      <c r="CN93" s="172">
        <f t="shared" si="237"/>
        <v>18.8</v>
      </c>
      <c r="CO93" s="443">
        <f t="shared" si="238"/>
        <v>42.8</v>
      </c>
      <c r="CP93" s="443"/>
      <c r="CQ93" s="217">
        <f t="shared" si="239"/>
        <v>0.43925233644859818</v>
      </c>
      <c r="CR93" s="172">
        <f t="shared" si="240"/>
        <v>35.456448598130848</v>
      </c>
      <c r="CS93" s="172">
        <f t="shared" si="298"/>
        <v>21.12</v>
      </c>
      <c r="CT93" s="217">
        <f t="shared" si="241"/>
        <v>8.864112149532712</v>
      </c>
      <c r="CU93" s="217">
        <f t="shared" si="242"/>
        <v>4</v>
      </c>
      <c r="CV93" s="217">
        <f t="shared" si="243"/>
        <v>8.7850467289719631</v>
      </c>
      <c r="CW93" s="172">
        <f t="shared" si="244"/>
        <v>9.5608384275472797</v>
      </c>
      <c r="CX93" s="172">
        <f t="shared" si="245"/>
        <v>4</v>
      </c>
      <c r="CY93" s="217">
        <f t="shared" si="246"/>
        <v>4.0068085106382973</v>
      </c>
      <c r="CZ93" s="217">
        <f t="shared" si="247"/>
        <v>2.0034042553191491</v>
      </c>
      <c r="DA93" s="217">
        <f t="shared" si="248"/>
        <v>2.5575373472159346</v>
      </c>
      <c r="DB93" s="197">
        <f t="shared" si="249"/>
        <v>350</v>
      </c>
      <c r="DC93" s="443">
        <f t="shared" si="299"/>
        <v>219.25297167676413</v>
      </c>
      <c r="DE93" s="217">
        <f t="shared" si="250"/>
        <v>2.5100133511348464</v>
      </c>
      <c r="DF93" s="173">
        <f t="shared" si="251"/>
        <v>1.6021361815754336</v>
      </c>
      <c r="DG93" s="173">
        <f t="shared" si="252"/>
        <v>2.8149682442633783</v>
      </c>
      <c r="DH93" s="173"/>
      <c r="DI93" s="173">
        <f t="shared" si="253"/>
        <v>0.85106382978723416</v>
      </c>
      <c r="DJ93" s="545">
        <f t="shared" si="300"/>
        <v>2326.4999999999995</v>
      </c>
      <c r="DK93" s="528">
        <f t="shared" si="254"/>
        <v>0.79432624113475192</v>
      </c>
      <c r="DM93" s="173">
        <f t="shared" si="255"/>
        <v>3.4376071411874363</v>
      </c>
      <c r="DN93" s="173">
        <f t="shared" si="256"/>
        <v>4.0068085106382973</v>
      </c>
      <c r="DO93" s="173">
        <f t="shared" si="257"/>
        <v>3.1803519831888623</v>
      </c>
      <c r="DQ93" s="545">
        <f t="shared" si="258"/>
        <v>5280</v>
      </c>
      <c r="DR93" s="460">
        <f t="shared" si="259"/>
        <v>219.25297167676413</v>
      </c>
      <c r="DT93">
        <f t="shared" si="260"/>
        <v>5280</v>
      </c>
      <c r="DU93">
        <f t="shared" si="261"/>
        <v>219.25297167676413</v>
      </c>
      <c r="DW93" s="5">
        <f t="shared" si="301"/>
        <v>4.5609416025350837</v>
      </c>
      <c r="DX93" s="5">
        <f t="shared" si="262"/>
        <v>2.0034042553191491</v>
      </c>
      <c r="DY93" s="5">
        <f t="shared" si="302"/>
        <v>2.5575373472159346</v>
      </c>
      <c r="DZ93" s="5">
        <f t="shared" si="263"/>
        <v>2.5575373472159346</v>
      </c>
      <c r="EA93" s="173">
        <f t="shared" si="303"/>
        <v>0.43925233644859818</v>
      </c>
      <c r="EB93" s="173">
        <f t="shared" si="264"/>
        <v>21.119999999999994</v>
      </c>
      <c r="EC93" s="173">
        <f t="shared" si="265"/>
        <v>4.4936170212765951</v>
      </c>
      <c r="ED93" s="173">
        <f t="shared" si="304"/>
        <v>4.6999999999999993</v>
      </c>
      <c r="EE93" s="460">
        <f t="shared" si="266"/>
        <v>264.4493617021277</v>
      </c>
      <c r="EF93" s="5">
        <f t="shared" si="267"/>
        <v>1.8755273879583516</v>
      </c>
      <c r="EG93" s="5"/>
      <c r="EH93" s="173">
        <f t="shared" si="305"/>
        <v>1.5331865486325535</v>
      </c>
      <c r="EI93" s="173">
        <f t="shared" si="268"/>
        <v>6.929177522024804</v>
      </c>
      <c r="EJ93" s="173"/>
      <c r="EK93" s="528">
        <f t="shared" si="269"/>
        <v>2.8678064113475173E-2</v>
      </c>
      <c r="EL93" s="528">
        <f t="shared" si="270"/>
        <v>0.75199999999999989</v>
      </c>
      <c r="EM93" s="528">
        <f t="shared" si="271"/>
        <v>2.7406621459595517E-2</v>
      </c>
      <c r="EN93" s="528">
        <f t="shared" si="272"/>
        <v>4.0163636363636353E-2</v>
      </c>
      <c r="EO93">
        <f t="shared" si="273"/>
        <v>1.0800000000000001E-2</v>
      </c>
      <c r="EP93" s="460">
        <f t="shared" si="306"/>
        <v>38.206621459595517</v>
      </c>
      <c r="EQ93" s="528">
        <f t="shared" si="274"/>
        <v>0.87273815678488309</v>
      </c>
      <c r="ER93" s="460">
        <f t="shared" si="307"/>
        <v>872.73815678488313</v>
      </c>
      <c r="ES93" s="528">
        <f t="shared" si="308"/>
        <v>3.2801999999999998</v>
      </c>
      <c r="ET93" s="528"/>
      <c r="EV93" s="460">
        <f t="shared" si="309"/>
        <v>3280.2</v>
      </c>
      <c r="EW93" s="528">
        <f t="shared" si="275"/>
        <v>7.0519829787234034E-2</v>
      </c>
      <c r="EX93" s="528">
        <f t="shared" si="276"/>
        <v>1.440405033952014</v>
      </c>
      <c r="EY93" s="528">
        <f t="shared" si="277"/>
        <v>1.1437475956681544</v>
      </c>
      <c r="EZ93" s="528">
        <f t="shared" si="278"/>
        <v>3.4321523755313903</v>
      </c>
      <c r="FA93" s="528">
        <f t="shared" si="279"/>
        <v>8.7999999999999981E-2</v>
      </c>
      <c r="FB93" s="460">
        <f t="shared" si="310"/>
        <v>3520.1523755313906</v>
      </c>
      <c r="FC93" s="173">
        <f t="shared" si="311"/>
        <v>7.673090532316273</v>
      </c>
      <c r="FD93" s="5">
        <f t="shared" si="312"/>
        <v>21.12</v>
      </c>
      <c r="FE93" s="173">
        <f t="shared" si="313"/>
        <v>0.73350931107224193</v>
      </c>
      <c r="FF93" s="5">
        <f t="shared" si="314"/>
        <v>73.350931107224199</v>
      </c>
      <c r="FI93" s="562">
        <f t="shared" si="280"/>
        <v>-50</v>
      </c>
      <c r="FJ93">
        <f t="shared" si="281"/>
        <v>-50</v>
      </c>
      <c r="FL93">
        <f t="shared" si="282"/>
        <v>0.56074766355140182</v>
      </c>
    </row>
    <row r="94" spans="5:168">
      <c r="E94" s="170">
        <v>89</v>
      </c>
      <c r="F94" s="217">
        <f t="shared" si="283"/>
        <v>5.34</v>
      </c>
      <c r="G94" s="217"/>
      <c r="H94" s="217">
        <f t="shared" si="183"/>
        <v>21.36</v>
      </c>
      <c r="I94" s="541">
        <f t="shared" si="184"/>
        <v>23.897551989690097</v>
      </c>
      <c r="J94" s="172">
        <f t="shared" si="185"/>
        <v>19.96528542532592</v>
      </c>
      <c r="K94" s="172">
        <f t="shared" si="186"/>
        <v>43.965285425325916</v>
      </c>
      <c r="L94" s="443"/>
      <c r="M94" s="217">
        <f t="shared" si="187"/>
        <v>0.45489548533983815</v>
      </c>
      <c r="N94" s="172">
        <f t="shared" si="188"/>
        <v>36.562421691270494</v>
      </c>
      <c r="O94" s="172">
        <f t="shared" si="284"/>
        <v>21.36</v>
      </c>
      <c r="P94" s="217">
        <f t="shared" si="189"/>
        <v>9.1406054228176234</v>
      </c>
      <c r="Q94" s="217">
        <f t="shared" si="190"/>
        <v>4</v>
      </c>
      <c r="R94" s="217">
        <f t="shared" si="191"/>
        <v>9.0590737589867434</v>
      </c>
      <c r="S94" s="172">
        <f t="shared" si="192"/>
        <v>9.3587018743068509</v>
      </c>
      <c r="T94" s="172">
        <f t="shared" si="193"/>
        <v>4</v>
      </c>
      <c r="U94" s="217">
        <f t="shared" si="194"/>
        <v>4.8981432517846146</v>
      </c>
      <c r="V94" s="217">
        <f t="shared" si="195"/>
        <v>2.459570714472064</v>
      </c>
      <c r="W94" s="217">
        <f t="shared" si="196"/>
        <v>2.9439959293973312</v>
      </c>
      <c r="X94" s="197">
        <f t="shared" si="197"/>
        <v>350</v>
      </c>
      <c r="Y94" s="443">
        <f t="shared" si="198"/>
        <v>178.4577686952388</v>
      </c>
      <c r="AA94" s="217">
        <f t="shared" si="199"/>
        <v>2.5898995843748027</v>
      </c>
      <c r="AB94" s="173">
        <f t="shared" si="200"/>
        <v>1.5566416582792377</v>
      </c>
      <c r="AC94" s="173">
        <f t="shared" si="201"/>
        <v>2.8220819086585305</v>
      </c>
      <c r="AD94" s="173"/>
      <c r="AE94" s="173">
        <f t="shared" si="202"/>
        <v>0.80139099738108621</v>
      </c>
      <c r="AF94" s="545">
        <f t="shared" si="203"/>
        <v>2498.7802540134462</v>
      </c>
      <c r="AG94" s="528">
        <f t="shared" si="204"/>
        <v>0.74796493088901395</v>
      </c>
      <c r="AI94" s="173">
        <f t="shared" si="205"/>
        <v>3.5626138105670258</v>
      </c>
      <c r="AJ94" s="173">
        <f t="shared" si="206"/>
        <v>4.8981432517846146</v>
      </c>
      <c r="AK94" s="173">
        <f t="shared" si="207"/>
        <v>3.8405999395935417</v>
      </c>
      <c r="AM94" s="545">
        <f t="shared" si="208"/>
        <v>5340</v>
      </c>
      <c r="AN94" s="460">
        <f t="shared" si="209"/>
        <v>178.4577686952388</v>
      </c>
      <c r="AP94">
        <f t="shared" si="210"/>
        <v>5340</v>
      </c>
      <c r="AQ94">
        <f t="shared" si="211"/>
        <v>178.4577686952388</v>
      </c>
      <c r="AS94" s="5">
        <f t="shared" si="285"/>
        <v>5.6035666438693941</v>
      </c>
      <c r="AT94" s="5">
        <f t="shared" si="212"/>
        <v>2.459570714472064</v>
      </c>
      <c r="AU94" s="5">
        <f t="shared" si="286"/>
        <v>3.1439959293973301</v>
      </c>
      <c r="AV94" s="5">
        <f t="shared" si="213"/>
        <v>2.9439959293973312</v>
      </c>
      <c r="AW94" s="173">
        <f t="shared" si="287"/>
        <v>0.43892950165283889</v>
      </c>
      <c r="AX94" s="173">
        <f t="shared" si="214"/>
        <v>25.689146402409431</v>
      </c>
      <c r="AY94" s="173">
        <f t="shared" si="215"/>
        <v>5.4964073505091555</v>
      </c>
      <c r="AZ94" s="173">
        <f t="shared" si="288"/>
        <v>4.6738068640472461</v>
      </c>
      <c r="BA94" s="460">
        <f t="shared" si="216"/>
        <v>328.35269038202051</v>
      </c>
      <c r="BB94" s="5">
        <f t="shared" si="217"/>
        <v>2.3417933170483791</v>
      </c>
      <c r="BC94" s="5"/>
      <c r="BD94" s="173">
        <f t="shared" si="289"/>
        <v>1.8735627405672213</v>
      </c>
      <c r="BE94" s="173">
        <f t="shared" si="218"/>
        <v>8.4730459809060825</v>
      </c>
      <c r="BF94" s="173"/>
      <c r="BG94" s="528">
        <f t="shared" si="219"/>
        <v>4.2824895582669428E-2</v>
      </c>
      <c r="BH94" s="528">
        <f t="shared" si="220"/>
        <v>0.72057320744920306</v>
      </c>
      <c r="BI94" s="528">
        <f t="shared" si="221"/>
        <v>0.10661759513396399</v>
      </c>
      <c r="BJ94" s="528">
        <f t="shared" si="222"/>
        <v>3.4494928772643818E-2</v>
      </c>
      <c r="BK94">
        <f t="shared" si="223"/>
        <v>1.0753898395360542E-2</v>
      </c>
      <c r="BL94" s="460">
        <f t="shared" si="290"/>
        <v>117.37149352932454</v>
      </c>
      <c r="BM94" s="528">
        <f t="shared" si="224"/>
        <v>0.81777679209360321</v>
      </c>
      <c r="BN94" s="460">
        <f t="shared" si="291"/>
        <v>817.77679209360326</v>
      </c>
      <c r="BO94" s="528">
        <f t="shared" si="225"/>
        <v>3.3174749999999995</v>
      </c>
      <c r="BP94" s="528"/>
      <c r="BR94" s="460">
        <f t="shared" si="292"/>
        <v>3317.4749999999995</v>
      </c>
      <c r="BS94" s="528">
        <f t="shared" si="226"/>
        <v>0.1053071202852527</v>
      </c>
      <c r="BT94" s="528">
        <f t="shared" si="227"/>
        <v>2.1537752458364614</v>
      </c>
      <c r="BU94" s="528">
        <f t="shared" si="228"/>
        <v>0.32039999999999996</v>
      </c>
      <c r="BV94" s="528">
        <f t="shared" si="229"/>
        <v>3.8102812726274418</v>
      </c>
      <c r="BW94" s="528">
        <f t="shared" si="230"/>
        <v>0.10703811001003929</v>
      </c>
      <c r="BX94" s="460">
        <f t="shared" si="293"/>
        <v>3917.3193826374813</v>
      </c>
      <c r="BY94" s="173">
        <f t="shared" si="231"/>
        <v>8.1699426682604077</v>
      </c>
      <c r="BZ94" s="5">
        <f t="shared" si="294"/>
        <v>21.36</v>
      </c>
      <c r="CA94" s="173">
        <f t="shared" si="295"/>
        <v>0.72333360887145626</v>
      </c>
      <c r="CB94" s="5">
        <f t="shared" si="296"/>
        <v>72.333360887145631</v>
      </c>
      <c r="CE94" s="562">
        <f t="shared" si="232"/>
        <v>-50</v>
      </c>
      <c r="CF94">
        <f t="shared" si="233"/>
        <v>-50</v>
      </c>
      <c r="CG94" s="173">
        <f t="shared" si="234"/>
        <v>0.54990819079434838</v>
      </c>
      <c r="CI94" s="170">
        <v>89</v>
      </c>
      <c r="CJ94" s="217">
        <f t="shared" si="297"/>
        <v>5.34</v>
      </c>
      <c r="CK94" s="217"/>
      <c r="CL94" s="217">
        <f t="shared" si="235"/>
        <v>21.36</v>
      </c>
      <c r="CM94" s="541">
        <f t="shared" si="236"/>
        <v>24</v>
      </c>
      <c r="CN94" s="172">
        <f t="shared" si="237"/>
        <v>18.8</v>
      </c>
      <c r="CO94" s="443">
        <f t="shared" si="238"/>
        <v>42.8</v>
      </c>
      <c r="CP94" s="443"/>
      <c r="CQ94" s="217">
        <f t="shared" si="239"/>
        <v>0.43925233644859818</v>
      </c>
      <c r="CR94" s="172">
        <f t="shared" si="240"/>
        <v>35.456448598130848</v>
      </c>
      <c r="CS94" s="172">
        <f t="shared" si="298"/>
        <v>21.36</v>
      </c>
      <c r="CT94" s="217">
        <f t="shared" si="241"/>
        <v>8.864112149532712</v>
      </c>
      <c r="CU94" s="217">
        <f t="shared" si="242"/>
        <v>4</v>
      </c>
      <c r="CV94" s="217">
        <f t="shared" si="243"/>
        <v>8.7850467289719631</v>
      </c>
      <c r="CW94" s="172">
        <f t="shared" si="244"/>
        <v>9.3972291080705581</v>
      </c>
      <c r="CX94" s="172">
        <f t="shared" si="245"/>
        <v>4</v>
      </c>
      <c r="CY94" s="217">
        <f t="shared" si="246"/>
        <v>4.0523404255319138</v>
      </c>
      <c r="CZ94" s="217">
        <f t="shared" si="247"/>
        <v>2.0261702127659573</v>
      </c>
      <c r="DA94" s="217">
        <f t="shared" si="248"/>
        <v>2.5866002716161156</v>
      </c>
      <c r="DB94" s="197">
        <f t="shared" si="249"/>
        <v>350</v>
      </c>
      <c r="DC94" s="443">
        <f t="shared" si="299"/>
        <v>216.78945514107016</v>
      </c>
      <c r="DE94" s="217">
        <f t="shared" si="250"/>
        <v>2.5100133511348464</v>
      </c>
      <c r="DF94" s="173">
        <f t="shared" si="251"/>
        <v>1.6021361815754336</v>
      </c>
      <c r="DG94" s="173">
        <f t="shared" si="252"/>
        <v>2.8149682442633783</v>
      </c>
      <c r="DH94" s="173"/>
      <c r="DI94" s="173">
        <f t="shared" si="253"/>
        <v>0.85106382978723416</v>
      </c>
      <c r="DJ94" s="545">
        <f t="shared" si="300"/>
        <v>2352.9374999999995</v>
      </c>
      <c r="DK94" s="528">
        <f t="shared" si="254"/>
        <v>0.79432624113475192</v>
      </c>
      <c r="DM94" s="173">
        <f t="shared" si="255"/>
        <v>3.4570838247616402</v>
      </c>
      <c r="DN94" s="173">
        <f t="shared" si="256"/>
        <v>4.0523404255319138</v>
      </c>
      <c r="DO94" s="173">
        <f t="shared" si="257"/>
        <v>3.2140793275545034</v>
      </c>
      <c r="DQ94" s="545">
        <f t="shared" si="258"/>
        <v>5340</v>
      </c>
      <c r="DR94" s="460">
        <f t="shared" si="259"/>
        <v>216.78945514107016</v>
      </c>
      <c r="DT94">
        <f t="shared" si="260"/>
        <v>5340</v>
      </c>
      <c r="DU94">
        <f t="shared" si="261"/>
        <v>216.78945514107016</v>
      </c>
      <c r="DW94" s="5">
        <f t="shared" si="301"/>
        <v>4.6127704843820734</v>
      </c>
      <c r="DX94" s="5">
        <f t="shared" si="262"/>
        <v>2.0261702127659573</v>
      </c>
      <c r="DY94" s="5">
        <f t="shared" si="302"/>
        <v>2.5866002716161161</v>
      </c>
      <c r="DZ94" s="5">
        <f t="shared" si="263"/>
        <v>2.5866002716161156</v>
      </c>
      <c r="EA94" s="173">
        <f t="shared" si="303"/>
        <v>0.43925233644859812</v>
      </c>
      <c r="EB94" s="173">
        <f t="shared" si="264"/>
        <v>21.359999999999985</v>
      </c>
      <c r="EC94" s="173">
        <f t="shared" si="265"/>
        <v>4.5446808510638288</v>
      </c>
      <c r="ED94" s="173">
        <f t="shared" si="304"/>
        <v>4.6999999999999975</v>
      </c>
      <c r="EE94" s="460">
        <f t="shared" si="266"/>
        <v>270.49372340425532</v>
      </c>
      <c r="EF94" s="5">
        <f t="shared" si="267"/>
        <v>1.9183952014486192</v>
      </c>
      <c r="EG94" s="5"/>
      <c r="EH94" s="173">
        <f t="shared" si="305"/>
        <v>1.5506091230488321</v>
      </c>
      <c r="EI94" s="173">
        <f t="shared" si="268"/>
        <v>7.0079181756841766</v>
      </c>
      <c r="EJ94" s="173"/>
      <c r="EK94" s="528">
        <f t="shared" si="269"/>
        <v>2.9333541560283668E-2</v>
      </c>
      <c r="EL94" s="528">
        <f t="shared" si="270"/>
        <v>0.75199999999999967</v>
      </c>
      <c r="EM94" s="528">
        <f t="shared" si="271"/>
        <v>2.7098681892633768E-2</v>
      </c>
      <c r="EN94" s="528">
        <f t="shared" si="272"/>
        <v>3.9712359550561793E-2</v>
      </c>
      <c r="EO94">
        <f t="shared" si="273"/>
        <v>1.0800000000000001E-2</v>
      </c>
      <c r="EP94" s="460">
        <f t="shared" si="306"/>
        <v>37.898681892633768</v>
      </c>
      <c r="EQ94" s="528">
        <f t="shared" si="274"/>
        <v>0.87294878627447392</v>
      </c>
      <c r="ER94" s="460">
        <f t="shared" si="307"/>
        <v>872.94878627447395</v>
      </c>
      <c r="ES94" s="528">
        <f t="shared" si="308"/>
        <v>3.3174749999999995</v>
      </c>
      <c r="ET94" s="528"/>
      <c r="EV94" s="460">
        <f t="shared" si="309"/>
        <v>3317.4749999999995</v>
      </c>
      <c r="EW94" s="528">
        <f t="shared" si="275"/>
        <v>7.2131659574468043E-2</v>
      </c>
      <c r="EX94" s="528">
        <f t="shared" si="276"/>
        <v>1.4733275147125391</v>
      </c>
      <c r="EY94" s="528">
        <f t="shared" si="277"/>
        <v>1.1437475956681524</v>
      </c>
      <c r="EZ94" s="528">
        <f t="shared" si="278"/>
        <v>3.4918361943126781</v>
      </c>
      <c r="FA94" s="528">
        <f t="shared" si="279"/>
        <v>8.8999999999999954E-2</v>
      </c>
      <c r="FB94" s="460">
        <f t="shared" si="310"/>
        <v>3580.8361943126779</v>
      </c>
      <c r="FC94" s="173">
        <f t="shared" si="311"/>
        <v>7.7712599805871507</v>
      </c>
      <c r="FD94" s="5">
        <f t="shared" si="312"/>
        <v>21.36</v>
      </c>
      <c r="FE94" s="173">
        <f t="shared" si="313"/>
        <v>0.73323296054596132</v>
      </c>
      <c r="FF94" s="5">
        <f t="shared" si="314"/>
        <v>73.323296054596128</v>
      </c>
      <c r="FI94" s="562">
        <f t="shared" si="280"/>
        <v>-50</v>
      </c>
      <c r="FJ94">
        <f t="shared" si="281"/>
        <v>-50</v>
      </c>
      <c r="FL94">
        <f t="shared" si="282"/>
        <v>0.56074766355140193</v>
      </c>
    </row>
    <row r="95" spans="5:168">
      <c r="E95" s="170">
        <v>90</v>
      </c>
      <c r="F95" s="217">
        <f t="shared" si="283"/>
        <v>5.4</v>
      </c>
      <c r="G95" s="217"/>
      <c r="H95" s="217">
        <f t="shared" si="183"/>
        <v>21.6</v>
      </c>
      <c r="I95" s="541">
        <f t="shared" si="184"/>
        <v>23.896423573325336</v>
      </c>
      <c r="J95" s="172">
        <f t="shared" si="185"/>
        <v>19.978120492981976</v>
      </c>
      <c r="K95" s="172">
        <f t="shared" si="186"/>
        <v>43.978120492981972</v>
      </c>
      <c r="L95" s="443"/>
      <c r="M95" s="217">
        <f t="shared" si="187"/>
        <v>0.45506679906417713</v>
      </c>
      <c r="N95" s="172">
        <f t="shared" si="188"/>
        <v>36.574464018187534</v>
      </c>
      <c r="O95" s="172">
        <f t="shared" si="284"/>
        <v>21.6</v>
      </c>
      <c r="P95" s="217">
        <f t="shared" si="189"/>
        <v>9.1436160045468835</v>
      </c>
      <c r="Q95" s="217">
        <f t="shared" si="190"/>
        <v>4</v>
      </c>
      <c r="R95" s="217">
        <f t="shared" si="191"/>
        <v>9.0620574871624235</v>
      </c>
      <c r="S95" s="172">
        <f t="shared" si="192"/>
        <v>9.1992177624627498</v>
      </c>
      <c r="T95" s="172">
        <f t="shared" si="193"/>
        <v>4</v>
      </c>
      <c r="U95" s="217">
        <f t="shared" si="194"/>
        <v>4.9547357279080169</v>
      </c>
      <c r="V95" s="217">
        <f t="shared" si="195"/>
        <v>2.4881057432069285</v>
      </c>
      <c r="W95" s="217">
        <f t="shared" si="196"/>
        <v>2.9760972137385262</v>
      </c>
      <c r="X95" s="197">
        <f t="shared" si="197"/>
        <v>350</v>
      </c>
      <c r="Y95" s="443">
        <f t="shared" si="198"/>
        <v>176.54734613169154</v>
      </c>
      <c r="AA95" s="217">
        <f t="shared" si="199"/>
        <v>2.5907507289839891</v>
      </c>
      <c r="AB95" s="173">
        <f t="shared" si="200"/>
        <v>1.5561528302288989</v>
      </c>
      <c r="AC95" s="173">
        <f t="shared" si="201"/>
        <v>2.8221228555282125</v>
      </c>
      <c r="AD95" s="173"/>
      <c r="AE95" s="173">
        <f t="shared" si="202"/>
        <v>0.80087613875492292</v>
      </c>
      <c r="AF95" s="545">
        <f t="shared" si="203"/>
        <v>2528.4808748930304</v>
      </c>
      <c r="AG95" s="528">
        <f t="shared" si="204"/>
        <v>0.74748439617126161</v>
      </c>
      <c r="AI95" s="173">
        <f t="shared" si="205"/>
        <v>3.5837239653430522</v>
      </c>
      <c r="AJ95" s="173">
        <f t="shared" si="206"/>
        <v>4.9547357279080169</v>
      </c>
      <c r="AK95" s="173">
        <f t="shared" si="207"/>
        <v>3.882520292277543</v>
      </c>
      <c r="AM95" s="545">
        <f t="shared" si="208"/>
        <v>5400</v>
      </c>
      <c r="AN95" s="460">
        <f t="shared" si="209"/>
        <v>176.54734613169154</v>
      </c>
      <c r="AP95">
        <f t="shared" si="210"/>
        <v>5400</v>
      </c>
      <c r="AQ95">
        <f t="shared" si="211"/>
        <v>176.54734613169154</v>
      </c>
      <c r="AS95" s="5">
        <f t="shared" si="285"/>
        <v>5.6642029569454557</v>
      </c>
      <c r="AT95" s="5">
        <f t="shared" si="212"/>
        <v>2.4881057432069285</v>
      </c>
      <c r="AU95" s="5">
        <f t="shared" si="286"/>
        <v>3.1760972137385273</v>
      </c>
      <c r="AV95" s="5">
        <f t="shared" si="213"/>
        <v>2.9760972137385262</v>
      </c>
      <c r="AW95" s="173">
        <f t="shared" si="287"/>
        <v>0.43926846585820317</v>
      </c>
      <c r="AX95" s="173">
        <f t="shared" si="214"/>
        <v>26.004795011773723</v>
      </c>
      <c r="AY95" s="173">
        <f t="shared" si="215"/>
        <v>5.55655313195407</v>
      </c>
      <c r="AZ95" s="173">
        <f t="shared" si="288"/>
        <v>4.6800227396779395</v>
      </c>
      <c r="BA95" s="460">
        <f t="shared" si="216"/>
        <v>335.89427533293536</v>
      </c>
      <c r="BB95" s="5">
        <f t="shared" si="217"/>
        <v>2.3923977440335422</v>
      </c>
      <c r="BC95" s="5"/>
      <c r="BD95" s="173">
        <f t="shared" si="289"/>
        <v>1.8959412763367416</v>
      </c>
      <c r="BE95" s="173">
        <f t="shared" si="218"/>
        <v>8.5683529847786613</v>
      </c>
      <c r="BF95" s="173"/>
      <c r="BG95" s="528">
        <f t="shared" si="219"/>
        <v>4.3854038544472188E-2</v>
      </c>
      <c r="BH95" s="528">
        <f t="shared" si="220"/>
        <v>0.72130613469289673</v>
      </c>
      <c r="BI95" s="528">
        <f t="shared" si="221"/>
        <v>0.10547125409773453</v>
      </c>
      <c r="BJ95" s="528">
        <f t="shared" si="222"/>
        <v>3.4145582296334825E-2</v>
      </c>
      <c r="BK95">
        <f t="shared" si="223"/>
        <v>1.0753390607996401E-2</v>
      </c>
      <c r="BL95" s="460">
        <f t="shared" si="290"/>
        <v>116.22464470573094</v>
      </c>
      <c r="BM95" s="528">
        <f t="shared" si="224"/>
        <v>0.81968725728704495</v>
      </c>
      <c r="BN95" s="460">
        <f t="shared" si="291"/>
        <v>819.68725728704499</v>
      </c>
      <c r="BO95" s="528">
        <f t="shared" si="225"/>
        <v>3.3547499999999997</v>
      </c>
      <c r="BP95" s="528"/>
      <c r="BR95" s="460">
        <f t="shared" si="292"/>
        <v>3354.7499999999995</v>
      </c>
      <c r="BS95" s="528">
        <f t="shared" si="226"/>
        <v>0.10783779969952177</v>
      </c>
      <c r="BT95" s="528">
        <f t="shared" si="227"/>
        <v>2.2025001861529621</v>
      </c>
      <c r="BU95" s="528">
        <f t="shared" si="228"/>
        <v>0.32400000000000001</v>
      </c>
      <c r="BV95" s="528">
        <f t="shared" si="229"/>
        <v>3.9118312977771788</v>
      </c>
      <c r="BW95" s="528">
        <f t="shared" si="230"/>
        <v>0.10835331254905717</v>
      </c>
      <c r="BX95" s="460">
        <f t="shared" si="293"/>
        <v>4020.184610326236</v>
      </c>
      <c r="BY95" s="173">
        <f t="shared" si="231"/>
        <v>8.3108465123190118</v>
      </c>
      <c r="BZ95" s="5">
        <f t="shared" si="294"/>
        <v>21.6</v>
      </c>
      <c r="CA95" s="173">
        <f t="shared" si="295"/>
        <v>0.72214606133276349</v>
      </c>
      <c r="CB95" s="5">
        <f t="shared" si="296"/>
        <v>72.214606133276348</v>
      </c>
      <c r="CE95" s="562">
        <f t="shared" si="232"/>
        <v>-50</v>
      </c>
      <c r="CF95">
        <f t="shared" si="233"/>
        <v>-50</v>
      </c>
      <c r="CG95" s="173">
        <f t="shared" si="234"/>
        <v>0.55002862938053787</v>
      </c>
      <c r="CI95" s="170">
        <v>90</v>
      </c>
      <c r="CJ95" s="217">
        <f t="shared" si="297"/>
        <v>5.4</v>
      </c>
      <c r="CK95" s="217"/>
      <c r="CL95" s="217">
        <f t="shared" si="235"/>
        <v>21.6</v>
      </c>
      <c r="CM95" s="541">
        <f t="shared" si="236"/>
        <v>24</v>
      </c>
      <c r="CN95" s="172">
        <f t="shared" si="237"/>
        <v>18.8</v>
      </c>
      <c r="CO95" s="443">
        <f t="shared" si="238"/>
        <v>42.8</v>
      </c>
      <c r="CP95" s="443"/>
      <c r="CQ95" s="217">
        <f t="shared" si="239"/>
        <v>0.43925233644859818</v>
      </c>
      <c r="CR95" s="172">
        <f t="shared" si="240"/>
        <v>35.456448598130848</v>
      </c>
      <c r="CS95" s="172">
        <f t="shared" si="298"/>
        <v>21.6</v>
      </c>
      <c r="CT95" s="217">
        <f t="shared" si="241"/>
        <v>8.864112149532712</v>
      </c>
      <c r="CU95" s="217">
        <f t="shared" si="242"/>
        <v>4</v>
      </c>
      <c r="CV95" s="217">
        <f t="shared" si="243"/>
        <v>8.7850467289719631</v>
      </c>
      <c r="CW95" s="172">
        <f t="shared" si="244"/>
        <v>9.237458106006299</v>
      </c>
      <c r="CX95" s="172">
        <f t="shared" si="245"/>
        <v>4</v>
      </c>
      <c r="CY95" s="217">
        <f t="shared" si="246"/>
        <v>4.0978723404255311</v>
      </c>
      <c r="CZ95" s="217">
        <f t="shared" si="247"/>
        <v>2.0489361702127655</v>
      </c>
      <c r="DA95" s="217">
        <f t="shared" si="248"/>
        <v>2.6156631960162966</v>
      </c>
      <c r="DB95" s="197">
        <f t="shared" si="249"/>
        <v>350</v>
      </c>
      <c r="DC95" s="443">
        <f t="shared" si="299"/>
        <v>214.38068341728052</v>
      </c>
      <c r="DE95" s="217">
        <f t="shared" si="250"/>
        <v>2.5100133511348464</v>
      </c>
      <c r="DF95" s="173">
        <f t="shared" si="251"/>
        <v>1.6021361815754336</v>
      </c>
      <c r="DG95" s="173">
        <f t="shared" si="252"/>
        <v>2.8149682442633783</v>
      </c>
      <c r="DH95" s="173"/>
      <c r="DI95" s="173">
        <f t="shared" si="253"/>
        <v>0.85106382978723416</v>
      </c>
      <c r="DJ95" s="545">
        <f t="shared" si="300"/>
        <v>2379.3749999999995</v>
      </c>
      <c r="DK95" s="528">
        <f t="shared" si="254"/>
        <v>0.79432624113475192</v>
      </c>
      <c r="DM95" s="173">
        <f t="shared" si="255"/>
        <v>3.4764513926868426</v>
      </c>
      <c r="DN95" s="173">
        <f t="shared" si="256"/>
        <v>4.0978723404255311</v>
      </c>
      <c r="DO95" s="173">
        <f t="shared" si="257"/>
        <v>3.2478066719201459</v>
      </c>
      <c r="DQ95" s="545">
        <f t="shared" si="258"/>
        <v>5400</v>
      </c>
      <c r="DR95" s="460">
        <f t="shared" si="259"/>
        <v>214.38068341728052</v>
      </c>
      <c r="DT95">
        <f t="shared" si="260"/>
        <v>5400</v>
      </c>
      <c r="DU95">
        <f t="shared" si="261"/>
        <v>214.38068341728052</v>
      </c>
      <c r="DW95" s="5">
        <f t="shared" si="301"/>
        <v>4.6645993662290621</v>
      </c>
      <c r="DX95" s="5">
        <f t="shared" si="262"/>
        <v>2.0489361702127655</v>
      </c>
      <c r="DY95" s="5">
        <f t="shared" si="302"/>
        <v>2.6156631960162966</v>
      </c>
      <c r="DZ95" s="5">
        <f t="shared" si="263"/>
        <v>2.6156631960162966</v>
      </c>
      <c r="EA95" s="173">
        <f t="shared" si="303"/>
        <v>0.43925233644859812</v>
      </c>
      <c r="EB95" s="173">
        <f t="shared" si="264"/>
        <v>21.599999999999991</v>
      </c>
      <c r="EC95" s="173">
        <f t="shared" si="265"/>
        <v>4.5957446808510634</v>
      </c>
      <c r="ED95" s="173">
        <f t="shared" si="304"/>
        <v>4.6999999999999984</v>
      </c>
      <c r="EE95" s="460">
        <f t="shared" si="266"/>
        <v>276.60638297872339</v>
      </c>
      <c r="EF95" s="5">
        <f t="shared" si="267"/>
        <v>1.9617473970122221</v>
      </c>
      <c r="EG95" s="5"/>
      <c r="EH95" s="173">
        <f t="shared" si="305"/>
        <v>1.5680316974651112</v>
      </c>
      <c r="EI95" s="173">
        <f t="shared" si="268"/>
        <v>7.0866588293435493</v>
      </c>
      <c r="EJ95" s="173"/>
      <c r="EK95" s="528">
        <f t="shared" si="269"/>
        <v>2.9996425531914877E-2</v>
      </c>
      <c r="EL95" s="528">
        <f t="shared" si="270"/>
        <v>0.75199999999999989</v>
      </c>
      <c r="EM95" s="528">
        <f t="shared" si="271"/>
        <v>2.6797585427160067E-2</v>
      </c>
      <c r="EN95" s="528">
        <f t="shared" si="272"/>
        <v>3.9271111111111111E-2</v>
      </c>
      <c r="EO95">
        <f t="shared" si="273"/>
        <v>1.0800000000000001E-2</v>
      </c>
      <c r="EP95" s="460">
        <f t="shared" si="306"/>
        <v>37.59758542716007</v>
      </c>
      <c r="EQ95" s="528">
        <f t="shared" si="274"/>
        <v>0.87318749584159516</v>
      </c>
      <c r="ER95" s="460">
        <f t="shared" si="307"/>
        <v>873.18749584159514</v>
      </c>
      <c r="ES95" s="528">
        <f t="shared" si="308"/>
        <v>3.3547499999999997</v>
      </c>
      <c r="ET95" s="528"/>
      <c r="EV95" s="460">
        <f t="shared" si="309"/>
        <v>3354.7499999999995</v>
      </c>
      <c r="EW95" s="528">
        <f t="shared" si="275"/>
        <v>7.3761702127659534E-2</v>
      </c>
      <c r="EX95" s="528">
        <f t="shared" si="276"/>
        <v>1.5066220009053866</v>
      </c>
      <c r="EY95" s="528">
        <f t="shared" si="277"/>
        <v>1.1437475956681515</v>
      </c>
      <c r="EZ95" s="528">
        <f t="shared" si="278"/>
        <v>3.5525783404714724</v>
      </c>
      <c r="FA95" s="528">
        <f t="shared" si="279"/>
        <v>8.9999999999999969E-2</v>
      </c>
      <c r="FB95" s="460">
        <f t="shared" si="310"/>
        <v>3642.5783404714721</v>
      </c>
      <c r="FC95" s="173">
        <f t="shared" si="311"/>
        <v>7.8705158363130678</v>
      </c>
      <c r="FD95" s="5">
        <f t="shared" si="312"/>
        <v>21.6</v>
      </c>
      <c r="FE95" s="173">
        <f t="shared" si="313"/>
        <v>0.73293593230508869</v>
      </c>
      <c r="FF95" s="5">
        <f t="shared" si="314"/>
        <v>73.293593230508876</v>
      </c>
      <c r="FI95" s="562">
        <f t="shared" si="280"/>
        <v>-50</v>
      </c>
      <c r="FJ95">
        <f t="shared" si="281"/>
        <v>-50</v>
      </c>
      <c r="FL95">
        <f t="shared" si="282"/>
        <v>0.56074766355140193</v>
      </c>
    </row>
    <row r="96" spans="5:168">
      <c r="E96" s="170">
        <v>91</v>
      </c>
      <c r="F96" s="217">
        <f t="shared" si="283"/>
        <v>5.46</v>
      </c>
      <c r="G96" s="217"/>
      <c r="H96" s="217">
        <f t="shared" si="183"/>
        <v>21.84</v>
      </c>
      <c r="I96" s="541">
        <f t="shared" si="184"/>
        <v>23.895295147246479</v>
      </c>
      <c r="J96" s="172">
        <f t="shared" si="185"/>
        <v>19.990955671130109</v>
      </c>
      <c r="K96" s="172">
        <f t="shared" si="186"/>
        <v>43.990955671130109</v>
      </c>
      <c r="L96" s="443"/>
      <c r="M96" s="217">
        <f t="shared" si="187"/>
        <v>0.45523802140806763</v>
      </c>
      <c r="N96" s="172">
        <f t="shared" si="188"/>
        <v>36.586497685828121</v>
      </c>
      <c r="O96" s="172">
        <f t="shared" si="284"/>
        <v>21.84</v>
      </c>
      <c r="P96" s="217">
        <f t="shared" si="189"/>
        <v>9.1466244214570303</v>
      </c>
      <c r="Q96" s="217">
        <f t="shared" si="190"/>
        <v>4</v>
      </c>
      <c r="R96" s="217">
        <f t="shared" si="191"/>
        <v>9.0650390698285737</v>
      </c>
      <c r="S96" s="172">
        <f t="shared" si="192"/>
        <v>9.0434468596360897</v>
      </c>
      <c r="T96" s="217">
        <f t="shared" si="193"/>
        <v>4</v>
      </c>
      <c r="U96" s="217">
        <f t="shared" si="194"/>
        <v>5.0113629571879041</v>
      </c>
      <c r="V96" s="217">
        <f t="shared" si="195"/>
        <v>2.5166609207245774</v>
      </c>
      <c r="W96" s="217">
        <f t="shared" si="196"/>
        <v>3.0081781219244372</v>
      </c>
      <c r="X96" s="197">
        <f t="shared" si="197"/>
        <v>350</v>
      </c>
      <c r="Y96" s="443">
        <f t="shared" si="198"/>
        <v>174.67740010682937</v>
      </c>
      <c r="AA96" s="217">
        <f t="shared" si="199"/>
        <v>2.5916012696750954</v>
      </c>
      <c r="AB96" s="173">
        <f t="shared" si="200"/>
        <v>1.5556642587634268</v>
      </c>
      <c r="AC96" s="173">
        <f t="shared" si="201"/>
        <v>2.8221630277396237</v>
      </c>
      <c r="AD96" s="173"/>
      <c r="AE96" s="173">
        <f t="shared" si="202"/>
        <v>0.80036193682858114</v>
      </c>
      <c r="AF96" s="545">
        <f t="shared" si="203"/>
        <v>2558.2176085399306</v>
      </c>
      <c r="AG96" s="528">
        <f t="shared" si="204"/>
        <v>0.7470044743733425</v>
      </c>
      <c r="AI96" s="173">
        <f t="shared" si="205"/>
        <v>3.6047359384890552</v>
      </c>
      <c r="AJ96" s="173">
        <f t="shared" si="206"/>
        <v>5.0113629571879041</v>
      </c>
      <c r="AK96" s="173">
        <f t="shared" si="207"/>
        <v>3.9244663880404227</v>
      </c>
      <c r="AM96" s="545">
        <f t="shared" si="208"/>
        <v>5460</v>
      </c>
      <c r="AN96" s="460">
        <f t="shared" si="209"/>
        <v>174.67740010682937</v>
      </c>
      <c r="AP96">
        <f t="shared" si="210"/>
        <v>5460</v>
      </c>
      <c r="AQ96">
        <f t="shared" si="211"/>
        <v>174.67740010682937</v>
      </c>
      <c r="AS96" s="5">
        <f t="shared" si="285"/>
        <v>5.7248390426490152</v>
      </c>
      <c r="AT96" s="5">
        <f t="shared" si="212"/>
        <v>2.5166609207245774</v>
      </c>
      <c r="AU96" s="5">
        <f t="shared" si="286"/>
        <v>3.2081781219244379</v>
      </c>
      <c r="AV96" s="5">
        <f t="shared" si="213"/>
        <v>3.0081781219244372</v>
      </c>
      <c r="AW96" s="173">
        <f t="shared" si="287"/>
        <v>0.43960378658262855</v>
      </c>
      <c r="AX96" s="173">
        <f t="shared" si="214"/>
        <v>26.320836447888372</v>
      </c>
      <c r="AY96" s="173">
        <f t="shared" si="215"/>
        <v>5.6166976505363646</v>
      </c>
      <c r="AZ96" s="173">
        <f t="shared" si="288"/>
        <v>4.686176484036821</v>
      </c>
      <c r="BA96" s="460">
        <f t="shared" si="216"/>
        <v>343.5242156789048</v>
      </c>
      <c r="BB96" s="5">
        <f t="shared" si="217"/>
        <v>2.443528797582275</v>
      </c>
      <c r="BC96" s="5"/>
      <c r="BD96" s="173">
        <f t="shared" si="289"/>
        <v>1.9183415940914488</v>
      </c>
      <c r="BE96" s="173">
        <f t="shared" si="218"/>
        <v>8.6636882904257</v>
      </c>
      <c r="BF96" s="173"/>
      <c r="BG96" s="528">
        <f t="shared" si="219"/>
        <v>4.4896420553780111E-2</v>
      </c>
      <c r="BH96" s="528">
        <f t="shared" si="220"/>
        <v>0.72203333161175809</v>
      </c>
      <c r="BI96" s="528">
        <f t="shared" si="221"/>
        <v>0.10434920077765879</v>
      </c>
      <c r="BJ96" s="528">
        <f t="shared" si="222"/>
        <v>3.3803643498837493E-2</v>
      </c>
      <c r="BK96">
        <f t="shared" si="223"/>
        <v>1.0752882816260915E-2</v>
      </c>
      <c r="BL96" s="460">
        <f t="shared" si="290"/>
        <v>115.1020835939197</v>
      </c>
      <c r="BM96" s="528">
        <f t="shared" si="224"/>
        <v>0.82161996946856786</v>
      </c>
      <c r="BN96" s="460">
        <f t="shared" si="291"/>
        <v>821.61996946856789</v>
      </c>
      <c r="BO96" s="528">
        <f t="shared" si="225"/>
        <v>3.3920249999999994</v>
      </c>
      <c r="BP96" s="528"/>
      <c r="BR96" s="460">
        <f t="shared" si="292"/>
        <v>3392.0249999999992</v>
      </c>
      <c r="BS96" s="528">
        <f t="shared" si="226"/>
        <v>0.11040103414863962</v>
      </c>
      <c r="BT96" s="528">
        <f t="shared" si="227"/>
        <v>2.2517848438097814</v>
      </c>
      <c r="BU96" s="528">
        <f t="shared" si="228"/>
        <v>0.3276</v>
      </c>
      <c r="BV96" s="528">
        <f t="shared" si="229"/>
        <v>4.0155481860578304</v>
      </c>
      <c r="BW96" s="528">
        <f t="shared" si="230"/>
        <v>0.10967015186620155</v>
      </c>
      <c r="BX96" s="460">
        <f t="shared" si="293"/>
        <v>4125.2183379240323</v>
      </c>
      <c r="BY96" s="173">
        <f t="shared" si="231"/>
        <v>8.453965390986518</v>
      </c>
      <c r="BZ96" s="5">
        <f t="shared" si="294"/>
        <v>21.84</v>
      </c>
      <c r="CA96" s="173">
        <f t="shared" si="295"/>
        <v>0.72093566220611516</v>
      </c>
      <c r="CB96" s="5">
        <f t="shared" si="296"/>
        <v>72.093566220611521</v>
      </c>
      <c r="CE96" s="562">
        <f t="shared" si="232"/>
        <v>-50</v>
      </c>
      <c r="CF96">
        <f t="shared" si="233"/>
        <v>-50</v>
      </c>
      <c r="CG96" s="173">
        <f t="shared" si="234"/>
        <v>0.55014642096483291</v>
      </c>
      <c r="CI96" s="170">
        <v>91</v>
      </c>
      <c r="CJ96" s="217">
        <f t="shared" si="297"/>
        <v>5.46</v>
      </c>
      <c r="CK96" s="217"/>
      <c r="CL96" s="217">
        <f t="shared" si="235"/>
        <v>21.84</v>
      </c>
      <c r="CM96" s="541">
        <f t="shared" si="236"/>
        <v>24</v>
      </c>
      <c r="CN96" s="172">
        <f t="shared" si="237"/>
        <v>18.8</v>
      </c>
      <c r="CO96" s="443">
        <f t="shared" si="238"/>
        <v>42.8</v>
      </c>
      <c r="CP96" s="443"/>
      <c r="CQ96" s="217">
        <f t="shared" si="239"/>
        <v>0.43925233644859818</v>
      </c>
      <c r="CR96" s="172">
        <f t="shared" si="240"/>
        <v>35.456448598130848</v>
      </c>
      <c r="CS96" s="172">
        <f t="shared" si="298"/>
        <v>21.84</v>
      </c>
      <c r="CT96" s="217">
        <f t="shared" si="241"/>
        <v>8.864112149532712</v>
      </c>
      <c r="CU96" s="217">
        <f t="shared" si="242"/>
        <v>4</v>
      </c>
      <c r="CV96" s="217">
        <f t="shared" si="243"/>
        <v>8.7850467289719631</v>
      </c>
      <c r="CW96" s="172">
        <f t="shared" si="244"/>
        <v>9.081400994753567</v>
      </c>
      <c r="CX96" s="217">
        <f t="shared" si="245"/>
        <v>4</v>
      </c>
      <c r="CY96" s="217">
        <f t="shared" si="246"/>
        <v>4.1434042553191484</v>
      </c>
      <c r="CZ96" s="217">
        <f t="shared" si="247"/>
        <v>2.0717021276595742</v>
      </c>
      <c r="DA96" s="217">
        <f t="shared" si="248"/>
        <v>2.6447261204164771</v>
      </c>
      <c r="DB96" s="197">
        <f t="shared" si="249"/>
        <v>350</v>
      </c>
      <c r="DC96" s="443">
        <f t="shared" si="299"/>
        <v>212.0248517313764</v>
      </c>
      <c r="DE96" s="217">
        <f t="shared" si="250"/>
        <v>2.5100133511348464</v>
      </c>
      <c r="DF96" s="173">
        <f t="shared" si="251"/>
        <v>1.6021361815754336</v>
      </c>
      <c r="DG96" s="173">
        <f t="shared" si="252"/>
        <v>2.8149682442633783</v>
      </c>
      <c r="DH96" s="173"/>
      <c r="DI96" s="173">
        <f t="shared" si="253"/>
        <v>0.85106382978723416</v>
      </c>
      <c r="DJ96" s="545">
        <f t="shared" si="300"/>
        <v>2405.8124999999995</v>
      </c>
      <c r="DK96" s="528">
        <f t="shared" si="254"/>
        <v>0.79432624113475192</v>
      </c>
      <c r="DM96" s="173">
        <f t="shared" si="255"/>
        <v>3.4957116585897072</v>
      </c>
      <c r="DN96" s="173">
        <f t="shared" si="256"/>
        <v>4.1434042553191484</v>
      </c>
      <c r="DO96" s="173">
        <f t="shared" si="257"/>
        <v>3.2815340162857884</v>
      </c>
      <c r="DQ96" s="545">
        <f t="shared" si="258"/>
        <v>5460</v>
      </c>
      <c r="DR96" s="460">
        <f t="shared" si="259"/>
        <v>212.0248517313764</v>
      </c>
      <c r="DT96">
        <f t="shared" si="260"/>
        <v>5460</v>
      </c>
      <c r="DU96">
        <f t="shared" si="261"/>
        <v>212.0248517313764</v>
      </c>
      <c r="DW96" s="5">
        <f t="shared" si="301"/>
        <v>4.7164282480760509</v>
      </c>
      <c r="DX96" s="5">
        <f t="shared" si="262"/>
        <v>2.0717021276595742</v>
      </c>
      <c r="DY96" s="5">
        <f t="shared" si="302"/>
        <v>2.6447261204164767</v>
      </c>
      <c r="DZ96" s="5">
        <f t="shared" si="263"/>
        <v>2.6447261204164771</v>
      </c>
      <c r="EA96" s="173">
        <f t="shared" si="303"/>
        <v>0.43925233644859824</v>
      </c>
      <c r="EB96" s="173">
        <f t="shared" si="264"/>
        <v>21.840000000000003</v>
      </c>
      <c r="EC96" s="173">
        <f t="shared" si="265"/>
        <v>4.6468085106382961</v>
      </c>
      <c r="ED96" s="173">
        <f t="shared" si="304"/>
        <v>4.7000000000000028</v>
      </c>
      <c r="EE96" s="460">
        <f t="shared" si="266"/>
        <v>282.78734042553191</v>
      </c>
      <c r="EF96" s="5">
        <f t="shared" si="267"/>
        <v>2.005583974649161</v>
      </c>
      <c r="EG96" s="5"/>
      <c r="EH96" s="173">
        <f t="shared" si="305"/>
        <v>1.5854542718813904</v>
      </c>
      <c r="EI96" s="173">
        <f t="shared" si="268"/>
        <v>7.1653994830029211</v>
      </c>
      <c r="EJ96" s="173"/>
      <c r="EK96" s="528">
        <f t="shared" si="269"/>
        <v>3.0666716028368783E-2</v>
      </c>
      <c r="EL96" s="528">
        <f t="shared" si="270"/>
        <v>0.75200000000000011</v>
      </c>
      <c r="EM96" s="528">
        <f t="shared" si="271"/>
        <v>2.6503106466422049E-2</v>
      </c>
      <c r="EN96" s="528">
        <f t="shared" si="272"/>
        <v>3.8839560439560453E-2</v>
      </c>
      <c r="EO96">
        <f t="shared" si="273"/>
        <v>1.0800000000000001E-2</v>
      </c>
      <c r="EP96" s="460">
        <f t="shared" si="306"/>
        <v>37.303106466422051</v>
      </c>
      <c r="EQ96" s="528">
        <f t="shared" si="274"/>
        <v>0.87345373983611574</v>
      </c>
      <c r="ER96" s="460">
        <f t="shared" si="307"/>
        <v>873.45373983611569</v>
      </c>
      <c r="ES96" s="528">
        <f t="shared" si="308"/>
        <v>3.3920249999999994</v>
      </c>
      <c r="ET96" s="528"/>
      <c r="EV96" s="460">
        <f t="shared" si="309"/>
        <v>3392.0249999999992</v>
      </c>
      <c r="EW96" s="528">
        <f t="shared" si="275"/>
        <v>7.5409957446808493E-2</v>
      </c>
      <c r="EX96" s="528">
        <f t="shared" si="276"/>
        <v>1.5402884925305558</v>
      </c>
      <c r="EY96" s="528">
        <f t="shared" si="277"/>
        <v>1.1437475956681535</v>
      </c>
      <c r="EZ96" s="528">
        <f t="shared" si="278"/>
        <v>3.6143955346789571</v>
      </c>
      <c r="FA96" s="528">
        <f t="shared" si="279"/>
        <v>9.1000000000000011E-2</v>
      </c>
      <c r="FB96" s="460">
        <f t="shared" si="310"/>
        <v>3705.3955346789571</v>
      </c>
      <c r="FC96" s="173">
        <f t="shared" si="311"/>
        <v>7.9708742745150722</v>
      </c>
      <c r="FD96" s="5">
        <f t="shared" si="312"/>
        <v>21.84</v>
      </c>
      <c r="FE96" s="173">
        <f t="shared" si="313"/>
        <v>0.73261856726794261</v>
      </c>
      <c r="FF96" s="5">
        <f t="shared" si="314"/>
        <v>73.261856726794264</v>
      </c>
      <c r="FI96" s="562">
        <f t="shared" si="280"/>
        <v>-50</v>
      </c>
      <c r="FJ96">
        <f t="shared" si="281"/>
        <v>-50</v>
      </c>
      <c r="FL96">
        <f t="shared" si="282"/>
        <v>0.56074766355140171</v>
      </c>
    </row>
    <row r="97" spans="5:168" ht="13">
      <c r="E97" s="170">
        <v>92</v>
      </c>
      <c r="F97" s="217">
        <f t="shared" si="283"/>
        <v>5.5200000000000005</v>
      </c>
      <c r="G97" s="217"/>
      <c r="H97" s="217">
        <f t="shared" si="183"/>
        <v>22.080000000000002</v>
      </c>
      <c r="I97" s="541">
        <f t="shared" si="184"/>
        <v>23.894166711776325</v>
      </c>
      <c r="J97" s="172">
        <f t="shared" si="185"/>
        <v>20.003790956098655</v>
      </c>
      <c r="K97" s="172">
        <f t="shared" si="186"/>
        <v>44.003790956098655</v>
      </c>
      <c r="L97" s="443"/>
      <c r="M97" s="217">
        <f t="shared" si="187"/>
        <v>0.45540915244144864</v>
      </c>
      <c r="N97" s="172">
        <f t="shared" si="188"/>
        <v>36.598522701330914</v>
      </c>
      <c r="O97" s="172">
        <f t="shared" si="284"/>
        <v>22.080000000000002</v>
      </c>
      <c r="P97" s="217">
        <f t="shared" si="189"/>
        <v>9.1496306753327286</v>
      </c>
      <c r="Q97" s="217">
        <f t="shared" si="190"/>
        <v>4</v>
      </c>
      <c r="R97" s="217">
        <f t="shared" si="191"/>
        <v>9.0680185087539442</v>
      </c>
      <c r="S97" s="172">
        <f t="shared" si="192"/>
        <v>8.8912701528504936</v>
      </c>
      <c r="T97" s="532">
        <f t="shared" si="193"/>
        <v>4</v>
      </c>
      <c r="U97" s="217">
        <f t="shared" si="194"/>
        <v>5.0680249445493306</v>
      </c>
      <c r="V97" s="217">
        <f t="shared" si="195"/>
        <v>2.545236252353527</v>
      </c>
      <c r="W97" s="217">
        <f t="shared" si="196"/>
        <v>3.0402386961582701</v>
      </c>
      <c r="X97" s="197">
        <f t="shared" si="197"/>
        <v>350</v>
      </c>
      <c r="Y97" s="443">
        <f t="shared" si="198"/>
        <v>172.84665630731507</v>
      </c>
      <c r="AA97" s="217">
        <f t="shared" si="199"/>
        <v>2.5924512066783216</v>
      </c>
      <c r="AB97" s="173">
        <f t="shared" si="200"/>
        <v>1.5551759438205577</v>
      </c>
      <c r="AC97" s="173">
        <f t="shared" si="201"/>
        <v>2.8222024265082917</v>
      </c>
      <c r="AD97" s="173"/>
      <c r="AE97" s="173">
        <f t="shared" si="202"/>
        <v>0.79984839049330314</v>
      </c>
      <c r="AF97" s="545">
        <f t="shared" si="203"/>
        <v>2587.9904549452631</v>
      </c>
      <c r="AG97" s="528">
        <f t="shared" si="204"/>
        <v>0.74652516446041639</v>
      </c>
      <c r="AI97" s="173">
        <f t="shared" si="205"/>
        <v>3.6256514369943393</v>
      </c>
      <c r="AJ97" s="173">
        <f t="shared" si="206"/>
        <v>5.0680249445493306</v>
      </c>
      <c r="AK97" s="173">
        <f t="shared" si="207"/>
        <v>3.9664382305303683</v>
      </c>
      <c r="AM97" s="545">
        <f t="shared" si="208"/>
        <v>5520.0000000000009</v>
      </c>
      <c r="AN97" s="460">
        <f t="shared" si="209"/>
        <v>172.84665630731507</v>
      </c>
      <c r="AP97">
        <f t="shared" si="210"/>
        <v>5520.0000000000009</v>
      </c>
      <c r="AQ97">
        <f t="shared" si="211"/>
        <v>172.84665630731507</v>
      </c>
      <c r="AS97" s="5">
        <f t="shared" si="285"/>
        <v>5.7854749485117978</v>
      </c>
      <c r="AT97" s="5">
        <f t="shared" si="212"/>
        <v>2.545236252353527</v>
      </c>
      <c r="AU97" s="5">
        <f t="shared" si="286"/>
        <v>3.2402386961582708</v>
      </c>
      <c r="AV97" s="5">
        <f t="shared" si="213"/>
        <v>3.0402386961582701</v>
      </c>
      <c r="AW97" s="173">
        <f t="shared" si="287"/>
        <v>0.43993557573146869</v>
      </c>
      <c r="AX97" s="173">
        <f t="shared" si="214"/>
        <v>26.637270475276559</v>
      </c>
      <c r="AY97" s="173">
        <f t="shared" si="215"/>
        <v>5.6768409454951527</v>
      </c>
      <c r="AZ97" s="173">
        <f t="shared" si="288"/>
        <v>4.6922700021064561</v>
      </c>
      <c r="BA97" s="460">
        <f t="shared" si="216"/>
        <v>351.24260282478673</v>
      </c>
      <c r="BB97" s="5">
        <f t="shared" si="217"/>
        <v>2.4951860731735858</v>
      </c>
      <c r="BC97" s="5"/>
      <c r="BD97" s="173">
        <f t="shared" si="289"/>
        <v>1.940763688136711</v>
      </c>
      <c r="BE97" s="173">
        <f t="shared" si="218"/>
        <v>8.7590519301285781</v>
      </c>
      <c r="BF97" s="173"/>
      <c r="BG97" s="528">
        <f t="shared" si="219"/>
        <v>4.5952077056918103E-2</v>
      </c>
      <c r="BH97" s="528">
        <f t="shared" si="220"/>
        <v>0.72275497756759755</v>
      </c>
      <c r="BI97" s="528">
        <f t="shared" si="221"/>
        <v>0.10325067053450228</v>
      </c>
      <c r="BJ97" s="528">
        <f t="shared" si="222"/>
        <v>3.3468879145455717E-2</v>
      </c>
      <c r="BK97">
        <f t="shared" si="223"/>
        <v>1.0752375020299345E-2</v>
      </c>
      <c r="BL97" s="460">
        <f t="shared" si="290"/>
        <v>114.00304555480162</v>
      </c>
      <c r="BM97" s="528">
        <f t="shared" si="224"/>
        <v>0.82357496184924839</v>
      </c>
      <c r="BN97" s="460">
        <f t="shared" si="291"/>
        <v>823.57496184924844</v>
      </c>
      <c r="BO97" s="528">
        <f t="shared" si="225"/>
        <v>3.4292999999999996</v>
      </c>
      <c r="BP97" s="528"/>
      <c r="BR97" s="460">
        <f t="shared" si="292"/>
        <v>3429.2999999999997</v>
      </c>
      <c r="BS97" s="528">
        <f t="shared" si="226"/>
        <v>0.11299691079570025</v>
      </c>
      <c r="BT97" s="528">
        <f t="shared" si="227"/>
        <v>2.3016297214406749</v>
      </c>
      <c r="BU97" s="528">
        <f t="shared" si="228"/>
        <v>0.33119999999999999</v>
      </c>
      <c r="BV97" s="528">
        <f t="shared" si="229"/>
        <v>4.1214847764115055</v>
      </c>
      <c r="BW97" s="528">
        <f t="shared" si="230"/>
        <v>0.11098862698031901</v>
      </c>
      <c r="BX97" s="460">
        <f t="shared" si="293"/>
        <v>4232.4734033918248</v>
      </c>
      <c r="BY97" s="173">
        <f t="shared" si="231"/>
        <v>8.5993514107958742</v>
      </c>
      <c r="BZ97" s="5">
        <f t="shared" si="294"/>
        <v>22.080000000000002</v>
      </c>
      <c r="CA97" s="173">
        <f t="shared" si="295"/>
        <v>0.71970230740374086</v>
      </c>
      <c r="CB97" s="5">
        <f t="shared" si="296"/>
        <v>71.970230740374092</v>
      </c>
      <c r="CE97" s="562">
        <f t="shared" si="232"/>
        <v>-50</v>
      </c>
      <c r="CF97">
        <f t="shared" si="233"/>
        <v>-50</v>
      </c>
      <c r="CG97" s="173">
        <f t="shared" si="234"/>
        <v>0.55026165186251308</v>
      </c>
      <c r="CI97" s="170">
        <v>92</v>
      </c>
      <c r="CJ97" s="217">
        <f t="shared" si="297"/>
        <v>5.5200000000000005</v>
      </c>
      <c r="CK97" s="217"/>
      <c r="CL97" s="217">
        <f t="shared" si="235"/>
        <v>22.080000000000002</v>
      </c>
      <c r="CM97" s="541">
        <f t="shared" si="236"/>
        <v>24</v>
      </c>
      <c r="CN97" s="172">
        <f t="shared" si="237"/>
        <v>18.8</v>
      </c>
      <c r="CO97" s="443">
        <f t="shared" si="238"/>
        <v>42.8</v>
      </c>
      <c r="CP97" s="443"/>
      <c r="CQ97" s="217">
        <f t="shared" si="239"/>
        <v>0.43925233644859818</v>
      </c>
      <c r="CR97" s="172">
        <f t="shared" si="240"/>
        <v>35.456448598130848</v>
      </c>
      <c r="CS97" s="172">
        <f t="shared" si="298"/>
        <v>22.080000000000002</v>
      </c>
      <c r="CT97" s="217">
        <f t="shared" si="241"/>
        <v>8.864112149532712</v>
      </c>
      <c r="CU97" s="217">
        <f t="shared" si="242"/>
        <v>4</v>
      </c>
      <c r="CV97" s="217">
        <f t="shared" si="243"/>
        <v>8.7850467289719631</v>
      </c>
      <c r="CW97" s="172">
        <f t="shared" si="244"/>
        <v>8.9289387629427281</v>
      </c>
      <c r="CX97" s="532">
        <f t="shared" si="245"/>
        <v>4</v>
      </c>
      <c r="CY97" s="217">
        <f t="shared" si="246"/>
        <v>4.1889361702127657</v>
      </c>
      <c r="CZ97" s="217">
        <f t="shared" si="247"/>
        <v>2.0944680851063828</v>
      </c>
      <c r="DA97" s="217">
        <f t="shared" si="248"/>
        <v>2.673789044816659</v>
      </c>
      <c r="DB97" s="197">
        <f t="shared" si="249"/>
        <v>350</v>
      </c>
      <c r="DC97" s="443">
        <f t="shared" si="299"/>
        <v>209.72023377777444</v>
      </c>
      <c r="DE97" s="217">
        <f t="shared" si="250"/>
        <v>2.5100133511348464</v>
      </c>
      <c r="DF97" s="173">
        <f t="shared" si="251"/>
        <v>1.6021361815754336</v>
      </c>
      <c r="DG97" s="173">
        <f t="shared" si="252"/>
        <v>2.8149682442633783</v>
      </c>
      <c r="DH97" s="173"/>
      <c r="DI97" s="173">
        <f t="shared" si="253"/>
        <v>0.85106382978723416</v>
      </c>
      <c r="DJ97" s="545">
        <f t="shared" si="300"/>
        <v>2432.2499999999995</v>
      </c>
      <c r="DK97" s="528">
        <f t="shared" si="254"/>
        <v>0.79432624113475192</v>
      </c>
      <c r="DM97" s="173">
        <f t="shared" si="255"/>
        <v>3.5148663864058496</v>
      </c>
      <c r="DN97" s="173">
        <f t="shared" si="256"/>
        <v>4.1889361702127657</v>
      </c>
      <c r="DO97" s="173">
        <f t="shared" si="257"/>
        <v>3.315261360651431</v>
      </c>
      <c r="DQ97" s="545">
        <f t="shared" si="258"/>
        <v>5520.0000000000009</v>
      </c>
      <c r="DR97" s="460">
        <f t="shared" si="259"/>
        <v>209.72023377777444</v>
      </c>
      <c r="DT97">
        <f t="shared" si="260"/>
        <v>5520.0000000000009</v>
      </c>
      <c r="DU97">
        <f t="shared" si="261"/>
        <v>209.72023377777444</v>
      </c>
      <c r="DW97" s="5">
        <f t="shared" si="301"/>
        <v>4.7682571299230414</v>
      </c>
      <c r="DX97" s="5">
        <f t="shared" si="262"/>
        <v>2.0944680851063828</v>
      </c>
      <c r="DY97" s="5">
        <f t="shared" si="302"/>
        <v>2.6737890448166586</v>
      </c>
      <c r="DZ97" s="5">
        <f t="shared" si="263"/>
        <v>2.673789044816659</v>
      </c>
      <c r="EA97" s="173">
        <f t="shared" si="303"/>
        <v>0.43925233644859818</v>
      </c>
      <c r="EB97" s="173">
        <f t="shared" si="264"/>
        <v>22.080000000000002</v>
      </c>
      <c r="EC97" s="173">
        <f t="shared" si="265"/>
        <v>4.6978723404255316</v>
      </c>
      <c r="ED97" s="173">
        <f t="shared" si="304"/>
        <v>4.7000000000000011</v>
      </c>
      <c r="EE97" s="460">
        <f t="shared" si="266"/>
        <v>289.03659574468088</v>
      </c>
      <c r="EF97" s="5">
        <f t="shared" si="267"/>
        <v>2.049904934359438</v>
      </c>
      <c r="EG97" s="5"/>
      <c r="EH97" s="173">
        <f t="shared" si="305"/>
        <v>1.6028768462976697</v>
      </c>
      <c r="EI97" s="173">
        <f t="shared" si="268"/>
        <v>7.2441401366622955</v>
      </c>
      <c r="EJ97" s="173"/>
      <c r="EK97" s="528">
        <f t="shared" si="269"/>
        <v>3.1344413049645393E-2</v>
      </c>
      <c r="EL97" s="528">
        <f t="shared" si="270"/>
        <v>0.752</v>
      </c>
      <c r="EM97" s="528">
        <f t="shared" si="271"/>
        <v>2.6215029222221801E-2</v>
      </c>
      <c r="EN97" s="528">
        <f t="shared" si="272"/>
        <v>3.8417391304347827E-2</v>
      </c>
      <c r="EO97">
        <f t="shared" si="273"/>
        <v>1.0800000000000001E-2</v>
      </c>
      <c r="EP97" s="460">
        <f t="shared" si="306"/>
        <v>37.015029222221798</v>
      </c>
      <c r="EQ97" s="528">
        <f t="shared" si="274"/>
        <v>0.87374699691670465</v>
      </c>
      <c r="ER97" s="460">
        <f t="shared" si="307"/>
        <v>873.74699691670469</v>
      </c>
      <c r="ES97" s="528">
        <f t="shared" si="308"/>
        <v>3.4292999999999996</v>
      </c>
      <c r="ET97" s="528"/>
      <c r="EV97" s="460">
        <f t="shared" si="309"/>
        <v>3429.2999999999997</v>
      </c>
      <c r="EW97" s="528">
        <f t="shared" si="275"/>
        <v>7.7076425531914905E-2</v>
      </c>
      <c r="EX97" s="528">
        <f t="shared" si="276"/>
        <v>1.5743269895880485</v>
      </c>
      <c r="EY97" s="528">
        <f t="shared" si="277"/>
        <v>1.1437475956681533</v>
      </c>
      <c r="EZ97" s="528">
        <f t="shared" si="278"/>
        <v>3.6773049461358038</v>
      </c>
      <c r="FA97" s="528">
        <f t="shared" si="279"/>
        <v>9.2000000000000012E-2</v>
      </c>
      <c r="FB97" s="460">
        <f t="shared" si="310"/>
        <v>3769.3049461358041</v>
      </c>
      <c r="FC97" s="173">
        <f t="shared" si="311"/>
        <v>8.0723519430525084</v>
      </c>
      <c r="FD97" s="5">
        <f t="shared" si="312"/>
        <v>22.080000000000002</v>
      </c>
      <c r="FE97" s="173">
        <f t="shared" si="313"/>
        <v>0.73228118462206793</v>
      </c>
      <c r="FF97" s="5">
        <f t="shared" si="314"/>
        <v>73.228118462206794</v>
      </c>
      <c r="FI97" s="562">
        <f t="shared" si="280"/>
        <v>-50</v>
      </c>
      <c r="FJ97">
        <f t="shared" si="281"/>
        <v>-50</v>
      </c>
      <c r="FL97">
        <f t="shared" si="282"/>
        <v>0.56074766355140182</v>
      </c>
    </row>
    <row r="98" spans="5:168" ht="13">
      <c r="E98" s="170">
        <v>93</v>
      </c>
      <c r="F98" s="217">
        <f t="shared" si="283"/>
        <v>5.58</v>
      </c>
      <c r="G98" s="217"/>
      <c r="H98" s="217">
        <f t="shared" si="183"/>
        <v>22.32</v>
      </c>
      <c r="I98" s="541">
        <f t="shared" si="184"/>
        <v>23.893038267223535</v>
      </c>
      <c r="J98" s="172">
        <f t="shared" si="185"/>
        <v>20.016626344376853</v>
      </c>
      <c r="K98" s="172">
        <f t="shared" si="186"/>
        <v>44.016626344376853</v>
      </c>
      <c r="L98" s="443"/>
      <c r="M98" s="217">
        <f t="shared" si="187"/>
        <v>0.45558019223432628</v>
      </c>
      <c r="N98" s="172">
        <f t="shared" si="188"/>
        <v>36.610539071818025</v>
      </c>
      <c r="O98" s="172">
        <f t="shared" si="284"/>
        <v>22.32</v>
      </c>
      <c r="P98" s="217">
        <f t="shared" si="189"/>
        <v>9.1526347679545061</v>
      </c>
      <c r="Q98" s="217">
        <f t="shared" si="190"/>
        <v>4</v>
      </c>
      <c r="R98" s="217">
        <f t="shared" si="191"/>
        <v>9.070995805703177</v>
      </c>
      <c r="S98" s="172">
        <f t="shared" si="192"/>
        <v>8.74257375175047</v>
      </c>
      <c r="T98" s="532">
        <f t="shared" si="193"/>
        <v>4</v>
      </c>
      <c r="U98" s="217">
        <f t="shared" si="194"/>
        <v>5.1247216949183034</v>
      </c>
      <c r="V98" s="217">
        <f t="shared" si="195"/>
        <v>2.5738317434238054</v>
      </c>
      <c r="W98" s="217">
        <f t="shared" si="196"/>
        <v>3.0722789785350377</v>
      </c>
      <c r="X98" s="197">
        <f t="shared" si="197"/>
        <v>350</v>
      </c>
      <c r="Y98" s="443">
        <f t="shared" si="198"/>
        <v>171.05389335919594</v>
      </c>
      <c r="AA98" s="217">
        <f t="shared" si="199"/>
        <v>2.5933005402347118</v>
      </c>
      <c r="AB98" s="173">
        <f t="shared" si="200"/>
        <v>1.5546878853318247</v>
      </c>
      <c r="AC98" s="173">
        <f t="shared" si="201"/>
        <v>2.8222410530491677</v>
      </c>
      <c r="AD98" s="173"/>
      <c r="AE98" s="173">
        <f t="shared" si="202"/>
        <v>0.79933549863635156</v>
      </c>
      <c r="AF98" s="545">
        <f t="shared" si="203"/>
        <v>2617.7994141005347</v>
      </c>
      <c r="AG98" s="528">
        <f t="shared" si="204"/>
        <v>0.74604646539392827</v>
      </c>
      <c r="AI98" s="173">
        <f t="shared" si="205"/>
        <v>3.646472120936155</v>
      </c>
      <c r="AJ98" s="173">
        <f t="shared" si="206"/>
        <v>5.1247216949183034</v>
      </c>
      <c r="AK98" s="173">
        <f t="shared" si="207"/>
        <v>4.0084358233962742</v>
      </c>
      <c r="AM98" s="545">
        <f t="shared" si="208"/>
        <v>5580</v>
      </c>
      <c r="AN98" s="460">
        <f t="shared" si="209"/>
        <v>171.05389335919594</v>
      </c>
      <c r="AP98">
        <f t="shared" si="210"/>
        <v>5580</v>
      </c>
      <c r="AQ98">
        <f t="shared" si="211"/>
        <v>171.05389335919594</v>
      </c>
      <c r="AS98" s="5">
        <f t="shared" si="285"/>
        <v>5.8461107219588433</v>
      </c>
      <c r="AT98" s="5">
        <f t="shared" si="212"/>
        <v>2.5738317434238054</v>
      </c>
      <c r="AU98" s="5">
        <f t="shared" si="286"/>
        <v>3.2722789785350379</v>
      </c>
      <c r="AV98" s="5">
        <f t="shared" si="213"/>
        <v>3.0722789785350377</v>
      </c>
      <c r="AW98" s="173">
        <f t="shared" si="287"/>
        <v>0.44026394056412899</v>
      </c>
      <c r="AX98" s="173">
        <f t="shared" si="214"/>
        <v>26.954096868250744</v>
      </c>
      <c r="AY98" s="173">
        <f t="shared" si="215"/>
        <v>5.7369830544381779</v>
      </c>
      <c r="AZ98" s="173">
        <f t="shared" si="288"/>
        <v>4.6983051217832745</v>
      </c>
      <c r="BA98" s="460">
        <f t="shared" si="216"/>
        <v>359.04952820762082</v>
      </c>
      <c r="BB98" s="5">
        <f t="shared" si="217"/>
        <v>2.547369167538875</v>
      </c>
      <c r="BC98" s="5"/>
      <c r="BD98" s="173">
        <f t="shared" si="289"/>
        <v>1.9632075530567594</v>
      </c>
      <c r="BE98" s="173">
        <f t="shared" si="218"/>
        <v>8.8544439347268646</v>
      </c>
      <c r="BF98" s="173"/>
      <c r="BG98" s="528">
        <f t="shared" si="219"/>
        <v>4.7021043535825126E-2</v>
      </c>
      <c r="BH98" s="528">
        <f t="shared" si="220"/>
        <v>0.72347124447045519</v>
      </c>
      <c r="BI98" s="528">
        <f t="shared" si="221"/>
        <v>0.10217493049472105</v>
      </c>
      <c r="BJ98" s="528">
        <f t="shared" si="222"/>
        <v>3.3141065691128561E-2</v>
      </c>
      <c r="BK98">
        <f t="shared" si="223"/>
        <v>1.075186722025059E-2</v>
      </c>
      <c r="BL98" s="460">
        <f t="shared" si="290"/>
        <v>112.92679771497164</v>
      </c>
      <c r="BM98" s="528">
        <f t="shared" si="224"/>
        <v>0.82555227048222457</v>
      </c>
      <c r="BN98" s="460">
        <f t="shared" si="291"/>
        <v>825.55227048222457</v>
      </c>
      <c r="BO98" s="528">
        <f t="shared" si="225"/>
        <v>3.4665749999999997</v>
      </c>
      <c r="BP98" s="528"/>
      <c r="BR98" s="460">
        <f t="shared" si="292"/>
        <v>3466.5749999999998</v>
      </c>
      <c r="BS98" s="528">
        <f t="shared" si="226"/>
        <v>0.11562551689137326</v>
      </c>
      <c r="BT98" s="528">
        <f t="shared" si="227"/>
        <v>2.3520353217966408</v>
      </c>
      <c r="BU98" s="528">
        <f t="shared" si="228"/>
        <v>0.33479999999999999</v>
      </c>
      <c r="BV98" s="528">
        <f t="shared" si="229"/>
        <v>4.2296958184291409</v>
      </c>
      <c r="BW98" s="528">
        <f t="shared" si="230"/>
        <v>0.11230873695104478</v>
      </c>
      <c r="BX98" s="460">
        <f t="shared" si="293"/>
        <v>4342.0045553801856</v>
      </c>
      <c r="BY98" s="173">
        <f t="shared" si="231"/>
        <v>8.7470586235773808</v>
      </c>
      <c r="BZ98" s="5">
        <f t="shared" si="294"/>
        <v>22.32</v>
      </c>
      <c r="CA98" s="173">
        <f t="shared" si="295"/>
        <v>0.71844587125029369</v>
      </c>
      <c r="CB98" s="5">
        <f t="shared" si="296"/>
        <v>71.844587125029364</v>
      </c>
      <c r="CE98" s="562">
        <f t="shared" si="232"/>
        <v>-50</v>
      </c>
      <c r="CF98">
        <f t="shared" si="233"/>
        <v>-50</v>
      </c>
      <c r="CG98" s="173">
        <f t="shared" si="234"/>
        <v>0.55037440467637211</v>
      </c>
      <c r="CI98" s="170">
        <v>93</v>
      </c>
      <c r="CJ98" s="217">
        <f t="shared" si="297"/>
        <v>5.58</v>
      </c>
      <c r="CK98" s="217"/>
      <c r="CL98" s="217">
        <f t="shared" si="235"/>
        <v>22.32</v>
      </c>
      <c r="CM98" s="541">
        <f t="shared" si="236"/>
        <v>24</v>
      </c>
      <c r="CN98" s="172">
        <f t="shared" si="237"/>
        <v>18.8</v>
      </c>
      <c r="CO98" s="443">
        <f t="shared" si="238"/>
        <v>42.8</v>
      </c>
      <c r="CP98" s="443"/>
      <c r="CQ98" s="217">
        <f t="shared" si="239"/>
        <v>0.43925233644859818</v>
      </c>
      <c r="CR98" s="172">
        <f t="shared" si="240"/>
        <v>35.456448598130848</v>
      </c>
      <c r="CS98" s="172">
        <f t="shared" si="298"/>
        <v>22.32</v>
      </c>
      <c r="CT98" s="217">
        <f t="shared" si="241"/>
        <v>8.864112149532712</v>
      </c>
      <c r="CU98" s="217">
        <f t="shared" si="242"/>
        <v>4</v>
      </c>
      <c r="CV98" s="217">
        <f t="shared" si="243"/>
        <v>8.7850467289719631</v>
      </c>
      <c r="CW98" s="172">
        <f t="shared" si="244"/>
        <v>8.7799575225557849</v>
      </c>
      <c r="CX98" s="532">
        <f t="shared" si="245"/>
        <v>4</v>
      </c>
      <c r="CY98" s="217">
        <f t="shared" si="246"/>
        <v>4.2344680851063821</v>
      </c>
      <c r="CZ98" s="217">
        <f t="shared" si="247"/>
        <v>2.117234042553191</v>
      </c>
      <c r="DA98" s="217">
        <f t="shared" si="248"/>
        <v>2.7028519692168391</v>
      </c>
      <c r="DB98" s="197">
        <f t="shared" si="249"/>
        <v>350</v>
      </c>
      <c r="DC98" s="443">
        <f t="shared" si="299"/>
        <v>207.46517750059408</v>
      </c>
      <c r="DE98" s="217">
        <f t="shared" si="250"/>
        <v>2.5100133511348464</v>
      </c>
      <c r="DF98" s="173">
        <f t="shared" si="251"/>
        <v>1.6021361815754336</v>
      </c>
      <c r="DG98" s="173">
        <f t="shared" si="252"/>
        <v>2.8149682442633783</v>
      </c>
      <c r="DH98" s="173"/>
      <c r="DI98" s="173">
        <f t="shared" si="253"/>
        <v>0.85106382978723416</v>
      </c>
      <c r="DJ98" s="545">
        <f t="shared" si="300"/>
        <v>2458.6874999999995</v>
      </c>
      <c r="DK98" s="528">
        <f t="shared" si="254"/>
        <v>0.79432624113475192</v>
      </c>
      <c r="DM98" s="173">
        <f t="shared" si="255"/>
        <v>3.5339172922652602</v>
      </c>
      <c r="DN98" s="173">
        <f t="shared" si="256"/>
        <v>4.2344680851063821</v>
      </c>
      <c r="DO98" s="173">
        <f t="shared" si="257"/>
        <v>3.3489887050170726</v>
      </c>
      <c r="DQ98" s="545">
        <f t="shared" si="258"/>
        <v>5580</v>
      </c>
      <c r="DR98" s="460">
        <f t="shared" si="259"/>
        <v>207.46517750059408</v>
      </c>
      <c r="DT98">
        <f t="shared" si="260"/>
        <v>5580</v>
      </c>
      <c r="DU98">
        <f t="shared" si="261"/>
        <v>207.46517750059408</v>
      </c>
      <c r="DW98" s="5">
        <f t="shared" si="301"/>
        <v>4.8200860117700302</v>
      </c>
      <c r="DX98" s="5">
        <f t="shared" si="262"/>
        <v>2.117234042553191</v>
      </c>
      <c r="DY98" s="5">
        <f t="shared" si="302"/>
        <v>2.7028519692168391</v>
      </c>
      <c r="DZ98" s="5">
        <f t="shared" si="263"/>
        <v>2.7028519692168391</v>
      </c>
      <c r="EA98" s="173">
        <f t="shared" si="303"/>
        <v>0.43925233644859818</v>
      </c>
      <c r="EB98" s="173">
        <f t="shared" si="264"/>
        <v>22.32</v>
      </c>
      <c r="EC98" s="173">
        <f t="shared" si="265"/>
        <v>4.7489361702127644</v>
      </c>
      <c r="ED98" s="173">
        <f t="shared" si="304"/>
        <v>4.700000000000002</v>
      </c>
      <c r="EE98" s="460">
        <f t="shared" si="266"/>
        <v>295.35414893617013</v>
      </c>
      <c r="EF98" s="5">
        <f t="shared" si="267"/>
        <v>2.0947102761430498</v>
      </c>
      <c r="EG98" s="5"/>
      <c r="EH98" s="173">
        <f t="shared" si="305"/>
        <v>1.6202994207139485</v>
      </c>
      <c r="EI98" s="173">
        <f t="shared" si="268"/>
        <v>7.3228807903216673</v>
      </c>
      <c r="EJ98" s="173"/>
      <c r="EK98" s="528">
        <f t="shared" si="269"/>
        <v>3.2029516595744677E-2</v>
      </c>
      <c r="EL98" s="528">
        <f t="shared" si="270"/>
        <v>0.752</v>
      </c>
      <c r="EM98" s="528">
        <f t="shared" si="271"/>
        <v>2.5933147187574258E-2</v>
      </c>
      <c r="EN98" s="528">
        <f t="shared" si="272"/>
        <v>3.8004301075268816E-2</v>
      </c>
      <c r="EO98">
        <f t="shared" si="273"/>
        <v>1.0800000000000001E-2</v>
      </c>
      <c r="EP98" s="460">
        <f t="shared" si="306"/>
        <v>36.733147187574254</v>
      </c>
      <c r="EQ98" s="528">
        <f t="shared" si="274"/>
        <v>0.87406676875097722</v>
      </c>
      <c r="ER98" s="460">
        <f t="shared" si="307"/>
        <v>874.06676875097719</v>
      </c>
      <c r="ES98" s="528">
        <f t="shared" si="308"/>
        <v>3.4665749999999997</v>
      </c>
      <c r="ET98" s="528"/>
      <c r="EV98" s="460">
        <f t="shared" si="309"/>
        <v>3466.5749999999998</v>
      </c>
      <c r="EW98" s="528">
        <f t="shared" si="275"/>
        <v>7.8761106382978716E-2</v>
      </c>
      <c r="EX98" s="528">
        <f t="shared" si="276"/>
        <v>1.6087374920778625</v>
      </c>
      <c r="EY98" s="528">
        <f t="shared" si="277"/>
        <v>1.1437475956681546</v>
      </c>
      <c r="EZ98" s="528">
        <f t="shared" si="278"/>
        <v>3.7413242060931879</v>
      </c>
      <c r="FA98" s="528">
        <f t="shared" si="279"/>
        <v>9.2999999999999999E-2</v>
      </c>
      <c r="FB98" s="460">
        <f t="shared" si="310"/>
        <v>3834.324206093188</v>
      </c>
      <c r="FC98" s="173">
        <f t="shared" si="311"/>
        <v>8.1749659748441648</v>
      </c>
      <c r="FD98" s="5">
        <f t="shared" si="312"/>
        <v>22.32</v>
      </c>
      <c r="FE98" s="173">
        <f t="shared" si="313"/>
        <v>0.73192408276212417</v>
      </c>
      <c r="FF98" s="5">
        <f t="shared" si="314"/>
        <v>73.192408276212419</v>
      </c>
      <c r="FI98" s="562">
        <f t="shared" si="280"/>
        <v>-50</v>
      </c>
      <c r="FJ98">
        <f t="shared" si="281"/>
        <v>-50</v>
      </c>
      <c r="FL98">
        <f t="shared" si="282"/>
        <v>0.56074766355140182</v>
      </c>
    </row>
    <row r="99" spans="5:168" ht="13">
      <c r="E99" s="170">
        <v>94</v>
      </c>
      <c r="F99" s="217">
        <f t="shared" si="283"/>
        <v>5.64</v>
      </c>
      <c r="G99" s="217"/>
      <c r="H99" s="217">
        <f t="shared" si="183"/>
        <v>22.56</v>
      </c>
      <c r="I99" s="541">
        <f t="shared" si="184"/>
        <v>23.89190981388338</v>
      </c>
      <c r="J99" s="172">
        <f t="shared" si="185"/>
        <v>20.02946183260611</v>
      </c>
      <c r="K99" s="172">
        <f t="shared" si="186"/>
        <v>44.02946183260611</v>
      </c>
      <c r="L99" s="443"/>
      <c r="M99" s="217">
        <f t="shared" si="187"/>
        <v>0.45575114085676605</v>
      </c>
      <c r="N99" s="172">
        <f t="shared" si="188"/>
        <v>36.622546804395448</v>
      </c>
      <c r="O99" s="172">
        <f t="shared" si="284"/>
        <v>22.56</v>
      </c>
      <c r="P99" s="217">
        <f t="shared" si="189"/>
        <v>9.155636701098862</v>
      </c>
      <c r="Q99" s="217">
        <f t="shared" si="190"/>
        <v>4</v>
      </c>
      <c r="R99" s="217">
        <f t="shared" si="191"/>
        <v>9.0739709624369311</v>
      </c>
      <c r="S99" s="172">
        <f t="shared" si="192"/>
        <v>8.5972486153485956</v>
      </c>
      <c r="T99" s="532">
        <f t="shared" si="193"/>
        <v>4</v>
      </c>
      <c r="U99" s="217">
        <f t="shared" si="194"/>
        <v>5.1814532132217836</v>
      </c>
      <c r="V99" s="217">
        <f t="shared" si="195"/>
        <v>2.6024473992669535</v>
      </c>
      <c r="W99" s="217">
        <f t="shared" si="196"/>
        <v>3.1042990110419386</v>
      </c>
      <c r="X99" s="197">
        <f t="shared" si="197"/>
        <v>350</v>
      </c>
      <c r="Y99" s="443">
        <f t="shared" si="198"/>
        <v>169.29794010704876</v>
      </c>
      <c r="AA99" s="217">
        <f t="shared" si="199"/>
        <v>2.5941492705955387</v>
      </c>
      <c r="AB99" s="173">
        <f t="shared" si="200"/>
        <v>1.5542000832229075</v>
      </c>
      <c r="AC99" s="173">
        <f t="shared" si="201"/>
        <v>2.8222789085765618</v>
      </c>
      <c r="AD99" s="173"/>
      <c r="AE99" s="173">
        <f t="shared" si="202"/>
        <v>0.79882326014139249</v>
      </c>
      <c r="AF99" s="545">
        <f t="shared" si="203"/>
        <v>2647.6444859976191</v>
      </c>
      <c r="AG99" s="528">
        <f t="shared" si="204"/>
        <v>0.74556837613196647</v>
      </c>
      <c r="AI99" s="173">
        <f t="shared" si="205"/>
        <v>3.6671996052505538</v>
      </c>
      <c r="AJ99" s="173">
        <f t="shared" si="206"/>
        <v>5.1814532132217836</v>
      </c>
      <c r="AK99" s="173">
        <f t="shared" si="207"/>
        <v>4.0504591702877404</v>
      </c>
      <c r="AM99" s="545">
        <f t="shared" si="208"/>
        <v>5640</v>
      </c>
      <c r="AN99" s="460">
        <f t="shared" si="209"/>
        <v>169.29794010704876</v>
      </c>
      <c r="AP99">
        <f t="shared" si="210"/>
        <v>5640</v>
      </c>
      <c r="AQ99">
        <f t="shared" si="211"/>
        <v>169.29794010704876</v>
      </c>
      <c r="AS99" s="5">
        <f t="shared" si="285"/>
        <v>5.9067464103088918</v>
      </c>
      <c r="AT99" s="5">
        <f t="shared" si="212"/>
        <v>2.6024473992669535</v>
      </c>
      <c r="AU99" s="5">
        <f t="shared" si="286"/>
        <v>3.3042990110419383</v>
      </c>
      <c r="AV99" s="5">
        <f t="shared" si="213"/>
        <v>3.1042990110419386</v>
      </c>
      <c r="AW99" s="173">
        <f t="shared" si="287"/>
        <v>0.44058898393284146</v>
      </c>
      <c r="AX99" s="173">
        <f t="shared" si="214"/>
        <v>27.271315410409535</v>
      </c>
      <c r="AY99" s="173">
        <f t="shared" si="215"/>
        <v>5.7971240134256838</v>
      </c>
      <c r="AZ99" s="173">
        <f t="shared" si="288"/>
        <v>4.704283597737656</v>
      </c>
      <c r="BA99" s="460">
        <f t="shared" si="216"/>
        <v>366.94508329664046</v>
      </c>
      <c r="BB99" s="5">
        <f t="shared" si="217"/>
        <v>2.60007767865801</v>
      </c>
      <c r="BC99" s="5"/>
      <c r="BD99" s="173">
        <f t="shared" si="289"/>
        <v>1.9856731837004726</v>
      </c>
      <c r="BE99" s="173">
        <f t="shared" si="218"/>
        <v>8.9498643336920178</v>
      </c>
      <c r="BF99" s="173"/>
      <c r="BG99" s="528">
        <f t="shared" si="219"/>
        <v>4.810335550809948E-2</v>
      </c>
      <c r="BH99" s="528">
        <f t="shared" si="220"/>
        <v>0.724182297161583</v>
      </c>
      <c r="BI99" s="528">
        <f t="shared" si="221"/>
        <v>0.10112127791784598</v>
      </c>
      <c r="BJ99" s="528">
        <f t="shared" si="222"/>
        <v>3.2819988782412275E-2</v>
      </c>
      <c r="BK99">
        <f t="shared" si="223"/>
        <v>1.0751359416247521E-2</v>
      </c>
      <c r="BL99" s="460">
        <f t="shared" si="290"/>
        <v>111.8726373340935</v>
      </c>
      <c r="BM99" s="528">
        <f t="shared" si="224"/>
        <v>0.82755193415314177</v>
      </c>
      <c r="BN99" s="460">
        <f t="shared" si="291"/>
        <v>827.55193415314181</v>
      </c>
      <c r="BO99" s="528">
        <f t="shared" si="225"/>
        <v>3.5038499999999995</v>
      </c>
      <c r="BP99" s="528"/>
      <c r="BR99" s="460">
        <f t="shared" si="292"/>
        <v>3503.8499999999995</v>
      </c>
      <c r="BS99" s="528">
        <f t="shared" si="226"/>
        <v>0.11828693977401512</v>
      </c>
      <c r="BT99" s="528">
        <f t="shared" si="227"/>
        <v>2.4030021477447741</v>
      </c>
      <c r="BU99" s="528">
        <f t="shared" si="228"/>
        <v>0.33839999999999998</v>
      </c>
      <c r="BV99" s="528">
        <f t="shared" si="229"/>
        <v>4.3402380564377108</v>
      </c>
      <c r="BW99" s="528">
        <f t="shared" si="230"/>
        <v>0.11363048087670639</v>
      </c>
      <c r="BX99" s="460">
        <f t="shared" si="293"/>
        <v>4453.8685373144172</v>
      </c>
      <c r="BY99" s="173">
        <f t="shared" si="231"/>
        <v>8.8971431088016502</v>
      </c>
      <c r="BZ99" s="5">
        <f t="shared" si="294"/>
        <v>22.56</v>
      </c>
      <c r="CA99" s="173">
        <f t="shared" si="295"/>
        <v>0.71716620679669263</v>
      </c>
      <c r="CB99" s="5">
        <f t="shared" si="296"/>
        <v>71.716620679669262</v>
      </c>
      <c r="CE99" s="562">
        <f t="shared" si="232"/>
        <v>-50</v>
      </c>
      <c r="CF99">
        <f t="shared" si="233"/>
        <v>-50</v>
      </c>
      <c r="CG99" s="173">
        <f t="shared" si="234"/>
        <v>0.55048475849419165</v>
      </c>
      <c r="CI99" s="170">
        <v>94</v>
      </c>
      <c r="CJ99" s="217">
        <f t="shared" si="297"/>
        <v>5.64</v>
      </c>
      <c r="CK99" s="217"/>
      <c r="CL99" s="217">
        <f t="shared" si="235"/>
        <v>22.56</v>
      </c>
      <c r="CM99" s="541">
        <f t="shared" si="236"/>
        <v>24</v>
      </c>
      <c r="CN99" s="172">
        <f t="shared" si="237"/>
        <v>18.8</v>
      </c>
      <c r="CO99" s="443">
        <f t="shared" si="238"/>
        <v>42.8</v>
      </c>
      <c r="CP99" s="443"/>
      <c r="CQ99" s="217">
        <f t="shared" si="239"/>
        <v>0.43925233644859818</v>
      </c>
      <c r="CR99" s="172">
        <f t="shared" si="240"/>
        <v>35.456448598130848</v>
      </c>
      <c r="CS99" s="172">
        <f t="shared" si="298"/>
        <v>22.56</v>
      </c>
      <c r="CT99" s="217">
        <f t="shared" si="241"/>
        <v>8.864112149532712</v>
      </c>
      <c r="CU99" s="217">
        <f t="shared" si="242"/>
        <v>4</v>
      </c>
      <c r="CV99" s="217">
        <f t="shared" si="243"/>
        <v>8.7850467289719631</v>
      </c>
      <c r="CW99" s="172">
        <f t="shared" si="244"/>
        <v>8.6343482356506218</v>
      </c>
      <c r="CX99" s="532">
        <f t="shared" si="245"/>
        <v>4</v>
      </c>
      <c r="CY99" s="217">
        <f t="shared" si="246"/>
        <v>4.2799999999999994</v>
      </c>
      <c r="CZ99" s="217">
        <f t="shared" si="247"/>
        <v>2.1399999999999997</v>
      </c>
      <c r="DA99" s="217">
        <f t="shared" si="248"/>
        <v>2.731914893617021</v>
      </c>
      <c r="DB99" s="197">
        <f t="shared" si="249"/>
        <v>350</v>
      </c>
      <c r="DC99" s="443">
        <f t="shared" si="299"/>
        <v>205.25810114420474</v>
      </c>
      <c r="DE99" s="217">
        <f t="shared" si="250"/>
        <v>2.5100133511348464</v>
      </c>
      <c r="DF99" s="173">
        <f t="shared" si="251"/>
        <v>1.6021361815754336</v>
      </c>
      <c r="DG99" s="173">
        <f t="shared" si="252"/>
        <v>2.8149682442633783</v>
      </c>
      <c r="DH99" s="173"/>
      <c r="DI99" s="173">
        <f t="shared" si="253"/>
        <v>0.85106382978723416</v>
      </c>
      <c r="DJ99" s="545">
        <f t="shared" si="300"/>
        <v>2485.1249999999991</v>
      </c>
      <c r="DK99" s="528">
        <f t="shared" si="254"/>
        <v>0.79432624113475192</v>
      </c>
      <c r="DM99" s="173">
        <f t="shared" si="255"/>
        <v>3.5528660462867361</v>
      </c>
      <c r="DN99" s="173">
        <f t="shared" si="256"/>
        <v>4.2799999999999994</v>
      </c>
      <c r="DO99" s="173">
        <f t="shared" si="257"/>
        <v>3.3827160493827151</v>
      </c>
      <c r="DQ99" s="545">
        <f t="shared" si="258"/>
        <v>5640</v>
      </c>
      <c r="DR99" s="460">
        <f t="shared" si="259"/>
        <v>205.25810114420474</v>
      </c>
      <c r="DT99">
        <f t="shared" si="260"/>
        <v>5640</v>
      </c>
      <c r="DU99">
        <f t="shared" si="261"/>
        <v>205.25810114420474</v>
      </c>
      <c r="DW99" s="5">
        <f t="shared" si="301"/>
        <v>4.8719148936170216</v>
      </c>
      <c r="DX99" s="5">
        <f t="shared" si="262"/>
        <v>2.1399999999999997</v>
      </c>
      <c r="DY99" s="5">
        <f t="shared" si="302"/>
        <v>2.7319148936170219</v>
      </c>
      <c r="DZ99" s="5">
        <f t="shared" si="263"/>
        <v>2.731914893617021</v>
      </c>
      <c r="EA99" s="173">
        <f t="shared" si="303"/>
        <v>0.43925233644859801</v>
      </c>
      <c r="EB99" s="173">
        <f t="shared" si="264"/>
        <v>22.559999999999992</v>
      </c>
      <c r="EC99" s="173">
        <f t="shared" si="265"/>
        <v>4.8</v>
      </c>
      <c r="ED99" s="173">
        <f t="shared" si="304"/>
        <v>4.6999999999999984</v>
      </c>
      <c r="EE99" s="460">
        <f t="shared" si="266"/>
        <v>301.73999999999995</v>
      </c>
      <c r="EF99" s="5">
        <f t="shared" si="267"/>
        <v>2.14</v>
      </c>
      <c r="EG99" s="5"/>
      <c r="EH99" s="173">
        <f t="shared" si="305"/>
        <v>1.6377219951302271</v>
      </c>
      <c r="EI99" s="173">
        <f t="shared" si="268"/>
        <v>7.4016214439810408</v>
      </c>
      <c r="EJ99" s="173"/>
      <c r="EK99" s="528">
        <f t="shared" si="269"/>
        <v>3.272202666666664E-2</v>
      </c>
      <c r="EL99" s="528">
        <f t="shared" si="270"/>
        <v>0.75199999999999989</v>
      </c>
      <c r="EM99" s="528">
        <f t="shared" si="271"/>
        <v>2.5657262643025591E-2</v>
      </c>
      <c r="EN99" s="528">
        <f t="shared" si="272"/>
        <v>3.7600000000000001E-2</v>
      </c>
      <c r="EO99">
        <f t="shared" si="273"/>
        <v>1.0800000000000001E-2</v>
      </c>
      <c r="EP99" s="460">
        <f t="shared" si="306"/>
        <v>36.457262643025594</v>
      </c>
      <c r="EQ99" s="528">
        <f t="shared" si="274"/>
        <v>0.87441257879862966</v>
      </c>
      <c r="ER99" s="460">
        <f t="shared" si="307"/>
        <v>874.41257879862962</v>
      </c>
      <c r="ES99" s="528">
        <f t="shared" si="308"/>
        <v>3.5038499999999995</v>
      </c>
      <c r="ET99" s="528"/>
      <c r="EV99" s="460">
        <f t="shared" si="309"/>
        <v>3503.8499999999995</v>
      </c>
      <c r="EW99" s="528">
        <f t="shared" si="275"/>
        <v>8.0463999999999938E-2</v>
      </c>
      <c r="EX99" s="528">
        <f t="shared" si="276"/>
        <v>1.6435199999999994</v>
      </c>
      <c r="EY99" s="528">
        <f t="shared" si="277"/>
        <v>1.1437475956681524</v>
      </c>
      <c r="EZ99" s="528">
        <f t="shared" si="278"/>
        <v>3.8064714218920881</v>
      </c>
      <c r="FA99" s="528">
        <f t="shared" si="279"/>
        <v>9.3999999999999986E-2</v>
      </c>
      <c r="FB99" s="460">
        <f t="shared" si="310"/>
        <v>3900.4714218920881</v>
      </c>
      <c r="FC99" s="173">
        <f t="shared" si="311"/>
        <v>8.2787340006907169</v>
      </c>
      <c r="FD99" s="5">
        <f t="shared" si="312"/>
        <v>22.56</v>
      </c>
      <c r="FE99" s="173">
        <f t="shared" si="313"/>
        <v>0.73154754016473922</v>
      </c>
      <c r="FF99" s="5">
        <f t="shared" si="314"/>
        <v>73.154754016473916</v>
      </c>
      <c r="FI99" s="562">
        <f t="shared" si="280"/>
        <v>-50</v>
      </c>
      <c r="FJ99">
        <f t="shared" si="281"/>
        <v>-50</v>
      </c>
      <c r="FL99">
        <f t="shared" si="282"/>
        <v>0.56074766355140193</v>
      </c>
    </row>
    <row r="100" spans="5:168" ht="13">
      <c r="E100" s="170">
        <v>95</v>
      </c>
      <c r="F100" s="217">
        <f t="shared" si="283"/>
        <v>5.6999999999999993</v>
      </c>
      <c r="G100" s="217"/>
      <c r="H100" s="217">
        <f t="shared" si="183"/>
        <v>22.799999999999997</v>
      </c>
      <c r="I100" s="541">
        <f t="shared" si="184"/>
        <v>23.890781352038474</v>
      </c>
      <c r="J100" s="172">
        <f t="shared" si="185"/>
        <v>20.042297417571866</v>
      </c>
      <c r="K100" s="172">
        <f t="shared" si="186"/>
        <v>44.042297417571866</v>
      </c>
      <c r="L100" s="443"/>
      <c r="M100" s="217">
        <f t="shared" si="187"/>
        <v>0.45592199837888536</v>
      </c>
      <c r="N100" s="172">
        <f t="shared" si="188"/>
        <v>36.634545906153598</v>
      </c>
      <c r="O100" s="172">
        <f t="shared" si="284"/>
        <v>22.799999999999997</v>
      </c>
      <c r="P100" s="217">
        <f t="shared" si="189"/>
        <v>9.1586364765383994</v>
      </c>
      <c r="Q100" s="217">
        <f t="shared" si="190"/>
        <v>4</v>
      </c>
      <c r="R100" s="217">
        <f t="shared" si="191"/>
        <v>9.0769439807119916</v>
      </c>
      <c r="S100" s="172">
        <f t="shared" si="192"/>
        <v>8.4551902960045364</v>
      </c>
      <c r="T100" s="532">
        <f t="shared" si="193"/>
        <v>4</v>
      </c>
      <c r="U100" s="217">
        <f t="shared" si="194"/>
        <v>5.2382195043876898</v>
      </c>
      <c r="V100" s="217">
        <f t="shared" si="195"/>
        <v>2.6310832252160257</v>
      </c>
      <c r="W100" s="217">
        <f t="shared" si="196"/>
        <v>3.1362988355587245</v>
      </c>
      <c r="X100" s="197">
        <f t="shared" si="197"/>
        <v>350</v>
      </c>
      <c r="Y100" s="443">
        <f t="shared" si="198"/>
        <v>167.57767305922579</v>
      </c>
      <c r="AA100" s="217">
        <f t="shared" si="199"/>
        <v>2.5949973980217305</v>
      </c>
      <c r="AB100" s="173">
        <f t="shared" si="200"/>
        <v>1.5537125374139562</v>
      </c>
      <c r="AC100" s="173">
        <f t="shared" si="201"/>
        <v>2.8223159943040699</v>
      </c>
      <c r="AD100" s="173"/>
      <c r="AE100" s="173">
        <f t="shared" si="202"/>
        <v>0.79831167388885149</v>
      </c>
      <c r="AF100" s="545">
        <f t="shared" si="203"/>
        <v>2677.5256706287405</v>
      </c>
      <c r="AG100" s="528">
        <f t="shared" si="204"/>
        <v>0.74509089562959496</v>
      </c>
      <c r="AI100" s="173">
        <f t="shared" si="205"/>
        <v>3.6878354614184174</v>
      </c>
      <c r="AJ100" s="173">
        <f t="shared" si="206"/>
        <v>5.2382195043876898</v>
      </c>
      <c r="AK100" s="173">
        <f t="shared" si="207"/>
        <v>4.0925082748550787</v>
      </c>
      <c r="AM100" s="545">
        <f t="shared" si="208"/>
        <v>5699.9999999999991</v>
      </c>
      <c r="AN100" s="460">
        <f t="shared" si="209"/>
        <v>167.57767305922579</v>
      </c>
      <c r="AP100">
        <f t="shared" si="210"/>
        <v>5699.9999999999991</v>
      </c>
      <c r="AQ100">
        <f t="shared" si="211"/>
        <v>167.57767305922579</v>
      </c>
      <c r="AS100" s="5">
        <f t="shared" si="285"/>
        <v>5.9673820607747494</v>
      </c>
      <c r="AT100" s="5">
        <f t="shared" si="212"/>
        <v>2.6310832252160257</v>
      </c>
      <c r="AU100" s="5">
        <f t="shared" si="286"/>
        <v>3.3362988355587238</v>
      </c>
      <c r="AV100" s="5">
        <f t="shared" si="213"/>
        <v>3.1362988355587245</v>
      </c>
      <c r="AW100" s="173">
        <f t="shared" si="287"/>
        <v>0.44091080450686448</v>
      </c>
      <c r="AX100" s="173">
        <f t="shared" si="214"/>
        <v>27.588925894165257</v>
      </c>
      <c r="AY100" s="173">
        <f t="shared" si="215"/>
        <v>5.8572638570491291</v>
      </c>
      <c r="AZ100" s="173">
        <f t="shared" si="288"/>
        <v>4.7102071150444074</v>
      </c>
      <c r="BA100" s="460">
        <f t="shared" si="216"/>
        <v>374.92935959328361</v>
      </c>
      <c r="BB100" s="5">
        <f t="shared" si="217"/>
        <v>2.6533112057553963</v>
      </c>
      <c r="BC100" s="5"/>
      <c r="BD100" s="173">
        <f t="shared" si="289"/>
        <v>2.0081605751680409</v>
      </c>
      <c r="BE100" s="173">
        <f t="shared" si="218"/>
        <v>9.0453131551966095</v>
      </c>
      <c r="BF100" s="173"/>
      <c r="BG100" s="528">
        <f t="shared" si="219"/>
        <v>4.9199048527042689E-2</v>
      </c>
      <c r="BH100" s="528">
        <f t="shared" si="220"/>
        <v>0.7248882937730492</v>
      </c>
      <c r="BI100" s="528">
        <f t="shared" si="221"/>
        <v>0.10008903866353379</v>
      </c>
      <c r="BJ100" s="528">
        <f t="shared" si="222"/>
        <v>3.2505442789865911E-2</v>
      </c>
      <c r="BK100">
        <f t="shared" si="223"/>
        <v>1.0750851608417314E-2</v>
      </c>
      <c r="BL100" s="460">
        <f t="shared" si="290"/>
        <v>110.83989027195109</v>
      </c>
      <c r="BM100" s="528">
        <f t="shared" si="224"/>
        <v>0.82957399427767398</v>
      </c>
      <c r="BN100" s="460">
        <f t="shared" si="291"/>
        <v>829.57399427767393</v>
      </c>
      <c r="BO100" s="528">
        <f t="shared" si="225"/>
        <v>3.5411249999999992</v>
      </c>
      <c r="BP100" s="528"/>
      <c r="BR100" s="460">
        <f t="shared" si="292"/>
        <v>3541.1249999999991</v>
      </c>
      <c r="BS100" s="528">
        <f t="shared" si="226"/>
        <v>0.1209812668697771</v>
      </c>
      <c r="BT100" s="528">
        <f t="shared" si="227"/>
        <v>2.4545307022671849</v>
      </c>
      <c r="BU100" s="528">
        <f t="shared" si="228"/>
        <v>0.34199999999999997</v>
      </c>
      <c r="BV100" s="528">
        <f t="shared" si="229"/>
        <v>4.4531703181246778</v>
      </c>
      <c r="BW100" s="528">
        <f t="shared" si="230"/>
        <v>0.11495385789235521</v>
      </c>
      <c r="BX100" s="460">
        <f t="shared" si="293"/>
        <v>4568.1241760170333</v>
      </c>
      <c r="BY100" s="173">
        <f t="shared" si="231"/>
        <v>9.0496630605666564</v>
      </c>
      <c r="BZ100" s="5">
        <f t="shared" si="294"/>
        <v>22.799999999999997</v>
      </c>
      <c r="CA100" s="173">
        <f t="shared" si="295"/>
        <v>0.71586314607606871</v>
      </c>
      <c r="CB100" s="5">
        <f t="shared" si="296"/>
        <v>71.586314607606866</v>
      </c>
      <c r="CE100" s="562">
        <f t="shared" si="232"/>
        <v>-50</v>
      </c>
      <c r="CF100">
        <f t="shared" si="233"/>
        <v>-50</v>
      </c>
      <c r="CG100" s="173">
        <f t="shared" si="234"/>
        <v>0.55059278907374132</v>
      </c>
      <c r="CI100" s="170">
        <v>95</v>
      </c>
      <c r="CJ100" s="217">
        <f t="shared" si="297"/>
        <v>5.6999999999999993</v>
      </c>
      <c r="CK100" s="217"/>
      <c r="CL100" s="217">
        <f t="shared" si="235"/>
        <v>22.799999999999997</v>
      </c>
      <c r="CM100" s="541">
        <f t="shared" si="236"/>
        <v>24</v>
      </c>
      <c r="CN100" s="172">
        <f t="shared" si="237"/>
        <v>18.8</v>
      </c>
      <c r="CO100" s="443">
        <f t="shared" si="238"/>
        <v>42.8</v>
      </c>
      <c r="CP100" s="443"/>
      <c r="CQ100" s="217">
        <f t="shared" si="239"/>
        <v>0.43925233644859818</v>
      </c>
      <c r="CR100" s="172">
        <f t="shared" si="240"/>
        <v>35.456448598130848</v>
      </c>
      <c r="CS100" s="172">
        <f t="shared" si="298"/>
        <v>22.799999999999997</v>
      </c>
      <c r="CT100" s="217">
        <f t="shared" si="241"/>
        <v>8.864112149532712</v>
      </c>
      <c r="CU100" s="217">
        <f t="shared" si="242"/>
        <v>4</v>
      </c>
      <c r="CV100" s="217">
        <f t="shared" si="243"/>
        <v>8.7850467289719631</v>
      </c>
      <c r="CW100" s="172">
        <f t="shared" si="244"/>
        <v>8.4920064583184054</v>
      </c>
      <c r="CX100" s="532">
        <f t="shared" si="245"/>
        <v>4</v>
      </c>
      <c r="CY100" s="217">
        <f t="shared" si="246"/>
        <v>4.3255319148936158</v>
      </c>
      <c r="CZ100" s="217">
        <f t="shared" si="247"/>
        <v>2.1627659574468079</v>
      </c>
      <c r="DA100" s="217">
        <f t="shared" si="248"/>
        <v>2.7609778180172011</v>
      </c>
      <c r="DB100" s="197">
        <f t="shared" si="249"/>
        <v>350</v>
      </c>
      <c r="DC100" s="443">
        <f t="shared" si="299"/>
        <v>203.09748955321317</v>
      </c>
      <c r="DE100" s="217">
        <f t="shared" si="250"/>
        <v>2.5100133511348464</v>
      </c>
      <c r="DF100" s="173">
        <f t="shared" si="251"/>
        <v>1.6021361815754336</v>
      </c>
      <c r="DG100" s="173">
        <f t="shared" si="252"/>
        <v>2.8149682442633783</v>
      </c>
      <c r="DH100" s="173"/>
      <c r="DI100" s="173">
        <f t="shared" si="253"/>
        <v>0.85106382978723416</v>
      </c>
      <c r="DJ100" s="545">
        <f t="shared" si="300"/>
        <v>2511.5624999999991</v>
      </c>
      <c r="DK100" s="528">
        <f t="shared" si="254"/>
        <v>0.79432624113475192</v>
      </c>
      <c r="DM100" s="173">
        <f t="shared" si="255"/>
        <v>3.5717142742866281</v>
      </c>
      <c r="DN100" s="173">
        <f t="shared" si="256"/>
        <v>4.3255319148936158</v>
      </c>
      <c r="DO100" s="173">
        <f t="shared" si="257"/>
        <v>3.4164433937483576</v>
      </c>
      <c r="DQ100" s="545">
        <f t="shared" si="258"/>
        <v>5699.9999999999991</v>
      </c>
      <c r="DR100" s="460">
        <f t="shared" si="259"/>
        <v>203.09748955321317</v>
      </c>
      <c r="DT100">
        <f t="shared" si="260"/>
        <v>5699.9999999999991</v>
      </c>
      <c r="DU100">
        <f t="shared" si="261"/>
        <v>203.09748955321317</v>
      </c>
      <c r="DW100" s="5">
        <f t="shared" si="301"/>
        <v>4.9237437754640094</v>
      </c>
      <c r="DX100" s="5">
        <f t="shared" si="262"/>
        <v>2.1627659574468079</v>
      </c>
      <c r="DY100" s="5">
        <f t="shared" si="302"/>
        <v>2.7609778180172015</v>
      </c>
      <c r="DZ100" s="5">
        <f t="shared" si="263"/>
        <v>2.7609778180172011</v>
      </c>
      <c r="EA100" s="173">
        <f t="shared" si="303"/>
        <v>0.43925233644859812</v>
      </c>
      <c r="EB100" s="173">
        <f t="shared" si="264"/>
        <v>22.799999999999994</v>
      </c>
      <c r="EC100" s="173">
        <f t="shared" si="265"/>
        <v>4.8510638297872335</v>
      </c>
      <c r="ED100" s="173">
        <f t="shared" si="304"/>
        <v>4.6999999999999993</v>
      </c>
      <c r="EE100" s="460">
        <f t="shared" si="266"/>
        <v>308.19414893617011</v>
      </c>
      <c r="EF100" s="5">
        <f t="shared" si="267"/>
        <v>2.185774105930284</v>
      </c>
      <c r="EG100" s="5"/>
      <c r="EH100" s="173">
        <f t="shared" si="305"/>
        <v>1.6551445695465061</v>
      </c>
      <c r="EI100" s="173">
        <f t="shared" si="268"/>
        <v>7.4803620976404126</v>
      </c>
      <c r="EJ100" s="173"/>
      <c r="EK100" s="528">
        <f t="shared" si="269"/>
        <v>3.3421943262411324E-2</v>
      </c>
      <c r="EL100" s="528">
        <f t="shared" si="270"/>
        <v>0.752</v>
      </c>
      <c r="EM100" s="528">
        <f t="shared" si="271"/>
        <v>2.5387186194151645E-2</v>
      </c>
      <c r="EN100" s="528">
        <f t="shared" si="272"/>
        <v>3.7204210526315798E-2</v>
      </c>
      <c r="EO100">
        <f t="shared" si="273"/>
        <v>1.0800000000000001E-2</v>
      </c>
      <c r="EP100" s="460">
        <f t="shared" si="306"/>
        <v>36.18718619415165</v>
      </c>
      <c r="EQ100" s="528">
        <f t="shared" si="274"/>
        <v>0.8747839711714529</v>
      </c>
      <c r="ER100" s="460">
        <f t="shared" si="307"/>
        <v>874.78397117145289</v>
      </c>
      <c r="ES100" s="528">
        <f t="shared" si="308"/>
        <v>3.5411249999999992</v>
      </c>
      <c r="ET100" s="528"/>
      <c r="EV100" s="460">
        <f t="shared" si="309"/>
        <v>3541.1249999999991</v>
      </c>
      <c r="EW100" s="528">
        <f t="shared" si="275"/>
        <v>8.218510638297867E-2</v>
      </c>
      <c r="EX100" s="528">
        <f t="shared" si="276"/>
        <v>1.6786745133544581</v>
      </c>
      <c r="EY100" s="528">
        <f t="shared" si="277"/>
        <v>1.1437475956681515</v>
      </c>
      <c r="EZ100" s="528">
        <f t="shared" si="278"/>
        <v>3.8727651915436936</v>
      </c>
      <c r="FA100" s="528">
        <f t="shared" si="279"/>
        <v>9.4999999999999987E-2</v>
      </c>
      <c r="FB100" s="460">
        <f t="shared" si="310"/>
        <v>3967.7651915436936</v>
      </c>
      <c r="FC100" s="173">
        <f t="shared" si="311"/>
        <v>8.3836741627151472</v>
      </c>
      <c r="FD100" s="5">
        <f t="shared" si="312"/>
        <v>22.799999999999997</v>
      </c>
      <c r="FE100" s="173">
        <f t="shared" si="313"/>
        <v>0.7311518162045475</v>
      </c>
      <c r="FF100" s="5">
        <f t="shared" si="314"/>
        <v>73.115181620454749</v>
      </c>
      <c r="FI100" s="562">
        <f t="shared" si="280"/>
        <v>-50</v>
      </c>
      <c r="FJ100">
        <f t="shared" si="281"/>
        <v>-50</v>
      </c>
      <c r="FL100">
        <f t="shared" si="282"/>
        <v>0.56074766355140193</v>
      </c>
    </row>
    <row r="101" spans="5:168" ht="13">
      <c r="E101" s="170">
        <v>96</v>
      </c>
      <c r="F101" s="217">
        <f t="shared" si="283"/>
        <v>5.76</v>
      </c>
      <c r="G101" s="217"/>
      <c r="H101" s="217">
        <f>F101*Vout</f>
        <v>23.04</v>
      </c>
      <c r="I101" s="541">
        <f t="shared" si="184"/>
        <v>23.889652881959439</v>
      </c>
      <c r="J101" s="172">
        <f t="shared" si="185"/>
        <v>20.055133096195945</v>
      </c>
      <c r="K101" s="172">
        <f t="shared" si="186"/>
        <v>44.055133096195945</v>
      </c>
      <c r="L101" s="443"/>
      <c r="M101" s="217">
        <f t="shared" si="187"/>
        <v>0.45609276487084699</v>
      </c>
      <c r="N101" s="172">
        <f>M101*I101*(Isw_max+VIN_nom/Lmag*ILIM_delay)*0.5*Efficiency</f>
        <v>36.646536384167725</v>
      </c>
      <c r="O101" s="172">
        <f t="shared" si="284"/>
        <v>23.04</v>
      </c>
      <c r="P101" s="217">
        <f>N101/Vout</f>
        <v>9.1616340960419311</v>
      </c>
      <c r="Q101" s="217">
        <f t="shared" si="190"/>
        <v>4</v>
      </c>
      <c r="R101" s="217">
        <f>Isw_max/2*I101*Nps*(Q101+Vfwd1+F101/FL101*Rdcr_sec)/Q101/(I101+Nps*(Q101+Vfwd1+F101/FL101*Rdcr_sec))</f>
        <v>9.0799148622813988</v>
      </c>
      <c r="S101" s="172">
        <f t="shared" si="192"/>
        <v>8.3162986993793915</v>
      </c>
      <c r="T101" s="532">
        <f>MIN(Vout, S101)</f>
        <v>4</v>
      </c>
      <c r="U101" s="217">
        <f t="shared" si="194"/>
        <v>5.2950205733448854</v>
      </c>
      <c r="V101" s="217">
        <f t="shared" si="195"/>
        <v>2.6597392266055828</v>
      </c>
      <c r="W101" s="217">
        <f t="shared" si="196"/>
        <v>3.1682784938580602</v>
      </c>
      <c r="X101" s="197">
        <f t="shared" si="197"/>
        <v>350</v>
      </c>
      <c r="Y101" s="443">
        <f t="shared" si="198"/>
        <v>165.89201398749125</v>
      </c>
      <c r="AA101" s="217">
        <f t="shared" si="199"/>
        <v>2.5958449227833285</v>
      </c>
      <c r="AB101" s="173">
        <f>L*AA101/J101*1000000</f>
        <v>1.553225247819896</v>
      </c>
      <c r="AC101" s="173">
        <f>0.5*AB101*AA101*Nps*X101/1000</f>
        <v>2.8223523114445079</v>
      </c>
      <c r="AD101" s="173"/>
      <c r="AE101" s="173">
        <f t="shared" si="202"/>
        <v>0.79780073875624791</v>
      </c>
      <c r="AF101" s="545">
        <f>MAX(12, F101/(0.5*AE101/1000000*Isw_min*Nps)/1000)</f>
        <v>2707.442967986452</v>
      </c>
      <c r="AG101" s="528">
        <f t="shared" si="204"/>
        <v>0.74461402283916478</v>
      </c>
      <c r="AI101" s="173">
        <f t="shared" si="205"/>
        <v>3.7083812190715952</v>
      </c>
      <c r="AJ101" s="173">
        <f>MAX(IF(F101&gt;AC101,U101,AI101),Isw_min)</f>
        <v>5.2950205733448854</v>
      </c>
      <c r="AK101" s="173">
        <f>IF(F101&gt;AG101, (AJ101-Isw_min)/1.08*0.8+1.2, AF101*0.2/350+1)</f>
        <v>4.1345831407492977</v>
      </c>
      <c r="AM101" s="545">
        <f t="shared" si="208"/>
        <v>5760</v>
      </c>
      <c r="AN101" s="460">
        <f t="shared" si="209"/>
        <v>165.89201398749125</v>
      </c>
      <c r="AP101">
        <f t="shared" si="210"/>
        <v>5760</v>
      </c>
      <c r="AQ101">
        <f t="shared" si="211"/>
        <v>165.89201398749125</v>
      </c>
      <c r="AS101" s="5">
        <f t="shared" si="285"/>
        <v>6.0280177204636445</v>
      </c>
      <c r="AT101" s="5">
        <f t="shared" si="212"/>
        <v>2.6597392266055828</v>
      </c>
      <c r="AU101" s="5">
        <f t="shared" si="286"/>
        <v>3.3682784938580617</v>
      </c>
      <c r="AV101" s="5">
        <f t="shared" si="213"/>
        <v>3.1682784938580602</v>
      </c>
      <c r="AW101" s="173">
        <f t="shared" si="287"/>
        <v>0.44122949698313252</v>
      </c>
      <c r="AX101" s="173">
        <f t="shared" si="214"/>
        <v>27.906928120300002</v>
      </c>
      <c r="AY101" s="173">
        <f t="shared" si="215"/>
        <v>5.9174026185051671</v>
      </c>
      <c r="AZ101" s="173">
        <f t="shared" si="288"/>
        <v>4.7160772925993246</v>
      </c>
      <c r="BA101" s="460">
        <f t="shared" si="216"/>
        <v>383.00244863120389</v>
      </c>
      <c r="BB101" s="5">
        <f t="shared" si="217"/>
        <v>2.7070693492960638</v>
      </c>
      <c r="BC101" s="5"/>
      <c r="BD101" s="173">
        <f t="shared" si="289"/>
        <v>2.0306697227984269</v>
      </c>
      <c r="BE101" s="173">
        <f t="shared" si="218"/>
        <v>9.1407904261793842</v>
      </c>
      <c r="BF101" s="173"/>
      <c r="BG101" s="528">
        <f t="shared" si="219"/>
        <v>5.0308158181700924E-2</v>
      </c>
      <c r="BH101" s="528">
        <f t="shared" si="220"/>
        <v>0.72558938606561074</v>
      </c>
      <c r="BI101" s="528">
        <f t="shared" si="221"/>
        <v>9.9077565751258145E-2</v>
      </c>
      <c r="BJ101" s="528">
        <f t="shared" si="222"/>
        <v>3.2197230368696712E-2</v>
      </c>
      <c r="BK101">
        <f t="shared" si="223"/>
        <v>1.0750343796881747E-2</v>
      </c>
      <c r="BL101" s="460">
        <f t="shared" si="290"/>
        <v>109.8279095481399</v>
      </c>
      <c r="BM101" s="528">
        <f t="shared" si="224"/>
        <v>0.83161849480562955</v>
      </c>
      <c r="BN101" s="460">
        <f t="shared" si="291"/>
        <v>831.61849480562955</v>
      </c>
      <c r="BO101" s="528">
        <f t="shared" si="225"/>
        <v>3.5783999999999998</v>
      </c>
      <c r="BP101" s="528"/>
      <c r="BR101" s="460">
        <f t="shared" si="292"/>
        <v>3578.3999999999996</v>
      </c>
      <c r="BS101" s="528">
        <f t="shared" si="226"/>
        <v>0.12370858569270721</v>
      </c>
      <c r="BT101" s="528">
        <f t="shared" si="227"/>
        <v>2.5066214884599805</v>
      </c>
      <c r="BU101" s="528">
        <f t="shared" si="228"/>
        <v>0.34559999999999996</v>
      </c>
      <c r="BV101" s="528">
        <f>(BU101+(BS101+BT101)*(1+Ltc*(Ta-25)))/(1-(BS101+BT101)*Ltc*ThetaCa)</f>
        <v>4.5685536079866083</v>
      </c>
      <c r="BW101" s="528">
        <f t="shared" si="230"/>
        <v>0.11627886716791667</v>
      </c>
      <c r="BX101" s="460">
        <f t="shared" si="293"/>
        <v>4684.8324751545251</v>
      </c>
      <c r="BY101" s="173">
        <f t="shared" si="231"/>
        <v>9.2046788795082968</v>
      </c>
      <c r="BZ101" s="5">
        <f t="shared" si="294"/>
        <v>23.04</v>
      </c>
      <c r="CA101" s="173">
        <f t="shared" si="295"/>
        <v>0.71453650030430504</v>
      </c>
      <c r="CB101" s="5">
        <f t="shared" si="296"/>
        <v>71.453650030430509</v>
      </c>
      <c r="CE101" s="562">
        <f t="shared" si="232"/>
        <v>-50</v>
      </c>
      <c r="CF101">
        <f t="shared" si="233"/>
        <v>-50</v>
      </c>
      <c r="CG101" s="173">
        <f t="shared" si="234"/>
        <v>0.55069856901621683</v>
      </c>
      <c r="CI101" s="170">
        <v>96</v>
      </c>
      <c r="CJ101" s="217">
        <f t="shared" si="297"/>
        <v>5.76</v>
      </c>
      <c r="CK101" s="217"/>
      <c r="CL101" s="217">
        <f t="shared" si="235"/>
        <v>23.04</v>
      </c>
      <c r="CM101" s="541">
        <f t="shared" si="236"/>
        <v>24</v>
      </c>
      <c r="CN101" s="172">
        <f t="shared" si="237"/>
        <v>18.8</v>
      </c>
      <c r="CO101" s="443">
        <f t="shared" si="238"/>
        <v>42.8</v>
      </c>
      <c r="CP101" s="443"/>
      <c r="CQ101" s="217">
        <f t="shared" si="239"/>
        <v>0.43925233644859818</v>
      </c>
      <c r="CR101" s="172">
        <f t="shared" si="240"/>
        <v>35.456448598130848</v>
      </c>
      <c r="CS101" s="172">
        <f t="shared" si="298"/>
        <v>23.04</v>
      </c>
      <c r="CT101" s="217">
        <f t="shared" si="241"/>
        <v>8.864112149532712</v>
      </c>
      <c r="CU101" s="217">
        <f t="shared" si="242"/>
        <v>4</v>
      </c>
      <c r="CV101" s="217">
        <f t="shared" si="243"/>
        <v>8.7850467289719631</v>
      </c>
      <c r="CW101" s="172">
        <f t="shared" si="244"/>
        <v>8.352832100617464</v>
      </c>
      <c r="CX101" s="532">
        <f t="shared" si="245"/>
        <v>4</v>
      </c>
      <c r="CY101" s="217">
        <f t="shared" si="246"/>
        <v>4.3710638297872331</v>
      </c>
      <c r="CZ101" s="217">
        <f t="shared" si="247"/>
        <v>2.185531914893617</v>
      </c>
      <c r="DA101" s="217">
        <f t="shared" si="248"/>
        <v>2.790040742417383</v>
      </c>
      <c r="DB101" s="197">
        <f t="shared" si="249"/>
        <v>350</v>
      </c>
      <c r="DC101" s="443">
        <f t="shared" si="299"/>
        <v>200.98189070370049</v>
      </c>
      <c r="DE101" s="217">
        <f t="shared" si="250"/>
        <v>2.5100133511348464</v>
      </c>
      <c r="DF101" s="173">
        <f t="shared" si="251"/>
        <v>1.6021361815754336</v>
      </c>
      <c r="DG101" s="173">
        <f t="shared" si="252"/>
        <v>2.8149682442633783</v>
      </c>
      <c r="DH101" s="173"/>
      <c r="DI101" s="173">
        <f t="shared" si="253"/>
        <v>0.85106382978723416</v>
      </c>
      <c r="DJ101" s="545">
        <f t="shared" si="300"/>
        <v>2537.9999999999995</v>
      </c>
      <c r="DK101" s="528">
        <f t="shared" si="254"/>
        <v>0.79432624113475192</v>
      </c>
      <c r="DM101" s="173">
        <f t="shared" si="255"/>
        <v>3.5904635594068592</v>
      </c>
      <c r="DN101" s="173">
        <f t="shared" si="256"/>
        <v>4.3710638297872331</v>
      </c>
      <c r="DO101" s="173">
        <f t="shared" si="257"/>
        <v>3.4501707381139992</v>
      </c>
      <c r="DQ101" s="545">
        <f t="shared" si="258"/>
        <v>5760</v>
      </c>
      <c r="DR101" s="460">
        <f t="shared" si="259"/>
        <v>200.98189070370049</v>
      </c>
      <c r="DT101">
        <f t="shared" si="260"/>
        <v>5760</v>
      </c>
      <c r="DU101">
        <f t="shared" si="261"/>
        <v>200.98189070370049</v>
      </c>
      <c r="DW101" s="5">
        <f t="shared" si="301"/>
        <v>4.975572657311</v>
      </c>
      <c r="DX101" s="5">
        <f t="shared" si="262"/>
        <v>2.185531914893617</v>
      </c>
      <c r="DY101" s="5">
        <f t="shared" si="302"/>
        <v>2.790040742417383</v>
      </c>
      <c r="DZ101" s="5">
        <f t="shared" si="263"/>
        <v>2.790040742417383</v>
      </c>
      <c r="EA101" s="173">
        <f t="shared" si="303"/>
        <v>0.43925233644859818</v>
      </c>
      <c r="EB101" s="173">
        <f t="shared" si="264"/>
        <v>23.039999999999996</v>
      </c>
      <c r="EC101" s="173">
        <f t="shared" si="265"/>
        <v>4.9021276595744663</v>
      </c>
      <c r="ED101" s="173">
        <f t="shared" si="304"/>
        <v>4.7000000000000011</v>
      </c>
      <c r="EE101" s="460">
        <f t="shared" si="266"/>
        <v>314.71659574468083</v>
      </c>
      <c r="EF101" s="5">
        <f t="shared" si="267"/>
        <v>2.2320325939339059</v>
      </c>
      <c r="EG101" s="5"/>
      <c r="EH101" s="173">
        <f t="shared" si="305"/>
        <v>1.6725671439627854</v>
      </c>
      <c r="EI101" s="173">
        <f t="shared" si="268"/>
        <v>7.5591027512997853</v>
      </c>
      <c r="EJ101" s="173"/>
      <c r="EK101" s="528">
        <f t="shared" si="269"/>
        <v>3.412926638297871E-2</v>
      </c>
      <c r="EL101" s="528">
        <f t="shared" si="270"/>
        <v>0.75199999999999989</v>
      </c>
      <c r="EM101" s="528">
        <f t="shared" si="271"/>
        <v>2.512273633796256E-2</v>
      </c>
      <c r="EN101" s="528">
        <f t="shared" si="272"/>
        <v>3.6816666666666671E-2</v>
      </c>
      <c r="EO101">
        <f t="shared" si="273"/>
        <v>1.0800000000000001E-2</v>
      </c>
      <c r="EP101" s="460">
        <f t="shared" si="306"/>
        <v>35.922736337962554</v>
      </c>
      <c r="EQ101" s="528">
        <f t="shared" si="274"/>
        <v>0.87518050956461557</v>
      </c>
      <c r="ER101" s="460">
        <f t="shared" si="307"/>
        <v>875.18050956461559</v>
      </c>
      <c r="ES101" s="528">
        <f t="shared" si="308"/>
        <v>3.5783999999999998</v>
      </c>
      <c r="ET101" s="528"/>
      <c r="EV101" s="460">
        <f t="shared" si="309"/>
        <v>3578.3999999999996</v>
      </c>
      <c r="EW101" s="528">
        <f t="shared" si="275"/>
        <v>8.392442553191487E-2</v>
      </c>
      <c r="EX101" s="528">
        <f t="shared" si="276"/>
        <v>1.7142010321412393</v>
      </c>
      <c r="EY101" s="528">
        <f t="shared" si="277"/>
        <v>1.1437475956681513</v>
      </c>
      <c r="EZ101" s="528">
        <f t="shared" si="278"/>
        <v>3.9402246188748058</v>
      </c>
      <c r="FA101" s="528">
        <f t="shared" si="279"/>
        <v>9.5999999999999974E-2</v>
      </c>
      <c r="FB101" s="460">
        <f t="shared" si="310"/>
        <v>4036.2246188748054</v>
      </c>
      <c r="FC101" s="173">
        <f t="shared" si="311"/>
        <v>8.4898051284394214</v>
      </c>
      <c r="FD101" s="5">
        <f t="shared" si="312"/>
        <v>23.04</v>
      </c>
      <c r="FE101" s="173">
        <f t="shared" si="313"/>
        <v>0.73073715191529232</v>
      </c>
      <c r="FF101" s="5">
        <f t="shared" si="314"/>
        <v>73.073715191529232</v>
      </c>
      <c r="FI101" s="562">
        <f t="shared" si="280"/>
        <v>-50</v>
      </c>
      <c r="FJ101">
        <f t="shared" si="281"/>
        <v>-50</v>
      </c>
      <c r="FL101">
        <f t="shared" si="282"/>
        <v>0.56074766355140182</v>
      </c>
    </row>
    <row r="102" spans="5:168" ht="13">
      <c r="E102" s="170">
        <v>97</v>
      </c>
      <c r="F102" s="217">
        <f>IF(PLOT_TYPE=1, E102/100*Iout_max, min_I*EXP(N102*rr/100))</f>
        <v>5.82</v>
      </c>
      <c r="G102" s="217"/>
      <c r="H102" s="217">
        <f>F102*Vout</f>
        <v>23.28</v>
      </c>
      <c r="I102" s="541">
        <f t="shared" si="184"/>
        <v>23.888524403905542</v>
      </c>
      <c r="J102" s="172">
        <f t="shared" si="185"/>
        <v>20.067968865529391</v>
      </c>
      <c r="K102" s="172">
        <f t="shared" si="186"/>
        <v>44.067968865529394</v>
      </c>
      <c r="L102" s="443"/>
      <c r="M102" s="217">
        <f t="shared" si="187"/>
        <v>0.45626344040285211</v>
      </c>
      <c r="N102" s="172">
        <f>M102*I102*(Isw_max+VIN_nom/Lmag*ILIM_delay)*0.5*Efficiency</f>
        <v>36.658518245498321</v>
      </c>
      <c r="O102" s="172">
        <f t="shared" si="284"/>
        <v>23.28</v>
      </c>
      <c r="P102" s="217">
        <f>N102/Vout</f>
        <v>9.1646295613745803</v>
      </c>
      <c r="Q102" s="217">
        <f t="shared" si="190"/>
        <v>4</v>
      </c>
      <c r="R102" s="217">
        <f>Isw_max/2*I102*Nps*(Q102+Vfwd1+F102/FL102*Rdcr_sec)/Q102/(I102+Nps*(Q102+Vfwd1+F102/FL102*Rdcr_sec))</f>
        <v>9.0828836088945302</v>
      </c>
      <c r="S102" s="172">
        <f t="shared" si="192"/>
        <v>8.1804778592125604</v>
      </c>
      <c r="T102" s="532">
        <f>MIN(Vout, S102)</f>
        <v>4</v>
      </c>
      <c r="U102" s="217">
        <f t="shared" si="194"/>
        <v>5.3518564250231897</v>
      </c>
      <c r="V102" s="217">
        <f t="shared" si="195"/>
        <v>2.6884154087716925</v>
      </c>
      <c r="W102" s="217">
        <f t="shared" si="196"/>
        <v>3.2002380276058946</v>
      </c>
      <c r="X102" s="197">
        <f t="shared" si="197"/>
        <v>350</v>
      </c>
      <c r="Y102" s="443">
        <f t="shared" si="198"/>
        <v>164.23992767027067</v>
      </c>
      <c r="AA102" s="217">
        <f t="shared" si="199"/>
        <v>2.5966918451589844</v>
      </c>
      <c r="AB102" s="173">
        <f>L*AA102/J102*1000000</f>
        <v>1.5527382143507134</v>
      </c>
      <c r="AC102" s="173">
        <f>0.5*AB102*AA102*Nps*X102/1000</f>
        <v>2.8223878612098545</v>
      </c>
      <c r="AD102" s="173"/>
      <c r="AE102" s="173">
        <f t="shared" si="202"/>
        <v>0.79729045361850692</v>
      </c>
      <c r="AF102" s="545">
        <f>MAX(12, F102/(0.5*AE102/1000000*Isw_min*Nps)/1000)</f>
        <v>2737.3963780636177</v>
      </c>
      <c r="AG102" s="528">
        <f t="shared" si="204"/>
        <v>0.74413775671060656</v>
      </c>
      <c r="AI102" s="173">
        <f t="shared" si="205"/>
        <v>3.7288383675236974</v>
      </c>
      <c r="AJ102" s="173">
        <f>MAX(IF(F102&gt;AC102,U102,AI102),Isw_min)</f>
        <v>5.3518564250231897</v>
      </c>
      <c r="AK102" s="173">
        <f>IF(F102&gt;AG102, (AJ102-Isw_min)/1.08*0.8+1.2, AF102*0.2/350+1)</f>
        <v>4.1766837716221152</v>
      </c>
      <c r="AM102" s="545">
        <f t="shared" si="208"/>
        <v>5820</v>
      </c>
      <c r="AN102" s="460">
        <f t="shared" si="209"/>
        <v>164.23992767027067</v>
      </c>
      <c r="AP102">
        <f t="shared" si="210"/>
        <v>5820</v>
      </c>
      <c r="AQ102">
        <f t="shared" si="211"/>
        <v>164.23992767027067</v>
      </c>
      <c r="AS102" s="5">
        <f t="shared" si="285"/>
        <v>6.0886534363775882</v>
      </c>
      <c r="AT102" s="5">
        <f t="shared" si="212"/>
        <v>2.6884154087716925</v>
      </c>
      <c r="AU102" s="5">
        <f t="shared" si="286"/>
        <v>3.4002380276058957</v>
      </c>
      <c r="AV102" s="5">
        <f t="shared" si="213"/>
        <v>3.2002380276058946</v>
      </c>
      <c r="AW102" s="173">
        <f t="shared" si="287"/>
        <v>0.44154515228430391</v>
      </c>
      <c r="AX102" s="173">
        <f t="shared" si="214"/>
        <v>28.225321897548454</v>
      </c>
      <c r="AY102" s="173">
        <f t="shared" si="215"/>
        <v>5.9775403296651906</v>
      </c>
      <c r="AZ102" s="173">
        <f t="shared" si="288"/>
        <v>4.721895686336488</v>
      </c>
      <c r="BA102" s="460">
        <f t="shared" si="216"/>
        <v>391.1644419762813</v>
      </c>
      <c r="BB102" s="5">
        <f t="shared" si="217"/>
        <v>2.7613517109817711</v>
      </c>
      <c r="BC102" s="5"/>
      <c r="BD102" s="173">
        <f t="shared" si="289"/>
        <v>2.0532006221575991</v>
      </c>
      <c r="BE102" s="173">
        <f t="shared" si="218"/>
        <v>9.2362961724064672</v>
      </c>
      <c r="BF102" s="173"/>
      <c r="BG102" s="528">
        <f t="shared" si="219"/>
        <v>5.1430720096905885E-2</v>
      </c>
      <c r="BH102" s="528">
        <f t="shared" si="220"/>
        <v>0.72628571974637335</v>
      </c>
      <c r="BI102" s="528">
        <f t="shared" si="221"/>
        <v>9.8086238006173554E-2</v>
      </c>
      <c r="BJ102" s="528">
        <f t="shared" si="222"/>
        <v>3.1895162045692683E-2</v>
      </c>
      <c r="BK102">
        <f t="shared" si="223"/>
        <v>1.0749835981757494E-2</v>
      </c>
      <c r="BL102" s="460">
        <f t="shared" si="290"/>
        <v>108.83607398793104</v>
      </c>
      <c r="BM102" s="528">
        <f t="shared" si="224"/>
        <v>0.83368548213118598</v>
      </c>
      <c r="BN102" s="460">
        <f t="shared" si="291"/>
        <v>833.68548213118595</v>
      </c>
      <c r="BO102" s="528">
        <f t="shared" si="225"/>
        <v>3.6156749999999995</v>
      </c>
      <c r="BP102" s="528"/>
      <c r="BR102" s="460">
        <f t="shared" si="292"/>
        <v>3615.6749999999997</v>
      </c>
      <c r="BS102" s="528">
        <f t="shared" si="226"/>
        <v>0.12646898384485056</v>
      </c>
      <c r="BT102" s="528">
        <f t="shared" si="227"/>
        <v>2.5592750095323105</v>
      </c>
      <c r="BU102" s="528">
        <f t="shared" si="228"/>
        <v>0.34920000000000001</v>
      </c>
      <c r="BV102" s="528">
        <f>(BU102+(BS102+BT102)*(1+Ltc*(Ta-25)))/(1-(BS102+BT102)*Ltc*ThetaCa)</f>
        <v>4.6864512059098917</v>
      </c>
      <c r="BW102" s="528">
        <f t="shared" si="230"/>
        <v>0.11760550790645193</v>
      </c>
      <c r="BX102" s="460">
        <f t="shared" si="293"/>
        <v>4804.0567138163442</v>
      </c>
      <c r="BY102" s="173">
        <f t="shared" si="231"/>
        <v>9.3622532699354597</v>
      </c>
      <c r="BZ102" s="5">
        <f t="shared" si="294"/>
        <v>23.28</v>
      </c>
      <c r="CA102" s="173">
        <f t="shared" si="295"/>
        <v>0.71318606002734541</v>
      </c>
      <c r="CB102" s="5">
        <f t="shared" si="296"/>
        <v>71.318606002734541</v>
      </c>
      <c r="CE102" s="562">
        <f t="shared" si="232"/>
        <v>-50</v>
      </c>
      <c r="CF102">
        <f t="shared" si="233"/>
        <v>-50</v>
      </c>
      <c r="CG102" s="173">
        <f t="shared" si="234"/>
        <v>0.55080216792895054</v>
      </c>
      <c r="CI102" s="170">
        <v>97</v>
      </c>
      <c r="CJ102" s="217">
        <f t="shared" si="297"/>
        <v>5.82</v>
      </c>
      <c r="CK102" s="217"/>
      <c r="CL102" s="217">
        <f t="shared" si="235"/>
        <v>23.28</v>
      </c>
      <c r="CM102" s="541">
        <f t="shared" si="236"/>
        <v>24</v>
      </c>
      <c r="CN102" s="172">
        <f t="shared" si="237"/>
        <v>18.8</v>
      </c>
      <c r="CO102" s="443">
        <f t="shared" si="238"/>
        <v>42.8</v>
      </c>
      <c r="CP102" s="443"/>
      <c r="CQ102" s="217">
        <f t="shared" si="239"/>
        <v>0.43925233644859818</v>
      </c>
      <c r="CR102" s="172">
        <f t="shared" si="240"/>
        <v>35.456448598130848</v>
      </c>
      <c r="CS102" s="172">
        <f t="shared" si="298"/>
        <v>23.28</v>
      </c>
      <c r="CT102" s="217">
        <f t="shared" si="241"/>
        <v>8.864112149532712</v>
      </c>
      <c r="CU102" s="217">
        <f t="shared" si="242"/>
        <v>4</v>
      </c>
      <c r="CV102" s="217">
        <f t="shared" si="243"/>
        <v>8.7850467289719631</v>
      </c>
      <c r="CW102" s="172">
        <f t="shared" si="244"/>
        <v>8.2167292013307538</v>
      </c>
      <c r="CX102" s="532">
        <f t="shared" si="245"/>
        <v>4</v>
      </c>
      <c r="CY102" s="217">
        <f t="shared" si="246"/>
        <v>4.4165957446808504</v>
      </c>
      <c r="CZ102" s="217">
        <f t="shared" si="247"/>
        <v>2.2082978723404252</v>
      </c>
      <c r="DA102" s="217">
        <f t="shared" si="248"/>
        <v>2.819103666817564</v>
      </c>
      <c r="DB102" s="197">
        <f t="shared" si="249"/>
        <v>350</v>
      </c>
      <c r="DC102" s="443">
        <f t="shared" si="299"/>
        <v>198.90991244902321</v>
      </c>
      <c r="DE102" s="217">
        <f t="shared" si="250"/>
        <v>2.5100133511348464</v>
      </c>
      <c r="DF102" s="173">
        <f t="shared" si="251"/>
        <v>1.6021361815754336</v>
      </c>
      <c r="DG102" s="173">
        <f t="shared" si="252"/>
        <v>2.8149682442633783</v>
      </c>
      <c r="DH102" s="173"/>
      <c r="DI102" s="173">
        <f t="shared" si="253"/>
        <v>0.85106382978723416</v>
      </c>
      <c r="DJ102" s="545">
        <f t="shared" si="300"/>
        <v>2564.4374999999995</v>
      </c>
      <c r="DK102" s="528">
        <f t="shared" si="254"/>
        <v>0.79432624113475192</v>
      </c>
      <c r="DM102" s="173">
        <f t="shared" si="255"/>
        <v>3.6091154436668118</v>
      </c>
      <c r="DN102" s="173">
        <f t="shared" si="256"/>
        <v>4.4165957446808504</v>
      </c>
      <c r="DO102" s="173">
        <f t="shared" si="257"/>
        <v>3.4838980824796417</v>
      </c>
      <c r="DQ102" s="545">
        <f t="shared" si="258"/>
        <v>5820</v>
      </c>
      <c r="DR102" s="460">
        <f t="shared" si="259"/>
        <v>198.90991244902321</v>
      </c>
      <c r="DT102">
        <f t="shared" si="260"/>
        <v>5820</v>
      </c>
      <c r="DU102">
        <f t="shared" si="261"/>
        <v>198.90991244902321</v>
      </c>
      <c r="DW102" s="5">
        <f t="shared" si="301"/>
        <v>5.0274015391579878</v>
      </c>
      <c r="DX102" s="5">
        <f t="shared" si="262"/>
        <v>2.2082978723404252</v>
      </c>
      <c r="DY102" s="5">
        <f t="shared" si="302"/>
        <v>2.8191036668175626</v>
      </c>
      <c r="DZ102" s="5">
        <f t="shared" si="263"/>
        <v>2.819103666817564</v>
      </c>
      <c r="EA102" s="173">
        <f t="shared" si="303"/>
        <v>0.43925233644859824</v>
      </c>
      <c r="EB102" s="173">
        <f t="shared" si="264"/>
        <v>23.279999999999998</v>
      </c>
      <c r="EC102" s="173">
        <f t="shared" si="265"/>
        <v>4.9531914893617</v>
      </c>
      <c r="ED102" s="173">
        <f t="shared" si="304"/>
        <v>4.700000000000002</v>
      </c>
      <c r="EE102" s="460">
        <f t="shared" si="266"/>
        <v>321.30734042553189</v>
      </c>
      <c r="EF102" s="5">
        <f t="shared" si="267"/>
        <v>2.2787754640108631</v>
      </c>
      <c r="EG102" s="5"/>
      <c r="EH102" s="173">
        <f t="shared" si="305"/>
        <v>1.6899897183790646</v>
      </c>
      <c r="EI102" s="173">
        <f t="shared" si="268"/>
        <v>7.637843404959157</v>
      </c>
      <c r="EJ102" s="173"/>
      <c r="EK102" s="528">
        <f t="shared" si="269"/>
        <v>3.4843996028368789E-2</v>
      </c>
      <c r="EL102" s="528">
        <f t="shared" si="270"/>
        <v>0.75200000000000011</v>
      </c>
      <c r="EM102" s="528">
        <f t="shared" si="271"/>
        <v>2.48637390561279E-2</v>
      </c>
      <c r="EN102" s="528">
        <f t="shared" si="272"/>
        <v>3.643711340206187E-2</v>
      </c>
      <c r="EO102">
        <f t="shared" si="273"/>
        <v>1.0800000000000001E-2</v>
      </c>
      <c r="EP102" s="460">
        <f t="shared" si="306"/>
        <v>35.663739056127902</v>
      </c>
      <c r="EQ102" s="528">
        <f t="shared" si="274"/>
        <v>0.87560177625407931</v>
      </c>
      <c r="ER102" s="460">
        <f t="shared" si="307"/>
        <v>875.60177625407937</v>
      </c>
      <c r="ES102" s="528">
        <f t="shared" si="308"/>
        <v>3.6156749999999995</v>
      </c>
      <c r="ET102" s="528"/>
      <c r="EV102" s="460">
        <f t="shared" si="309"/>
        <v>3615.6749999999997</v>
      </c>
      <c r="EW102" s="528">
        <f t="shared" si="275"/>
        <v>8.5681957446808496E-2</v>
      </c>
      <c r="EX102" s="528">
        <f t="shared" si="276"/>
        <v>1.7500995563603425</v>
      </c>
      <c r="EY102" s="528">
        <f t="shared" si="277"/>
        <v>1.1437475956681558</v>
      </c>
      <c r="EZ102" s="528">
        <f t="shared" si="278"/>
        <v>4.0088693292634474</v>
      </c>
      <c r="FA102" s="528">
        <f t="shared" si="279"/>
        <v>9.7000000000000017E-2</v>
      </c>
      <c r="FB102" s="460">
        <f t="shared" si="310"/>
        <v>4105.869329263448</v>
      </c>
      <c r="FC102" s="173">
        <f t="shared" si="311"/>
        <v>8.5971461055175258</v>
      </c>
      <c r="FD102" s="5">
        <f t="shared" si="312"/>
        <v>23.28</v>
      </c>
      <c r="FE102" s="173">
        <f t="shared" si="313"/>
        <v>0.73030377069955243</v>
      </c>
      <c r="FF102" s="5">
        <f t="shared" si="314"/>
        <v>73.03037706995525</v>
      </c>
      <c r="FI102" s="562">
        <f t="shared" si="280"/>
        <v>-50</v>
      </c>
      <c r="FJ102">
        <f t="shared" si="281"/>
        <v>-50</v>
      </c>
      <c r="FL102">
        <f t="shared" si="282"/>
        <v>0.56074766355140171</v>
      </c>
    </row>
    <row r="103" spans="5:168" ht="13">
      <c r="E103" s="170">
        <v>98</v>
      </c>
      <c r="F103" s="217">
        <f>IF(PLOT_TYPE=1, E103/100*Iout_max, min_I*EXP(N103*rr/100))</f>
        <v>5.88</v>
      </c>
      <c r="G103" s="217"/>
      <c r="H103" s="217">
        <f>F103*Vout</f>
        <v>23.52</v>
      </c>
      <c r="I103" s="541">
        <f t="shared" si="184"/>
        <v>23.887395918125268</v>
      </c>
      <c r="J103" s="172">
        <f t="shared" si="185"/>
        <v>20.080804722745768</v>
      </c>
      <c r="K103" s="172">
        <f t="shared" si="186"/>
        <v>44.080804722745768</v>
      </c>
      <c r="L103" s="443"/>
      <c r="M103" s="217">
        <f t="shared" si="187"/>
        <v>0.45643402504513553</v>
      </c>
      <c r="N103" s="172">
        <f>M103*I103*(Isw_max+VIN_nom/Lmag*ILIM_delay)*0.5*Efficiency</f>
        <v>36.670491497191556</v>
      </c>
      <c r="O103" s="172">
        <f t="shared" si="284"/>
        <v>23.52</v>
      </c>
      <c r="P103" s="217">
        <f>N103/Vout</f>
        <v>9.1676228742978889</v>
      </c>
      <c r="Q103" s="217">
        <f t="shared" si="190"/>
        <v>4</v>
      </c>
      <c r="R103" s="217">
        <f>Isw_max/2*I103*Nps*(Q103+Vfwd1+F103/FL103*Rdcr_sec)/Q103/(I103+Nps*(Q103+Vfwd1+F103/FL103*Rdcr_sec))</f>
        <v>9.0858502222972142</v>
      </c>
      <c r="S103" s="172">
        <f t="shared" si="192"/>
        <v>8.0476357258625288</v>
      </c>
      <c r="T103" s="532">
        <f>MIN(Vout, S103)</f>
        <v>4</v>
      </c>
      <c r="U103" s="217">
        <f t="shared" si="194"/>
        <v>5.4087270643533669</v>
      </c>
      <c r="V103" s="217">
        <f t="shared" si="195"/>
        <v>2.7171117770519317</v>
      </c>
      <c r="W103" s="217">
        <f t="shared" si="196"/>
        <v>3.2321774783618129</v>
      </c>
      <c r="X103" s="197">
        <f t="shared" si="197"/>
        <v>350</v>
      </c>
      <c r="Y103" s="443">
        <f t="shared" si="198"/>
        <v>162.62041976958793</v>
      </c>
      <c r="AA103" s="217">
        <f t="shared" si="199"/>
        <v>2.5975381654354877</v>
      </c>
      <c r="AB103" s="173">
        <f>L*AA103/J103*1000000</f>
        <v>1.5522514369117242</v>
      </c>
      <c r="AC103" s="173">
        <f>0.5*AB103*AA103*Nps*X103/1000</f>
        <v>2.822422644811196</v>
      </c>
      <c r="AD103" s="173"/>
      <c r="AE103" s="173">
        <f t="shared" si="202"/>
        <v>0.79678081734825157</v>
      </c>
      <c r="AF103" s="545">
        <f>MAX(12, F103/(0.5*AE103/1000000*Isw_min*Nps)/1000)</f>
        <v>2767.3859008534</v>
      </c>
      <c r="AG103" s="528">
        <f t="shared" si="204"/>
        <v>0.74366209619170154</v>
      </c>
      <c r="AI103" s="173">
        <f t="shared" si="205"/>
        <v>3.7492083572298349</v>
      </c>
      <c r="AJ103" s="173">
        <f>MAX(IF(F103&gt;AC103,U103,AI103),Isw_min)</f>
        <v>5.4087270643533669</v>
      </c>
      <c r="AK103" s="173">
        <f>IF(F103&gt;AG103, (AJ103-Isw_min)/1.08*0.8+1.2, AF103*0.2/350+1)</f>
        <v>4.2188101711259511</v>
      </c>
      <c r="AM103" s="545">
        <f t="shared" si="208"/>
        <v>5880</v>
      </c>
      <c r="AN103" s="460">
        <f t="shared" si="209"/>
        <v>162.62041976958793</v>
      </c>
      <c r="AP103">
        <f t="shared" si="210"/>
        <v>5880</v>
      </c>
      <c r="AQ103">
        <f t="shared" si="211"/>
        <v>162.62041976958793</v>
      </c>
      <c r="AS103" s="5">
        <f t="shared" si="285"/>
        <v>6.1492892554137457</v>
      </c>
      <c r="AT103" s="5">
        <f t="shared" si="212"/>
        <v>2.7171117770519317</v>
      </c>
      <c r="AU103" s="5">
        <f t="shared" si="286"/>
        <v>3.432177478361814</v>
      </c>
      <c r="AV103" s="5">
        <f t="shared" si="213"/>
        <v>3.2321774783618129</v>
      </c>
      <c r="AW103" s="173">
        <f t="shared" si="287"/>
        <v>0.44185785774507608</v>
      </c>
      <c r="AX103" s="173">
        <f t="shared" si="214"/>
        <v>28.544107042205088</v>
      </c>
      <c r="AY103" s="173">
        <f t="shared" si="215"/>
        <v>6.0376770211407482</v>
      </c>
      <c r="AZ103" s="173">
        <f t="shared" si="288"/>
        <v>4.7276637922596283</v>
      </c>
      <c r="BA103" s="460">
        <f t="shared" si="216"/>
        <v>399.41543122663393</v>
      </c>
      <c r="BB103" s="5">
        <f t="shared" si="217"/>
        <v>2.8161578937471341</v>
      </c>
      <c r="BC103" s="5"/>
      <c r="BD103" s="173">
        <f t="shared" si="289"/>
        <v>2.0757532690274472</v>
      </c>
      <c r="BE103" s="173">
        <f t="shared" si="218"/>
        <v>9.3318304185289591</v>
      </c>
      <c r="BF103" s="173"/>
      <c r="BG103" s="528">
        <f t="shared" si="219"/>
        <v>5.2566769933313218E-2</v>
      </c>
      <c r="BH103" s="528">
        <f t="shared" si="220"/>
        <v>0.72697743476762866</v>
      </c>
      <c r="BI103" s="528">
        <f t="shared" si="221"/>
        <v>9.7114458785196811E-2</v>
      </c>
      <c r="BJ103" s="528">
        <f t="shared" si="222"/>
        <v>3.1599055830625521E-2</v>
      </c>
      <c r="BK103">
        <f t="shared" si="223"/>
        <v>1.0749328163156371E-2</v>
      </c>
      <c r="BL103" s="460">
        <f t="shared" si="290"/>
        <v>107.86378694835318</v>
      </c>
      <c r="BM103" s="528">
        <f t="shared" si="224"/>
        <v>0.83577500500882662</v>
      </c>
      <c r="BN103" s="460">
        <f t="shared" si="291"/>
        <v>835.77500500882661</v>
      </c>
      <c r="BO103" s="528">
        <f t="shared" si="225"/>
        <v>3.6529499999999997</v>
      </c>
      <c r="BP103" s="528"/>
      <c r="BR103" s="460">
        <f t="shared" si="292"/>
        <v>3652.95</v>
      </c>
      <c r="BS103" s="528">
        <f t="shared" si="226"/>
        <v>0.12926254901634399</v>
      </c>
      <c r="BT103" s="528">
        <f t="shared" si="227"/>
        <v>2.6124917688054712</v>
      </c>
      <c r="BU103" s="528">
        <f t="shared" si="228"/>
        <v>0.3528</v>
      </c>
      <c r="BV103" s="528">
        <f>(BU103+(BS103+BT103)*(1+Ltc*(Ta-25)))/(1-(BS103+BT103)*Ltc*ThetaCa)</f>
        <v>4.806928771214106</v>
      </c>
      <c r="BW103" s="528">
        <f t="shared" si="230"/>
        <v>0.11893377934252121</v>
      </c>
      <c r="BX103" s="460">
        <f t="shared" si="293"/>
        <v>4925.862550556627</v>
      </c>
      <c r="BY103" s="173">
        <f t="shared" si="231"/>
        <v>9.5224513425138042</v>
      </c>
      <c r="BZ103" s="5">
        <f t="shared" si="294"/>
        <v>23.52</v>
      </c>
      <c r="CA103" s="173">
        <f t="shared" si="295"/>
        <v>0.71181159521715576</v>
      </c>
      <c r="CB103" s="5">
        <f t="shared" si="296"/>
        <v>71.181159521715571</v>
      </c>
      <c r="CE103" s="562">
        <f t="shared" si="232"/>
        <v>-50</v>
      </c>
      <c r="CF103">
        <f t="shared" si="233"/>
        <v>-50</v>
      </c>
      <c r="CG103" s="173">
        <f t="shared" si="234"/>
        <v>0.55090365257815943</v>
      </c>
      <c r="CI103" s="170">
        <v>98</v>
      </c>
      <c r="CJ103" s="217">
        <f t="shared" si="297"/>
        <v>5.88</v>
      </c>
      <c r="CK103" s="217"/>
      <c r="CL103" s="217">
        <f t="shared" si="235"/>
        <v>23.52</v>
      </c>
      <c r="CM103" s="541">
        <f t="shared" si="236"/>
        <v>24</v>
      </c>
      <c r="CN103" s="172">
        <f t="shared" si="237"/>
        <v>18.8</v>
      </c>
      <c r="CO103" s="443">
        <f t="shared" si="238"/>
        <v>42.8</v>
      </c>
      <c r="CP103" s="443"/>
      <c r="CQ103" s="217">
        <f t="shared" si="239"/>
        <v>0.43925233644859818</v>
      </c>
      <c r="CR103" s="172">
        <f t="shared" si="240"/>
        <v>35.456448598130848</v>
      </c>
      <c r="CS103" s="172">
        <f t="shared" si="298"/>
        <v>23.52</v>
      </c>
      <c r="CT103" s="217">
        <f t="shared" si="241"/>
        <v>8.864112149532712</v>
      </c>
      <c r="CU103" s="217">
        <f t="shared" si="242"/>
        <v>4</v>
      </c>
      <c r="CV103" s="217">
        <f t="shared" si="243"/>
        <v>8.7850467289719631</v>
      </c>
      <c r="CW103" s="172">
        <f t="shared" si="244"/>
        <v>8.0836057164881918</v>
      </c>
      <c r="CX103" s="532">
        <f t="shared" si="245"/>
        <v>4</v>
      </c>
      <c r="CY103" s="217">
        <f t="shared" si="246"/>
        <v>4.4621276595744668</v>
      </c>
      <c r="CZ103" s="217">
        <f t="shared" si="247"/>
        <v>2.2310638297872334</v>
      </c>
      <c r="DA103" s="217">
        <f t="shared" si="248"/>
        <v>2.848166591217745</v>
      </c>
      <c r="DB103" s="197">
        <f t="shared" si="249"/>
        <v>350</v>
      </c>
      <c r="DC103" s="443">
        <f t="shared" si="299"/>
        <v>196.88021946484949</v>
      </c>
      <c r="DE103" s="217">
        <f t="shared" si="250"/>
        <v>2.5100133511348464</v>
      </c>
      <c r="DF103" s="173">
        <f t="shared" si="251"/>
        <v>1.6021361815754336</v>
      </c>
      <c r="DG103" s="173">
        <f t="shared" si="252"/>
        <v>2.8149682442633783</v>
      </c>
      <c r="DH103" s="173"/>
      <c r="DI103" s="173">
        <f t="shared" si="253"/>
        <v>0.85106382978723416</v>
      </c>
      <c r="DJ103" s="545">
        <f t="shared" si="300"/>
        <v>2590.8749999999995</v>
      </c>
      <c r="DK103" s="528">
        <f t="shared" si="254"/>
        <v>0.79432624113475192</v>
      </c>
      <c r="DM103" s="173">
        <f t="shared" si="255"/>
        <v>3.6276714294434109</v>
      </c>
      <c r="DN103" s="173">
        <f t="shared" si="256"/>
        <v>4.4621276595744668</v>
      </c>
      <c r="DO103" s="173">
        <f t="shared" si="257"/>
        <v>3.5176254268452833</v>
      </c>
      <c r="DQ103" s="545">
        <f t="shared" si="258"/>
        <v>5880</v>
      </c>
      <c r="DR103" s="460">
        <f t="shared" si="259"/>
        <v>196.88021946484949</v>
      </c>
      <c r="DT103">
        <f t="shared" si="260"/>
        <v>5880</v>
      </c>
      <c r="DU103">
        <f t="shared" si="261"/>
        <v>196.88021946484949</v>
      </c>
      <c r="DW103" s="5">
        <f t="shared" si="301"/>
        <v>5.0792304210049783</v>
      </c>
      <c r="DX103" s="5">
        <f t="shared" si="262"/>
        <v>2.2310638297872334</v>
      </c>
      <c r="DY103" s="5">
        <f t="shared" si="302"/>
        <v>2.848166591217745</v>
      </c>
      <c r="DZ103" s="5">
        <f t="shared" si="263"/>
        <v>2.848166591217745</v>
      </c>
      <c r="EA103" s="173">
        <f t="shared" si="303"/>
        <v>0.43925233644859812</v>
      </c>
      <c r="EB103" s="173">
        <f t="shared" si="264"/>
        <v>23.519999999999996</v>
      </c>
      <c r="EC103" s="173">
        <f t="shared" si="265"/>
        <v>5.0042553191489354</v>
      </c>
      <c r="ED103" s="173">
        <f t="shared" si="304"/>
        <v>4.7</v>
      </c>
      <c r="EE103" s="460">
        <f t="shared" si="266"/>
        <v>327.96638297872329</v>
      </c>
      <c r="EF103" s="5">
        <f t="shared" si="267"/>
        <v>2.3260027161611583</v>
      </c>
      <c r="EG103" s="5"/>
      <c r="EH103" s="173">
        <f t="shared" si="305"/>
        <v>1.7074122927953432</v>
      </c>
      <c r="EI103" s="173">
        <f t="shared" si="268"/>
        <v>7.7165840586185315</v>
      </c>
      <c r="EJ103" s="173"/>
      <c r="EK103" s="528">
        <f t="shared" si="269"/>
        <v>3.556613219858154E-2</v>
      </c>
      <c r="EL103" s="528">
        <f t="shared" si="270"/>
        <v>0.752</v>
      </c>
      <c r="EM103" s="528">
        <f t="shared" si="271"/>
        <v>2.4610027433106186E-2</v>
      </c>
      <c r="EN103" s="528">
        <f t="shared" si="272"/>
        <v>3.6065306122448987E-2</v>
      </c>
      <c r="EO103">
        <f t="shared" si="273"/>
        <v>1.0800000000000001E-2</v>
      </c>
      <c r="EP103" s="460">
        <f t="shared" si="306"/>
        <v>35.410027433106187</v>
      </c>
      <c r="EQ103" s="528">
        <f t="shared" si="274"/>
        <v>0.87604737115541442</v>
      </c>
      <c r="ER103" s="460">
        <f t="shared" si="307"/>
        <v>876.04737115541445</v>
      </c>
      <c r="ES103" s="528">
        <f t="shared" si="308"/>
        <v>3.6529499999999997</v>
      </c>
      <c r="ET103" s="528"/>
      <c r="EV103" s="460">
        <f t="shared" si="309"/>
        <v>3652.95</v>
      </c>
      <c r="EW103" s="528">
        <f t="shared" si="275"/>
        <v>8.745770212765952E-2</v>
      </c>
      <c r="EX103" s="528">
        <f t="shared" si="276"/>
        <v>1.7863700860117695</v>
      </c>
      <c r="EY103" s="528">
        <f t="shared" si="277"/>
        <v>1.1437475956681533</v>
      </c>
      <c r="EZ103" s="528">
        <f t="shared" si="278"/>
        <v>4.0787194859911198</v>
      </c>
      <c r="FA103" s="528">
        <f t="shared" si="279"/>
        <v>9.7999999999999976E-2</v>
      </c>
      <c r="FB103" s="460">
        <f t="shared" si="310"/>
        <v>4176.7194859911197</v>
      </c>
      <c r="FC103" s="173">
        <f t="shared" si="311"/>
        <v>8.7057168571465358</v>
      </c>
      <c r="FD103" s="5">
        <f t="shared" si="312"/>
        <v>23.52</v>
      </c>
      <c r="FE103" s="173">
        <f t="shared" si="313"/>
        <v>0.72985187899036874</v>
      </c>
      <c r="FF103" s="5">
        <f t="shared" si="314"/>
        <v>72.985187899036873</v>
      </c>
      <c r="FI103" s="562">
        <f t="shared" si="280"/>
        <v>-50</v>
      </c>
      <c r="FJ103">
        <f t="shared" si="281"/>
        <v>-50</v>
      </c>
      <c r="FL103">
        <f t="shared" si="282"/>
        <v>0.56074766355140193</v>
      </c>
    </row>
    <row r="104" spans="5:168" ht="13">
      <c r="E104" s="170">
        <v>99</v>
      </c>
      <c r="F104" s="217">
        <f>IF(PLOT_TYPE=1, E104/100*Iout_max, min_I*EXP(N104*rr/100))</f>
        <v>5.9399999999999995</v>
      </c>
      <c r="G104" s="217"/>
      <c r="H104" s="217">
        <f>F104*Vout</f>
        <v>23.759999999999998</v>
      </c>
      <c r="I104" s="541">
        <f t="shared" si="184"/>
        <v>23.886267424856893</v>
      </c>
      <c r="J104" s="172">
        <f t="shared" si="185"/>
        <v>20.09364066513486</v>
      </c>
      <c r="K104" s="172">
        <f t="shared" si="186"/>
        <v>44.093640665134856</v>
      </c>
      <c r="L104" s="443"/>
      <c r="M104" s="217">
        <f t="shared" si="187"/>
        <v>0.45660451886795883</v>
      </c>
      <c r="N104" s="172">
        <f>M104*I104*(Isw_max+VIN_nom/Lmag*ILIM_delay)*0.5*Efficiency</f>
        <v>36.682456146279613</v>
      </c>
      <c r="O104" s="172">
        <f t="shared" si="284"/>
        <v>23.759999999999998</v>
      </c>
      <c r="P104" s="217">
        <f>N104/Vout</f>
        <v>9.1706140365699031</v>
      </c>
      <c r="Q104" s="217">
        <f t="shared" si="190"/>
        <v>4</v>
      </c>
      <c r="R104" s="217">
        <f>Isw_max/2*I104*Nps*(Q104+Vfwd1+F104/FL104*Rdcr_sec)/Q104/(I104+Nps*(Q104+Vfwd1+F104/FL104*Rdcr_sec))</f>
        <v>9.088814704231817</v>
      </c>
      <c r="S104" s="172">
        <f t="shared" si="192"/>
        <v>7.9176839676385571</v>
      </c>
      <c r="T104" s="532">
        <f>MIN(Vout, S104)</f>
        <v>4</v>
      </c>
      <c r="U104" s="217">
        <f t="shared" si="194"/>
        <v>5.4656324962671361</v>
      </c>
      <c r="V104" s="217">
        <f t="shared" si="195"/>
        <v>2.7458283367853817</v>
      </c>
      <c r="W104" s="217">
        <f t="shared" si="196"/>
        <v>3.2640968875794041</v>
      </c>
      <c r="X104" s="197">
        <f t="shared" si="197"/>
        <v>350</v>
      </c>
      <c r="Y104" s="443">
        <f t="shared" si="198"/>
        <v>161.03253483254144</v>
      </c>
      <c r="AA104" s="217">
        <f t="shared" si="199"/>
        <v>2.5983838839073181</v>
      </c>
      <c r="AB104" s="173">
        <f>L*AA104/J104*1000000</f>
        <v>1.5517649154038231</v>
      </c>
      <c r="AC104" s="173">
        <f>0.5*AB104*AA104*Nps*X104/1000</f>
        <v>2.8224566634586679</v>
      </c>
      <c r="AD104" s="173"/>
      <c r="AE104" s="173">
        <f t="shared" si="202"/>
        <v>0.79627182881607572</v>
      </c>
      <c r="AF104" s="545">
        <f>MAX(12, F104/(0.5*AE104/1000000*Isw_min*Nps)/1000)</f>
        <v>2797.4115363492429</v>
      </c>
      <c r="AG104" s="528">
        <f t="shared" si="204"/>
        <v>0.74318704022833737</v>
      </c>
      <c r="AI104" s="173">
        <f t="shared" si="205"/>
        <v>3.7694926011792838</v>
      </c>
      <c r="AJ104" s="173">
        <f>MAX(IF(F104&gt;AC104,U104,AI104),Isw_min)</f>
        <v>5.4656324962671361</v>
      </c>
      <c r="AK104" s="173">
        <f>IF(F104&gt;AG104, (AJ104-Isw_min)/1.08*0.8+1.2, AF104*0.2/350+1)</f>
        <v>4.2609623429139285</v>
      </c>
      <c r="AM104" s="545">
        <f t="shared" si="208"/>
        <v>5939.9999999999991</v>
      </c>
      <c r="AN104" s="460">
        <f t="shared" si="209"/>
        <v>161.03253483254144</v>
      </c>
      <c r="AP104">
        <f t="shared" si="210"/>
        <v>5939.9999999999991</v>
      </c>
      <c r="AQ104">
        <f t="shared" si="211"/>
        <v>161.03253483254144</v>
      </c>
      <c r="AS104" s="5">
        <f t="shared" si="285"/>
        <v>6.2099252243647856</v>
      </c>
      <c r="AT104" s="5">
        <f t="shared" si="212"/>
        <v>2.7458283367853817</v>
      </c>
      <c r="AU104" s="5">
        <f t="shared" si="286"/>
        <v>3.4640968875794038</v>
      </c>
      <c r="AV104" s="5">
        <f t="shared" si="213"/>
        <v>3.2640968875794041</v>
      </c>
      <c r="AW104" s="173">
        <f t="shared" si="287"/>
        <v>0.44216769728757127</v>
      </c>
      <c r="AX104" s="173">
        <f t="shared" si="214"/>
        <v>28.863283377754737</v>
      </c>
      <c r="AY104" s="173">
        <f t="shared" si="215"/>
        <v>6.0978127223451537</v>
      </c>
      <c r="AZ104" s="173">
        <f t="shared" si="288"/>
        <v>4.7333830493000493</v>
      </c>
      <c r="BA104" s="460">
        <f t="shared" si="216"/>
        <v>407.75550801262915</v>
      </c>
      <c r="BB104" s="5">
        <f t="shared" si="217"/>
        <v>2.8714875017557548</v>
      </c>
      <c r="BC104" s="5"/>
      <c r="BD104" s="173">
        <f t="shared" si="289"/>
        <v>2.0983276593953657</v>
      </c>
      <c r="BE104" s="173">
        <f t="shared" si="218"/>
        <v>9.4273931881371951</v>
      </c>
      <c r="BF104" s="173"/>
      <c r="BG104" s="528">
        <f t="shared" si="219"/>
        <v>5.3716343387440323E-2</v>
      </c>
      <c r="BH104" s="528">
        <f t="shared" si="220"/>
        <v>0.72766466560816878</v>
      </c>
      <c r="BI104" s="528">
        <f t="shared" si="221"/>
        <v>9.6161654777816685E-2</v>
      </c>
      <c r="BJ104" s="528">
        <f t="shared" si="222"/>
        <v>3.1308736850449145E-2</v>
      </c>
      <c r="BK104">
        <f t="shared" si="223"/>
        <v>1.0748820341185602E-2</v>
      </c>
      <c r="BL104" s="460">
        <f t="shared" si="290"/>
        <v>106.91047511900229</v>
      </c>
      <c r="BM104" s="528">
        <f t="shared" si="224"/>
        <v>0.83788711447460773</v>
      </c>
      <c r="BN104" s="460">
        <f t="shared" si="291"/>
        <v>837.88711447460776</v>
      </c>
      <c r="BO104" s="528">
        <f t="shared" si="225"/>
        <v>3.6902249999999994</v>
      </c>
      <c r="BP104" s="528"/>
      <c r="BR104" s="460">
        <f t="shared" si="292"/>
        <v>3690.2249999999995</v>
      </c>
      <c r="BS104" s="528">
        <f t="shared" si="226"/>
        <v>0.13208936898550899</v>
      </c>
      <c r="BT104" s="528">
        <f t="shared" si="227"/>
        <v>2.6662722697120675</v>
      </c>
      <c r="BU104" s="528">
        <f t="shared" si="228"/>
        <v>0.35639999999999994</v>
      </c>
      <c r="BV104" s="528">
        <f>(BU104+(BS104+BT104)*(1+Ltc*(Ta-25)))/(1-(BS104+BT104)*Ltc*ThetaCa)</f>
        <v>4.9300544525132572</v>
      </c>
      <c r="BW104" s="528">
        <f t="shared" si="230"/>
        <v>0.12026368074064475</v>
      </c>
      <c r="BX104" s="460">
        <f t="shared" si="293"/>
        <v>5050.3181332539016</v>
      </c>
      <c r="BY104" s="173">
        <f t="shared" si="231"/>
        <v>9.6853407228475099</v>
      </c>
      <c r="BZ104" s="5">
        <f t="shared" si="294"/>
        <v>23.759999999999998</v>
      </c>
      <c r="CA104" s="173">
        <f t="shared" si="295"/>
        <v>0.71041285531795573</v>
      </c>
      <c r="CB104" s="5">
        <f t="shared" si="296"/>
        <v>71.041285531795566</v>
      </c>
      <c r="CE104" s="562">
        <f t="shared" si="232"/>
        <v>-50</v>
      </c>
      <c r="CF104">
        <f t="shared" si="233"/>
        <v>-50</v>
      </c>
      <c r="CG104" s="173">
        <f t="shared" si="234"/>
        <v>0.55100308703243461</v>
      </c>
      <c r="CI104" s="170">
        <v>99</v>
      </c>
      <c r="CJ104" s="217">
        <f t="shared" si="297"/>
        <v>5.9399999999999995</v>
      </c>
      <c r="CK104" s="217"/>
      <c r="CL104" s="217">
        <f t="shared" si="235"/>
        <v>23.759999999999998</v>
      </c>
      <c r="CM104" s="541">
        <f t="shared" si="236"/>
        <v>24</v>
      </c>
      <c r="CN104" s="172">
        <f t="shared" si="237"/>
        <v>18.8</v>
      </c>
      <c r="CO104" s="443">
        <f t="shared" si="238"/>
        <v>42.8</v>
      </c>
      <c r="CP104" s="443"/>
      <c r="CQ104" s="217">
        <f t="shared" si="239"/>
        <v>0.43925233644859818</v>
      </c>
      <c r="CR104" s="172">
        <f t="shared" si="240"/>
        <v>35.456448598130848</v>
      </c>
      <c r="CS104" s="172">
        <f t="shared" si="298"/>
        <v>23.759999999999998</v>
      </c>
      <c r="CT104" s="217">
        <f t="shared" si="241"/>
        <v>8.864112149532712</v>
      </c>
      <c r="CU104" s="217">
        <f t="shared" si="242"/>
        <v>4</v>
      </c>
      <c r="CV104" s="217">
        <f t="shared" si="243"/>
        <v>8.7850467289719631</v>
      </c>
      <c r="CW104" s="172">
        <f t="shared" si="244"/>
        <v>7.9533733206806856</v>
      </c>
      <c r="CX104" s="532">
        <f t="shared" si="245"/>
        <v>4</v>
      </c>
      <c r="CY104" s="217">
        <f t="shared" si="246"/>
        <v>4.5076595744680841</v>
      </c>
      <c r="CZ104" s="217">
        <f t="shared" si="247"/>
        <v>2.253829787234042</v>
      </c>
      <c r="DA104" s="217">
        <f t="shared" si="248"/>
        <v>2.8772295156179259</v>
      </c>
      <c r="DB104" s="197">
        <f t="shared" si="249"/>
        <v>350</v>
      </c>
      <c r="DC104" s="443">
        <f t="shared" si="299"/>
        <v>194.89153037934594</v>
      </c>
      <c r="DE104" s="217">
        <f t="shared" si="250"/>
        <v>2.5100133511348464</v>
      </c>
      <c r="DF104" s="173">
        <f t="shared" si="251"/>
        <v>1.6021361815754336</v>
      </c>
      <c r="DG104" s="173">
        <f t="shared" si="252"/>
        <v>2.8149682442633783</v>
      </c>
      <c r="DH104" s="173"/>
      <c r="DI104" s="173">
        <f t="shared" si="253"/>
        <v>0.85106382978723416</v>
      </c>
      <c r="DJ104" s="545">
        <f t="shared" si="300"/>
        <v>2617.3124999999991</v>
      </c>
      <c r="DK104" s="528">
        <f t="shared" si="254"/>
        <v>0.79432624113475192</v>
      </c>
      <c r="DM104" s="173">
        <f t="shared" si="255"/>
        <v>3.6461329808834062</v>
      </c>
      <c r="DN104" s="173">
        <f t="shared" si="256"/>
        <v>4.5076595744680841</v>
      </c>
      <c r="DO104" s="173">
        <f t="shared" si="257"/>
        <v>3.5513527712109259</v>
      </c>
      <c r="DQ104" s="545">
        <f t="shared" si="258"/>
        <v>5939.9999999999991</v>
      </c>
      <c r="DR104" s="460">
        <f t="shared" si="259"/>
        <v>194.89153037934594</v>
      </c>
      <c r="DT104">
        <f t="shared" si="260"/>
        <v>5939.9999999999991</v>
      </c>
      <c r="DU104">
        <f t="shared" si="261"/>
        <v>194.89153037934594</v>
      </c>
      <c r="DW104" s="5">
        <f t="shared" si="301"/>
        <v>5.1310593028519689</v>
      </c>
      <c r="DX104" s="5">
        <f t="shared" si="262"/>
        <v>2.253829787234042</v>
      </c>
      <c r="DY104" s="5">
        <f t="shared" si="302"/>
        <v>2.8772295156179268</v>
      </c>
      <c r="DZ104" s="5">
        <f t="shared" si="263"/>
        <v>2.8772295156179259</v>
      </c>
      <c r="EA104" s="173">
        <f t="shared" si="303"/>
        <v>0.43925233644859807</v>
      </c>
      <c r="EB104" s="173">
        <f t="shared" si="264"/>
        <v>23.759999999999998</v>
      </c>
      <c r="EC104" s="173">
        <f t="shared" si="265"/>
        <v>5.05531914893617</v>
      </c>
      <c r="ED104" s="173">
        <f t="shared" si="304"/>
        <v>4.7</v>
      </c>
      <c r="EE104" s="460">
        <f t="shared" si="266"/>
        <v>334.69372340425519</v>
      </c>
      <c r="EF104" s="5">
        <f t="shared" si="267"/>
        <v>2.3737143503847893</v>
      </c>
      <c r="EG104" s="5"/>
      <c r="EH104" s="173">
        <f t="shared" si="305"/>
        <v>1.7248348672116223</v>
      </c>
      <c r="EI104" s="173">
        <f t="shared" si="268"/>
        <v>7.7953247122779041</v>
      </c>
      <c r="EJ104" s="173"/>
      <c r="EK104" s="528">
        <f t="shared" si="269"/>
        <v>3.6295674893617E-2</v>
      </c>
      <c r="EL104" s="528">
        <f t="shared" si="270"/>
        <v>0.75199999999999989</v>
      </c>
      <c r="EM104" s="528">
        <f t="shared" si="271"/>
        <v>2.436144129741824E-2</v>
      </c>
      <c r="EN104" s="528">
        <f t="shared" si="272"/>
        <v>3.5701010101010108E-2</v>
      </c>
      <c r="EO104">
        <f t="shared" si="273"/>
        <v>1.0800000000000001E-2</v>
      </c>
      <c r="EP104" s="460">
        <f t="shared" si="306"/>
        <v>35.161441297418243</v>
      </c>
      <c r="EQ104" s="528">
        <f t="shared" si="274"/>
        <v>0.87651691093968398</v>
      </c>
      <c r="ER104" s="460">
        <f t="shared" si="307"/>
        <v>876.51691093968395</v>
      </c>
      <c r="ES104" s="528">
        <f t="shared" si="308"/>
        <v>3.6902249999999994</v>
      </c>
      <c r="ET104" s="528"/>
      <c r="EV104" s="460">
        <f t="shared" si="309"/>
        <v>3690.2249999999995</v>
      </c>
      <c r="EW104" s="528">
        <f t="shared" si="275"/>
        <v>8.925165957446804E-2</v>
      </c>
      <c r="EX104" s="528">
        <f t="shared" si="276"/>
        <v>1.8230126210955175</v>
      </c>
      <c r="EY104" s="528">
        <f t="shared" si="277"/>
        <v>1.1437475956681513</v>
      </c>
      <c r="EZ104" s="528">
        <f t="shared" si="278"/>
        <v>4.1497958072396015</v>
      </c>
      <c r="FA104" s="528">
        <f t="shared" si="279"/>
        <v>9.8999999999999991E-2</v>
      </c>
      <c r="FB104" s="460">
        <f t="shared" si="310"/>
        <v>4248.7958072396013</v>
      </c>
      <c r="FC104" s="173">
        <f t="shared" si="311"/>
        <v>8.8155377181792858</v>
      </c>
      <c r="FD104" s="5">
        <f t="shared" si="312"/>
        <v>23.759999999999998</v>
      </c>
      <c r="FE104" s="173">
        <f t="shared" si="313"/>
        <v>0.72938166686778472</v>
      </c>
      <c r="FF104" s="5">
        <f t="shared" si="314"/>
        <v>72.938166686778473</v>
      </c>
      <c r="FI104" s="562">
        <f t="shared" si="280"/>
        <v>-50</v>
      </c>
      <c r="FJ104">
        <f t="shared" si="281"/>
        <v>-50</v>
      </c>
      <c r="FL104">
        <f t="shared" si="282"/>
        <v>0.56074766355140193</v>
      </c>
    </row>
    <row r="105" spans="5:168" ht="13">
      <c r="E105" s="170">
        <v>100</v>
      </c>
      <c r="F105" s="217">
        <f>IF(PLOT_TYPE=1, E105/100*Iout_max, min_I*EXP(N105*rr/100))</f>
        <v>6</v>
      </c>
      <c r="G105" s="217"/>
      <c r="H105" s="217">
        <f>F105*Vout</f>
        <v>24</v>
      </c>
      <c r="I105" s="541">
        <f t="shared" si="184"/>
        <v>23.885138924328995</v>
      </c>
      <c r="J105" s="172">
        <f t="shared" si="185"/>
        <v>20.106476690096759</v>
      </c>
      <c r="K105" s="172">
        <f t="shared" si="186"/>
        <v>44.106476690096756</v>
      </c>
      <c r="L105" s="443"/>
      <c r="M105" s="217">
        <f t="shared" si="187"/>
        <v>0.45677492194160585</v>
      </c>
      <c r="N105" s="172">
        <f>M105*I105*(Isw_max+VIN_nom/Lmag*ILIM_delay)*0.5*Efficiency</f>
        <v>36.694412199781034</v>
      </c>
      <c r="O105" s="172">
        <f t="shared" si="284"/>
        <v>24</v>
      </c>
      <c r="P105" s="217">
        <f>N105/Vout</f>
        <v>9.1736030499452585</v>
      </c>
      <c r="Q105" s="217">
        <f t="shared" si="190"/>
        <v>4</v>
      </c>
      <c r="R105" s="217">
        <f>Isw_max/2*I105*Nps*(Q105+Vfwd1+F105/FL105*Rdcr_sec)/Q105/(I105+Nps*(Q105+Vfwd1+F105/FL105*Rdcr_sec))</f>
        <v>9.0917770564373228</v>
      </c>
      <c r="S105" s="172">
        <f t="shared" si="192"/>
        <v>7.7905377840280883</v>
      </c>
      <c r="T105" s="532">
        <f>MIN(Vout, S105)</f>
        <v>4</v>
      </c>
      <c r="U105" s="217">
        <f t="shared" si="194"/>
        <v>5.5225727256971631</v>
      </c>
      <c r="V105" s="217">
        <f>L*U105/I105*1000000</f>
        <v>2.7745650933126274</v>
      </c>
      <c r="W105" s="217">
        <f t="shared" si="196"/>
        <v>3.2959962966066056</v>
      </c>
      <c r="X105" s="197">
        <f t="shared" si="197"/>
        <v>350</v>
      </c>
      <c r="Y105" s="443">
        <f>MIN(1/(V105+W105+0.2)*1000, 350)</f>
        <v>159.47535440887859</v>
      </c>
      <c r="AA105" s="217">
        <f t="shared" si="199"/>
        <v>2.5992290008762331</v>
      </c>
      <c r="AB105" s="173">
        <f>L*AA105/J105*1000000</f>
        <v>1.5512786497237223</v>
      </c>
      <c r="AC105" s="173">
        <f>0.5*AB105*AA105*Nps*X105/1000</f>
        <v>2.8224899183614163</v>
      </c>
      <c r="AD105" s="173"/>
      <c r="AE105" s="173">
        <f t="shared" si="202"/>
        <v>0.79576348689080068</v>
      </c>
      <c r="AF105" s="545">
        <f>MAX(12, F105/(0.5*AE105/1000000*Isw_min*Nps)/1000)</f>
        <v>2827.4732845448561</v>
      </c>
      <c r="AG105" s="528">
        <f t="shared" si="204"/>
        <v>0.74271258776474736</v>
      </c>
      <c r="AI105" s="173">
        <f t="shared" si="205"/>
        <v>3.7896924762247961</v>
      </c>
      <c r="AJ105" s="173">
        <f>MAX(IF(F105&gt;AC105,U105,AI105),Isw_min)</f>
        <v>5.5225727256971631</v>
      </c>
      <c r="AK105" s="173">
        <f>IF(F105&gt;AG105, (AJ105-Isw_min)/1.08*0.8+1.2, AF105*0.2/350+1)</f>
        <v>4.303140290639873</v>
      </c>
      <c r="AM105" s="545">
        <f t="shared" si="208"/>
        <v>6000</v>
      </c>
      <c r="AN105" s="460">
        <f t="shared" si="209"/>
        <v>159.47535440887859</v>
      </c>
      <c r="AP105">
        <f t="shared" si="210"/>
        <v>6000</v>
      </c>
      <c r="AQ105" s="3">
        <f t="shared" si="211"/>
        <v>159.47535440887859</v>
      </c>
      <c r="AS105" s="5">
        <f t="shared" si="285"/>
        <v>6.2705613899192336</v>
      </c>
      <c r="AT105" s="5">
        <f t="shared" si="212"/>
        <v>2.7745650933126274</v>
      </c>
      <c r="AU105" s="5">
        <f t="shared" si="286"/>
        <v>3.4959962966066063</v>
      </c>
      <c r="AV105" s="5">
        <f t="shared" si="213"/>
        <v>3.2959962966066056</v>
      </c>
      <c r="AW105" s="173">
        <f t="shared" si="287"/>
        <v>0.44247475158653449</v>
      </c>
      <c r="AX105" s="173">
        <f t="shared" si="214"/>
        <v>29.182850734524454</v>
      </c>
      <c r="AY105" s="173">
        <f t="shared" si="215"/>
        <v>6.1579474615514807</v>
      </c>
      <c r="AZ105" s="173">
        <f t="shared" si="288"/>
        <v>4.7390548420125533</v>
      </c>
      <c r="BA105" s="460">
        <f t="shared" si="216"/>
        <v>416.18476399689411</v>
      </c>
      <c r="BB105" s="5">
        <f t="shared" si="217"/>
        <v>2.9273401403963728</v>
      </c>
      <c r="BC105" s="5"/>
      <c r="BD105" s="173">
        <f t="shared" si="289"/>
        <v>2.1209237894444368</v>
      </c>
      <c r="BE105" s="173">
        <f t="shared" si="218"/>
        <v>9.5229845038118572</v>
      </c>
      <c r="BF105" s="173"/>
      <c r="BG105" s="528">
        <f t="shared" si="219"/>
        <v>5.4879476191702456E-2</v>
      </c>
      <c r="BH105" s="528">
        <f t="shared" si="220"/>
        <v>0.72834754153825287</v>
      </c>
      <c r="BI105" s="528">
        <f t="shared" si="221"/>
        <v>9.5227274876566681E-2</v>
      </c>
      <c r="BJ105" s="528">
        <f t="shared" si="222"/>
        <v>3.1024037004749035E-2</v>
      </c>
      <c r="BK105">
        <f t="shared" si="223"/>
        <v>1.0748312515948048E-2</v>
      </c>
      <c r="BL105" s="460">
        <f t="shared" si="290"/>
        <v>105.97558739251473</v>
      </c>
      <c r="BM105" s="528">
        <f t="shared" si="224"/>
        <v>0.84002186377238519</v>
      </c>
      <c r="BN105" s="460">
        <f t="shared" si="291"/>
        <v>840.02186377238525</v>
      </c>
      <c r="BO105" s="528">
        <f t="shared" si="225"/>
        <v>3.7274999999999991</v>
      </c>
      <c r="BP105" s="528"/>
      <c r="BR105" s="460">
        <f t="shared" si="292"/>
        <v>3727.4999999999991</v>
      </c>
      <c r="BS105" s="528">
        <f t="shared" si="226"/>
        <v>0.13494953161894047</v>
      </c>
      <c r="BT105" s="528">
        <f t="shared" si="227"/>
        <v>2.7206170157952227</v>
      </c>
      <c r="BU105" s="528">
        <f t="shared" si="228"/>
        <v>0.36</v>
      </c>
      <c r="BV105" s="528">
        <f>(BU105+(BS105+BT105)*(1+Ltc*(Ta-25)))/(1-(BS105+BT105)*Ltc*ThetaCa)</f>
        <v>5.0558990037767124</v>
      </c>
      <c r="BW105" s="528">
        <f t="shared" si="230"/>
        <v>0.12159521139385189</v>
      </c>
      <c r="BX105" s="460">
        <f t="shared" si="293"/>
        <v>5177.4942151705645</v>
      </c>
      <c r="BY105" s="173">
        <f>SUM(BM105,BO105:BQ105,BV105, BW105)+BK105+BI105</f>
        <v>9.8509916663354655</v>
      </c>
      <c r="BZ105" s="5">
        <f t="shared" si="294"/>
        <v>24</v>
      </c>
      <c r="CA105" s="173">
        <f>BZ105/(BZ105+BY105)</f>
        <v>0.7089895692440763</v>
      </c>
      <c r="CB105" s="5">
        <f>CA105*100</f>
        <v>70.898956924407628</v>
      </c>
      <c r="CE105" s="562">
        <f t="shared" si="232"/>
        <v>-50</v>
      </c>
      <c r="CF105">
        <f t="shared" si="233"/>
        <v>-50</v>
      </c>
      <c r="CG105" s="173">
        <f t="shared" si="234"/>
        <v>0.55110053279762417</v>
      </c>
      <c r="CI105" s="170">
        <v>100</v>
      </c>
      <c r="CJ105" s="217">
        <f t="shared" si="297"/>
        <v>6</v>
      </c>
      <c r="CK105" s="217"/>
      <c r="CL105" s="217">
        <f t="shared" si="235"/>
        <v>24</v>
      </c>
      <c r="CM105" s="541">
        <f t="shared" si="236"/>
        <v>24</v>
      </c>
      <c r="CN105" s="172">
        <f t="shared" si="237"/>
        <v>18.8</v>
      </c>
      <c r="CO105" s="443">
        <f t="shared" si="238"/>
        <v>42.8</v>
      </c>
      <c r="CP105" s="443"/>
      <c r="CQ105" s="217">
        <f t="shared" si="239"/>
        <v>0.43925233644859818</v>
      </c>
      <c r="CR105" s="172">
        <f t="shared" si="240"/>
        <v>35.456448598130848</v>
      </c>
      <c r="CS105" s="172">
        <f t="shared" si="298"/>
        <v>24</v>
      </c>
      <c r="CT105" s="217">
        <f t="shared" si="241"/>
        <v>8.864112149532712</v>
      </c>
      <c r="CU105" s="217">
        <f t="shared" si="242"/>
        <v>4</v>
      </c>
      <c r="CV105" s="217">
        <f t="shared" si="243"/>
        <v>8.7850467289719631</v>
      </c>
      <c r="CW105" s="172">
        <f t="shared" si="244"/>
        <v>7.825947220270657</v>
      </c>
      <c r="CX105" s="532">
        <f t="shared" si="245"/>
        <v>4</v>
      </c>
      <c r="CY105" s="217">
        <f t="shared" si="246"/>
        <v>4.5531914893617014</v>
      </c>
      <c r="CZ105" s="217">
        <f t="shared" si="247"/>
        <v>2.2765957446808507</v>
      </c>
      <c r="DA105" s="217">
        <f t="shared" si="248"/>
        <v>2.9062924400181069</v>
      </c>
      <c r="DB105" s="197">
        <f t="shared" si="249"/>
        <v>350</v>
      </c>
      <c r="DC105" s="443">
        <f t="shared" si="299"/>
        <v>192.94261507555248</v>
      </c>
      <c r="DE105" s="217">
        <f t="shared" si="250"/>
        <v>2.5100133511348464</v>
      </c>
      <c r="DF105" s="173">
        <f t="shared" si="251"/>
        <v>1.6021361815754336</v>
      </c>
      <c r="DG105" s="173">
        <f t="shared" si="252"/>
        <v>2.8149682442633783</v>
      </c>
      <c r="DH105" s="173"/>
      <c r="DI105" s="173">
        <f t="shared" si="253"/>
        <v>0.85106382978723416</v>
      </c>
      <c r="DJ105" s="545">
        <f t="shared" si="300"/>
        <v>2643.7499999999995</v>
      </c>
      <c r="DK105" s="528">
        <f t="shared" si="254"/>
        <v>0.79432624113475192</v>
      </c>
      <c r="DM105" s="173">
        <f t="shared" si="255"/>
        <v>3.6645015252516173</v>
      </c>
      <c r="DN105" s="173">
        <f t="shared" si="256"/>
        <v>4.5531914893617014</v>
      </c>
      <c r="DO105" s="173">
        <f t="shared" si="257"/>
        <v>3.5850801155765684</v>
      </c>
      <c r="DQ105" s="545">
        <f t="shared" si="258"/>
        <v>6000</v>
      </c>
      <c r="DR105" s="460">
        <f t="shared" si="259"/>
        <v>192.94261507555248</v>
      </c>
      <c r="DT105">
        <f t="shared" si="260"/>
        <v>6000</v>
      </c>
      <c r="DU105" s="3">
        <f t="shared" si="261"/>
        <v>192.94261507555248</v>
      </c>
      <c r="DW105" s="5">
        <f t="shared" si="301"/>
        <v>5.1828881846989576</v>
      </c>
      <c r="DX105" s="5">
        <f t="shared" si="262"/>
        <v>2.2765957446808507</v>
      </c>
      <c r="DY105" s="5">
        <f t="shared" si="302"/>
        <v>2.9062924400181069</v>
      </c>
      <c r="DZ105" s="5">
        <f t="shared" si="263"/>
        <v>2.9062924400181069</v>
      </c>
      <c r="EA105" s="173">
        <f t="shared" si="303"/>
        <v>0.43925233644859818</v>
      </c>
      <c r="EB105" s="173">
        <f t="shared" si="264"/>
        <v>23.999999999999993</v>
      </c>
      <c r="EC105" s="173">
        <f t="shared" si="265"/>
        <v>5.1063829787234027</v>
      </c>
      <c r="ED105" s="173">
        <f t="shared" si="304"/>
        <v>4.7</v>
      </c>
      <c r="EE105" s="460">
        <f t="shared" si="266"/>
        <v>341.48936170212761</v>
      </c>
      <c r="EF105" s="5">
        <f t="shared" si="267"/>
        <v>2.4219103666817556</v>
      </c>
      <c r="EG105" s="5"/>
      <c r="EH105" s="173">
        <f t="shared" si="305"/>
        <v>1.7422574416279017</v>
      </c>
      <c r="EI105" s="173">
        <f t="shared" si="268"/>
        <v>7.8740653659372768</v>
      </c>
      <c r="EJ105" s="173"/>
      <c r="EK105" s="528">
        <f t="shared" si="269"/>
        <v>3.7032624113475174E-2</v>
      </c>
      <c r="EL105" s="528">
        <f t="shared" si="270"/>
        <v>0.75199999999999989</v>
      </c>
      <c r="EM105" s="528">
        <f t="shared" si="271"/>
        <v>2.4117826884444062E-2</v>
      </c>
      <c r="EN105" s="528">
        <f t="shared" si="272"/>
        <v>3.5344E-2</v>
      </c>
      <c r="EO105">
        <f t="shared" si="273"/>
        <v>1.0800000000000001E-2</v>
      </c>
      <c r="EP105" s="460">
        <f t="shared" si="306"/>
        <v>34.917826884444061</v>
      </c>
      <c r="EQ105" s="528">
        <f t="shared" si="274"/>
        <v>0.87701002820239415</v>
      </c>
      <c r="ER105" s="460">
        <f t="shared" si="307"/>
        <v>877.01002820239421</v>
      </c>
      <c r="ES105" s="528">
        <f t="shared" si="308"/>
        <v>3.7274999999999991</v>
      </c>
      <c r="ET105" s="528"/>
      <c r="EV105" s="460">
        <f t="shared" si="309"/>
        <v>3727.4999999999991</v>
      </c>
      <c r="EW105" s="528">
        <f t="shared" si="275"/>
        <v>9.1063829787234041E-2</v>
      </c>
      <c r="EX105" s="528">
        <f t="shared" si="276"/>
        <v>1.860027161611588</v>
      </c>
      <c r="EY105" s="528">
        <f t="shared" si="277"/>
        <v>1.1437475956681533</v>
      </c>
      <c r="EZ105" s="528">
        <f t="shared" si="278"/>
        <v>4.2221195837615486</v>
      </c>
      <c r="FA105" s="528">
        <f t="shared" si="279"/>
        <v>9.9999999999999992E-2</v>
      </c>
      <c r="FB105" s="460">
        <f t="shared" si="310"/>
        <v>4322.1195837615487</v>
      </c>
      <c r="FC105" s="173">
        <f t="shared" si="311"/>
        <v>8.926629611963941</v>
      </c>
      <c r="FD105" s="5">
        <f t="shared" si="312"/>
        <v>24</v>
      </c>
      <c r="FE105" s="173">
        <f t="shared" si="313"/>
        <v>0.72889330863306956</v>
      </c>
      <c r="FF105" s="5">
        <f t="shared" si="314"/>
        <v>72.889330863306952</v>
      </c>
      <c r="FI105" s="562">
        <f t="shared" si="280"/>
        <v>-50</v>
      </c>
      <c r="FJ105">
        <f t="shared" si="281"/>
        <v>-50</v>
      </c>
      <c r="FL105">
        <f t="shared" si="282"/>
        <v>0.56074766355140182</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7.7147802406605273</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7.7147802406605273</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4.0000000000000002E-9</v>
      </c>
      <c r="I110" s="541">
        <f t="shared" ref="I110:I141" si="316">VIN_min-F110*(Rdcr_pri+RON/1000)/CG110/Nps</f>
        <v>17.999995026682306</v>
      </c>
      <c r="J110" s="172">
        <f t="shared" ref="J110:J141" si="317">(T110+Vfwd1+F110/CG110*Rdcr_sec)*Nps</f>
        <v>18.800056568542495</v>
      </c>
      <c r="K110" s="172">
        <f t="shared" ref="K110:K141" si="318">(Vout+Vfwd1+F110/CG110*Rdcr_sec)*Nps++I110</f>
        <v>36.800051595224801</v>
      </c>
      <c r="L110" s="443"/>
      <c r="M110" s="217">
        <f t="shared" ref="M110:M141" si="319">(Vout+Vfwd1+F110/FL110*Rdcr_sec)*Nps/((Vout+Vfwd1+F110/FL110*Rdcr_sec)*Nps+I110)</f>
        <v>0.51087044928198788</v>
      </c>
      <c r="N110" s="172">
        <f>M110*I110*(Isw_max+VIN_min/Lmag*ILIM_delay)*0.5*Efficiency</f>
        <v>30.859120962642109</v>
      </c>
      <c r="O110" s="172">
        <f t="shared" si="284"/>
        <v>4.0000000000000002E-9</v>
      </c>
      <c r="P110" s="217">
        <f t="shared" ref="P110:P141" si="320">N110/Vout</f>
        <v>7.7147802406605273</v>
      </c>
      <c r="Q110" s="217">
        <f t="shared" ref="Q110:Q141" si="321">MIN(Vout,N110/F110)</f>
        <v>4</v>
      </c>
      <c r="R110" s="217"/>
      <c r="S110" s="172">
        <f t="shared" ref="S110:S141" si="322">(SQRT(Isw_max^2*Nps^2*I110^2+4*Isw_max*F110/Efficiency*(Nps^2*Vfwd1*I110-Nps*I110^2)+4*(F110/Efficiency)^2*Nps^2*Vfwd1^2+8*(F110/Efficiency)^2*Nps*Vfwd1*I110+4*(F110/Efficiency)^2*I110^2)-2*F110/Efficiency*I110-2*F110/Efficiency*Nps*Vfwd1+Isw_max*Nps*I110)/(4*F110/Efficiency*Nps)</f>
        <v>59999983417.774353</v>
      </c>
      <c r="T110" s="172">
        <f t="shared" ref="T110:T141" si="323">MIN(Vout, S110)</f>
        <v>4</v>
      </c>
      <c r="U110" s="217">
        <f t="shared" ref="U110:U141" si="324">MIN(2*(Vout+Vfwd1+F110/FL110*Rdcr_sec)*F110/(I110*M110), Isw_max)</f>
        <v>1.0222240698114243E-9</v>
      </c>
      <c r="V110" s="217">
        <f t="shared" ref="V110:V141" si="325">L*U110/I110*1000000</f>
        <v>6.8148290149822582E-10</v>
      </c>
      <c r="W110" s="217">
        <f t="shared" ref="W110:W141" si="326">L*U110/J110*1000000</f>
        <v>6.5248148552183248E-10</v>
      </c>
      <c r="X110" s="197">
        <f t="shared" ref="X110:X141" si="327">IF(1/((350000*L)*(1/I110+1/J110))&gt;Isw_min, 350, 0.001/((Isw_min*L)*(1/I110+1/J110)))</f>
        <v>350</v>
      </c>
      <c r="Y110" s="443">
        <f t="shared" ref="Y110:Y173" si="328">MIN(1/(V110+W110+0.2)*1000, 350)</f>
        <v>350</v>
      </c>
      <c r="AA110" s="217">
        <f t="shared" ref="AA110:AA141" si="329">1/((X110*1000*L)*(1/I110+1/J110))</f>
        <v>2.1894439071088154</v>
      </c>
      <c r="AB110" s="173">
        <f t="shared" ref="AB110:AB141" si="330">L*AA110/J110*1000000</f>
        <v>1.3975131824479754</v>
      </c>
      <c r="AC110" s="173">
        <f t="shared" ref="AC110:AC141" si="331">0.5*AB110*AA110*Nps*X110/1000</f>
        <v>2.1418437056904791</v>
      </c>
      <c r="AD110" s="173"/>
      <c r="AE110" s="173">
        <f t="shared" ref="AE110:AE141" si="332">L*Isw_min/J110*1000000</f>
        <v>0.85106126897364065</v>
      </c>
      <c r="AF110" s="545">
        <f t="shared" ref="AF110:AF141" si="333">MAX(12000,F110/(0.5*AE110/1000000*Isw_min*Nps))/1000</f>
        <v>12</v>
      </c>
      <c r="AG110" s="528">
        <f t="shared" ref="AG110:AG141" si="334">0.5*AE110/1000000*Isw_min*Nps*X110*1000</f>
        <v>0.79432385104206471</v>
      </c>
      <c r="AI110" s="173">
        <f t="shared" ref="AI110:AI141" si="335">SQRT(F110/(0.5*L/J110*Fsw_DCM*Nps))</f>
        <v>4.7308582439611686E-5</v>
      </c>
      <c r="AJ110" s="173">
        <f t="shared" ref="AJ110:AJ141" si="336">MAX(IF(F110&gt;AC110,U110,AI110),Isw_min)</f>
        <v>1.3333333333333335</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0.88888913448489237</v>
      </c>
      <c r="AU110" s="5">
        <f t="shared" ref="AU110:AU169" si="343">AS110-AT110</f>
        <v>82.44444419884843</v>
      </c>
      <c r="AV110" s="5"/>
      <c r="AW110" s="173">
        <f t="shared" ref="AW110:AW169" si="344">AT110/AS110</f>
        <v>1.066666961381871E-2</v>
      </c>
      <c r="AX110" s="173">
        <f t="shared" si="214"/>
        <v>0.12800000000000003</v>
      </c>
      <c r="AY110" s="173">
        <f t="shared" si="215"/>
        <v>2.6382222143631506</v>
      </c>
      <c r="AZ110" s="173">
        <f t="shared" si="288"/>
        <v>4.8517520360163588E-2</v>
      </c>
      <c r="BA110" s="460">
        <f t="shared" ref="BA110:BA116" si="345">F110*AT110/Vout_ripple*1000</f>
        <v>2.222222836212231E-8</v>
      </c>
      <c r="BB110" s="5">
        <f t="shared" ref="BB110:BB116" si="346">H110/Efficiency/I110*AU110/Vinripple1</f>
        <v>1.5267493884792159E-8</v>
      </c>
      <c r="BD110" s="173">
        <f t="shared" si="289"/>
        <v>7.9504650183378947E-2</v>
      </c>
      <c r="BE110" s="173">
        <f t="shared" si="218"/>
        <v>3.062734995240199</v>
      </c>
      <c r="BG110" s="528">
        <f t="shared" ref="BG110:BG169" si="347">Rdson*BD110^2</f>
        <v>7.7116070689533787E-5</v>
      </c>
      <c r="BH110" s="528">
        <f t="shared" ref="BH110:BH141" si="348">0.5*K110*AJ110*AN110*1000*Tfall</f>
        <v>1.1040015478567439E-2</v>
      </c>
      <c r="BI110" s="528">
        <f t="shared" ref="BI110:BI141" si="349">Qg*Vdd*AN110*1000*0+Qg*I110*AN110*1000</f>
        <v>5.3999985080046917E-3</v>
      </c>
      <c r="BJ110" s="528">
        <f t="shared" ref="BJ110:BJ169" si="350">0.5*(Coss+Csw)*K110^2*AN110*1000</f>
        <v>1.6250925568934492E-3</v>
      </c>
      <c r="BK110">
        <f t="shared" ref="BK110:BK169" si="351">I110*IQ</f>
        <v>8.0999977620070385E-3</v>
      </c>
      <c r="BL110" s="460">
        <f>(BK110+BI110)*1000</f>
        <v>13.49999627001173</v>
      </c>
      <c r="BM110" s="528">
        <f t="shared" ref="BM110:BM141" si="352">(BH110+BI110*0+BJ110+BK110*0+BG110*(1+RdsonTC*(Ta-25)))/(1-BG110*RdsonTC*ThetaJA)</f>
        <v>1.2763279303974888E-2</v>
      </c>
      <c r="BN110" s="460">
        <f t="shared" ref="BN110:BN173" si="353">BM110*1000</f>
        <v>12.763279303974887</v>
      </c>
      <c r="BO110" s="528">
        <f t="shared" ref="BO110:BO169" si="354">Vfwd2*F110</f>
        <v>6.9999999999999996E-10</v>
      </c>
      <c r="BR110" s="460">
        <f t="shared" ref="BR110:BR169" si="355">SUM(BO110:BQ110)*1000</f>
        <v>6.9999999999999997E-7</v>
      </c>
      <c r="BS110" s="528">
        <f t="shared" ref="BS110:BS169" si="356">Rdcr_pri*BD110^2</f>
        <v>1.8962968202344374E-4</v>
      </c>
      <c r="BT110" s="528">
        <f t="shared" ref="BT110:BT169" si="357">Rdcr_sec*BE110^2</f>
        <v>0.28141036953206944</v>
      </c>
      <c r="BU110" s="528">
        <f t="shared" ref="BU110:BU169" si="358">AJ110^2.5*AN110^2.5*k_core</f>
        <v>5.1199999999999998E-5</v>
      </c>
      <c r="BV110" s="528"/>
      <c r="BW110" s="528">
        <f t="shared" ref="BW110:BW169" si="359">0.5*Lleak*0.000000001*AJ110^2*AN110*1000</f>
        <v>5.3333333333333347E-4</v>
      </c>
      <c r="BX110" s="460">
        <f t="shared" ref="BX110:BX169" si="360">SUM(BS110:BW110)*1000</f>
        <v>282.18453254742622</v>
      </c>
      <c r="BY110" s="173">
        <f t="shared" ref="BY110:BY169" si="361">SUM(BG110:BK110,BO110:BQ110,BS110:BW110)</f>
        <v>0.30842675362358835</v>
      </c>
      <c r="BZ110" s="5">
        <f t="shared" ref="BZ110:BZ169" si="362">MIN(H110,O110)</f>
        <v>4.0000000000000002E-9</v>
      </c>
      <c r="CA110" s="173">
        <f t="shared" ref="CA110:CA169" si="363">BZ110/(BZ110+BY110)</f>
        <v>1.2969043382681147E-8</v>
      </c>
      <c r="CB110" s="5">
        <f t="shared" ref="CB110:CB169" si="364">CA110*100</f>
        <v>1.2969043382681146E-6</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2.1213203435596428E-6</v>
      </c>
      <c r="CI110" s="170">
        <v>0.1</v>
      </c>
      <c r="CJ110" s="217">
        <v>1.0000000000000001E-9</v>
      </c>
      <c r="CK110" s="217"/>
      <c r="CL110" s="217">
        <f t="shared" ref="CL110:CL173" si="368">CJ110*Vout</f>
        <v>4.0000000000000002E-9</v>
      </c>
      <c r="CM110" s="541">
        <f t="shared" ref="CM110:CM173" si="369">VIN_min</f>
        <v>18</v>
      </c>
      <c r="CN110" s="443">
        <f t="shared" ref="CN110:CN173" si="370">(CX110+Vfwd1)*Nps</f>
        <v>18.8</v>
      </c>
      <c r="CO110" s="443">
        <f t="shared" ref="CO110:CO173" si="371">(Vout+Vfwd1)*Nps+CM110</f>
        <v>36.799999999999997</v>
      </c>
      <c r="CP110" s="443"/>
      <c r="CQ110" s="217">
        <f t="shared" ref="CQ110:CQ173" si="372">(Vout+Vfwd1)*Nps/((Vout+Vfwd1)*Nps+CM110)</f>
        <v>0.51086956521739135</v>
      </c>
      <c r="CR110" s="172">
        <f>CQ110*CM110*(Isw_max+VIN_min/Lmag*ILIM_delay)*0.5*Efficiency</f>
        <v>30.859076086956527</v>
      </c>
      <c r="CS110" s="172">
        <f t="shared" ref="CS110:CS173" si="373">CX110*CJ110</f>
        <v>4.0000000000000002E-9</v>
      </c>
      <c r="CT110" s="217">
        <f t="shared" ref="CT110:CT173" si="374">CR110/Vout</f>
        <v>7.7147690217391318</v>
      </c>
      <c r="CU110" s="217">
        <f t="shared" ref="CU110:CU173" si="375">MIN(Vout,CR110/CJ110)</f>
        <v>4</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59999999995.5</v>
      </c>
      <c r="CX110" s="172">
        <f t="shared" ref="CX110:CX173" si="377">MIN(Vout, CW110)</f>
        <v>4</v>
      </c>
      <c r="CY110" s="217">
        <f t="shared" ref="CY110:CY173" si="378">MIN(2*Vout*CJ110/(Efficiency*CM110*CQ110), Isw_max)</f>
        <v>8.6997635933806138E-10</v>
      </c>
      <c r="CZ110" s="217">
        <f t="shared" ref="CZ110:CZ173" si="379">L*CY110/CM110*1000000</f>
        <v>5.7998423955870758E-10</v>
      </c>
      <c r="DA110" s="217">
        <f t="shared" ref="DA110:DA173" si="380">L*CY110/CN110*1000000</f>
        <v>5.5530405915195409E-10</v>
      </c>
      <c r="DB110" s="197">
        <f t="shared" ref="DB110:DB173" si="381">IF(1/((350000*L)*(1/CM110+1/CN110))&gt;Isw_min, 350, 0.001/((Isw_min*L)*(1/CM110+1/CN110)))</f>
        <v>350</v>
      </c>
      <c r="DC110" s="443">
        <f t="shared" ref="DC110:DC173" si="382">MIN(1/(CZ110+DA110)*1000, 350)</f>
        <v>350</v>
      </c>
      <c r="DE110" s="217">
        <f t="shared" ref="DE110:DE173" si="383">1/((DB110*1000*L)*(1/CM110+1/CN110))</f>
        <v>2.18944099378882</v>
      </c>
      <c r="DF110" s="173">
        <f t="shared" ref="DF110:DF173" si="384">L*DE110/CN110*1000000</f>
        <v>1.3975155279503106</v>
      </c>
      <c r="DG110" s="173">
        <f t="shared" ref="DG110:DG173" si="385">0.5*DF110*DE110*Nps*DB110/1000</f>
        <v>2.1418444504455847</v>
      </c>
      <c r="DH110" s="173"/>
      <c r="DI110" s="173">
        <f t="shared" ref="DI110:DI173" si="386">L*Isw_min/CN110*1000000</f>
        <v>0.85106382978723416</v>
      </c>
      <c r="DJ110" s="545">
        <f t="shared" ref="DJ110:DJ173" si="387">MAX(12000,CJ110/(0.5*DI110/1000000*Isw_min*Nps))/1000</f>
        <v>12</v>
      </c>
      <c r="DK110" s="528">
        <f t="shared" ref="DK110:DK173" si="388">0.5*DI110/1000000*Isw_min*Nps*DB110*1000</f>
        <v>0.79432624113475192</v>
      </c>
      <c r="DM110" s="173">
        <f t="shared" ref="DM110:DM173" si="389">SQRT(CJ110/(0.5*L/CN110*Fsw_DCM*Nps))</f>
        <v>4.7308511264837305E-5</v>
      </c>
      <c r="DN110" s="173">
        <f t="shared" ref="DN110:DN173" si="390">MAX(IF(CJ110&gt;DG110,CY110,DM110),Isw_min)</f>
        <v>1.3333333333333335</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0.88888888888888906</v>
      </c>
      <c r="DY110" s="5">
        <f t="shared" ref="DY110:DY173" si="396">DW110-DX110</f>
        <v>82.444444444444443</v>
      </c>
      <c r="DZ110" s="5"/>
      <c r="EA110" s="173">
        <f t="shared" ref="EA110:EA173" si="397">DX110/DW110</f>
        <v>1.066666666666667E-2</v>
      </c>
      <c r="EB110" s="173">
        <f t="shared" ref="EB110:EB173" si="398">0.5*L*DN110^2*DR110*1000</f>
        <v>0.12800000000000003</v>
      </c>
      <c r="EC110" s="173">
        <f t="shared" ref="EC110:EC173" si="399">DN110*Nps/2*(1-EA110)</f>
        <v>2.6382222222222222</v>
      </c>
      <c r="ED110" s="173">
        <f t="shared" ref="ED110:ED173" si="400">EB110/EC110</f>
        <v>4.8517520215633436E-2</v>
      </c>
      <c r="EE110" s="460">
        <f t="shared" ref="EE110:EE173" si="401">CJ110*DX110/Vout_ripple*1000</f>
        <v>2.2222222222222227E-8</v>
      </c>
      <c r="EF110" s="5">
        <f t="shared" ref="EF110:EF173" si="402">CL110/Efficiency/CM110*DY110/Vinripple1</f>
        <v>1.5267489711934154E-8</v>
      </c>
      <c r="EH110" s="173">
        <f t="shared" ref="EH110:EH173" si="403">DN110*SQRT(EA110/3)</f>
        <v>7.9504639199992552E-2</v>
      </c>
      <c r="EI110" s="173">
        <f t="shared" ref="EI110:EI173" si="404">DN110*Nps*SQRT((1-EA110)/3)</f>
        <v>3.0627349998020312</v>
      </c>
      <c r="EK110" s="528">
        <f t="shared" ref="EK110:EK173" si="405">Rdson*EH110^2</f>
        <v>7.7116049382716108E-5</v>
      </c>
      <c r="EL110" s="528">
        <f t="shared" ref="EL110:EL173" si="406">0.5*CO110*DN110*DR110*1000*Trise</f>
        <v>1.1776000000000002E-2</v>
      </c>
      <c r="EM110" s="528">
        <f t="shared" ref="EM110:EM173" si="407">Qg*Vdd*DR110*1000</f>
        <v>1.5E-3</v>
      </c>
      <c r="EN110" s="528">
        <f t="shared" ref="EN110:EN173" si="408">0.5*(Coss+Csw)*CO110^2*DR110*1000</f>
        <v>1.6250879999999998E-3</v>
      </c>
      <c r="EO110">
        <f t="shared" ref="EO110:EO173" si="409">CM110*IQ</f>
        <v>8.0999999999999996E-3</v>
      </c>
      <c r="EP110" s="460">
        <f t="shared" ref="EP110:EP173" si="410">(EO110+EM110)*1000</f>
        <v>9.6</v>
      </c>
      <c r="EQ110" s="460"/>
      <c r="ER110" s="460">
        <f>SUM(EK110:EO110)*1000</f>
        <v>23.07820404938272</v>
      </c>
      <c r="ES110" s="528">
        <f t="shared" ref="ES110:ES173" si="411">Vfwd2*CJ110</f>
        <v>6.9999999999999996E-10</v>
      </c>
      <c r="EV110" s="460">
        <f t="shared" ref="EV110:EV169" si="412">SUM(ES110:EU110)*1000</f>
        <v>6.9999999999999997E-7</v>
      </c>
      <c r="EW110" s="528">
        <f t="shared" ref="EW110:EW173" si="413">Rdcr_pri*EH110^2</f>
        <v>1.8962962962962976E-4</v>
      </c>
      <c r="EX110" s="528">
        <f t="shared" ref="EX110:EX173" si="414">Rdcr_sec*EI110^2</f>
        <v>0.28141037037037048</v>
      </c>
      <c r="EY110" s="528">
        <f t="shared" ref="EY110:EY173" si="415">DN110^2.5*DR110^2.5*k_core</f>
        <v>5.1199999999999998E-5</v>
      </c>
      <c r="EZ110" s="528"/>
      <c r="FA110" s="528">
        <f t="shared" ref="FA110:FA173" si="416">0.5*Lleak*0.000000001*DN110^2*DR110*1000</f>
        <v>5.3333333333333347E-4</v>
      </c>
      <c r="FB110" s="460">
        <f t="shared" ref="FB110:FB173" si="417">SUM(EW110:FA110)*1000</f>
        <v>282.18453333333343</v>
      </c>
      <c r="FC110" s="173">
        <f t="shared" ref="FC110:FC173" si="418">SUM(EK110:EO110,ES110:EU110,EW110:FA110)</f>
        <v>0.30526273808271615</v>
      </c>
      <c r="FD110" s="5">
        <f t="shared" ref="FD110:FD173" si="419">MIN(CL110,CS110)</f>
        <v>4.0000000000000002E-9</v>
      </c>
      <c r="FE110" s="173">
        <f t="shared" ref="FE110:FE173" si="420">FD110/(FD110+FC110)</f>
        <v>1.3103466124654454E-8</v>
      </c>
      <c r="FF110" s="5">
        <f t="shared" ref="FF110:FF173" si="421">FE110*100</f>
        <v>1.3103466124654453E-6</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1.9569842191603265E-6</v>
      </c>
    </row>
    <row r="111" spans="5:168">
      <c r="E111" s="170">
        <v>1</v>
      </c>
      <c r="F111" s="217">
        <f t="shared" ref="F111:F142" si="425">IF(PLOT_TYPE=1, E111/100*Iout_max, min_I*EXP(N111*rr/100))</f>
        <v>0.06</v>
      </c>
      <c r="G111" s="217"/>
      <c r="H111" s="217">
        <f t="shared" si="315"/>
        <v>0.24</v>
      </c>
      <c r="I111" s="541">
        <f t="shared" si="316"/>
        <v>17.974046122014119</v>
      </c>
      <c r="J111" s="172">
        <f t="shared" si="317"/>
        <v>19.095209986569245</v>
      </c>
      <c r="K111" s="172">
        <f t="shared" si="318"/>
        <v>37.06925610858336</v>
      </c>
      <c r="L111" s="443"/>
      <c r="M111" s="217">
        <f t="shared" si="319"/>
        <v>0.51544660124452957</v>
      </c>
      <c r="N111" s="172">
        <f t="shared" ref="N111:N141" si="426">M111*I111*(Isw_max+VIN_min/Lmag*ILIM_delay)*0.5*Efficiency</f>
        <v>31.090658152826585</v>
      </c>
      <c r="O111" s="172">
        <f t="shared" si="284"/>
        <v>0.24</v>
      </c>
      <c r="P111" s="217">
        <f t="shared" si="320"/>
        <v>7.7726645382066462</v>
      </c>
      <c r="Q111" s="217">
        <f t="shared" si="321"/>
        <v>4</v>
      </c>
      <c r="R111" s="217"/>
      <c r="S111" s="172">
        <f t="shared" si="322"/>
        <v>994.06776836157019</v>
      </c>
      <c r="T111" s="172">
        <f t="shared" si="323"/>
        <v>4</v>
      </c>
      <c r="U111" s="217">
        <f t="shared" si="324"/>
        <v>6.1912680990479405E-2</v>
      </c>
      <c r="V111" s="217">
        <f t="shared" si="325"/>
        <v>4.1334720454277989E-2</v>
      </c>
      <c r="W111" s="217">
        <f t="shared" si="326"/>
        <v>3.8907776997912764E-2</v>
      </c>
      <c r="X111" s="197">
        <f t="shared" si="327"/>
        <v>350</v>
      </c>
      <c r="Y111" s="443">
        <f t="shared" si="328"/>
        <v>350</v>
      </c>
      <c r="AA111" s="217">
        <f t="shared" si="329"/>
        <v>2.2044849035750338</v>
      </c>
      <c r="AB111" s="173">
        <f t="shared" si="330"/>
        <v>1.3853641233328615</v>
      </c>
      <c r="AC111" s="173">
        <f t="shared" si="331"/>
        <v>2.1378100070892283</v>
      </c>
      <c r="AD111" s="173"/>
      <c r="AE111" s="173">
        <f t="shared" si="332"/>
        <v>0.83790647032704646</v>
      </c>
      <c r="AF111" s="545">
        <f t="shared" si="333"/>
        <v>26.852639043612992</v>
      </c>
      <c r="AG111" s="528">
        <f t="shared" si="334"/>
        <v>0.78204603897191016</v>
      </c>
      <c r="AI111" s="173">
        <f t="shared" si="335"/>
        <v>0.36931606659732957</v>
      </c>
      <c r="AJ111" s="173">
        <f t="shared" si="336"/>
        <v>1.3333333333333335</v>
      </c>
      <c r="AK111" s="173">
        <f t="shared" si="337"/>
        <v>1.0153443651677789</v>
      </c>
      <c r="AM111" s="545">
        <f t="shared" si="338"/>
        <v>60</v>
      </c>
      <c r="AN111" s="460">
        <f t="shared" si="339"/>
        <v>26.852639043612992</v>
      </c>
      <c r="AP111" s="460">
        <f t="shared" si="340"/>
        <v>60</v>
      </c>
      <c r="AQ111" s="460">
        <f t="shared" si="341"/>
        <v>26.852639043612992</v>
      </c>
      <c r="AS111" s="5">
        <f t="shared" si="285"/>
        <v>37.240287570090956</v>
      </c>
      <c r="AT111" s="5">
        <f t="shared" si="342"/>
        <v>0.89017241256567381</v>
      </c>
      <c r="AU111" s="5">
        <f t="shared" si="343"/>
        <v>36.350115157525281</v>
      </c>
      <c r="AV111" s="5"/>
      <c r="AW111" s="173">
        <f t="shared" si="344"/>
        <v>2.3903478481208183E-2</v>
      </c>
      <c r="AX111" s="173">
        <f t="shared" si="214"/>
        <v>0.28642814979853864</v>
      </c>
      <c r="AY111" s="173">
        <f t="shared" si="215"/>
        <v>2.6029240573834449</v>
      </c>
      <c r="AZ111" s="173">
        <f t="shared" si="288"/>
        <v>0.11004091686273273</v>
      </c>
      <c r="BA111" s="460">
        <f t="shared" si="345"/>
        <v>1.3352586188485107</v>
      </c>
      <c r="BB111" s="5">
        <f t="shared" si="346"/>
        <v>0.40447337133517924</v>
      </c>
      <c r="BD111" s="173">
        <f t="shared" si="289"/>
        <v>0.11901690756006228</v>
      </c>
      <c r="BE111" s="173">
        <f t="shared" si="218"/>
        <v>3.0421770318176615</v>
      </c>
      <c r="BG111" s="528">
        <f t="shared" si="347"/>
        <v>1.7281329627895698E-4</v>
      </c>
      <c r="BH111" s="528">
        <f t="shared" si="348"/>
        <v>2.4885183847475876E-2</v>
      </c>
      <c r="BI111" s="528">
        <f t="shared" si="349"/>
        <v>1.2066264316692426E-2</v>
      </c>
      <c r="BJ111" s="528">
        <f t="shared" si="350"/>
        <v>3.6899010134050603E-3</v>
      </c>
      <c r="BK111">
        <f t="shared" si="351"/>
        <v>8.088320754906354E-3</v>
      </c>
      <c r="BL111" s="460">
        <f t="shared" ref="BL111:BL174" si="427">(BK111+BI111)*1000</f>
        <v>20.154585071598778</v>
      </c>
      <c r="BM111" s="528">
        <f t="shared" si="352"/>
        <v>2.8795740112891214E-2</v>
      </c>
      <c r="BN111" s="460">
        <f t="shared" si="353"/>
        <v>28.795740112891213</v>
      </c>
      <c r="BO111" s="528">
        <f t="shared" si="354"/>
        <v>4.1999999999999996E-2</v>
      </c>
      <c r="BR111" s="460">
        <f t="shared" si="355"/>
        <v>41.999999999999993</v>
      </c>
      <c r="BS111" s="528">
        <f t="shared" si="356"/>
        <v>4.2495072855481224E-4</v>
      </c>
      <c r="BT111" s="528">
        <f t="shared" si="357"/>
        <v>0.27764523278756753</v>
      </c>
      <c r="BU111" s="528">
        <f t="shared" si="358"/>
        <v>3.8351670105507286E-4</v>
      </c>
      <c r="BV111" s="528"/>
      <c r="BW111" s="528">
        <f t="shared" si="359"/>
        <v>1.1934506241605776E-3</v>
      </c>
      <c r="BX111" s="460">
        <f t="shared" si="360"/>
        <v>279.64715084133803</v>
      </c>
      <c r="BY111" s="173">
        <f t="shared" si="361"/>
        <v>0.37054963407009667</v>
      </c>
      <c r="BZ111" s="5">
        <f t="shared" si="362"/>
        <v>0.24</v>
      </c>
      <c r="CA111" s="173">
        <f t="shared" si="363"/>
        <v>0.39308843476015548</v>
      </c>
      <c r="CB111" s="5">
        <f t="shared" si="364"/>
        <v>39.308843476015547</v>
      </c>
      <c r="CE111" s="562">
        <f t="shared" si="365"/>
        <v>-50</v>
      </c>
      <c r="CF111">
        <f t="shared" si="366"/>
        <v>-50</v>
      </c>
      <c r="CG111" s="173">
        <f t="shared" si="367"/>
        <v>2.4389418812263645E-2</v>
      </c>
      <c r="CI111" s="170">
        <v>1</v>
      </c>
      <c r="CJ111" s="217">
        <f t="shared" ref="CJ111:CJ174" si="428">IF(PLOT_TYPE=1, CI111/100*Iout_max, min_I*EXP(CR111*rr/100))</f>
        <v>0.06</v>
      </c>
      <c r="CK111" s="217"/>
      <c r="CL111" s="217">
        <f t="shared" si="368"/>
        <v>0.24</v>
      </c>
      <c r="CM111" s="541">
        <f t="shared" si="369"/>
        <v>18</v>
      </c>
      <c r="CN111" s="443">
        <f t="shared" si="370"/>
        <v>18.8</v>
      </c>
      <c r="CO111" s="443">
        <f t="shared" si="371"/>
        <v>36.799999999999997</v>
      </c>
      <c r="CP111" s="443"/>
      <c r="CQ111" s="217">
        <f t="shared" si="372"/>
        <v>0.51086956521739135</v>
      </c>
      <c r="CR111" s="172">
        <f t="shared" ref="CR111:CR174" si="429">CQ111*CM111*(Isw_max+VIN_min/Lmag*ILIM_delay)*0.5*Efficiency</f>
        <v>30.859076086956527</v>
      </c>
      <c r="CS111" s="172">
        <f t="shared" si="373"/>
        <v>0.24</v>
      </c>
      <c r="CT111" s="217">
        <f t="shared" si="374"/>
        <v>7.7147690217391318</v>
      </c>
      <c r="CU111" s="217">
        <f t="shared" si="375"/>
        <v>4</v>
      </c>
      <c r="CV111" s="217"/>
      <c r="CW111" s="172">
        <f t="shared" si="376"/>
        <v>995.50316200562315</v>
      </c>
      <c r="CX111" s="172">
        <f t="shared" si="377"/>
        <v>4</v>
      </c>
      <c r="CY111" s="217">
        <f t="shared" si="378"/>
        <v>5.2198581560283681E-2</v>
      </c>
      <c r="CZ111" s="217">
        <f t="shared" si="379"/>
        <v>3.4799054373522452E-2</v>
      </c>
      <c r="DA111" s="217">
        <f t="shared" si="380"/>
        <v>3.3318243549117242E-2</v>
      </c>
      <c r="DB111" s="197">
        <f t="shared" si="381"/>
        <v>350</v>
      </c>
      <c r="DC111" s="443">
        <f t="shared" si="382"/>
        <v>350</v>
      </c>
      <c r="DE111" s="217">
        <f t="shared" si="383"/>
        <v>2.18944099378882</v>
      </c>
      <c r="DF111" s="173">
        <f t="shared" si="384"/>
        <v>1.3975155279503106</v>
      </c>
      <c r="DG111" s="173">
        <f t="shared" si="385"/>
        <v>2.1418444504455847</v>
      </c>
      <c r="DH111" s="173"/>
      <c r="DI111" s="173">
        <f t="shared" si="386"/>
        <v>0.85106382978723416</v>
      </c>
      <c r="DJ111" s="545">
        <f t="shared" si="387"/>
        <v>26.437499999999993</v>
      </c>
      <c r="DK111" s="528">
        <f t="shared" si="388"/>
        <v>0.79432624113475192</v>
      </c>
      <c r="DM111" s="173">
        <f t="shared" si="389"/>
        <v>0.36645015252516172</v>
      </c>
      <c r="DN111" s="173">
        <f t="shared" si="390"/>
        <v>1.3333333333333335</v>
      </c>
      <c r="DO111" s="173">
        <f t="shared" si="391"/>
        <v>1.0151071428571428</v>
      </c>
      <c r="DQ111" s="545">
        <f t="shared" si="392"/>
        <v>60</v>
      </c>
      <c r="DR111" s="460">
        <f t="shared" si="393"/>
        <v>26.437499999999993</v>
      </c>
      <c r="DT111">
        <f t="shared" ref="DT111:DT174" si="430">IF(CL111&gt;CR111, " ",DQ111)</f>
        <v>60</v>
      </c>
      <c r="DU111">
        <f t="shared" ref="DU111:DU174" si="431">IF(CL111&gt;CR111, " ",DR111)</f>
        <v>26.437499999999993</v>
      </c>
      <c r="DW111" s="5">
        <f t="shared" si="394"/>
        <v>37.825059101654858</v>
      </c>
      <c r="DX111" s="5">
        <f t="shared" si="395"/>
        <v>0.88888888888888906</v>
      </c>
      <c r="DY111" s="5">
        <f t="shared" si="396"/>
        <v>36.936170212765973</v>
      </c>
      <c r="DZ111" s="5"/>
      <c r="EA111" s="173">
        <f t="shared" si="397"/>
        <v>2.3499999999999997E-2</v>
      </c>
      <c r="EB111" s="173">
        <f t="shared" si="398"/>
        <v>0.28199999999999997</v>
      </c>
      <c r="EC111" s="173">
        <f t="shared" si="399"/>
        <v>2.6040000000000005</v>
      </c>
      <c r="ED111" s="173">
        <f t="shared" si="400"/>
        <v>0.108294930875576</v>
      </c>
      <c r="EE111" s="460">
        <f t="shared" si="401"/>
        <v>1.3333333333333335</v>
      </c>
      <c r="EF111" s="5">
        <f t="shared" si="402"/>
        <v>0.41040189125295518</v>
      </c>
      <c r="EH111" s="173">
        <f t="shared" si="403"/>
        <v>0.11800816042090448</v>
      </c>
      <c r="EI111" s="173">
        <f t="shared" si="404"/>
        <v>3.042805722793795</v>
      </c>
      <c r="EK111" s="528">
        <f t="shared" si="405"/>
        <v>1.6989629629629628E-4</v>
      </c>
      <c r="EL111" s="528">
        <f t="shared" si="406"/>
        <v>2.5943999999999995E-2</v>
      </c>
      <c r="EM111" s="528">
        <f t="shared" si="407"/>
        <v>3.304687499999999E-3</v>
      </c>
      <c r="EN111" s="528">
        <f t="shared" si="408"/>
        <v>3.5802719999999985E-3</v>
      </c>
      <c r="EO111">
        <f t="shared" si="409"/>
        <v>8.0999999999999996E-3</v>
      </c>
      <c r="EP111" s="460">
        <f t="shared" si="410"/>
        <v>11.404687499999998</v>
      </c>
      <c r="EQ111" s="460"/>
      <c r="ER111" s="460">
        <f t="shared" ref="ER111:ER174" si="432">SUM(EK111:EO111)*1000</f>
        <v>41.098855796296284</v>
      </c>
      <c r="ES111" s="528">
        <f t="shared" si="411"/>
        <v>4.1999999999999996E-2</v>
      </c>
      <c r="EV111" s="460">
        <f t="shared" si="412"/>
        <v>41.999999999999993</v>
      </c>
      <c r="EW111" s="528">
        <f t="shared" si="413"/>
        <v>4.1777777777777777E-4</v>
      </c>
      <c r="EX111" s="528">
        <f t="shared" si="414"/>
        <v>0.27776000000000012</v>
      </c>
      <c r="EY111" s="528">
        <f t="shared" si="415"/>
        <v>3.6886530473812629E-4</v>
      </c>
      <c r="EZ111" s="528"/>
      <c r="FA111" s="528">
        <f t="shared" si="416"/>
        <v>1.175E-3</v>
      </c>
      <c r="FB111" s="460">
        <f t="shared" si="417"/>
        <v>279.72164308251604</v>
      </c>
      <c r="FC111" s="173">
        <f t="shared" si="418"/>
        <v>0.36282049887881229</v>
      </c>
      <c r="FD111" s="5">
        <f t="shared" si="419"/>
        <v>0.24</v>
      </c>
      <c r="FE111" s="173">
        <f t="shared" si="420"/>
        <v>0.39812846518387601</v>
      </c>
      <c r="FF111" s="5">
        <f t="shared" si="421"/>
        <v>39.812846518387602</v>
      </c>
      <c r="FI111" s="562">
        <f t="shared" si="422"/>
        <v>-50</v>
      </c>
      <c r="FJ111">
        <f t="shared" si="423"/>
        <v>-50</v>
      </c>
      <c r="FL111">
        <f t="shared" si="424"/>
        <v>2.2499999999999996E-2</v>
      </c>
    </row>
    <row r="112" spans="5:168">
      <c r="E112" s="170">
        <v>2</v>
      </c>
      <c r="F112" s="217">
        <f t="shared" si="425"/>
        <v>0.12</v>
      </c>
      <c r="G112" s="217"/>
      <c r="H112" s="217">
        <f t="shared" si="315"/>
        <v>0.48</v>
      </c>
      <c r="I112" s="541">
        <f t="shared" si="316"/>
        <v>17.974046122014119</v>
      </c>
      <c r="J112" s="172">
        <f t="shared" si="317"/>
        <v>19.095209986569245</v>
      </c>
      <c r="K112" s="172">
        <f t="shared" si="318"/>
        <v>37.06925610858336</v>
      </c>
      <c r="L112" s="443"/>
      <c r="M112" s="217">
        <f t="shared" si="319"/>
        <v>0.51544660124452957</v>
      </c>
      <c r="N112" s="172">
        <f t="shared" si="426"/>
        <v>31.090658152826585</v>
      </c>
      <c r="O112" s="172">
        <f t="shared" si="284"/>
        <v>0.48</v>
      </c>
      <c r="P112" s="217">
        <f t="shared" si="320"/>
        <v>7.7726645382066462</v>
      </c>
      <c r="Q112" s="217">
        <f t="shared" si="321"/>
        <v>4</v>
      </c>
      <c r="R112" s="217"/>
      <c r="S112" s="172">
        <f t="shared" si="322"/>
        <v>494.7918955667439</v>
      </c>
      <c r="T112" s="172">
        <f t="shared" si="323"/>
        <v>4</v>
      </c>
      <c r="U112" s="217">
        <f t="shared" si="324"/>
        <v>0.12382536198095881</v>
      </c>
      <c r="V112" s="217">
        <f t="shared" si="325"/>
        <v>8.2669440908555977E-2</v>
      </c>
      <c r="W112" s="217">
        <f t="shared" si="326"/>
        <v>7.7815553995825529E-2</v>
      </c>
      <c r="X112" s="197">
        <f t="shared" si="327"/>
        <v>350</v>
      </c>
      <c r="Y112" s="443">
        <f t="shared" si="328"/>
        <v>350</v>
      </c>
      <c r="AA112" s="217">
        <f t="shared" si="329"/>
        <v>2.2044849035750338</v>
      </c>
      <c r="AB112" s="173">
        <f t="shared" si="330"/>
        <v>1.3853641233328615</v>
      </c>
      <c r="AC112" s="173">
        <f t="shared" si="331"/>
        <v>2.1378100070892283</v>
      </c>
      <c r="AD112" s="173"/>
      <c r="AE112" s="173">
        <f t="shared" si="332"/>
        <v>0.83790647032704646</v>
      </c>
      <c r="AF112" s="545">
        <f t="shared" si="333"/>
        <v>53.705278087225985</v>
      </c>
      <c r="AG112" s="528">
        <f t="shared" si="334"/>
        <v>0.78204603897191016</v>
      </c>
      <c r="AI112" s="173">
        <f t="shared" si="335"/>
        <v>0.52229179018422867</v>
      </c>
      <c r="AJ112" s="173">
        <f t="shared" si="336"/>
        <v>1.3333333333333335</v>
      </c>
      <c r="AK112" s="173">
        <f t="shared" si="337"/>
        <v>1.0306887303355576</v>
      </c>
      <c r="AM112" s="545">
        <f t="shared" si="338"/>
        <v>120</v>
      </c>
      <c r="AN112" s="460">
        <f t="shared" si="339"/>
        <v>53.705278087225985</v>
      </c>
      <c r="AP112" s="460">
        <f t="shared" si="340"/>
        <v>120</v>
      </c>
      <c r="AQ112" s="460">
        <f t="shared" si="341"/>
        <v>53.705278087225985</v>
      </c>
      <c r="AS112" s="5">
        <f t="shared" si="285"/>
        <v>18.620143785045478</v>
      </c>
      <c r="AT112" s="5">
        <f t="shared" si="342"/>
        <v>0.89017241256567381</v>
      </c>
      <c r="AU112" s="5">
        <f t="shared" si="343"/>
        <v>17.729971372479802</v>
      </c>
      <c r="AV112" s="5"/>
      <c r="AW112" s="173">
        <f t="shared" si="344"/>
        <v>4.7806956962416366E-2</v>
      </c>
      <c r="AX112" s="173">
        <f t="shared" si="214"/>
        <v>0.57285629959707729</v>
      </c>
      <c r="AY112" s="173">
        <f t="shared" si="215"/>
        <v>2.5391814481002233</v>
      </c>
      <c r="AZ112" s="173">
        <f t="shared" si="288"/>
        <v>0.22560668124984909</v>
      </c>
      <c r="BA112" s="460">
        <f t="shared" si="345"/>
        <v>2.6705172376970214</v>
      </c>
      <c r="BB112" s="5">
        <f t="shared" si="346"/>
        <v>0.39456828478401684</v>
      </c>
      <c r="BD112" s="173">
        <f t="shared" si="289"/>
        <v>0.16831532482314501</v>
      </c>
      <c r="BE112" s="173">
        <f t="shared" si="218"/>
        <v>3.0046964412992456</v>
      </c>
      <c r="BG112" s="528">
        <f t="shared" si="347"/>
        <v>3.456265925579139E-4</v>
      </c>
      <c r="BH112" s="528">
        <f t="shared" si="348"/>
        <v>4.9770367694951752E-2</v>
      </c>
      <c r="BI112" s="528">
        <f t="shared" si="349"/>
        <v>2.4132528633384852E-2</v>
      </c>
      <c r="BJ112" s="528">
        <f t="shared" si="350"/>
        <v>7.3798020268101205E-3</v>
      </c>
      <c r="BK112">
        <f t="shared" si="351"/>
        <v>8.088320754906354E-3</v>
      </c>
      <c r="BL112" s="460">
        <f t="shared" si="427"/>
        <v>32.220849388291207</v>
      </c>
      <c r="BM112" s="528">
        <f t="shared" si="352"/>
        <v>5.7593845151464221E-2</v>
      </c>
      <c r="BN112" s="460">
        <f t="shared" si="353"/>
        <v>57.593845151464222</v>
      </c>
      <c r="BO112" s="528">
        <f t="shared" si="354"/>
        <v>8.3999999999999991E-2</v>
      </c>
      <c r="BR112" s="460">
        <f t="shared" si="355"/>
        <v>83.999999999999986</v>
      </c>
      <c r="BS112" s="528">
        <f t="shared" si="356"/>
        <v>8.4990145710962437E-4</v>
      </c>
      <c r="BT112" s="528">
        <f t="shared" si="357"/>
        <v>0.27084602113069051</v>
      </c>
      <c r="BU112" s="528">
        <f t="shared" si="358"/>
        <v>2.1694980801146863E-3</v>
      </c>
      <c r="BV112" s="528"/>
      <c r="BW112" s="528">
        <f t="shared" si="359"/>
        <v>2.3869012483211552E-3</v>
      </c>
      <c r="BX112" s="460">
        <f t="shared" si="360"/>
        <v>276.25232191623593</v>
      </c>
      <c r="BY112" s="173">
        <f>SUM(BG112:BK112,BO112:BQ112,BS112:BW112)</f>
        <v>0.44996896761884692</v>
      </c>
      <c r="BZ112" s="5">
        <f t="shared" si="362"/>
        <v>0.48</v>
      </c>
      <c r="CA112" s="173">
        <f t="shared" si="363"/>
        <v>0.51614625510464418</v>
      </c>
      <c r="CB112" s="5">
        <f t="shared" si="364"/>
        <v>51.614625510464421</v>
      </c>
      <c r="CE112" s="562">
        <f t="shared" si="365"/>
        <v>-50</v>
      </c>
      <c r="CF112">
        <f t="shared" si="366"/>
        <v>-50</v>
      </c>
      <c r="CG112" s="173">
        <f t="shared" si="367"/>
        <v>4.8778837624527289E-2</v>
      </c>
      <c r="CI112" s="170">
        <v>2</v>
      </c>
      <c r="CJ112" s="217">
        <f t="shared" si="428"/>
        <v>0.12</v>
      </c>
      <c r="CK112" s="217"/>
      <c r="CL112" s="217">
        <f t="shared" si="368"/>
        <v>0.48</v>
      </c>
      <c r="CM112" s="541">
        <f t="shared" si="369"/>
        <v>18</v>
      </c>
      <c r="CN112" s="443">
        <f t="shared" si="370"/>
        <v>18.8</v>
      </c>
      <c r="CO112" s="443">
        <f t="shared" si="371"/>
        <v>36.799999999999997</v>
      </c>
      <c r="CP112" s="443"/>
      <c r="CQ112" s="217">
        <f t="shared" si="372"/>
        <v>0.51086956521739135</v>
      </c>
      <c r="CR112" s="172">
        <f t="shared" si="429"/>
        <v>30.859076086956527</v>
      </c>
      <c r="CS112" s="172">
        <f t="shared" si="373"/>
        <v>0.48</v>
      </c>
      <c r="CT112" s="217">
        <f t="shared" si="374"/>
        <v>7.7147690217391318</v>
      </c>
      <c r="CU112" s="217">
        <f t="shared" si="375"/>
        <v>4</v>
      </c>
      <c r="CV112" s="217"/>
      <c r="CW112" s="172">
        <f t="shared" si="376"/>
        <v>495.50634816545909</v>
      </c>
      <c r="CX112" s="172">
        <f t="shared" si="377"/>
        <v>4</v>
      </c>
      <c r="CY112" s="217">
        <f t="shared" si="378"/>
        <v>0.10439716312056736</v>
      </c>
      <c r="CZ112" s="217">
        <f t="shared" si="379"/>
        <v>6.9598108747044904E-2</v>
      </c>
      <c r="DA112" s="217">
        <f t="shared" si="380"/>
        <v>6.6636487098234484E-2</v>
      </c>
      <c r="DB112" s="197">
        <f t="shared" si="381"/>
        <v>350</v>
      </c>
      <c r="DC112" s="443">
        <f t="shared" si="382"/>
        <v>350</v>
      </c>
      <c r="DE112" s="217">
        <f t="shared" si="383"/>
        <v>2.18944099378882</v>
      </c>
      <c r="DF112" s="173">
        <f t="shared" si="384"/>
        <v>1.3975155279503106</v>
      </c>
      <c r="DG112" s="173">
        <f t="shared" si="385"/>
        <v>2.1418444504455847</v>
      </c>
      <c r="DH112" s="173"/>
      <c r="DI112" s="173">
        <f t="shared" si="386"/>
        <v>0.85106382978723416</v>
      </c>
      <c r="DJ112" s="545">
        <f t="shared" si="387"/>
        <v>52.874999999999986</v>
      </c>
      <c r="DK112" s="528">
        <f t="shared" si="388"/>
        <v>0.79432624113475192</v>
      </c>
      <c r="DM112" s="173">
        <f t="shared" si="389"/>
        <v>0.51823877563477294</v>
      </c>
      <c r="DN112" s="173">
        <f t="shared" si="390"/>
        <v>1.3333333333333335</v>
      </c>
      <c r="DO112" s="173">
        <f t="shared" si="391"/>
        <v>1.0302142857142857</v>
      </c>
      <c r="DQ112" s="545">
        <f t="shared" si="392"/>
        <v>120</v>
      </c>
      <c r="DR112" s="460">
        <f t="shared" si="393"/>
        <v>52.874999999999986</v>
      </c>
      <c r="DT112">
        <f t="shared" si="430"/>
        <v>120</v>
      </c>
      <c r="DU112">
        <f t="shared" si="431"/>
        <v>52.874999999999986</v>
      </c>
      <c r="DW112" s="5">
        <f t="shared" si="394"/>
        <v>18.912529550827429</v>
      </c>
      <c r="DX112" s="5">
        <f t="shared" si="395"/>
        <v>0.88888888888888906</v>
      </c>
      <c r="DY112" s="5">
        <f t="shared" si="396"/>
        <v>18.02364066193854</v>
      </c>
      <c r="DZ112" s="5"/>
      <c r="EA112" s="173">
        <f t="shared" si="397"/>
        <v>4.6999999999999993E-2</v>
      </c>
      <c r="EB112" s="173">
        <f t="shared" si="398"/>
        <v>0.56399999999999995</v>
      </c>
      <c r="EC112" s="173">
        <f t="shared" si="399"/>
        <v>2.5413333333333337</v>
      </c>
      <c r="ED112" s="173">
        <f t="shared" si="400"/>
        <v>0.22193074501573973</v>
      </c>
      <c r="EE112" s="460">
        <f t="shared" si="401"/>
        <v>2.666666666666667</v>
      </c>
      <c r="EF112" s="5">
        <f t="shared" si="402"/>
        <v>0.40052534804307854</v>
      </c>
      <c r="EH112" s="173">
        <f t="shared" si="403"/>
        <v>0.16688874093794301</v>
      </c>
      <c r="EI112" s="173">
        <f t="shared" si="404"/>
        <v>3.0059693697461145</v>
      </c>
      <c r="EK112" s="528">
        <f t="shared" si="405"/>
        <v>3.3979259259259257E-4</v>
      </c>
      <c r="EL112" s="528">
        <f t="shared" si="406"/>
        <v>5.188799999999999E-2</v>
      </c>
      <c r="EM112" s="528">
        <f t="shared" si="407"/>
        <v>6.6093749999999981E-3</v>
      </c>
      <c r="EN112" s="528">
        <f t="shared" si="408"/>
        <v>7.160543999999997E-3</v>
      </c>
      <c r="EO112">
        <f t="shared" si="409"/>
        <v>8.0999999999999996E-3</v>
      </c>
      <c r="EP112" s="460">
        <f t="shared" si="410"/>
        <v>14.709374999999996</v>
      </c>
      <c r="EQ112" s="460"/>
      <c r="ER112" s="460">
        <f t="shared" si="432"/>
        <v>74.097711592592574</v>
      </c>
      <c r="ES112" s="528">
        <f t="shared" si="411"/>
        <v>8.3999999999999991E-2</v>
      </c>
      <c r="EV112" s="460">
        <f t="shared" si="412"/>
        <v>83.999999999999986</v>
      </c>
      <c r="EW112" s="528">
        <f t="shared" si="413"/>
        <v>8.3555555555555553E-4</v>
      </c>
      <c r="EX112" s="528">
        <f t="shared" si="414"/>
        <v>0.27107555555555557</v>
      </c>
      <c r="EY112" s="528">
        <f t="shared" si="415"/>
        <v>2.08661726659817E-3</v>
      </c>
      <c r="EZ112" s="528"/>
      <c r="FA112" s="528">
        <f t="shared" si="416"/>
        <v>2.3500000000000001E-3</v>
      </c>
      <c r="FB112" s="460">
        <f t="shared" si="417"/>
        <v>276.34772837770925</v>
      </c>
      <c r="FC112" s="173">
        <f t="shared" si="418"/>
        <v>0.43444543997030183</v>
      </c>
      <c r="FD112" s="5">
        <f t="shared" si="419"/>
        <v>0.48</v>
      </c>
      <c r="FE112" s="173">
        <f t="shared" si="420"/>
        <v>0.52490829853729581</v>
      </c>
      <c r="FF112" s="5">
        <f t="shared" si="421"/>
        <v>52.490829853729579</v>
      </c>
      <c r="FI112" s="562">
        <f t="shared" si="422"/>
        <v>-50</v>
      </c>
      <c r="FJ112">
        <f t="shared" si="423"/>
        <v>-50</v>
      </c>
      <c r="FL112">
        <f t="shared" si="424"/>
        <v>4.4999999999999991E-2</v>
      </c>
    </row>
    <row r="113" spans="5:168">
      <c r="E113" s="170">
        <v>3</v>
      </c>
      <c r="F113" s="217">
        <f t="shared" si="425"/>
        <v>0.18</v>
      </c>
      <c r="G113" s="217"/>
      <c r="H113" s="217">
        <f t="shared" si="315"/>
        <v>0.72</v>
      </c>
      <c r="I113" s="541">
        <f t="shared" si="316"/>
        <v>17.974046122014119</v>
      </c>
      <c r="J113" s="172">
        <f t="shared" si="317"/>
        <v>19.095209986569245</v>
      </c>
      <c r="K113" s="172">
        <f t="shared" si="318"/>
        <v>37.06925610858336</v>
      </c>
      <c r="L113" s="443"/>
      <c r="M113" s="217">
        <f t="shared" si="319"/>
        <v>0.51544660124452957</v>
      </c>
      <c r="N113" s="172">
        <f t="shared" si="426"/>
        <v>31.090658152826585</v>
      </c>
      <c r="O113" s="172">
        <f t="shared" si="284"/>
        <v>0.72</v>
      </c>
      <c r="P113" s="217">
        <f t="shared" si="320"/>
        <v>7.7726645382066462</v>
      </c>
      <c r="Q113" s="217">
        <f t="shared" si="321"/>
        <v>4</v>
      </c>
      <c r="R113" s="217"/>
      <c r="S113" s="172">
        <f t="shared" si="322"/>
        <v>328.36875309802036</v>
      </c>
      <c r="T113" s="172">
        <f t="shared" si="323"/>
        <v>4</v>
      </c>
      <c r="U113" s="217">
        <f t="shared" si="324"/>
        <v>0.18573804297143823</v>
      </c>
      <c r="V113" s="217">
        <f t="shared" si="325"/>
        <v>0.12400416136283396</v>
      </c>
      <c r="W113" s="217">
        <f t="shared" si="326"/>
        <v>0.1167233309937383</v>
      </c>
      <c r="X113" s="197">
        <f t="shared" si="327"/>
        <v>350</v>
      </c>
      <c r="Y113" s="443">
        <f t="shared" si="328"/>
        <v>350</v>
      </c>
      <c r="AA113" s="217">
        <f t="shared" si="329"/>
        <v>2.2044849035750338</v>
      </c>
      <c r="AB113" s="173">
        <f t="shared" si="330"/>
        <v>1.3853641233328615</v>
      </c>
      <c r="AC113" s="173">
        <f t="shared" si="331"/>
        <v>2.1378100070892283</v>
      </c>
      <c r="AD113" s="173"/>
      <c r="AE113" s="173">
        <f t="shared" si="332"/>
        <v>0.83790647032704646</v>
      </c>
      <c r="AF113" s="545">
        <f t="shared" si="333"/>
        <v>80.557917130838959</v>
      </c>
      <c r="AG113" s="528">
        <f t="shared" si="334"/>
        <v>0.78204603897191016</v>
      </c>
      <c r="AI113" s="173">
        <f t="shared" si="335"/>
        <v>0.63967419139806592</v>
      </c>
      <c r="AJ113" s="173">
        <f t="shared" si="336"/>
        <v>1.3333333333333335</v>
      </c>
      <c r="AK113" s="173">
        <f t="shared" si="337"/>
        <v>1.0460330955033366</v>
      </c>
      <c r="AM113" s="545">
        <f t="shared" si="338"/>
        <v>180</v>
      </c>
      <c r="AN113" s="460">
        <f t="shared" si="339"/>
        <v>80.557917130838959</v>
      </c>
      <c r="AP113" s="460">
        <f t="shared" si="340"/>
        <v>180</v>
      </c>
      <c r="AQ113" s="460">
        <f t="shared" si="341"/>
        <v>80.557917130838959</v>
      </c>
      <c r="AS113" s="5">
        <f t="shared" si="285"/>
        <v>12.413429190030321</v>
      </c>
      <c r="AT113" s="5">
        <f t="shared" si="342"/>
        <v>0.89017241256567381</v>
      </c>
      <c r="AU113" s="5">
        <f t="shared" si="343"/>
        <v>11.523256777464647</v>
      </c>
      <c r="AV113" s="5"/>
      <c r="AW113" s="173">
        <f t="shared" si="344"/>
        <v>7.1710435443624543E-2</v>
      </c>
      <c r="AX113" s="173">
        <f t="shared" si="214"/>
        <v>0.85928444939561577</v>
      </c>
      <c r="AY113" s="173">
        <f t="shared" si="215"/>
        <v>2.4754388388170017</v>
      </c>
      <c r="AZ113" s="173">
        <f t="shared" si="288"/>
        <v>0.34712408802887773</v>
      </c>
      <c r="BA113" s="460">
        <f t="shared" si="345"/>
        <v>4.0057758565455321</v>
      </c>
      <c r="BB113" s="5">
        <f t="shared" si="346"/>
        <v>0.3846631982328545</v>
      </c>
      <c r="BD113" s="173">
        <f t="shared" si="289"/>
        <v>0.20614333085375627</v>
      </c>
      <c r="BE113" s="173">
        <f t="shared" si="218"/>
        <v>2.9667423743550407</v>
      </c>
      <c r="BG113" s="528">
        <f t="shared" si="347"/>
        <v>5.1843988883687085E-4</v>
      </c>
      <c r="BH113" s="528">
        <f t="shared" si="348"/>
        <v>7.4655551542427617E-2</v>
      </c>
      <c r="BI113" s="528">
        <f t="shared" si="349"/>
        <v>3.6198792950077274E-2</v>
      </c>
      <c r="BJ113" s="528">
        <f t="shared" si="350"/>
        <v>1.1069703040215179E-2</v>
      </c>
      <c r="BK113">
        <f t="shared" si="351"/>
        <v>8.088320754906354E-3</v>
      </c>
      <c r="BL113" s="460">
        <f t="shared" si="427"/>
        <v>44.287113704983632</v>
      </c>
      <c r="BM113" s="528">
        <f t="shared" si="352"/>
        <v>8.6394315407069544E-2</v>
      </c>
      <c r="BN113" s="460">
        <f t="shared" si="353"/>
        <v>86.394315407069541</v>
      </c>
      <c r="BO113" s="528">
        <f t="shared" si="354"/>
        <v>0.126</v>
      </c>
      <c r="BR113" s="460">
        <f t="shared" si="355"/>
        <v>126</v>
      </c>
      <c r="BS113" s="528">
        <f t="shared" si="356"/>
        <v>1.2748521856644367E-3</v>
      </c>
      <c r="BT113" s="528">
        <f t="shared" si="357"/>
        <v>0.26404680947381354</v>
      </c>
      <c r="BU113" s="528">
        <f t="shared" si="358"/>
        <v>5.9784337060073021E-3</v>
      </c>
      <c r="BV113" s="528"/>
      <c r="BW113" s="528">
        <f t="shared" si="359"/>
        <v>3.5803518724817321E-3</v>
      </c>
      <c r="BX113" s="460">
        <f t="shared" si="360"/>
        <v>274.88044723796702</v>
      </c>
      <c r="BY113" s="173">
        <f t="shared" si="361"/>
        <v>0.53141125541443024</v>
      </c>
      <c r="BZ113" s="5">
        <f t="shared" si="362"/>
        <v>0.72</v>
      </c>
      <c r="CA113" s="173">
        <f t="shared" si="363"/>
        <v>0.57535042687590132</v>
      </c>
      <c r="CB113" s="5">
        <f t="shared" si="364"/>
        <v>57.535042687590135</v>
      </c>
      <c r="CE113" s="562">
        <f t="shared" si="365"/>
        <v>-50</v>
      </c>
      <c r="CF113">
        <f t="shared" si="366"/>
        <v>-50</v>
      </c>
      <c r="CG113" s="173">
        <f t="shared" si="367"/>
        <v>7.3168256436790938E-2</v>
      </c>
      <c r="CI113" s="170">
        <v>3</v>
      </c>
      <c r="CJ113" s="217">
        <f t="shared" si="428"/>
        <v>0.18</v>
      </c>
      <c r="CK113" s="217"/>
      <c r="CL113" s="217">
        <f t="shared" si="368"/>
        <v>0.72</v>
      </c>
      <c r="CM113" s="541">
        <f t="shared" si="369"/>
        <v>18</v>
      </c>
      <c r="CN113" s="443">
        <f t="shared" si="370"/>
        <v>18.8</v>
      </c>
      <c r="CO113" s="443">
        <f t="shared" si="371"/>
        <v>36.799999999999997</v>
      </c>
      <c r="CP113" s="443"/>
      <c r="CQ113" s="217">
        <f t="shared" si="372"/>
        <v>0.51086956521739135</v>
      </c>
      <c r="CR113" s="172">
        <f t="shared" si="429"/>
        <v>30.859076086956527</v>
      </c>
      <c r="CS113" s="172">
        <f t="shared" si="373"/>
        <v>0.72</v>
      </c>
      <c r="CT113" s="217">
        <f t="shared" si="374"/>
        <v>7.7147690217391318</v>
      </c>
      <c r="CU113" s="217">
        <f t="shared" si="375"/>
        <v>4</v>
      </c>
      <c r="CV113" s="217"/>
      <c r="CW113" s="172">
        <f t="shared" si="376"/>
        <v>328.8428920283506</v>
      </c>
      <c r="CX113" s="172">
        <f t="shared" si="377"/>
        <v>4</v>
      </c>
      <c r="CY113" s="217">
        <f t="shared" si="378"/>
        <v>0.15659574468085102</v>
      </c>
      <c r="CZ113" s="217">
        <f t="shared" si="379"/>
        <v>0.10439716312056735</v>
      </c>
      <c r="DA113" s="217">
        <f t="shared" si="380"/>
        <v>9.9954730647351719E-2</v>
      </c>
      <c r="DB113" s="197">
        <f t="shared" si="381"/>
        <v>350</v>
      </c>
      <c r="DC113" s="443">
        <f t="shared" si="382"/>
        <v>350</v>
      </c>
      <c r="DE113" s="217">
        <f t="shared" si="383"/>
        <v>2.18944099378882</v>
      </c>
      <c r="DF113" s="173">
        <f t="shared" si="384"/>
        <v>1.3975155279503106</v>
      </c>
      <c r="DG113" s="173">
        <f t="shared" si="385"/>
        <v>2.1418444504455847</v>
      </c>
      <c r="DH113" s="173"/>
      <c r="DI113" s="173">
        <f t="shared" si="386"/>
        <v>0.85106382978723416</v>
      </c>
      <c r="DJ113" s="545">
        <f t="shared" si="387"/>
        <v>79.312499999999986</v>
      </c>
      <c r="DK113" s="528">
        <f t="shared" si="388"/>
        <v>0.79432624113475192</v>
      </c>
      <c r="DM113" s="173">
        <f t="shared" si="389"/>
        <v>0.63471028261494467</v>
      </c>
      <c r="DN113" s="173">
        <f t="shared" si="390"/>
        <v>1.3333333333333335</v>
      </c>
      <c r="DO113" s="173">
        <f t="shared" si="391"/>
        <v>1.0453214285714285</v>
      </c>
      <c r="DQ113" s="545">
        <f t="shared" si="392"/>
        <v>180</v>
      </c>
      <c r="DR113" s="460">
        <f t="shared" si="393"/>
        <v>79.312499999999986</v>
      </c>
      <c r="DT113">
        <f t="shared" si="430"/>
        <v>180</v>
      </c>
      <c r="DU113">
        <f t="shared" si="431"/>
        <v>79.312499999999986</v>
      </c>
      <c r="DW113" s="5">
        <f t="shared" si="394"/>
        <v>12.608353033884951</v>
      </c>
      <c r="DX113" s="5">
        <f t="shared" si="395"/>
        <v>0.88888888888888906</v>
      </c>
      <c r="DY113" s="5">
        <f t="shared" si="396"/>
        <v>11.719464144996062</v>
      </c>
      <c r="DZ113" s="5"/>
      <c r="EA113" s="173">
        <f t="shared" si="397"/>
        <v>7.0500000000000007E-2</v>
      </c>
      <c r="EB113" s="173">
        <f t="shared" si="398"/>
        <v>0.84600000000000009</v>
      </c>
      <c r="EC113" s="173">
        <f t="shared" si="399"/>
        <v>2.4786666666666668</v>
      </c>
      <c r="ED113" s="173">
        <f t="shared" si="400"/>
        <v>0.34131253362022596</v>
      </c>
      <c r="EE113" s="460">
        <f t="shared" si="401"/>
        <v>4.0000000000000009</v>
      </c>
      <c r="EF113" s="5">
        <f t="shared" si="402"/>
        <v>0.39064880483320197</v>
      </c>
      <c r="EH113" s="173">
        <f t="shared" si="403"/>
        <v>0.20439612955674527</v>
      </c>
      <c r="EI113" s="173">
        <f t="shared" si="404"/>
        <v>2.9686759737359414</v>
      </c>
      <c r="EK113" s="528">
        <f t="shared" si="405"/>
        <v>5.0968888888888904E-4</v>
      </c>
      <c r="EL113" s="528">
        <f t="shared" si="406"/>
        <v>7.7831999999999998E-2</v>
      </c>
      <c r="EM113" s="528">
        <f t="shared" si="407"/>
        <v>9.9140624999999975E-3</v>
      </c>
      <c r="EN113" s="528">
        <f t="shared" si="408"/>
        <v>1.0740815999999997E-2</v>
      </c>
      <c r="EO113">
        <f t="shared" si="409"/>
        <v>8.0999999999999996E-3</v>
      </c>
      <c r="EP113" s="460">
        <f t="shared" si="410"/>
        <v>18.014062499999998</v>
      </c>
      <c r="EQ113" s="460"/>
      <c r="ER113" s="460">
        <f t="shared" si="432"/>
        <v>107.09656738888889</v>
      </c>
      <c r="ES113" s="528">
        <f t="shared" si="411"/>
        <v>0.126</v>
      </c>
      <c r="EV113" s="460">
        <f t="shared" si="412"/>
        <v>126</v>
      </c>
      <c r="EW113" s="528">
        <f t="shared" si="413"/>
        <v>1.2533333333333337E-3</v>
      </c>
      <c r="EX113" s="528">
        <f t="shared" si="414"/>
        <v>0.26439111111111119</v>
      </c>
      <c r="EY113" s="528">
        <f t="shared" si="415"/>
        <v>5.750041040602301E-3</v>
      </c>
      <c r="EZ113" s="528"/>
      <c r="FA113" s="528">
        <f t="shared" si="416"/>
        <v>3.5249999999999999E-3</v>
      </c>
      <c r="FB113" s="460">
        <f t="shared" si="417"/>
        <v>274.91948548504678</v>
      </c>
      <c r="FC113" s="173">
        <f t="shared" si="418"/>
        <v>0.5080160528739357</v>
      </c>
      <c r="FD113" s="5">
        <f t="shared" si="419"/>
        <v>0.72</v>
      </c>
      <c r="FE113" s="173">
        <f t="shared" si="420"/>
        <v>0.58631155375776911</v>
      </c>
      <c r="FF113" s="5">
        <f t="shared" si="421"/>
        <v>58.631155375776913</v>
      </c>
      <c r="FI113" s="562">
        <f t="shared" si="422"/>
        <v>-50</v>
      </c>
      <c r="FJ113">
        <f t="shared" si="423"/>
        <v>-50</v>
      </c>
      <c r="FL113">
        <f t="shared" si="424"/>
        <v>6.7499999999999991E-2</v>
      </c>
    </row>
    <row r="114" spans="5:168">
      <c r="E114" s="170">
        <v>4</v>
      </c>
      <c r="F114" s="217">
        <f t="shared" si="425"/>
        <v>0.24</v>
      </c>
      <c r="G114" s="217"/>
      <c r="H114" s="217">
        <f t="shared" si="315"/>
        <v>0.96</v>
      </c>
      <c r="I114" s="541">
        <f t="shared" si="316"/>
        <v>17.974046122014119</v>
      </c>
      <c r="J114" s="172">
        <f t="shared" si="317"/>
        <v>19.095209986569245</v>
      </c>
      <c r="K114" s="172">
        <f t="shared" si="318"/>
        <v>37.06925610858336</v>
      </c>
      <c r="L114" s="443"/>
      <c r="M114" s="217">
        <f t="shared" si="319"/>
        <v>0.51544660124452957</v>
      </c>
      <c r="N114" s="172">
        <f t="shared" si="426"/>
        <v>31.090658152826585</v>
      </c>
      <c r="O114" s="172">
        <f t="shared" si="284"/>
        <v>0.96</v>
      </c>
      <c r="P114" s="217">
        <f t="shared" si="320"/>
        <v>7.7726645382066462</v>
      </c>
      <c r="Q114" s="217">
        <f t="shared" si="321"/>
        <v>4</v>
      </c>
      <c r="R114" s="217"/>
      <c r="S114" s="172">
        <f t="shared" si="322"/>
        <v>245.15881169963947</v>
      </c>
      <c r="T114" s="172">
        <f t="shared" si="323"/>
        <v>4</v>
      </c>
      <c r="U114" s="217">
        <f t="shared" si="324"/>
        <v>0.24765072396191762</v>
      </c>
      <c r="V114" s="217">
        <f t="shared" si="325"/>
        <v>0.16533888181711195</v>
      </c>
      <c r="W114" s="217">
        <f t="shared" si="326"/>
        <v>0.15563110799165106</v>
      </c>
      <c r="X114" s="197">
        <f t="shared" si="327"/>
        <v>350</v>
      </c>
      <c r="Y114" s="443">
        <f t="shared" si="328"/>
        <v>350</v>
      </c>
      <c r="AA114" s="217">
        <f t="shared" si="329"/>
        <v>2.2044849035750338</v>
      </c>
      <c r="AB114" s="173">
        <f t="shared" si="330"/>
        <v>1.3853641233328615</v>
      </c>
      <c r="AC114" s="173">
        <f t="shared" si="331"/>
        <v>2.1378100070892283</v>
      </c>
      <c r="AD114" s="173"/>
      <c r="AE114" s="173">
        <f t="shared" si="332"/>
        <v>0.83790647032704646</v>
      </c>
      <c r="AF114" s="545">
        <f t="shared" si="333"/>
        <v>107.41055617445197</v>
      </c>
      <c r="AG114" s="528">
        <f t="shared" si="334"/>
        <v>0.78204603897191016</v>
      </c>
      <c r="AI114" s="173">
        <f t="shared" si="335"/>
        <v>0.73863213319465915</v>
      </c>
      <c r="AJ114" s="173">
        <f t="shared" si="336"/>
        <v>1.3333333333333335</v>
      </c>
      <c r="AK114" s="173">
        <f t="shared" si="337"/>
        <v>1.0613774606711155</v>
      </c>
      <c r="AM114" s="545">
        <f t="shared" si="338"/>
        <v>240</v>
      </c>
      <c r="AN114" s="460">
        <f t="shared" si="339"/>
        <v>107.41055617445197</v>
      </c>
      <c r="AP114" s="460">
        <f t="shared" si="340"/>
        <v>240</v>
      </c>
      <c r="AQ114" s="460">
        <f t="shared" si="341"/>
        <v>107.41055617445197</v>
      </c>
      <c r="AS114" s="5">
        <f t="shared" si="285"/>
        <v>9.310071892522739</v>
      </c>
      <c r="AT114" s="5">
        <f t="shared" si="342"/>
        <v>0.89017241256567381</v>
      </c>
      <c r="AU114" s="5">
        <f t="shared" si="343"/>
        <v>8.4198994799570652</v>
      </c>
      <c r="AV114" s="5"/>
      <c r="AW114" s="173">
        <f t="shared" si="344"/>
        <v>9.5613913924832733E-2</v>
      </c>
      <c r="AX114" s="173">
        <f t="shared" si="214"/>
        <v>1.1457125991941546</v>
      </c>
      <c r="AY114" s="173">
        <f t="shared" si="215"/>
        <v>2.4116962295337796</v>
      </c>
      <c r="AZ114" s="173">
        <f t="shared" si="288"/>
        <v>0.47506505386693731</v>
      </c>
      <c r="BA114" s="460">
        <f t="shared" si="345"/>
        <v>5.3410344753940429</v>
      </c>
      <c r="BB114" s="5">
        <f t="shared" si="346"/>
        <v>0.3747581116816921</v>
      </c>
      <c r="BD114" s="173">
        <f t="shared" si="289"/>
        <v>0.23803381512012456</v>
      </c>
      <c r="BE114" s="173">
        <f t="shared" si="218"/>
        <v>2.9282964206567645</v>
      </c>
      <c r="BG114" s="528">
        <f t="shared" si="347"/>
        <v>6.912531851158279E-4</v>
      </c>
      <c r="BH114" s="528">
        <f t="shared" si="348"/>
        <v>9.9540735389903504E-2</v>
      </c>
      <c r="BI114" s="528">
        <f t="shared" si="349"/>
        <v>4.8265057266769704E-2</v>
      </c>
      <c r="BJ114" s="528">
        <f t="shared" si="350"/>
        <v>1.4759604053620241E-2</v>
      </c>
      <c r="BK114">
        <f t="shared" si="351"/>
        <v>8.088320754906354E-3</v>
      </c>
      <c r="BL114" s="460">
        <f t="shared" si="427"/>
        <v>56.353378021676058</v>
      </c>
      <c r="BM114" s="528">
        <f t="shared" si="352"/>
        <v>0.11519715117110564</v>
      </c>
      <c r="BN114" s="460">
        <f t="shared" si="353"/>
        <v>115.19715117110565</v>
      </c>
      <c r="BO114" s="528">
        <f t="shared" si="354"/>
        <v>0.16799999999999998</v>
      </c>
      <c r="BR114" s="460">
        <f t="shared" si="355"/>
        <v>167.99999999999997</v>
      </c>
      <c r="BS114" s="528">
        <f t="shared" si="356"/>
        <v>1.699802914219249E-3</v>
      </c>
      <c r="BT114" s="528">
        <f t="shared" si="357"/>
        <v>0.25724759781693657</v>
      </c>
      <c r="BU114" s="528">
        <f t="shared" si="358"/>
        <v>1.2272534433762337E-2</v>
      </c>
      <c r="BV114" s="528"/>
      <c r="BW114" s="528">
        <f t="shared" si="359"/>
        <v>4.7738024966423103E-3</v>
      </c>
      <c r="BX114" s="460">
        <f t="shared" si="360"/>
        <v>275.99373766156049</v>
      </c>
      <c r="BY114" s="173">
        <f t="shared" si="361"/>
        <v>0.61533870831187598</v>
      </c>
      <c r="BZ114" s="5">
        <f t="shared" si="362"/>
        <v>0.96</v>
      </c>
      <c r="CA114" s="173">
        <f t="shared" si="363"/>
        <v>0.60939275784617175</v>
      </c>
      <c r="CB114" s="5">
        <f t="shared" si="364"/>
        <v>60.939275784617173</v>
      </c>
      <c r="CE114" s="562">
        <f t="shared" si="365"/>
        <v>-50</v>
      </c>
      <c r="CF114">
        <f t="shared" si="366"/>
        <v>-50</v>
      </c>
      <c r="CG114" s="173">
        <f t="shared" si="367"/>
        <v>9.7557675249054579E-2</v>
      </c>
      <c r="CI114" s="170">
        <v>4</v>
      </c>
      <c r="CJ114" s="217">
        <f t="shared" si="428"/>
        <v>0.24</v>
      </c>
      <c r="CK114" s="217"/>
      <c r="CL114" s="217">
        <f t="shared" si="368"/>
        <v>0.96</v>
      </c>
      <c r="CM114" s="541">
        <f t="shared" si="369"/>
        <v>18</v>
      </c>
      <c r="CN114" s="443">
        <f t="shared" si="370"/>
        <v>18.8</v>
      </c>
      <c r="CO114" s="443">
        <f t="shared" si="371"/>
        <v>36.799999999999997</v>
      </c>
      <c r="CP114" s="443"/>
      <c r="CQ114" s="217">
        <f t="shared" si="372"/>
        <v>0.51086956521739135</v>
      </c>
      <c r="CR114" s="172">
        <f t="shared" si="429"/>
        <v>30.859076086956527</v>
      </c>
      <c r="CS114" s="172">
        <f t="shared" si="373"/>
        <v>0.96</v>
      </c>
      <c r="CT114" s="217">
        <f t="shared" si="374"/>
        <v>7.7147690217391318</v>
      </c>
      <c r="CU114" s="217">
        <f t="shared" si="375"/>
        <v>4</v>
      </c>
      <c r="CV114" s="217"/>
      <c r="CW114" s="172">
        <f t="shared" si="376"/>
        <v>245.51279381120389</v>
      </c>
      <c r="CX114" s="172">
        <f t="shared" si="377"/>
        <v>4</v>
      </c>
      <c r="CY114" s="217">
        <f t="shared" si="378"/>
        <v>0.20879432624113473</v>
      </c>
      <c r="CZ114" s="217">
        <f t="shared" si="379"/>
        <v>0.13919621749408981</v>
      </c>
      <c r="DA114" s="217">
        <f t="shared" si="380"/>
        <v>0.13327297419646897</v>
      </c>
      <c r="DB114" s="197">
        <f t="shared" si="381"/>
        <v>350</v>
      </c>
      <c r="DC114" s="443">
        <f t="shared" si="382"/>
        <v>350</v>
      </c>
      <c r="DE114" s="217">
        <f t="shared" si="383"/>
        <v>2.18944099378882</v>
      </c>
      <c r="DF114" s="173">
        <f t="shared" si="384"/>
        <v>1.3975155279503106</v>
      </c>
      <c r="DG114" s="173">
        <f t="shared" si="385"/>
        <v>2.1418444504455847</v>
      </c>
      <c r="DH114" s="173"/>
      <c r="DI114" s="173">
        <f t="shared" si="386"/>
        <v>0.85106382978723416</v>
      </c>
      <c r="DJ114" s="545">
        <f t="shared" si="387"/>
        <v>105.74999999999997</v>
      </c>
      <c r="DK114" s="528">
        <f t="shared" si="388"/>
        <v>0.79432624113475192</v>
      </c>
      <c r="DM114" s="173">
        <f t="shared" si="389"/>
        <v>0.73290030505032344</v>
      </c>
      <c r="DN114" s="173">
        <f t="shared" si="390"/>
        <v>1.3333333333333335</v>
      </c>
      <c r="DO114" s="173">
        <f t="shared" si="391"/>
        <v>1.0604285714285715</v>
      </c>
      <c r="DQ114" s="545">
        <f t="shared" si="392"/>
        <v>240</v>
      </c>
      <c r="DR114" s="460">
        <f t="shared" si="393"/>
        <v>105.74999999999997</v>
      </c>
      <c r="DT114">
        <f t="shared" si="430"/>
        <v>240</v>
      </c>
      <c r="DU114">
        <f t="shared" si="431"/>
        <v>105.74999999999997</v>
      </c>
      <c r="DW114" s="5">
        <f t="shared" si="394"/>
        <v>9.4562647754137146</v>
      </c>
      <c r="DX114" s="5">
        <f t="shared" si="395"/>
        <v>0.88888888888888906</v>
      </c>
      <c r="DY114" s="5">
        <f t="shared" si="396"/>
        <v>8.5673758865248253</v>
      </c>
      <c r="DZ114" s="5"/>
      <c r="EA114" s="173">
        <f t="shared" si="397"/>
        <v>9.3999999999999986E-2</v>
      </c>
      <c r="EB114" s="173">
        <f t="shared" si="398"/>
        <v>1.1279999999999999</v>
      </c>
      <c r="EC114" s="173">
        <f t="shared" si="399"/>
        <v>2.4160000000000004</v>
      </c>
      <c r="ED114" s="173">
        <f t="shared" si="400"/>
        <v>0.46688741721854293</v>
      </c>
      <c r="EE114" s="460">
        <f t="shared" si="401"/>
        <v>5.3333333333333339</v>
      </c>
      <c r="EF114" s="5">
        <f t="shared" si="402"/>
        <v>0.3807722616233255</v>
      </c>
      <c r="EH114" s="173">
        <f t="shared" si="403"/>
        <v>0.23601632084180896</v>
      </c>
      <c r="EI114" s="173">
        <f t="shared" si="404"/>
        <v>2.9309080883272722</v>
      </c>
      <c r="EK114" s="528">
        <f t="shared" si="405"/>
        <v>6.7958518518518513E-4</v>
      </c>
      <c r="EL114" s="528">
        <f t="shared" si="406"/>
        <v>0.10377599999999998</v>
      </c>
      <c r="EM114" s="528">
        <f t="shared" si="407"/>
        <v>1.3218749999999996E-2</v>
      </c>
      <c r="EN114" s="528">
        <f t="shared" si="408"/>
        <v>1.4321087999999994E-2</v>
      </c>
      <c r="EO114">
        <f t="shared" si="409"/>
        <v>8.0999999999999996E-3</v>
      </c>
      <c r="EP114" s="460">
        <f t="shared" si="410"/>
        <v>21.318749999999998</v>
      </c>
      <c r="EQ114" s="460"/>
      <c r="ER114" s="460">
        <f t="shared" si="432"/>
        <v>140.09542318518515</v>
      </c>
      <c r="ES114" s="528">
        <f t="shared" si="411"/>
        <v>0.16799999999999998</v>
      </c>
      <c r="EV114" s="460">
        <f t="shared" si="412"/>
        <v>167.99999999999997</v>
      </c>
      <c r="EW114" s="528">
        <f t="shared" si="413"/>
        <v>1.6711111111111111E-3</v>
      </c>
      <c r="EX114" s="528">
        <f t="shared" si="414"/>
        <v>0.25770666666666675</v>
      </c>
      <c r="EY114" s="528">
        <f t="shared" si="415"/>
        <v>1.1803689751620026E-2</v>
      </c>
      <c r="EZ114" s="528"/>
      <c r="FA114" s="528">
        <f t="shared" si="416"/>
        <v>4.7000000000000002E-3</v>
      </c>
      <c r="FB114" s="460">
        <f t="shared" si="417"/>
        <v>275.88146752939792</v>
      </c>
      <c r="FC114" s="173">
        <f t="shared" si="418"/>
        <v>0.58397689071458314</v>
      </c>
      <c r="FD114" s="5">
        <f t="shared" si="419"/>
        <v>0.96</v>
      </c>
      <c r="FE114" s="173">
        <f t="shared" si="420"/>
        <v>0.62177096417271693</v>
      </c>
      <c r="FF114" s="5">
        <f t="shared" si="421"/>
        <v>62.177096417271692</v>
      </c>
      <c r="FI114" s="562">
        <f t="shared" si="422"/>
        <v>-50</v>
      </c>
      <c r="FJ114">
        <f t="shared" si="423"/>
        <v>-50</v>
      </c>
      <c r="FL114">
        <f t="shared" si="424"/>
        <v>8.9999999999999983E-2</v>
      </c>
    </row>
    <row r="115" spans="5:168">
      <c r="E115" s="170">
        <v>5</v>
      </c>
      <c r="F115" s="217">
        <f t="shared" si="425"/>
        <v>0.30000000000000004</v>
      </c>
      <c r="G115" s="217"/>
      <c r="H115" s="217">
        <f t="shared" si="315"/>
        <v>1.2000000000000002</v>
      </c>
      <c r="I115" s="541">
        <f t="shared" si="316"/>
        <v>17.974046122014119</v>
      </c>
      <c r="J115" s="172">
        <f t="shared" si="317"/>
        <v>19.095209986569245</v>
      </c>
      <c r="K115" s="172">
        <f t="shared" si="318"/>
        <v>37.06925610858336</v>
      </c>
      <c r="L115" s="443"/>
      <c r="M115" s="217">
        <f t="shared" si="319"/>
        <v>0.51544660124452957</v>
      </c>
      <c r="N115" s="172">
        <f t="shared" si="426"/>
        <v>31.090658152826585</v>
      </c>
      <c r="O115" s="172">
        <f t="shared" si="284"/>
        <v>1.2000000000000002</v>
      </c>
      <c r="P115" s="217">
        <f t="shared" si="320"/>
        <v>7.7726645382066462</v>
      </c>
      <c r="Q115" s="217">
        <f t="shared" si="321"/>
        <v>4</v>
      </c>
      <c r="R115" s="217"/>
      <c r="S115" s="172">
        <f t="shared" si="322"/>
        <v>195.23416569514586</v>
      </c>
      <c r="T115" s="172">
        <f t="shared" si="323"/>
        <v>4</v>
      </c>
      <c r="U115" s="217">
        <f t="shared" si="324"/>
        <v>0.30956340495239709</v>
      </c>
      <c r="V115" s="217">
        <f t="shared" si="325"/>
        <v>0.20667360227138998</v>
      </c>
      <c r="W115" s="217">
        <f t="shared" si="326"/>
        <v>0.19453888498956384</v>
      </c>
      <c r="X115" s="197">
        <f t="shared" si="327"/>
        <v>350</v>
      </c>
      <c r="Y115" s="443">
        <f t="shared" si="328"/>
        <v>350</v>
      </c>
      <c r="AA115" s="217">
        <f t="shared" si="329"/>
        <v>2.2044849035750338</v>
      </c>
      <c r="AB115" s="173">
        <f t="shared" si="330"/>
        <v>1.3853641233328615</v>
      </c>
      <c r="AC115" s="173">
        <f t="shared" si="331"/>
        <v>2.1378100070892283</v>
      </c>
      <c r="AD115" s="173"/>
      <c r="AE115" s="173">
        <f t="shared" si="332"/>
        <v>0.83790647032704646</v>
      </c>
      <c r="AF115" s="545">
        <f t="shared" si="333"/>
        <v>134.26319521806496</v>
      </c>
      <c r="AG115" s="528">
        <f t="shared" si="334"/>
        <v>0.78204603897191016</v>
      </c>
      <c r="AI115" s="173">
        <f t="shared" si="335"/>
        <v>0.82581583009446846</v>
      </c>
      <c r="AJ115" s="173">
        <f t="shared" si="336"/>
        <v>1.3333333333333335</v>
      </c>
      <c r="AK115" s="173">
        <f t="shared" si="337"/>
        <v>1.0767218258388942</v>
      </c>
      <c r="AM115" s="545">
        <f t="shared" si="338"/>
        <v>300.00000000000006</v>
      </c>
      <c r="AN115" s="460">
        <f t="shared" si="339"/>
        <v>134.26319521806496</v>
      </c>
      <c r="AP115" s="460">
        <f t="shared" si="340"/>
        <v>300.00000000000006</v>
      </c>
      <c r="AQ115" s="460">
        <f t="shared" si="341"/>
        <v>134.26319521806496</v>
      </c>
      <c r="AS115" s="5">
        <f t="shared" si="285"/>
        <v>7.448057514018191</v>
      </c>
      <c r="AT115" s="5">
        <f t="shared" si="342"/>
        <v>0.89017241256567381</v>
      </c>
      <c r="AU115" s="5">
        <f t="shared" si="343"/>
        <v>6.5578851014525172</v>
      </c>
      <c r="AV115" s="5"/>
      <c r="AW115" s="173">
        <f t="shared" si="344"/>
        <v>0.11951739240604092</v>
      </c>
      <c r="AX115" s="173">
        <f t="shared" si="214"/>
        <v>1.4321407489926934</v>
      </c>
      <c r="AY115" s="173">
        <f t="shared" si="215"/>
        <v>2.347953620250558</v>
      </c>
      <c r="AZ115" s="173">
        <f t="shared" si="288"/>
        <v>0.609952742098826</v>
      </c>
      <c r="BA115" s="460">
        <f t="shared" si="345"/>
        <v>6.6762930942425553</v>
      </c>
      <c r="BB115" s="5">
        <f t="shared" si="346"/>
        <v>0.3648530251305297</v>
      </c>
      <c r="BD115" s="173">
        <f t="shared" si="289"/>
        <v>0.26612989577610791</v>
      </c>
      <c r="BE115" s="173">
        <f t="shared" si="218"/>
        <v>2.8893389449264428</v>
      </c>
      <c r="BG115" s="528">
        <f t="shared" si="347"/>
        <v>8.6406648139478496E-4</v>
      </c>
      <c r="BH115" s="528">
        <f t="shared" si="348"/>
        <v>0.12442591923737939</v>
      </c>
      <c r="BI115" s="528">
        <f t="shared" si="349"/>
        <v>6.0331321583462133E-2</v>
      </c>
      <c r="BJ115" s="528">
        <f t="shared" si="350"/>
        <v>1.84495050670253E-2</v>
      </c>
      <c r="BK115">
        <f t="shared" si="351"/>
        <v>8.088320754906354E-3</v>
      </c>
      <c r="BL115" s="460">
        <f t="shared" si="427"/>
        <v>68.41964233836849</v>
      </c>
      <c r="BM115" s="528">
        <f t="shared" si="352"/>
        <v>0.14400235273501877</v>
      </c>
      <c r="BN115" s="460">
        <f t="shared" si="353"/>
        <v>144.00235273501877</v>
      </c>
      <c r="BO115" s="528">
        <f t="shared" si="354"/>
        <v>0.21000000000000002</v>
      </c>
      <c r="BR115" s="460">
        <f t="shared" si="355"/>
        <v>210.00000000000003</v>
      </c>
      <c r="BS115" s="528">
        <f t="shared" si="356"/>
        <v>2.1247536427740615E-3</v>
      </c>
      <c r="BT115" s="528">
        <f t="shared" si="357"/>
        <v>0.25044838616005949</v>
      </c>
      <c r="BU115" s="528">
        <f t="shared" si="358"/>
        <v>2.1439235351640204E-2</v>
      </c>
      <c r="BV115" s="528"/>
      <c r="BW115" s="528">
        <f t="shared" si="359"/>
        <v>5.967253120802889E-3</v>
      </c>
      <c r="BX115" s="460">
        <f t="shared" si="360"/>
        <v>279.97962827527664</v>
      </c>
      <c r="BY115" s="173">
        <f t="shared" si="361"/>
        <v>0.70213876139944464</v>
      </c>
      <c r="BZ115" s="5">
        <f t="shared" si="362"/>
        <v>1.2000000000000002</v>
      </c>
      <c r="CA115" s="173">
        <f t="shared" si="363"/>
        <v>0.63086880113684984</v>
      </c>
      <c r="CB115" s="5">
        <f t="shared" si="364"/>
        <v>63.086880113684984</v>
      </c>
      <c r="CE115" s="562">
        <f t="shared" si="365"/>
        <v>-50</v>
      </c>
      <c r="CF115">
        <f t="shared" si="366"/>
        <v>-50</v>
      </c>
      <c r="CG115" s="173">
        <f t="shared" si="367"/>
        <v>0.12194709406131825</v>
      </c>
      <c r="CI115" s="170">
        <v>5</v>
      </c>
      <c r="CJ115" s="217">
        <f t="shared" si="428"/>
        <v>0.30000000000000004</v>
      </c>
      <c r="CK115" s="217"/>
      <c r="CL115" s="217">
        <f t="shared" si="368"/>
        <v>1.2000000000000002</v>
      </c>
      <c r="CM115" s="541">
        <f t="shared" si="369"/>
        <v>18</v>
      </c>
      <c r="CN115" s="443">
        <f t="shared" si="370"/>
        <v>18.8</v>
      </c>
      <c r="CO115" s="443">
        <f t="shared" si="371"/>
        <v>36.799999999999997</v>
      </c>
      <c r="CP115" s="443"/>
      <c r="CQ115" s="217">
        <f t="shared" si="372"/>
        <v>0.51086956521739135</v>
      </c>
      <c r="CR115" s="172">
        <f t="shared" si="429"/>
        <v>30.859076086956527</v>
      </c>
      <c r="CS115" s="172">
        <f t="shared" si="373"/>
        <v>1.2000000000000002</v>
      </c>
      <c r="CT115" s="217">
        <f t="shared" si="374"/>
        <v>7.7147690217391318</v>
      </c>
      <c r="CU115" s="217">
        <f t="shared" si="375"/>
        <v>4</v>
      </c>
      <c r="CV115" s="217"/>
      <c r="CW115" s="172">
        <f t="shared" si="376"/>
        <v>195.51605373230211</v>
      </c>
      <c r="CX115" s="172">
        <f t="shared" si="377"/>
        <v>4</v>
      </c>
      <c r="CY115" s="217">
        <f t="shared" si="378"/>
        <v>0.26099290780141843</v>
      </c>
      <c r="CZ115" s="217">
        <f t="shared" si="379"/>
        <v>0.17399527186761229</v>
      </c>
      <c r="DA115" s="217">
        <f t="shared" si="380"/>
        <v>0.16659121774558622</v>
      </c>
      <c r="DB115" s="197">
        <f t="shared" si="381"/>
        <v>350</v>
      </c>
      <c r="DC115" s="443">
        <f t="shared" si="382"/>
        <v>350</v>
      </c>
      <c r="DE115" s="217">
        <f t="shared" si="383"/>
        <v>2.18944099378882</v>
      </c>
      <c r="DF115" s="173">
        <f t="shared" si="384"/>
        <v>1.3975155279503106</v>
      </c>
      <c r="DG115" s="173">
        <f t="shared" si="385"/>
        <v>2.1418444504455847</v>
      </c>
      <c r="DH115" s="173"/>
      <c r="DI115" s="173">
        <f t="shared" si="386"/>
        <v>0.85106382978723416</v>
      </c>
      <c r="DJ115" s="545">
        <f t="shared" si="387"/>
        <v>132.1875</v>
      </c>
      <c r="DK115" s="528">
        <f t="shared" si="388"/>
        <v>0.79432624113475192</v>
      </c>
      <c r="DM115" s="173">
        <f t="shared" si="389"/>
        <v>0.8194074514114279</v>
      </c>
      <c r="DN115" s="173">
        <f t="shared" si="390"/>
        <v>1.3333333333333335</v>
      </c>
      <c r="DO115" s="173">
        <f t="shared" si="391"/>
        <v>1.0755357142857143</v>
      </c>
      <c r="DQ115" s="545">
        <f t="shared" si="392"/>
        <v>300.00000000000006</v>
      </c>
      <c r="DR115" s="460">
        <f t="shared" si="393"/>
        <v>132.1875</v>
      </c>
      <c r="DT115">
        <f t="shared" si="430"/>
        <v>300.00000000000006</v>
      </c>
      <c r="DU115">
        <f t="shared" si="431"/>
        <v>132.1875</v>
      </c>
      <c r="DW115" s="5">
        <f t="shared" si="394"/>
        <v>7.5650118203309686</v>
      </c>
      <c r="DX115" s="5">
        <f t="shared" si="395"/>
        <v>0.88888888888888906</v>
      </c>
      <c r="DY115" s="5">
        <f t="shared" si="396"/>
        <v>6.6761229314420794</v>
      </c>
      <c r="DZ115" s="5"/>
      <c r="EA115" s="173">
        <f t="shared" si="397"/>
        <v>0.11750000000000003</v>
      </c>
      <c r="EB115" s="173">
        <f t="shared" si="398"/>
        <v>1.4100000000000001</v>
      </c>
      <c r="EC115" s="173">
        <f t="shared" si="399"/>
        <v>2.3533333333333335</v>
      </c>
      <c r="ED115" s="173">
        <f t="shared" si="400"/>
        <v>0.59915014164305946</v>
      </c>
      <c r="EE115" s="460">
        <f t="shared" si="401"/>
        <v>6.6666666666666696</v>
      </c>
      <c r="EF115" s="5">
        <f t="shared" si="402"/>
        <v>0.37089571841344887</v>
      </c>
      <c r="EH115" s="173">
        <f t="shared" si="403"/>
        <v>0.26387426860084268</v>
      </c>
      <c r="EI115" s="173">
        <f t="shared" si="404"/>
        <v>2.8926471280485297</v>
      </c>
      <c r="EK115" s="528">
        <f t="shared" si="405"/>
        <v>8.4948148148148188E-4</v>
      </c>
      <c r="EL115" s="528">
        <f t="shared" si="406"/>
        <v>0.12972</v>
      </c>
      <c r="EM115" s="528">
        <f t="shared" si="407"/>
        <v>1.6523437499999998E-2</v>
      </c>
      <c r="EN115" s="528">
        <f t="shared" si="408"/>
        <v>1.7901359999999998E-2</v>
      </c>
      <c r="EO115">
        <f t="shared" si="409"/>
        <v>8.0999999999999996E-3</v>
      </c>
      <c r="EP115" s="460">
        <f t="shared" si="410"/>
        <v>24.623437499999998</v>
      </c>
      <c r="EQ115" s="460"/>
      <c r="ER115" s="460">
        <f t="shared" si="432"/>
        <v>173.09427898148147</v>
      </c>
      <c r="ES115" s="528">
        <f t="shared" si="411"/>
        <v>0.21000000000000002</v>
      </c>
      <c r="EV115" s="460">
        <f t="shared" si="412"/>
        <v>210.00000000000003</v>
      </c>
      <c r="EW115" s="528">
        <f t="shared" si="413"/>
        <v>2.0888888888888901E-3</v>
      </c>
      <c r="EX115" s="528">
        <f t="shared" si="414"/>
        <v>0.2510222222222222</v>
      </c>
      <c r="EY115" s="528">
        <f t="shared" si="415"/>
        <v>2.0620197398390674E-2</v>
      </c>
      <c r="EZ115" s="528"/>
      <c r="FA115" s="528">
        <f t="shared" si="416"/>
        <v>5.8750000000000017E-3</v>
      </c>
      <c r="FB115" s="460">
        <f t="shared" si="417"/>
        <v>279.60630850950173</v>
      </c>
      <c r="FC115" s="173">
        <f t="shared" si="418"/>
        <v>0.66270058749098326</v>
      </c>
      <c r="FD115" s="5">
        <f t="shared" si="419"/>
        <v>1.2000000000000002</v>
      </c>
      <c r="FE115" s="173">
        <f t="shared" si="420"/>
        <v>0.64422592018203728</v>
      </c>
      <c r="FF115" s="5">
        <f t="shared" si="421"/>
        <v>64.42259201820373</v>
      </c>
      <c r="FI115" s="562">
        <f t="shared" si="422"/>
        <v>-50</v>
      </c>
      <c r="FJ115">
        <f t="shared" si="423"/>
        <v>-50</v>
      </c>
      <c r="FL115">
        <f t="shared" si="424"/>
        <v>0.1125</v>
      </c>
    </row>
    <row r="116" spans="5:168">
      <c r="E116" s="170">
        <v>6</v>
      </c>
      <c r="F116" s="217">
        <f t="shared" si="425"/>
        <v>0.36</v>
      </c>
      <c r="G116" s="217"/>
      <c r="H116" s="217">
        <f t="shared" si="315"/>
        <v>1.44</v>
      </c>
      <c r="I116" s="541">
        <f t="shared" si="316"/>
        <v>17.974046122014119</v>
      </c>
      <c r="J116" s="172">
        <f t="shared" si="317"/>
        <v>19.095209986569245</v>
      </c>
      <c r="K116" s="172">
        <f t="shared" si="318"/>
        <v>37.06925610858336</v>
      </c>
      <c r="L116" s="443"/>
      <c r="M116" s="217">
        <f t="shared" si="319"/>
        <v>0.51544660124452957</v>
      </c>
      <c r="N116" s="172">
        <f t="shared" si="426"/>
        <v>31.090658152826585</v>
      </c>
      <c r="O116" s="172">
        <f t="shared" si="284"/>
        <v>1.44</v>
      </c>
      <c r="P116" s="217">
        <f t="shared" si="320"/>
        <v>7.7726645382066462</v>
      </c>
      <c r="Q116" s="217">
        <f t="shared" si="321"/>
        <v>4</v>
      </c>
      <c r="R116" s="217"/>
      <c r="S116" s="172">
        <f t="shared" si="322"/>
        <v>161.95218000575483</v>
      </c>
      <c r="T116" s="172">
        <f t="shared" si="323"/>
        <v>4</v>
      </c>
      <c r="U116" s="217">
        <f t="shared" si="324"/>
        <v>0.37147608594287646</v>
      </c>
      <c r="V116" s="217">
        <f t="shared" si="325"/>
        <v>0.24800832272566792</v>
      </c>
      <c r="W116" s="217">
        <f t="shared" si="326"/>
        <v>0.2334466619874766</v>
      </c>
      <c r="X116" s="197">
        <f t="shared" si="327"/>
        <v>350</v>
      </c>
      <c r="Y116" s="443">
        <f t="shared" si="328"/>
        <v>350</v>
      </c>
      <c r="AA116" s="217">
        <f t="shared" si="329"/>
        <v>2.2044849035750338</v>
      </c>
      <c r="AB116" s="173">
        <f t="shared" si="330"/>
        <v>1.3853641233328615</v>
      </c>
      <c r="AC116" s="173">
        <f t="shared" si="331"/>
        <v>2.1378100070892283</v>
      </c>
      <c r="AD116" s="173"/>
      <c r="AE116" s="173">
        <f t="shared" si="332"/>
        <v>0.83790647032704646</v>
      </c>
      <c r="AF116" s="545">
        <f t="shared" si="333"/>
        <v>161.11583426167792</v>
      </c>
      <c r="AG116" s="528">
        <f t="shared" si="334"/>
        <v>0.78204603897191016</v>
      </c>
      <c r="AI116" s="173">
        <f t="shared" si="335"/>
        <v>0.90463591697518786</v>
      </c>
      <c r="AJ116" s="173">
        <f t="shared" si="336"/>
        <v>1.3333333333333335</v>
      </c>
      <c r="AK116" s="173">
        <f t="shared" si="337"/>
        <v>1.0920661910066731</v>
      </c>
      <c r="AM116" s="545">
        <f t="shared" si="338"/>
        <v>360</v>
      </c>
      <c r="AN116" s="460">
        <f t="shared" si="339"/>
        <v>161.11583426167792</v>
      </c>
      <c r="AP116" s="460">
        <f t="shared" si="340"/>
        <v>360</v>
      </c>
      <c r="AQ116" s="460">
        <f t="shared" si="341"/>
        <v>161.11583426167792</v>
      </c>
      <c r="AS116" s="5">
        <f t="shared" si="285"/>
        <v>6.2067145950151605</v>
      </c>
      <c r="AT116" s="5">
        <f t="shared" si="342"/>
        <v>0.89017241256567381</v>
      </c>
      <c r="AU116" s="5">
        <f t="shared" si="343"/>
        <v>5.3165421824494867</v>
      </c>
      <c r="AV116" s="5"/>
      <c r="AW116" s="173">
        <f t="shared" si="344"/>
        <v>0.14342087088724909</v>
      </c>
      <c r="AX116" s="173">
        <f t="shared" si="214"/>
        <v>1.7185688987912315</v>
      </c>
      <c r="AY116" s="173">
        <f t="shared" si="215"/>
        <v>2.2842110109673359</v>
      </c>
      <c r="AZ116" s="173">
        <f t="shared" si="288"/>
        <v>0.7523687131091441</v>
      </c>
      <c r="BA116" s="460">
        <f t="shared" si="345"/>
        <v>8.0115517130910643</v>
      </c>
      <c r="BB116" s="5">
        <f t="shared" si="346"/>
        <v>0.35494793857936729</v>
      </c>
      <c r="BD116" s="173">
        <f t="shared" si="289"/>
        <v>0.2915306942861462</v>
      </c>
      <c r="BE116" s="173">
        <f t="shared" si="218"/>
        <v>2.8498489697010414</v>
      </c>
      <c r="BG116" s="528">
        <f t="shared" si="347"/>
        <v>1.0368797776737415E-3</v>
      </c>
      <c r="BH116" s="528">
        <f t="shared" si="348"/>
        <v>0.14931110308485523</v>
      </c>
      <c r="BI116" s="528">
        <f t="shared" si="349"/>
        <v>7.2397585900154549E-2</v>
      </c>
      <c r="BJ116" s="528">
        <f t="shared" si="350"/>
        <v>2.2139406080430357E-2</v>
      </c>
      <c r="BK116">
        <f t="shared" si="351"/>
        <v>8.088320754906354E-3</v>
      </c>
      <c r="BL116" s="460">
        <f t="shared" si="427"/>
        <v>80.485906655060901</v>
      </c>
      <c r="BM116" s="528">
        <f t="shared" si="352"/>
        <v>0.17280992039030302</v>
      </c>
      <c r="BN116" s="460">
        <f t="shared" si="353"/>
        <v>172.80992039030301</v>
      </c>
      <c r="BO116" s="528">
        <f t="shared" si="354"/>
        <v>0.252</v>
      </c>
      <c r="BR116" s="460">
        <f t="shared" si="355"/>
        <v>252</v>
      </c>
      <c r="BS116" s="528">
        <f t="shared" si="356"/>
        <v>2.5497043713288729E-3</v>
      </c>
      <c r="BT116" s="528">
        <f t="shared" si="357"/>
        <v>0.24364917450318263</v>
      </c>
      <c r="BU116" s="528">
        <f t="shared" si="358"/>
        <v>3.3819128115135925E-2</v>
      </c>
      <c r="BV116" s="528"/>
      <c r="BW116" s="528">
        <f t="shared" si="359"/>
        <v>7.1607037449634642E-3</v>
      </c>
      <c r="BX116" s="460">
        <f t="shared" si="360"/>
        <v>287.17871073461089</v>
      </c>
      <c r="BY116" s="173">
        <f t="shared" si="361"/>
        <v>0.79215200633263105</v>
      </c>
      <c r="BZ116" s="5">
        <f t="shared" si="362"/>
        <v>1.44</v>
      </c>
      <c r="CA116" s="173">
        <f t="shared" si="363"/>
        <v>0.64511735576910079</v>
      </c>
      <c r="CB116" s="5">
        <f t="shared" si="364"/>
        <v>64.511735576910084</v>
      </c>
      <c r="CE116" s="562">
        <f t="shared" si="365"/>
        <v>-50</v>
      </c>
      <c r="CF116">
        <f t="shared" si="366"/>
        <v>-50</v>
      </c>
      <c r="CG116" s="173">
        <f t="shared" si="367"/>
        <v>0.14633651287358188</v>
      </c>
      <c r="CI116" s="170">
        <v>6</v>
      </c>
      <c r="CJ116" s="217">
        <f t="shared" si="428"/>
        <v>0.36</v>
      </c>
      <c r="CK116" s="217"/>
      <c r="CL116" s="217">
        <f t="shared" si="368"/>
        <v>1.44</v>
      </c>
      <c r="CM116" s="541">
        <f t="shared" si="369"/>
        <v>18</v>
      </c>
      <c r="CN116" s="443">
        <f t="shared" si="370"/>
        <v>18.8</v>
      </c>
      <c r="CO116" s="443">
        <f t="shared" si="371"/>
        <v>36.799999999999997</v>
      </c>
      <c r="CP116" s="443"/>
      <c r="CQ116" s="217">
        <f t="shared" si="372"/>
        <v>0.51086956521739135</v>
      </c>
      <c r="CR116" s="172">
        <f t="shared" si="429"/>
        <v>30.859076086956527</v>
      </c>
      <c r="CS116" s="172">
        <f t="shared" si="373"/>
        <v>1.44</v>
      </c>
      <c r="CT116" s="217">
        <f t="shared" si="374"/>
        <v>7.7147690217391318</v>
      </c>
      <c r="CU116" s="217">
        <f t="shared" si="375"/>
        <v>4</v>
      </c>
      <c r="CV116" s="217"/>
      <c r="CW116" s="172">
        <f t="shared" si="376"/>
        <v>162.18600534461717</v>
      </c>
      <c r="CX116" s="172">
        <f t="shared" si="377"/>
        <v>4</v>
      </c>
      <c r="CY116" s="217">
        <f t="shared" si="378"/>
        <v>0.31319148936170205</v>
      </c>
      <c r="CZ116" s="217">
        <f t="shared" si="379"/>
        <v>0.2087943262411347</v>
      </c>
      <c r="DA116" s="217">
        <f t="shared" si="380"/>
        <v>0.19990946129470344</v>
      </c>
      <c r="DB116" s="197">
        <f t="shared" si="381"/>
        <v>350</v>
      </c>
      <c r="DC116" s="443">
        <f t="shared" si="382"/>
        <v>350</v>
      </c>
      <c r="DE116" s="217">
        <f t="shared" si="383"/>
        <v>2.18944099378882</v>
      </c>
      <c r="DF116" s="173">
        <f t="shared" si="384"/>
        <v>1.3975155279503106</v>
      </c>
      <c r="DG116" s="173">
        <f t="shared" si="385"/>
        <v>2.1418444504455847</v>
      </c>
      <c r="DH116" s="173"/>
      <c r="DI116" s="173">
        <f t="shared" si="386"/>
        <v>0.85106382978723416</v>
      </c>
      <c r="DJ116" s="545">
        <f t="shared" si="387"/>
        <v>158.62499999999997</v>
      </c>
      <c r="DK116" s="528">
        <f t="shared" si="388"/>
        <v>0.79432624113475192</v>
      </c>
      <c r="DM116" s="173">
        <f t="shared" si="389"/>
        <v>0.89761588985171481</v>
      </c>
      <c r="DN116" s="173">
        <f t="shared" si="390"/>
        <v>1.3333333333333335</v>
      </c>
      <c r="DO116" s="173">
        <f t="shared" si="391"/>
        <v>1.090642857142857</v>
      </c>
      <c r="DQ116" s="545">
        <f t="shared" si="392"/>
        <v>360</v>
      </c>
      <c r="DR116" s="460">
        <f t="shared" si="393"/>
        <v>158.62499999999997</v>
      </c>
      <c r="DT116">
        <f t="shared" si="430"/>
        <v>360</v>
      </c>
      <c r="DU116">
        <f t="shared" si="431"/>
        <v>158.62499999999997</v>
      </c>
      <c r="DW116" s="5">
        <f t="shared" si="394"/>
        <v>6.3041765169424755</v>
      </c>
      <c r="DX116" s="5">
        <f t="shared" si="395"/>
        <v>0.88888888888888906</v>
      </c>
      <c r="DY116" s="5">
        <f t="shared" si="396"/>
        <v>5.4152876280535862</v>
      </c>
      <c r="DZ116" s="5"/>
      <c r="EA116" s="173">
        <f t="shared" si="397"/>
        <v>0.14100000000000001</v>
      </c>
      <c r="EB116" s="173">
        <f t="shared" si="398"/>
        <v>1.6920000000000002</v>
      </c>
      <c r="EC116" s="173">
        <f t="shared" si="399"/>
        <v>2.2906666666666671</v>
      </c>
      <c r="ED116" s="173">
        <f t="shared" si="400"/>
        <v>0.73864959254947604</v>
      </c>
      <c r="EE116" s="460">
        <f t="shared" si="401"/>
        <v>8.0000000000000018</v>
      </c>
      <c r="EF116" s="5">
        <f t="shared" si="402"/>
        <v>0.36101917520357235</v>
      </c>
      <c r="EH116" s="173">
        <f t="shared" si="403"/>
        <v>0.2890597785157174</v>
      </c>
      <c r="EI116" s="173">
        <f t="shared" si="404"/>
        <v>2.8538732614803686</v>
      </c>
      <c r="EK116" s="528">
        <f t="shared" si="405"/>
        <v>1.0193777777777783E-3</v>
      </c>
      <c r="EL116" s="528">
        <f t="shared" si="406"/>
        <v>0.155664</v>
      </c>
      <c r="EM116" s="528">
        <f t="shared" si="407"/>
        <v>1.9828124999999995E-2</v>
      </c>
      <c r="EN116" s="528">
        <f t="shared" si="408"/>
        <v>2.1481631999999994E-2</v>
      </c>
      <c r="EO116">
        <f t="shared" si="409"/>
        <v>8.0999999999999996E-3</v>
      </c>
      <c r="EP116" s="460">
        <f t="shared" si="410"/>
        <v>27.928124999999994</v>
      </c>
      <c r="EQ116" s="460"/>
      <c r="ER116" s="460">
        <f t="shared" si="432"/>
        <v>206.09313477777778</v>
      </c>
      <c r="ES116" s="528">
        <f t="shared" si="411"/>
        <v>0.252</v>
      </c>
      <c r="EV116" s="460">
        <f t="shared" si="412"/>
        <v>252</v>
      </c>
      <c r="EW116" s="528">
        <f t="shared" si="413"/>
        <v>2.5066666666666679E-3</v>
      </c>
      <c r="EX116" s="528">
        <f t="shared" si="414"/>
        <v>0.24433777777777788</v>
      </c>
      <c r="EY116" s="528">
        <f t="shared" si="415"/>
        <v>3.2527144095286696E-2</v>
      </c>
      <c r="EZ116" s="528"/>
      <c r="FA116" s="528">
        <f t="shared" si="416"/>
        <v>7.0499999999999998E-3</v>
      </c>
      <c r="FB116" s="460">
        <f t="shared" si="417"/>
        <v>286.4215885397312</v>
      </c>
      <c r="FC116" s="173">
        <f t="shared" si="418"/>
        <v>0.74451472331750901</v>
      </c>
      <c r="FD116" s="5">
        <f t="shared" si="419"/>
        <v>1.44</v>
      </c>
      <c r="FE116" s="173">
        <f t="shared" si="420"/>
        <v>0.65918530309246293</v>
      </c>
      <c r="FF116" s="5">
        <f t="shared" si="421"/>
        <v>65.918530309246293</v>
      </c>
      <c r="FI116" s="562">
        <f t="shared" si="422"/>
        <v>-50</v>
      </c>
      <c r="FJ116">
        <f t="shared" si="423"/>
        <v>-50</v>
      </c>
      <c r="FL116">
        <f t="shared" si="424"/>
        <v>0.13499999999999998</v>
      </c>
    </row>
    <row r="117" spans="5:168">
      <c r="E117" s="170">
        <v>7</v>
      </c>
      <c r="F117" s="217">
        <f t="shared" si="425"/>
        <v>0.42000000000000004</v>
      </c>
      <c r="G117" s="217"/>
      <c r="H117" s="217">
        <f t="shared" si="315"/>
        <v>1.6800000000000002</v>
      </c>
      <c r="I117" s="541">
        <f t="shared" si="316"/>
        <v>17.974046122014119</v>
      </c>
      <c r="J117" s="172">
        <f t="shared" si="317"/>
        <v>19.095209986569245</v>
      </c>
      <c r="K117" s="172">
        <f t="shared" si="318"/>
        <v>37.06925610858336</v>
      </c>
      <c r="L117" s="443"/>
      <c r="M117" s="217">
        <f t="shared" si="319"/>
        <v>0.51544660124452957</v>
      </c>
      <c r="N117" s="172">
        <f t="shared" si="426"/>
        <v>31.090658152826585</v>
      </c>
      <c r="O117" s="172">
        <f t="shared" si="284"/>
        <v>1.6800000000000002</v>
      </c>
      <c r="P117" s="217">
        <f t="shared" si="320"/>
        <v>7.7726645382066462</v>
      </c>
      <c r="Q117" s="217">
        <f t="shared" si="321"/>
        <v>4</v>
      </c>
      <c r="R117" s="217"/>
      <c r="S117" s="172">
        <f t="shared" si="322"/>
        <v>138.1802968672414</v>
      </c>
      <c r="T117" s="172">
        <f t="shared" si="323"/>
        <v>4</v>
      </c>
      <c r="U117" s="217">
        <f t="shared" si="324"/>
        <v>0.43338876693335593</v>
      </c>
      <c r="V117" s="217">
        <f t="shared" si="325"/>
        <v>0.28934304317994591</v>
      </c>
      <c r="W117" s="217">
        <f t="shared" si="326"/>
        <v>0.27235443898538936</v>
      </c>
      <c r="X117" s="197">
        <f t="shared" si="327"/>
        <v>350</v>
      </c>
      <c r="Y117" s="443">
        <f t="shared" si="328"/>
        <v>350</v>
      </c>
      <c r="AA117" s="217">
        <f t="shared" si="329"/>
        <v>2.2044849035750338</v>
      </c>
      <c r="AB117" s="173">
        <f t="shared" si="330"/>
        <v>1.3853641233328615</v>
      </c>
      <c r="AC117" s="173">
        <f t="shared" si="331"/>
        <v>2.1378100070892283</v>
      </c>
      <c r="AD117" s="173"/>
      <c r="AE117" s="173">
        <f t="shared" si="332"/>
        <v>0.83790647032704646</v>
      </c>
      <c r="AF117" s="545">
        <f t="shared" si="333"/>
        <v>187.96847330529096</v>
      </c>
      <c r="AG117" s="528">
        <f t="shared" si="334"/>
        <v>0.78204603897191016</v>
      </c>
      <c r="AI117" s="173">
        <f t="shared" si="335"/>
        <v>0.97711846739710251</v>
      </c>
      <c r="AJ117" s="173">
        <f t="shared" si="336"/>
        <v>1.3333333333333335</v>
      </c>
      <c r="AK117" s="173">
        <f t="shared" si="337"/>
        <v>1.1074105561744521</v>
      </c>
      <c r="AM117" s="545">
        <f t="shared" si="338"/>
        <v>420.00000000000006</v>
      </c>
      <c r="AN117" s="460">
        <f t="shared" si="339"/>
        <v>187.96847330529096</v>
      </c>
      <c r="AP117" s="460">
        <f t="shared" si="340"/>
        <v>420.00000000000006</v>
      </c>
      <c r="AQ117" s="460">
        <f t="shared" si="341"/>
        <v>187.96847330529096</v>
      </c>
      <c r="AS117" s="5">
        <f t="shared" si="285"/>
        <v>5.3200410814415644</v>
      </c>
      <c r="AT117" s="5">
        <f t="shared" si="342"/>
        <v>0.89017241256567381</v>
      </c>
      <c r="AU117" s="5">
        <f t="shared" si="343"/>
        <v>4.4298686688758906</v>
      </c>
      <c r="AV117" s="5"/>
      <c r="AW117" s="173">
        <f t="shared" si="344"/>
        <v>0.1673243493684573</v>
      </c>
      <c r="AX117" s="173">
        <f t="shared" si="214"/>
        <v>2.0049970485897708</v>
      </c>
      <c r="AY117" s="173">
        <f t="shared" si="215"/>
        <v>2.2204684016841143</v>
      </c>
      <c r="AZ117" s="173">
        <f t="shared" si="288"/>
        <v>0.902961306303247</v>
      </c>
      <c r="BA117" s="460">
        <f t="shared" ref="BA117:BA180" si="433">F117*AT117/Vout_ripple*1000</f>
        <v>9.3468103319395759</v>
      </c>
      <c r="BB117" s="5">
        <f t="shared" ref="BB117:BB180" si="434">H117/Efficiency/I117*AU117/Vinripple1</f>
        <v>0.34504285202820484</v>
      </c>
      <c r="BD117" s="173">
        <f t="shared" si="289"/>
        <v>0.31488913921588796</v>
      </c>
      <c r="BE117" s="173">
        <f t="shared" si="218"/>
        <v>2.8098040432641413</v>
      </c>
      <c r="BG117" s="528">
        <f t="shared" si="347"/>
        <v>1.209693073952699E-3</v>
      </c>
      <c r="BH117" s="528">
        <f t="shared" si="348"/>
        <v>0.17419628693233116</v>
      </c>
      <c r="BI117" s="528">
        <f t="shared" si="349"/>
        <v>8.4463850216846978E-2</v>
      </c>
      <c r="BJ117" s="528">
        <f t="shared" si="350"/>
        <v>2.5829307093835425E-2</v>
      </c>
      <c r="BK117">
        <f t="shared" si="351"/>
        <v>8.088320754906354E-3</v>
      </c>
      <c r="BL117" s="460">
        <f t="shared" si="427"/>
        <v>92.552170971753327</v>
      </c>
      <c r="BM117" s="528">
        <f t="shared" si="352"/>
        <v>0.20161985442850061</v>
      </c>
      <c r="BN117" s="460">
        <f t="shared" si="353"/>
        <v>201.61985442850062</v>
      </c>
      <c r="BO117" s="528">
        <f t="shared" si="354"/>
        <v>0.29399999999999998</v>
      </c>
      <c r="BR117" s="460">
        <f t="shared" si="355"/>
        <v>294</v>
      </c>
      <c r="BS117" s="528">
        <f t="shared" si="356"/>
        <v>2.9746550998836861E-3</v>
      </c>
      <c r="BT117" s="528">
        <f t="shared" si="357"/>
        <v>0.2368499628463055</v>
      </c>
      <c r="BU117" s="528">
        <f t="shared" si="358"/>
        <v>4.9719800916949629E-2</v>
      </c>
      <c r="BV117" s="528"/>
      <c r="BW117" s="528">
        <f t="shared" si="359"/>
        <v>8.3541543691240446E-3</v>
      </c>
      <c r="BX117" s="460">
        <f t="shared" si="360"/>
        <v>297.89857323226289</v>
      </c>
      <c r="BY117" s="173">
        <f t="shared" si="361"/>
        <v>0.88568603130413526</v>
      </c>
      <c r="BZ117" s="5">
        <f t="shared" si="362"/>
        <v>1.6800000000000002</v>
      </c>
      <c r="CA117" s="173">
        <f t="shared" si="363"/>
        <v>0.65479562951280434</v>
      </c>
      <c r="CB117" s="5">
        <f t="shared" si="364"/>
        <v>65.479562951280428</v>
      </c>
      <c r="CE117" s="562">
        <f t="shared" si="365"/>
        <v>-50</v>
      </c>
      <c r="CF117">
        <f t="shared" si="366"/>
        <v>-50</v>
      </c>
      <c r="CG117" s="173">
        <f t="shared" si="367"/>
        <v>0.17072593168584554</v>
      </c>
      <c r="CI117" s="170">
        <v>7</v>
      </c>
      <c r="CJ117" s="217">
        <f t="shared" si="428"/>
        <v>0.42000000000000004</v>
      </c>
      <c r="CK117" s="217"/>
      <c r="CL117" s="217">
        <f t="shared" si="368"/>
        <v>1.6800000000000002</v>
      </c>
      <c r="CM117" s="541">
        <f t="shared" si="369"/>
        <v>18</v>
      </c>
      <c r="CN117" s="443">
        <f t="shared" si="370"/>
        <v>18.8</v>
      </c>
      <c r="CO117" s="443">
        <f t="shared" si="371"/>
        <v>36.799999999999997</v>
      </c>
      <c r="CP117" s="443"/>
      <c r="CQ117" s="217">
        <f t="shared" si="372"/>
        <v>0.51086956521739135</v>
      </c>
      <c r="CR117" s="172">
        <f t="shared" si="429"/>
        <v>30.859076086956527</v>
      </c>
      <c r="CS117" s="172">
        <f t="shared" si="373"/>
        <v>1.6800000000000002</v>
      </c>
      <c r="CT117" s="217">
        <f t="shared" si="374"/>
        <v>7.7147690217391318</v>
      </c>
      <c r="CU117" s="217">
        <f t="shared" si="375"/>
        <v>4</v>
      </c>
      <c r="CV117" s="217"/>
      <c r="CW117" s="172">
        <f t="shared" si="376"/>
        <v>138.37979172626254</v>
      </c>
      <c r="CX117" s="172">
        <f t="shared" si="377"/>
        <v>4</v>
      </c>
      <c r="CY117" s="217">
        <f t="shared" si="378"/>
        <v>0.36539007092198578</v>
      </c>
      <c r="CZ117" s="217">
        <f t="shared" si="379"/>
        <v>0.24359338061465718</v>
      </c>
      <c r="DA117" s="217">
        <f t="shared" si="380"/>
        <v>0.23322770484382072</v>
      </c>
      <c r="DB117" s="197">
        <f t="shared" si="381"/>
        <v>350</v>
      </c>
      <c r="DC117" s="443">
        <f t="shared" si="382"/>
        <v>350</v>
      </c>
      <c r="DE117" s="217">
        <f t="shared" si="383"/>
        <v>2.18944099378882</v>
      </c>
      <c r="DF117" s="173">
        <f t="shared" si="384"/>
        <v>1.3975155279503106</v>
      </c>
      <c r="DG117" s="173">
        <f t="shared" si="385"/>
        <v>2.1418444504455847</v>
      </c>
      <c r="DH117" s="173"/>
      <c r="DI117" s="173">
        <f t="shared" si="386"/>
        <v>0.85106382978723416</v>
      </c>
      <c r="DJ117" s="545">
        <f t="shared" si="387"/>
        <v>185.06249999999997</v>
      </c>
      <c r="DK117" s="528">
        <f t="shared" si="388"/>
        <v>0.79432624113475192</v>
      </c>
      <c r="DM117" s="173">
        <f t="shared" si="389"/>
        <v>0.96953597148326587</v>
      </c>
      <c r="DN117" s="173">
        <f t="shared" si="390"/>
        <v>1.3333333333333335</v>
      </c>
      <c r="DO117" s="173">
        <f t="shared" si="391"/>
        <v>1.10575</v>
      </c>
      <c r="DQ117" s="545">
        <f t="shared" si="392"/>
        <v>420.00000000000006</v>
      </c>
      <c r="DR117" s="460">
        <f t="shared" si="393"/>
        <v>185.06249999999997</v>
      </c>
      <c r="DT117">
        <f t="shared" si="430"/>
        <v>420.00000000000006</v>
      </c>
      <c r="DU117">
        <f t="shared" si="431"/>
        <v>185.06249999999997</v>
      </c>
      <c r="DW117" s="5">
        <f t="shared" si="394"/>
        <v>5.403579871664979</v>
      </c>
      <c r="DX117" s="5">
        <f t="shared" si="395"/>
        <v>0.88888888888888906</v>
      </c>
      <c r="DY117" s="5">
        <f t="shared" si="396"/>
        <v>4.5146909827760897</v>
      </c>
      <c r="DZ117" s="5"/>
      <c r="EA117" s="173">
        <f t="shared" si="397"/>
        <v>0.16450000000000001</v>
      </c>
      <c r="EB117" s="173">
        <f t="shared" si="398"/>
        <v>1.974</v>
      </c>
      <c r="EC117" s="173">
        <f t="shared" si="399"/>
        <v>2.2280000000000002</v>
      </c>
      <c r="ED117" s="173">
        <f t="shared" si="400"/>
        <v>0.88599640933572699</v>
      </c>
      <c r="EE117" s="460">
        <f t="shared" si="401"/>
        <v>9.3333333333333357</v>
      </c>
      <c r="EF117" s="5">
        <f t="shared" si="402"/>
        <v>0.35114263199369583</v>
      </c>
      <c r="EH117" s="173">
        <f t="shared" si="403"/>
        <v>0.31222024514992858</v>
      </c>
      <c r="EI117" s="173">
        <f t="shared" si="404"/>
        <v>2.8145652910845365</v>
      </c>
      <c r="EK117" s="528">
        <f t="shared" si="405"/>
        <v>1.1892740740740743E-3</v>
      </c>
      <c r="EL117" s="528">
        <f t="shared" si="406"/>
        <v>0.18160799999999999</v>
      </c>
      <c r="EM117" s="528">
        <f t="shared" si="407"/>
        <v>2.3132812499999995E-2</v>
      </c>
      <c r="EN117" s="528">
        <f t="shared" si="408"/>
        <v>2.5061903999999992E-2</v>
      </c>
      <c r="EO117">
        <f t="shared" si="409"/>
        <v>8.0999999999999996E-3</v>
      </c>
      <c r="EP117" s="460">
        <f t="shared" si="410"/>
        <v>31.232812499999994</v>
      </c>
      <c r="EQ117" s="460"/>
      <c r="ER117" s="460">
        <f t="shared" si="432"/>
        <v>239.09199057407403</v>
      </c>
      <c r="ES117" s="528">
        <f t="shared" si="411"/>
        <v>0.29399999999999998</v>
      </c>
      <c r="EV117" s="460">
        <f t="shared" si="412"/>
        <v>294</v>
      </c>
      <c r="EW117" s="528">
        <f t="shared" si="413"/>
        <v>2.9244444444444448E-3</v>
      </c>
      <c r="EX117" s="528">
        <f t="shared" si="414"/>
        <v>0.23765333333333344</v>
      </c>
      <c r="EY117" s="528">
        <f t="shared" si="415"/>
        <v>4.7820367317239786E-2</v>
      </c>
      <c r="EZ117" s="528"/>
      <c r="FA117" s="528">
        <f t="shared" si="416"/>
        <v>8.2249999999999997E-3</v>
      </c>
      <c r="FB117" s="460">
        <f t="shared" si="417"/>
        <v>296.62314509501766</v>
      </c>
      <c r="FC117" s="173">
        <f t="shared" si="418"/>
        <v>0.82971513566909172</v>
      </c>
      <c r="FD117" s="5">
        <f t="shared" si="419"/>
        <v>1.6800000000000002</v>
      </c>
      <c r="FE117" s="173">
        <f t="shared" si="420"/>
        <v>0.66939868040127626</v>
      </c>
      <c r="FF117" s="5">
        <f t="shared" si="421"/>
        <v>66.939868040127621</v>
      </c>
      <c r="FI117" s="562">
        <f t="shared" si="422"/>
        <v>-50</v>
      </c>
      <c r="FJ117">
        <f t="shared" si="423"/>
        <v>-50</v>
      </c>
      <c r="FL117">
        <f t="shared" si="424"/>
        <v>0.15749999999999997</v>
      </c>
    </row>
    <row r="118" spans="5:168">
      <c r="E118" s="170">
        <v>8</v>
      </c>
      <c r="F118" s="217">
        <f t="shared" si="425"/>
        <v>0.48</v>
      </c>
      <c r="G118" s="217"/>
      <c r="H118" s="217">
        <f t="shared" si="315"/>
        <v>1.92</v>
      </c>
      <c r="I118" s="541">
        <f t="shared" si="316"/>
        <v>17.974046122014119</v>
      </c>
      <c r="J118" s="172">
        <f t="shared" si="317"/>
        <v>19.095209986569245</v>
      </c>
      <c r="K118" s="172">
        <f t="shared" si="318"/>
        <v>37.06925610858336</v>
      </c>
      <c r="L118" s="443"/>
      <c r="M118" s="217">
        <f t="shared" si="319"/>
        <v>0.51544660124452957</v>
      </c>
      <c r="N118" s="172">
        <f t="shared" si="426"/>
        <v>31.090658152826585</v>
      </c>
      <c r="O118" s="172">
        <f t="shared" si="284"/>
        <v>1.92</v>
      </c>
      <c r="P118" s="217">
        <f t="shared" si="320"/>
        <v>7.7726645382066462</v>
      </c>
      <c r="Q118" s="217">
        <f t="shared" si="321"/>
        <v>4</v>
      </c>
      <c r="R118" s="217"/>
      <c r="S118" s="172">
        <f t="shared" si="322"/>
        <v>120.35223750914419</v>
      </c>
      <c r="T118" s="172">
        <f t="shared" si="323"/>
        <v>4</v>
      </c>
      <c r="U118" s="217">
        <f t="shared" si="324"/>
        <v>0.49530144792383524</v>
      </c>
      <c r="V118" s="217">
        <f t="shared" si="325"/>
        <v>0.33067776363422391</v>
      </c>
      <c r="W118" s="217">
        <f t="shared" si="326"/>
        <v>0.31126221598330212</v>
      </c>
      <c r="X118" s="197">
        <f t="shared" si="327"/>
        <v>350</v>
      </c>
      <c r="Y118" s="443">
        <f t="shared" si="328"/>
        <v>350</v>
      </c>
      <c r="AA118" s="217">
        <f t="shared" si="329"/>
        <v>2.2044849035750338</v>
      </c>
      <c r="AB118" s="173">
        <f t="shared" si="330"/>
        <v>1.3853641233328615</v>
      </c>
      <c r="AC118" s="173">
        <f t="shared" si="331"/>
        <v>2.1378100070892283</v>
      </c>
      <c r="AD118" s="173"/>
      <c r="AE118" s="173">
        <f t="shared" si="332"/>
        <v>0.83790647032704646</v>
      </c>
      <c r="AF118" s="545">
        <f t="shared" si="333"/>
        <v>214.82111234890394</v>
      </c>
      <c r="AG118" s="528">
        <f t="shared" si="334"/>
        <v>0.78204603897191016</v>
      </c>
      <c r="AI118" s="173">
        <f t="shared" si="335"/>
        <v>1.0445835803684573</v>
      </c>
      <c r="AJ118" s="173">
        <f t="shared" si="336"/>
        <v>1.3333333333333335</v>
      </c>
      <c r="AK118" s="173">
        <f t="shared" si="337"/>
        <v>1.1227549213422308</v>
      </c>
      <c r="AM118" s="545">
        <f t="shared" si="338"/>
        <v>480</v>
      </c>
      <c r="AN118" s="460">
        <f t="shared" si="339"/>
        <v>214.82111234890394</v>
      </c>
      <c r="AP118" s="460">
        <f t="shared" si="340"/>
        <v>480</v>
      </c>
      <c r="AQ118" s="460">
        <f t="shared" si="341"/>
        <v>214.82111234890394</v>
      </c>
      <c r="AS118" s="5">
        <f t="shared" si="285"/>
        <v>4.6550359462613695</v>
      </c>
      <c r="AT118" s="5">
        <f t="shared" si="342"/>
        <v>0.89017241256567381</v>
      </c>
      <c r="AU118" s="5">
        <f t="shared" si="343"/>
        <v>3.7648635336956957</v>
      </c>
      <c r="AV118" s="5"/>
      <c r="AW118" s="173">
        <f t="shared" si="344"/>
        <v>0.19122782784966547</v>
      </c>
      <c r="AX118" s="173">
        <f t="shared" si="214"/>
        <v>2.2914251983883092</v>
      </c>
      <c r="AY118" s="173">
        <f t="shared" si="215"/>
        <v>2.1567257924008922</v>
      </c>
      <c r="AZ118" s="173">
        <f t="shared" si="288"/>
        <v>1.0624555084665945</v>
      </c>
      <c r="BA118" s="460">
        <f t="shared" si="433"/>
        <v>10.682068950788086</v>
      </c>
      <c r="BB118" s="5">
        <f t="shared" si="434"/>
        <v>0.33513776547704249</v>
      </c>
      <c r="BD118" s="173">
        <f t="shared" si="289"/>
        <v>0.33663064964629003</v>
      </c>
      <c r="BE118" s="173">
        <f t="shared" si="218"/>
        <v>2.7691800903843271</v>
      </c>
      <c r="BG118" s="528">
        <f t="shared" si="347"/>
        <v>1.3825063702316556E-3</v>
      </c>
      <c r="BH118" s="528">
        <f t="shared" si="348"/>
        <v>0.19908147077980701</v>
      </c>
      <c r="BI118" s="528">
        <f t="shared" si="349"/>
        <v>9.6530114533539407E-2</v>
      </c>
      <c r="BJ118" s="528">
        <f t="shared" si="350"/>
        <v>2.9519208107240482E-2</v>
      </c>
      <c r="BK118">
        <f t="shared" si="351"/>
        <v>8.088320754906354E-3</v>
      </c>
      <c r="BL118" s="460">
        <f t="shared" si="427"/>
        <v>104.61843528844577</v>
      </c>
      <c r="BM118" s="528">
        <f t="shared" si="352"/>
        <v>0.2304321551412013</v>
      </c>
      <c r="BN118" s="460">
        <f t="shared" si="353"/>
        <v>230.43215514120129</v>
      </c>
      <c r="BO118" s="528">
        <f t="shared" si="354"/>
        <v>0.33599999999999997</v>
      </c>
      <c r="BR118" s="460">
        <f t="shared" si="355"/>
        <v>335.99999999999994</v>
      </c>
      <c r="BS118" s="528">
        <f t="shared" si="356"/>
        <v>3.3996058284384975E-3</v>
      </c>
      <c r="BT118" s="528">
        <f t="shared" si="357"/>
        <v>0.23005075118942847</v>
      </c>
      <c r="BU118" s="528">
        <f t="shared" si="358"/>
        <v>6.942393856366999E-2</v>
      </c>
      <c r="BV118" s="528"/>
      <c r="BW118" s="528">
        <f t="shared" si="359"/>
        <v>9.5476049932846207E-3</v>
      </c>
      <c r="BX118" s="460">
        <f t="shared" si="360"/>
        <v>312.42190057482156</v>
      </c>
      <c r="BY118" s="173">
        <f t="shared" si="361"/>
        <v>0.98302352112054647</v>
      </c>
      <c r="BZ118" s="5">
        <f t="shared" si="362"/>
        <v>1.92</v>
      </c>
      <c r="CA118" s="173">
        <f t="shared" si="363"/>
        <v>0.66137941564417413</v>
      </c>
      <c r="CB118" s="5">
        <f t="shared" si="364"/>
        <v>66.137941564417417</v>
      </c>
      <c r="CE118" s="562">
        <f t="shared" si="365"/>
        <v>-50</v>
      </c>
      <c r="CF118">
        <f t="shared" si="366"/>
        <v>-50</v>
      </c>
      <c r="CG118" s="173">
        <f t="shared" si="367"/>
        <v>0.19511535049810916</v>
      </c>
      <c r="CI118" s="170">
        <v>8</v>
      </c>
      <c r="CJ118" s="217">
        <f t="shared" si="428"/>
        <v>0.48</v>
      </c>
      <c r="CK118" s="217"/>
      <c r="CL118" s="217">
        <f t="shared" si="368"/>
        <v>1.92</v>
      </c>
      <c r="CM118" s="541">
        <f t="shared" si="369"/>
        <v>18</v>
      </c>
      <c r="CN118" s="443">
        <f t="shared" si="370"/>
        <v>18.8</v>
      </c>
      <c r="CO118" s="443">
        <f t="shared" si="371"/>
        <v>36.799999999999997</v>
      </c>
      <c r="CP118" s="443"/>
      <c r="CQ118" s="217">
        <f t="shared" si="372"/>
        <v>0.51086956521739135</v>
      </c>
      <c r="CR118" s="172">
        <f t="shared" si="429"/>
        <v>30.859076086956527</v>
      </c>
      <c r="CS118" s="172">
        <f t="shared" si="373"/>
        <v>1.92</v>
      </c>
      <c r="CT118" s="217">
        <f t="shared" si="374"/>
        <v>7.7147690217391318</v>
      </c>
      <c r="CU118" s="217">
        <f t="shared" si="375"/>
        <v>4</v>
      </c>
      <c r="CV118" s="217"/>
      <c r="CW118" s="172">
        <f t="shared" si="376"/>
        <v>120.5259845280883</v>
      </c>
      <c r="CX118" s="172">
        <f t="shared" si="377"/>
        <v>4</v>
      </c>
      <c r="CY118" s="217">
        <f t="shared" si="378"/>
        <v>0.41758865248226945</v>
      </c>
      <c r="CZ118" s="217">
        <f t="shared" si="379"/>
        <v>0.27839243498817962</v>
      </c>
      <c r="DA118" s="217">
        <f t="shared" si="380"/>
        <v>0.26654594839293794</v>
      </c>
      <c r="DB118" s="197">
        <f t="shared" si="381"/>
        <v>350</v>
      </c>
      <c r="DC118" s="443">
        <f t="shared" si="382"/>
        <v>350</v>
      </c>
      <c r="DE118" s="217">
        <f t="shared" si="383"/>
        <v>2.18944099378882</v>
      </c>
      <c r="DF118" s="173">
        <f t="shared" si="384"/>
        <v>1.3975155279503106</v>
      </c>
      <c r="DG118" s="173">
        <f t="shared" si="385"/>
        <v>2.1418444504455847</v>
      </c>
      <c r="DH118" s="173"/>
      <c r="DI118" s="173">
        <f t="shared" si="386"/>
        <v>0.85106382978723416</v>
      </c>
      <c r="DJ118" s="545">
        <f t="shared" si="387"/>
        <v>211.49999999999994</v>
      </c>
      <c r="DK118" s="528">
        <f t="shared" si="388"/>
        <v>0.79432624113475192</v>
      </c>
      <c r="DM118" s="173">
        <f t="shared" si="389"/>
        <v>1.0364775512695459</v>
      </c>
      <c r="DN118" s="173">
        <f t="shared" si="390"/>
        <v>1.3333333333333335</v>
      </c>
      <c r="DO118" s="173">
        <f t="shared" si="391"/>
        <v>1.1208571428571428</v>
      </c>
      <c r="DQ118" s="545">
        <f t="shared" si="392"/>
        <v>480</v>
      </c>
      <c r="DR118" s="460">
        <f t="shared" si="393"/>
        <v>211.49999999999994</v>
      </c>
      <c r="DT118">
        <f t="shared" si="430"/>
        <v>480</v>
      </c>
      <c r="DU118">
        <f t="shared" si="431"/>
        <v>211.49999999999994</v>
      </c>
      <c r="DW118" s="5">
        <f t="shared" si="394"/>
        <v>4.7281323877068573</v>
      </c>
      <c r="DX118" s="5">
        <f t="shared" si="395"/>
        <v>0.88888888888888906</v>
      </c>
      <c r="DY118" s="5">
        <f t="shared" si="396"/>
        <v>3.839243498817968</v>
      </c>
      <c r="DZ118" s="5"/>
      <c r="EA118" s="173">
        <f t="shared" si="397"/>
        <v>0.18799999999999997</v>
      </c>
      <c r="EB118" s="173">
        <f t="shared" si="398"/>
        <v>2.2559999999999998</v>
      </c>
      <c r="EC118" s="173">
        <f t="shared" si="399"/>
        <v>2.1653333333333338</v>
      </c>
      <c r="ED118" s="173">
        <f t="shared" si="400"/>
        <v>1.0418719211822658</v>
      </c>
      <c r="EE118" s="460">
        <f t="shared" si="401"/>
        <v>10.666666666666668</v>
      </c>
      <c r="EF118" s="5">
        <f t="shared" si="402"/>
        <v>0.34126608878381931</v>
      </c>
      <c r="EH118" s="173">
        <f t="shared" si="403"/>
        <v>0.33377748187588602</v>
      </c>
      <c r="EI118" s="173">
        <f t="shared" si="404"/>
        <v>2.7747005177069046</v>
      </c>
      <c r="EK118" s="528">
        <f t="shared" si="405"/>
        <v>1.3591703703703703E-3</v>
      </c>
      <c r="EL118" s="528">
        <f t="shared" si="406"/>
        <v>0.20755199999999996</v>
      </c>
      <c r="EM118" s="528">
        <f t="shared" si="407"/>
        <v>2.6437499999999992E-2</v>
      </c>
      <c r="EN118" s="528">
        <f t="shared" si="408"/>
        <v>2.8642175999999988E-2</v>
      </c>
      <c r="EO118">
        <f t="shared" si="409"/>
        <v>8.0999999999999996E-3</v>
      </c>
      <c r="EP118" s="460">
        <f t="shared" si="410"/>
        <v>34.537499999999994</v>
      </c>
      <c r="EQ118" s="460"/>
      <c r="ER118" s="460">
        <f t="shared" si="432"/>
        <v>272.09084637037029</v>
      </c>
      <c r="ES118" s="528">
        <f t="shared" si="411"/>
        <v>0.33599999999999997</v>
      </c>
      <c r="EV118" s="460">
        <f t="shared" si="412"/>
        <v>335.99999999999994</v>
      </c>
      <c r="EW118" s="528">
        <f t="shared" si="413"/>
        <v>3.3422222222222221E-3</v>
      </c>
      <c r="EX118" s="528">
        <f t="shared" si="414"/>
        <v>0.23096888888888892</v>
      </c>
      <c r="EY118" s="528">
        <f t="shared" si="415"/>
        <v>6.6771752531141357E-2</v>
      </c>
      <c r="EZ118" s="528"/>
      <c r="FA118" s="528">
        <f t="shared" si="416"/>
        <v>9.4000000000000004E-3</v>
      </c>
      <c r="FB118" s="460">
        <f t="shared" si="417"/>
        <v>310.48286364225254</v>
      </c>
      <c r="FC118" s="173">
        <f t="shared" si="418"/>
        <v>0.91857371001262267</v>
      </c>
      <c r="FD118" s="5">
        <f t="shared" si="419"/>
        <v>1.92</v>
      </c>
      <c r="FE118" s="173">
        <f t="shared" si="420"/>
        <v>0.67639603411653593</v>
      </c>
      <c r="FF118" s="5">
        <f t="shared" si="421"/>
        <v>67.639603411653596</v>
      </c>
      <c r="FI118" s="562">
        <f t="shared" si="422"/>
        <v>-50</v>
      </c>
      <c r="FJ118">
        <f t="shared" si="423"/>
        <v>-50</v>
      </c>
      <c r="FL118">
        <f t="shared" si="424"/>
        <v>0.17999999999999997</v>
      </c>
    </row>
    <row r="119" spans="5:168">
      <c r="E119" s="170">
        <v>9</v>
      </c>
      <c r="F119" s="217">
        <f t="shared" si="425"/>
        <v>0.54</v>
      </c>
      <c r="G119" s="217"/>
      <c r="H119" s="217">
        <f t="shared" si="315"/>
        <v>2.16</v>
      </c>
      <c r="I119" s="541">
        <f t="shared" si="316"/>
        <v>17.974046122014119</v>
      </c>
      <c r="J119" s="172">
        <f t="shared" si="317"/>
        <v>19.095209986569245</v>
      </c>
      <c r="K119" s="172">
        <f t="shared" si="318"/>
        <v>37.06925610858336</v>
      </c>
      <c r="L119" s="443"/>
      <c r="M119" s="217">
        <f t="shared" si="319"/>
        <v>0.51544660124452957</v>
      </c>
      <c r="N119" s="172">
        <f t="shared" si="426"/>
        <v>31.090658152826585</v>
      </c>
      <c r="O119" s="172">
        <f t="shared" si="284"/>
        <v>2.16</v>
      </c>
      <c r="P119" s="217">
        <f t="shared" si="320"/>
        <v>7.7726645382066462</v>
      </c>
      <c r="Q119" s="217">
        <f t="shared" si="321"/>
        <v>4</v>
      </c>
      <c r="R119" s="217"/>
      <c r="S119" s="172">
        <f t="shared" si="322"/>
        <v>106.48673604781503</v>
      </c>
      <c r="T119" s="172">
        <f t="shared" si="323"/>
        <v>4</v>
      </c>
      <c r="U119" s="217">
        <f t="shared" si="324"/>
        <v>0.55721412891431477</v>
      </c>
      <c r="V119" s="217">
        <f t="shared" si="325"/>
        <v>0.37201248408850196</v>
      </c>
      <c r="W119" s="217">
        <f t="shared" si="326"/>
        <v>0.35016999298121493</v>
      </c>
      <c r="X119" s="197">
        <f t="shared" si="327"/>
        <v>350</v>
      </c>
      <c r="Y119" s="443">
        <f t="shared" si="328"/>
        <v>350</v>
      </c>
      <c r="AA119" s="217">
        <f t="shared" si="329"/>
        <v>2.2044849035750338</v>
      </c>
      <c r="AB119" s="173">
        <f t="shared" si="330"/>
        <v>1.3853641233328615</v>
      </c>
      <c r="AC119" s="173">
        <f t="shared" si="331"/>
        <v>2.1378100070892283</v>
      </c>
      <c r="AD119" s="173"/>
      <c r="AE119" s="173">
        <f t="shared" si="332"/>
        <v>0.83790647032704646</v>
      </c>
      <c r="AF119" s="545">
        <f t="shared" si="333"/>
        <v>241.67375139251695</v>
      </c>
      <c r="AG119" s="528">
        <f t="shared" si="334"/>
        <v>0.78204603897191016</v>
      </c>
      <c r="AI119" s="173">
        <f t="shared" si="335"/>
        <v>1.1079481997919889</v>
      </c>
      <c r="AJ119" s="173">
        <f t="shared" si="336"/>
        <v>1.3333333333333335</v>
      </c>
      <c r="AK119" s="173">
        <f t="shared" si="337"/>
        <v>1.1380992865100097</v>
      </c>
      <c r="AM119" s="545">
        <f t="shared" si="338"/>
        <v>540</v>
      </c>
      <c r="AN119" s="460">
        <f t="shared" si="339"/>
        <v>241.67375139251695</v>
      </c>
      <c r="AP119" s="460">
        <f t="shared" si="340"/>
        <v>540</v>
      </c>
      <c r="AQ119" s="460">
        <f t="shared" si="341"/>
        <v>241.67375139251695</v>
      </c>
      <c r="AS119" s="5">
        <f t="shared" si="285"/>
        <v>4.1378097300101064</v>
      </c>
      <c r="AT119" s="5">
        <f t="shared" si="342"/>
        <v>0.89017241256567381</v>
      </c>
      <c r="AU119" s="5">
        <f t="shared" si="343"/>
        <v>3.2476373174444326</v>
      </c>
      <c r="AV119" s="5"/>
      <c r="AW119" s="173">
        <f t="shared" si="344"/>
        <v>0.21513130633087366</v>
      </c>
      <c r="AX119" s="173">
        <f t="shared" si="214"/>
        <v>2.577853348186848</v>
      </c>
      <c r="AY119" s="173">
        <f t="shared" si="215"/>
        <v>2.0929831831176706</v>
      </c>
      <c r="AZ119" s="173">
        <f t="shared" si="288"/>
        <v>1.2316646253922228</v>
      </c>
      <c r="BA119" s="460">
        <f t="shared" si="433"/>
        <v>12.017327569636597</v>
      </c>
      <c r="BB119" s="5">
        <f t="shared" si="434"/>
        <v>0.32523267892588009</v>
      </c>
      <c r="BD119" s="173">
        <f t="shared" si="289"/>
        <v>0.35705072268018684</v>
      </c>
      <c r="BE119" s="173">
        <f t="shared" si="218"/>
        <v>2.7279512430427313</v>
      </c>
      <c r="BG119" s="528">
        <f t="shared" si="347"/>
        <v>1.5553196665106129E-3</v>
      </c>
      <c r="BH119" s="528">
        <f t="shared" si="348"/>
        <v>0.22396665462728291</v>
      </c>
      <c r="BI119" s="528">
        <f t="shared" si="349"/>
        <v>0.10859637885023184</v>
      </c>
      <c r="BJ119" s="528">
        <f t="shared" si="350"/>
        <v>3.3209109120645543E-2</v>
      </c>
      <c r="BK119">
        <f t="shared" si="351"/>
        <v>8.088320754906354E-3</v>
      </c>
      <c r="BL119" s="460">
        <f t="shared" si="427"/>
        <v>116.68469960513819</v>
      </c>
      <c r="BM119" s="528">
        <f t="shared" si="352"/>
        <v>0.25924682282004308</v>
      </c>
      <c r="BN119" s="460">
        <f t="shared" si="353"/>
        <v>259.24682282004306</v>
      </c>
      <c r="BO119" s="528">
        <f t="shared" si="354"/>
        <v>0.378</v>
      </c>
      <c r="BR119" s="460">
        <f t="shared" si="355"/>
        <v>378</v>
      </c>
      <c r="BS119" s="528">
        <f t="shared" si="356"/>
        <v>3.8245565569933102E-3</v>
      </c>
      <c r="BT119" s="528">
        <f t="shared" si="357"/>
        <v>0.22325153953255147</v>
      </c>
      <c r="BU119" s="528">
        <f t="shared" si="358"/>
        <v>9.3194558356382601E-2</v>
      </c>
      <c r="BV119" s="528"/>
      <c r="BW119" s="528">
        <f t="shared" si="359"/>
        <v>1.07410556174452E-2</v>
      </c>
      <c r="BX119" s="460">
        <f t="shared" si="360"/>
        <v>331.01171006337262</v>
      </c>
      <c r="BY119" s="173">
        <f t="shared" si="361"/>
        <v>1.0844274930829501</v>
      </c>
      <c r="BZ119" s="5">
        <f t="shared" si="362"/>
        <v>2.16</v>
      </c>
      <c r="CA119" s="173">
        <f t="shared" si="363"/>
        <v>0.66575690306073221</v>
      </c>
      <c r="CB119" s="5">
        <f t="shared" si="364"/>
        <v>66.575690306073227</v>
      </c>
      <c r="CE119" s="562">
        <f t="shared" si="365"/>
        <v>-50</v>
      </c>
      <c r="CF119">
        <f t="shared" si="366"/>
        <v>-50</v>
      </c>
      <c r="CG119" s="173">
        <f t="shared" si="367"/>
        <v>0.21950476931037285</v>
      </c>
      <c r="CI119" s="170">
        <v>9</v>
      </c>
      <c r="CJ119" s="217">
        <f t="shared" si="428"/>
        <v>0.54</v>
      </c>
      <c r="CK119" s="217"/>
      <c r="CL119" s="217">
        <f t="shared" si="368"/>
        <v>2.16</v>
      </c>
      <c r="CM119" s="541">
        <f t="shared" si="369"/>
        <v>18</v>
      </c>
      <c r="CN119" s="443">
        <f t="shared" si="370"/>
        <v>18.8</v>
      </c>
      <c r="CO119" s="443">
        <f t="shared" si="371"/>
        <v>36.799999999999997</v>
      </c>
      <c r="CP119" s="443"/>
      <c r="CQ119" s="217">
        <f t="shared" si="372"/>
        <v>0.51086956521739135</v>
      </c>
      <c r="CR119" s="172">
        <f t="shared" si="429"/>
        <v>30.859076086956527</v>
      </c>
      <c r="CS119" s="172">
        <f t="shared" si="373"/>
        <v>2.16</v>
      </c>
      <c r="CT119" s="217">
        <f t="shared" si="374"/>
        <v>7.7147690217391318</v>
      </c>
      <c r="CU119" s="217">
        <f t="shared" si="375"/>
        <v>4</v>
      </c>
      <c r="CV119" s="217"/>
      <c r="CW119" s="172">
        <f t="shared" si="376"/>
        <v>106.64045698952773</v>
      </c>
      <c r="CX119" s="172">
        <f t="shared" si="377"/>
        <v>4</v>
      </c>
      <c r="CY119" s="217">
        <f t="shared" si="378"/>
        <v>0.46978723404255318</v>
      </c>
      <c r="CZ119" s="217">
        <f t="shared" si="379"/>
        <v>0.3131914893617021</v>
      </c>
      <c r="DA119" s="217">
        <f t="shared" si="380"/>
        <v>0.29986419194205521</v>
      </c>
      <c r="DB119" s="197">
        <f t="shared" si="381"/>
        <v>350</v>
      </c>
      <c r="DC119" s="443">
        <f t="shared" si="382"/>
        <v>350</v>
      </c>
      <c r="DE119" s="217">
        <f t="shared" si="383"/>
        <v>2.18944099378882</v>
      </c>
      <c r="DF119" s="173">
        <f t="shared" si="384"/>
        <v>1.3975155279503106</v>
      </c>
      <c r="DG119" s="173">
        <f t="shared" si="385"/>
        <v>2.1418444504455847</v>
      </c>
      <c r="DH119" s="173"/>
      <c r="DI119" s="173">
        <f t="shared" si="386"/>
        <v>0.85106382978723416</v>
      </c>
      <c r="DJ119" s="545">
        <f t="shared" si="387"/>
        <v>237.93749999999997</v>
      </c>
      <c r="DK119" s="528">
        <f t="shared" si="388"/>
        <v>0.79432624113475192</v>
      </c>
      <c r="DM119" s="173">
        <f t="shared" si="389"/>
        <v>1.0993504575754851</v>
      </c>
      <c r="DN119" s="173">
        <f t="shared" si="390"/>
        <v>1.3333333333333335</v>
      </c>
      <c r="DO119" s="173">
        <f t="shared" si="391"/>
        <v>1.1359642857142858</v>
      </c>
      <c r="DQ119" s="545">
        <f t="shared" si="392"/>
        <v>540</v>
      </c>
      <c r="DR119" s="460">
        <f t="shared" si="393"/>
        <v>237.93749999999997</v>
      </c>
      <c r="DT119">
        <f t="shared" si="430"/>
        <v>540</v>
      </c>
      <c r="DU119">
        <f t="shared" si="431"/>
        <v>237.93749999999997</v>
      </c>
      <c r="DW119" s="5">
        <f t="shared" si="394"/>
        <v>4.2027843446283164</v>
      </c>
      <c r="DX119" s="5">
        <f t="shared" si="395"/>
        <v>0.88888888888888906</v>
      </c>
      <c r="DY119" s="5">
        <f t="shared" si="396"/>
        <v>3.3138954557394271</v>
      </c>
      <c r="DZ119" s="5"/>
      <c r="EA119" s="173">
        <f t="shared" si="397"/>
        <v>0.21150000000000002</v>
      </c>
      <c r="EB119" s="173">
        <f t="shared" si="398"/>
        <v>2.5380000000000003</v>
      </c>
      <c r="EC119" s="173">
        <f t="shared" si="399"/>
        <v>2.1026666666666669</v>
      </c>
      <c r="ED119" s="173">
        <f t="shared" si="400"/>
        <v>1.2070386810399492</v>
      </c>
      <c r="EE119" s="460">
        <f t="shared" si="401"/>
        <v>12.000000000000004</v>
      </c>
      <c r="EF119" s="5">
        <f t="shared" si="402"/>
        <v>0.33138954557394268</v>
      </c>
      <c r="EH119" s="173">
        <f t="shared" si="403"/>
        <v>0.35402448126271346</v>
      </c>
      <c r="EI119" s="173">
        <f t="shared" si="404"/>
        <v>2.7342545872958044</v>
      </c>
      <c r="EK119" s="528">
        <f t="shared" si="405"/>
        <v>1.5290666666666667E-3</v>
      </c>
      <c r="EL119" s="528">
        <f t="shared" si="406"/>
        <v>0.23349600000000001</v>
      </c>
      <c r="EM119" s="528">
        <f t="shared" si="407"/>
        <v>2.9742187499999993E-2</v>
      </c>
      <c r="EN119" s="528">
        <f t="shared" si="408"/>
        <v>3.2222447999999987E-2</v>
      </c>
      <c r="EO119">
        <f t="shared" si="409"/>
        <v>8.0999999999999996E-3</v>
      </c>
      <c r="EP119" s="460">
        <f t="shared" si="410"/>
        <v>37.842187499999994</v>
      </c>
      <c r="EQ119" s="460"/>
      <c r="ER119" s="460">
        <f t="shared" si="432"/>
        <v>305.08970216666665</v>
      </c>
      <c r="ES119" s="528">
        <f t="shared" si="411"/>
        <v>0.378</v>
      </c>
      <c r="EV119" s="460">
        <f t="shared" si="412"/>
        <v>378</v>
      </c>
      <c r="EW119" s="528">
        <f t="shared" si="413"/>
        <v>3.7600000000000003E-3</v>
      </c>
      <c r="EX119" s="528">
        <f t="shared" si="414"/>
        <v>0.22428444444444448</v>
      </c>
      <c r="EY119" s="528">
        <f t="shared" si="415"/>
        <v>8.9634269051364748E-2</v>
      </c>
      <c r="EZ119" s="528"/>
      <c r="FA119" s="528">
        <f t="shared" si="416"/>
        <v>1.0575000000000001E-2</v>
      </c>
      <c r="FB119" s="460">
        <f t="shared" si="417"/>
        <v>328.25371349580922</v>
      </c>
      <c r="FC119" s="173">
        <f t="shared" si="418"/>
        <v>1.0113434156624759</v>
      </c>
      <c r="FD119" s="5">
        <f t="shared" si="419"/>
        <v>2.16</v>
      </c>
      <c r="FE119" s="173">
        <f t="shared" si="420"/>
        <v>0.68109936922387448</v>
      </c>
      <c r="FF119" s="5">
        <f t="shared" si="421"/>
        <v>68.109936922387448</v>
      </c>
      <c r="FI119" s="562">
        <f t="shared" si="422"/>
        <v>-50</v>
      </c>
      <c r="FJ119">
        <f t="shared" si="423"/>
        <v>-50</v>
      </c>
      <c r="FL119">
        <f t="shared" si="424"/>
        <v>0.20249999999999999</v>
      </c>
    </row>
    <row r="120" spans="5:168">
      <c r="E120" s="170">
        <v>10</v>
      </c>
      <c r="F120" s="217">
        <f t="shared" si="425"/>
        <v>0.60000000000000009</v>
      </c>
      <c r="G120" s="217"/>
      <c r="H120" s="217">
        <f t="shared" si="315"/>
        <v>2.4000000000000004</v>
      </c>
      <c r="I120" s="541">
        <f t="shared" si="316"/>
        <v>17.974046122014119</v>
      </c>
      <c r="J120" s="172">
        <f t="shared" si="317"/>
        <v>19.095209986569245</v>
      </c>
      <c r="K120" s="172">
        <f t="shared" si="318"/>
        <v>37.06925610858336</v>
      </c>
      <c r="L120" s="443"/>
      <c r="M120" s="217">
        <f t="shared" si="319"/>
        <v>0.51544660124452957</v>
      </c>
      <c r="N120" s="172">
        <f t="shared" si="426"/>
        <v>31.090658152826585</v>
      </c>
      <c r="O120" s="172">
        <f t="shared" si="284"/>
        <v>2.4000000000000004</v>
      </c>
      <c r="P120" s="217">
        <f t="shared" si="320"/>
        <v>7.7726645382066462</v>
      </c>
      <c r="Q120" s="217">
        <f t="shared" si="321"/>
        <v>4</v>
      </c>
      <c r="R120" s="217"/>
      <c r="S120" s="172">
        <f t="shared" si="322"/>
        <v>95.395033043621623</v>
      </c>
      <c r="T120" s="172">
        <f t="shared" si="323"/>
        <v>4</v>
      </c>
      <c r="U120" s="217">
        <f t="shared" si="324"/>
        <v>0.61912680990479418</v>
      </c>
      <c r="V120" s="217">
        <f t="shared" si="325"/>
        <v>0.41334720454277996</v>
      </c>
      <c r="W120" s="217">
        <f t="shared" si="326"/>
        <v>0.38907776997912769</v>
      </c>
      <c r="X120" s="197">
        <f t="shared" si="327"/>
        <v>350</v>
      </c>
      <c r="Y120" s="443">
        <f t="shared" si="328"/>
        <v>350</v>
      </c>
      <c r="AA120" s="217">
        <f t="shared" si="329"/>
        <v>2.2044849035750338</v>
      </c>
      <c r="AB120" s="173">
        <f t="shared" si="330"/>
        <v>1.3853641233328615</v>
      </c>
      <c r="AC120" s="173">
        <f t="shared" si="331"/>
        <v>2.1378100070892283</v>
      </c>
      <c r="AD120" s="173"/>
      <c r="AE120" s="173">
        <f t="shared" si="332"/>
        <v>0.83790647032704646</v>
      </c>
      <c r="AF120" s="545">
        <f t="shared" si="333"/>
        <v>268.52639043612993</v>
      </c>
      <c r="AG120" s="528">
        <f t="shared" si="334"/>
        <v>0.78204603897191016</v>
      </c>
      <c r="AI120" s="173">
        <f t="shared" si="335"/>
        <v>1.1678799469419929</v>
      </c>
      <c r="AJ120" s="173">
        <f t="shared" si="336"/>
        <v>1.3333333333333335</v>
      </c>
      <c r="AK120" s="173">
        <f t="shared" si="337"/>
        <v>1.1534436516777886</v>
      </c>
      <c r="AM120" s="545">
        <f t="shared" si="338"/>
        <v>600.00000000000011</v>
      </c>
      <c r="AN120" s="460">
        <f t="shared" si="339"/>
        <v>268.52639043612993</v>
      </c>
      <c r="AP120" s="460">
        <f t="shared" si="340"/>
        <v>600.00000000000011</v>
      </c>
      <c r="AQ120" s="460">
        <f t="shared" si="341"/>
        <v>268.52639043612993</v>
      </c>
      <c r="AS120" s="5">
        <f t="shared" si="285"/>
        <v>3.7240287570090955</v>
      </c>
      <c r="AT120" s="5">
        <f t="shared" si="342"/>
        <v>0.89017241256567381</v>
      </c>
      <c r="AU120" s="5">
        <f t="shared" si="343"/>
        <v>2.8338563444434217</v>
      </c>
      <c r="AV120" s="5"/>
      <c r="AW120" s="173">
        <f t="shared" si="344"/>
        <v>0.23903478481208185</v>
      </c>
      <c r="AX120" s="173">
        <f t="shared" si="214"/>
        <v>2.8642814979853868</v>
      </c>
      <c r="AY120" s="173">
        <f t="shared" si="215"/>
        <v>2.0292405738344486</v>
      </c>
      <c r="AZ120" s="173">
        <f t="shared" si="288"/>
        <v>1.4115041532867869</v>
      </c>
      <c r="BA120" s="460">
        <f t="shared" si="433"/>
        <v>13.352586188485111</v>
      </c>
      <c r="BB120" s="5">
        <f t="shared" si="434"/>
        <v>0.31532759237471769</v>
      </c>
      <c r="BD120" s="173">
        <f t="shared" si="289"/>
        <v>0.37636450795951004</v>
      </c>
      <c r="BE120" s="173">
        <f t="shared" si="218"/>
        <v>2.6860896477697502</v>
      </c>
      <c r="BG120" s="528">
        <f t="shared" si="347"/>
        <v>1.7281329627895699E-3</v>
      </c>
      <c r="BH120" s="528">
        <f t="shared" si="348"/>
        <v>0.24885183847475878</v>
      </c>
      <c r="BI120" s="528">
        <f t="shared" si="349"/>
        <v>0.12066264316692427</v>
      </c>
      <c r="BJ120" s="528">
        <f t="shared" si="350"/>
        <v>3.68990101340506E-2</v>
      </c>
      <c r="BK120">
        <f t="shared" si="351"/>
        <v>8.088320754906354E-3</v>
      </c>
      <c r="BL120" s="460">
        <f t="shared" si="427"/>
        <v>128.75096392183062</v>
      </c>
      <c r="BM120" s="528">
        <f t="shared" si="352"/>
        <v>0.28806385775671167</v>
      </c>
      <c r="BN120" s="460">
        <f t="shared" si="353"/>
        <v>288.06385775671168</v>
      </c>
      <c r="BO120" s="528">
        <f t="shared" si="354"/>
        <v>0.42000000000000004</v>
      </c>
      <c r="BR120" s="460">
        <f t="shared" si="355"/>
        <v>420.00000000000006</v>
      </c>
      <c r="BS120" s="528">
        <f t="shared" si="356"/>
        <v>4.2495072855481229E-3</v>
      </c>
      <c r="BT120" s="528">
        <f t="shared" si="357"/>
        <v>0.21645232787567462</v>
      </c>
      <c r="BU120" s="528">
        <f t="shared" si="358"/>
        <v>0.12127862960479308</v>
      </c>
      <c r="BV120" s="528"/>
      <c r="BW120" s="528">
        <f t="shared" si="359"/>
        <v>1.1934506241605778E-2</v>
      </c>
      <c r="BX120" s="460">
        <f t="shared" si="360"/>
        <v>353.91497100762166</v>
      </c>
      <c r="BY120" s="173">
        <f t="shared" si="361"/>
        <v>1.1901449165010514</v>
      </c>
      <c r="BZ120" s="5">
        <f t="shared" si="362"/>
        <v>2.4000000000000004</v>
      </c>
      <c r="CA120" s="173">
        <f t="shared" si="363"/>
        <v>0.66849669186586369</v>
      </c>
      <c r="CB120" s="5">
        <f t="shared" si="364"/>
        <v>66.849669186586368</v>
      </c>
      <c r="CE120" s="562">
        <f t="shared" si="365"/>
        <v>-50</v>
      </c>
      <c r="CF120">
        <f t="shared" si="366"/>
        <v>-50</v>
      </c>
      <c r="CG120" s="173">
        <f t="shared" si="367"/>
        <v>0.2438941881226365</v>
      </c>
      <c r="CI120" s="170">
        <v>10</v>
      </c>
      <c r="CJ120" s="217">
        <f t="shared" si="428"/>
        <v>0.60000000000000009</v>
      </c>
      <c r="CK120" s="217"/>
      <c r="CL120" s="217">
        <f t="shared" si="368"/>
        <v>2.4000000000000004</v>
      </c>
      <c r="CM120" s="541">
        <f t="shared" si="369"/>
        <v>18</v>
      </c>
      <c r="CN120" s="443">
        <f t="shared" si="370"/>
        <v>18.8</v>
      </c>
      <c r="CO120" s="443">
        <f t="shared" si="371"/>
        <v>36.799999999999997</v>
      </c>
      <c r="CP120" s="443"/>
      <c r="CQ120" s="217">
        <f t="shared" si="372"/>
        <v>0.51086956521739135</v>
      </c>
      <c r="CR120" s="172">
        <f t="shared" si="429"/>
        <v>30.859076086956527</v>
      </c>
      <c r="CS120" s="172">
        <f t="shared" si="373"/>
        <v>2.4000000000000004</v>
      </c>
      <c r="CT120" s="217">
        <f t="shared" si="374"/>
        <v>7.7147690217391318</v>
      </c>
      <c r="CU120" s="217">
        <f t="shared" si="375"/>
        <v>4</v>
      </c>
      <c r="CV120" s="217"/>
      <c r="CW120" s="172">
        <f t="shared" si="376"/>
        <v>95.532733144919149</v>
      </c>
      <c r="CX120" s="172">
        <f t="shared" si="377"/>
        <v>4</v>
      </c>
      <c r="CY120" s="217">
        <f t="shared" si="378"/>
        <v>0.52198581560283686</v>
      </c>
      <c r="CZ120" s="217">
        <f t="shared" si="379"/>
        <v>0.34799054373522459</v>
      </c>
      <c r="DA120" s="217">
        <f t="shared" si="380"/>
        <v>0.33318243549117244</v>
      </c>
      <c r="DB120" s="197">
        <f t="shared" si="381"/>
        <v>350</v>
      </c>
      <c r="DC120" s="443">
        <f t="shared" si="382"/>
        <v>350</v>
      </c>
      <c r="DE120" s="217">
        <f t="shared" si="383"/>
        <v>2.18944099378882</v>
      </c>
      <c r="DF120" s="173">
        <f t="shared" si="384"/>
        <v>1.3975155279503106</v>
      </c>
      <c r="DG120" s="173">
        <f t="shared" si="385"/>
        <v>2.1418444504455847</v>
      </c>
      <c r="DH120" s="173"/>
      <c r="DI120" s="173">
        <f t="shared" si="386"/>
        <v>0.85106382978723416</v>
      </c>
      <c r="DJ120" s="545">
        <f t="shared" si="387"/>
        <v>264.375</v>
      </c>
      <c r="DK120" s="528">
        <f t="shared" si="388"/>
        <v>0.79432624113475192</v>
      </c>
      <c r="DM120" s="173">
        <f t="shared" si="389"/>
        <v>1.1588171308956143</v>
      </c>
      <c r="DN120" s="173">
        <f t="shared" si="390"/>
        <v>1.3333333333333335</v>
      </c>
      <c r="DO120" s="173">
        <f t="shared" si="391"/>
        <v>1.1510714285714285</v>
      </c>
      <c r="DQ120" s="545">
        <f t="shared" si="392"/>
        <v>600.00000000000011</v>
      </c>
      <c r="DR120" s="460">
        <f t="shared" si="393"/>
        <v>264.375</v>
      </c>
      <c r="DT120">
        <f t="shared" si="430"/>
        <v>600.00000000000011</v>
      </c>
      <c r="DU120">
        <f t="shared" si="431"/>
        <v>264.375</v>
      </c>
      <c r="DW120" s="5">
        <f t="shared" si="394"/>
        <v>3.7825059101654843</v>
      </c>
      <c r="DX120" s="5">
        <f t="shared" si="395"/>
        <v>0.88888888888888906</v>
      </c>
      <c r="DY120" s="5">
        <f t="shared" si="396"/>
        <v>2.8936170212765955</v>
      </c>
      <c r="DZ120" s="5"/>
      <c r="EA120" s="173">
        <f t="shared" si="397"/>
        <v>0.23500000000000007</v>
      </c>
      <c r="EB120" s="173">
        <f t="shared" si="398"/>
        <v>2.8200000000000003</v>
      </c>
      <c r="EC120" s="173">
        <f t="shared" si="399"/>
        <v>2.04</v>
      </c>
      <c r="ED120" s="173">
        <f t="shared" si="400"/>
        <v>1.3823529411764708</v>
      </c>
      <c r="EE120" s="460">
        <f t="shared" si="401"/>
        <v>13.333333333333339</v>
      </c>
      <c r="EF120" s="5">
        <f t="shared" si="402"/>
        <v>0.32151300236406621</v>
      </c>
      <c r="EH120" s="173">
        <f t="shared" si="403"/>
        <v>0.37317456941659261</v>
      </c>
      <c r="EI120" s="173">
        <f t="shared" si="404"/>
        <v>2.6932013168965541</v>
      </c>
      <c r="EK120" s="528">
        <f t="shared" si="405"/>
        <v>1.6989629629629633E-3</v>
      </c>
      <c r="EL120" s="528">
        <f t="shared" si="406"/>
        <v>0.25944</v>
      </c>
      <c r="EM120" s="528">
        <f t="shared" si="407"/>
        <v>3.3046874999999996E-2</v>
      </c>
      <c r="EN120" s="528">
        <f t="shared" si="408"/>
        <v>3.5802719999999996E-2</v>
      </c>
      <c r="EO120">
        <f t="shared" si="409"/>
        <v>8.0999999999999996E-3</v>
      </c>
      <c r="EP120" s="460">
        <f t="shared" si="410"/>
        <v>41.146875000000001</v>
      </c>
      <c r="EQ120" s="460"/>
      <c r="ER120" s="460">
        <f t="shared" si="432"/>
        <v>338.08855796296297</v>
      </c>
      <c r="ES120" s="528">
        <f t="shared" si="411"/>
        <v>0.42000000000000004</v>
      </c>
      <c r="EV120" s="460">
        <f t="shared" si="412"/>
        <v>420.00000000000006</v>
      </c>
      <c r="EW120" s="528">
        <f t="shared" si="413"/>
        <v>4.1777777777777794E-3</v>
      </c>
      <c r="EX120" s="528">
        <f t="shared" si="414"/>
        <v>0.21759999999999999</v>
      </c>
      <c r="EY120" s="528">
        <f t="shared" si="415"/>
        <v>0.11664545127845792</v>
      </c>
      <c r="EZ120" s="528"/>
      <c r="FA120" s="528">
        <f t="shared" si="416"/>
        <v>1.1750000000000003E-2</v>
      </c>
      <c r="FB120" s="460">
        <f t="shared" si="417"/>
        <v>350.17322905623564</v>
      </c>
      <c r="FC120" s="173">
        <f t="shared" si="418"/>
        <v>1.1082617870191986</v>
      </c>
      <c r="FD120" s="5">
        <f t="shared" si="419"/>
        <v>2.4000000000000004</v>
      </c>
      <c r="FE120" s="173">
        <f t="shared" si="420"/>
        <v>0.68409946169928348</v>
      </c>
      <c r="FF120" s="5">
        <f t="shared" si="421"/>
        <v>68.409946169928347</v>
      </c>
      <c r="FI120" s="562">
        <f t="shared" si="422"/>
        <v>-50</v>
      </c>
      <c r="FJ120">
        <f t="shared" si="423"/>
        <v>-50</v>
      </c>
      <c r="FL120">
        <f t="shared" si="424"/>
        <v>0.22500000000000001</v>
      </c>
    </row>
    <row r="121" spans="5:168">
      <c r="E121" s="170">
        <v>11</v>
      </c>
      <c r="F121" s="217">
        <f t="shared" si="425"/>
        <v>0.66</v>
      </c>
      <c r="G121" s="217"/>
      <c r="H121" s="217">
        <f t="shared" si="315"/>
        <v>2.64</v>
      </c>
      <c r="I121" s="541">
        <f t="shared" si="316"/>
        <v>17.974046122014119</v>
      </c>
      <c r="J121" s="172">
        <f t="shared" si="317"/>
        <v>19.095209986569245</v>
      </c>
      <c r="K121" s="172">
        <f t="shared" si="318"/>
        <v>37.06925610858336</v>
      </c>
      <c r="L121" s="443"/>
      <c r="M121" s="217">
        <f t="shared" si="319"/>
        <v>0.51544660124452957</v>
      </c>
      <c r="N121" s="172">
        <f t="shared" si="426"/>
        <v>31.090658152826585</v>
      </c>
      <c r="O121" s="172">
        <f t="shared" si="284"/>
        <v>2.64</v>
      </c>
      <c r="P121" s="217">
        <f t="shared" si="320"/>
        <v>7.7726645382066462</v>
      </c>
      <c r="Q121" s="217">
        <f t="shared" si="321"/>
        <v>4</v>
      </c>
      <c r="R121" s="217"/>
      <c r="S121" s="172">
        <f t="shared" si="322"/>
        <v>86.320645299659262</v>
      </c>
      <c r="T121" s="172">
        <f t="shared" si="323"/>
        <v>4</v>
      </c>
      <c r="U121" s="217">
        <f t="shared" si="324"/>
        <v>0.68103949089527349</v>
      </c>
      <c r="V121" s="217">
        <f t="shared" si="325"/>
        <v>0.4546819249970579</v>
      </c>
      <c r="W121" s="217">
        <f t="shared" si="326"/>
        <v>0.42798554697704039</v>
      </c>
      <c r="X121" s="197">
        <f t="shared" si="327"/>
        <v>350</v>
      </c>
      <c r="Y121" s="443">
        <f t="shared" si="328"/>
        <v>350</v>
      </c>
      <c r="AA121" s="217">
        <f t="shared" si="329"/>
        <v>2.2044849035750338</v>
      </c>
      <c r="AB121" s="173">
        <f t="shared" si="330"/>
        <v>1.3853641233328615</v>
      </c>
      <c r="AC121" s="173">
        <f t="shared" si="331"/>
        <v>2.1378100070892283</v>
      </c>
      <c r="AD121" s="173"/>
      <c r="AE121" s="173">
        <f t="shared" si="332"/>
        <v>0.83790647032704646</v>
      </c>
      <c r="AF121" s="545">
        <f t="shared" si="333"/>
        <v>295.37902947974294</v>
      </c>
      <c r="AG121" s="528">
        <f t="shared" si="334"/>
        <v>0.78204603897191016</v>
      </c>
      <c r="AI121" s="173">
        <f t="shared" si="335"/>
        <v>1.224882821953249</v>
      </c>
      <c r="AJ121" s="173">
        <f t="shared" si="336"/>
        <v>1.3333333333333335</v>
      </c>
      <c r="AK121" s="173">
        <f t="shared" si="337"/>
        <v>1.1687880168455673</v>
      </c>
      <c r="AM121" s="545">
        <f t="shared" si="338"/>
        <v>660</v>
      </c>
      <c r="AN121" s="460">
        <f t="shared" si="339"/>
        <v>295.37902947974294</v>
      </c>
      <c r="AP121" s="460">
        <f t="shared" si="340"/>
        <v>660</v>
      </c>
      <c r="AQ121" s="460">
        <f t="shared" si="341"/>
        <v>295.37902947974294</v>
      </c>
      <c r="AS121" s="5">
        <f t="shared" si="285"/>
        <v>3.3854806881900865</v>
      </c>
      <c r="AT121" s="5">
        <f t="shared" si="342"/>
        <v>0.89017241256567381</v>
      </c>
      <c r="AU121" s="5">
        <f t="shared" si="343"/>
        <v>2.4953082756244127</v>
      </c>
      <c r="AV121" s="5"/>
      <c r="AW121" s="173">
        <f t="shared" si="344"/>
        <v>0.26293826329329006</v>
      </c>
      <c r="AX121" s="173">
        <f t="shared" si="214"/>
        <v>3.1507096477839251</v>
      </c>
      <c r="AY121" s="173">
        <f t="shared" si="215"/>
        <v>1.9654979645512267</v>
      </c>
      <c r="AZ121" s="173">
        <f t="shared" si="288"/>
        <v>1.603008349338745</v>
      </c>
      <c r="BA121" s="460">
        <f t="shared" si="433"/>
        <v>14.687844807333619</v>
      </c>
      <c r="BB121" s="5">
        <f t="shared" si="434"/>
        <v>0.30542250582355523</v>
      </c>
      <c r="BD121" s="173">
        <f t="shared" si="289"/>
        <v>0.39473442608513959</v>
      </c>
      <c r="BE121" s="173">
        <f t="shared" si="218"/>
        <v>2.6435652455147105</v>
      </c>
      <c r="BG121" s="528">
        <f t="shared" si="347"/>
        <v>1.900946259068527E-3</v>
      </c>
      <c r="BH121" s="528">
        <f t="shared" si="348"/>
        <v>0.27373702232223468</v>
      </c>
      <c r="BI121" s="528">
        <f t="shared" si="349"/>
        <v>0.13272890748361668</v>
      </c>
      <c r="BJ121" s="528">
        <f t="shared" si="350"/>
        <v>4.0588911147455664E-2</v>
      </c>
      <c r="BK121">
        <f t="shared" si="351"/>
        <v>8.088320754906354E-3</v>
      </c>
      <c r="BL121" s="460">
        <f t="shared" si="427"/>
        <v>140.81722823852303</v>
      </c>
      <c r="BM121" s="528">
        <f t="shared" si="352"/>
        <v>0.31688326024294072</v>
      </c>
      <c r="BN121" s="460">
        <f t="shared" si="353"/>
        <v>316.88326024294071</v>
      </c>
      <c r="BO121" s="528">
        <f t="shared" si="354"/>
        <v>0.46199999999999997</v>
      </c>
      <c r="BR121" s="460">
        <f t="shared" si="355"/>
        <v>461.99999999999994</v>
      </c>
      <c r="BS121" s="528">
        <f t="shared" si="356"/>
        <v>4.6744580141029352E-3</v>
      </c>
      <c r="BT121" s="528">
        <f t="shared" si="357"/>
        <v>0.20965311621879754</v>
      </c>
      <c r="BU121" s="528">
        <f t="shared" si="358"/>
        <v>0.15390970078638355</v>
      </c>
      <c r="BV121" s="528"/>
      <c r="BW121" s="528">
        <f t="shared" si="359"/>
        <v>1.3127956865766356E-2</v>
      </c>
      <c r="BX121" s="460">
        <f t="shared" si="360"/>
        <v>381.36523188505038</v>
      </c>
      <c r="BY121" s="173">
        <f t="shared" si="361"/>
        <v>1.300409339852332</v>
      </c>
      <c r="BZ121" s="5">
        <f t="shared" si="362"/>
        <v>2.64</v>
      </c>
      <c r="CA121" s="173">
        <f t="shared" si="363"/>
        <v>0.66998115482563925</v>
      </c>
      <c r="CB121" s="5">
        <f t="shared" si="364"/>
        <v>66.998115482563918</v>
      </c>
      <c r="CE121" s="562">
        <f t="shared" si="365"/>
        <v>-50</v>
      </c>
      <c r="CF121">
        <f t="shared" si="366"/>
        <v>-50</v>
      </c>
      <c r="CG121" s="173">
        <f t="shared" si="367"/>
        <v>0.26828360693490017</v>
      </c>
      <c r="CI121" s="170">
        <v>11</v>
      </c>
      <c r="CJ121" s="217">
        <f t="shared" si="428"/>
        <v>0.66</v>
      </c>
      <c r="CK121" s="217"/>
      <c r="CL121" s="217">
        <f t="shared" si="368"/>
        <v>2.64</v>
      </c>
      <c r="CM121" s="541">
        <f t="shared" si="369"/>
        <v>18</v>
      </c>
      <c r="CN121" s="443">
        <f t="shared" si="370"/>
        <v>18.8</v>
      </c>
      <c r="CO121" s="443">
        <f t="shared" si="371"/>
        <v>36.799999999999997</v>
      </c>
      <c r="CP121" s="443"/>
      <c r="CQ121" s="217">
        <f t="shared" si="372"/>
        <v>0.51086956521739135</v>
      </c>
      <c r="CR121" s="172">
        <f t="shared" si="429"/>
        <v>30.859076086956527</v>
      </c>
      <c r="CS121" s="172">
        <f t="shared" si="373"/>
        <v>2.64</v>
      </c>
      <c r="CT121" s="217">
        <f t="shared" si="374"/>
        <v>7.7147690217391318</v>
      </c>
      <c r="CU121" s="217">
        <f t="shared" si="375"/>
        <v>4</v>
      </c>
      <c r="CV121" s="217"/>
      <c r="CW121" s="172">
        <f t="shared" si="376"/>
        <v>86.445237462726126</v>
      </c>
      <c r="CX121" s="172">
        <f t="shared" si="377"/>
        <v>4</v>
      </c>
      <c r="CY121" s="217">
        <f t="shared" si="378"/>
        <v>0.57418439716312053</v>
      </c>
      <c r="CZ121" s="217">
        <f t="shared" si="379"/>
        <v>0.38278959810874702</v>
      </c>
      <c r="DA121" s="217">
        <f t="shared" si="380"/>
        <v>0.36650067904028971</v>
      </c>
      <c r="DB121" s="197">
        <f t="shared" si="381"/>
        <v>350</v>
      </c>
      <c r="DC121" s="443">
        <f t="shared" si="382"/>
        <v>350</v>
      </c>
      <c r="DE121" s="217">
        <f t="shared" si="383"/>
        <v>2.18944099378882</v>
      </c>
      <c r="DF121" s="173">
        <f t="shared" si="384"/>
        <v>1.3975155279503106</v>
      </c>
      <c r="DG121" s="173">
        <f t="shared" si="385"/>
        <v>2.1418444504455847</v>
      </c>
      <c r="DH121" s="173"/>
      <c r="DI121" s="173">
        <f t="shared" si="386"/>
        <v>0.85106382978723416</v>
      </c>
      <c r="DJ121" s="545">
        <f t="shared" si="387"/>
        <v>290.81249999999994</v>
      </c>
      <c r="DK121" s="528">
        <f t="shared" si="388"/>
        <v>0.79432624113475192</v>
      </c>
      <c r="DM121" s="173">
        <f t="shared" si="389"/>
        <v>1.2153776602944688</v>
      </c>
      <c r="DN121" s="173">
        <f t="shared" si="390"/>
        <v>1.3333333333333335</v>
      </c>
      <c r="DO121" s="173">
        <f t="shared" si="391"/>
        <v>1.1661785714285715</v>
      </c>
      <c r="DQ121" s="545">
        <f t="shared" si="392"/>
        <v>660</v>
      </c>
      <c r="DR121" s="460">
        <f t="shared" si="393"/>
        <v>290.81249999999994</v>
      </c>
      <c r="DT121">
        <f t="shared" si="430"/>
        <v>660</v>
      </c>
      <c r="DU121">
        <f t="shared" si="431"/>
        <v>290.81249999999994</v>
      </c>
      <c r="DW121" s="5">
        <f t="shared" si="394"/>
        <v>3.4386417365140778</v>
      </c>
      <c r="DX121" s="5">
        <f t="shared" si="395"/>
        <v>0.88888888888888906</v>
      </c>
      <c r="DY121" s="5">
        <f t="shared" si="396"/>
        <v>2.5497528476251885</v>
      </c>
      <c r="DZ121" s="5"/>
      <c r="EA121" s="173">
        <f t="shared" si="397"/>
        <v>0.25850000000000001</v>
      </c>
      <c r="EB121" s="173">
        <f t="shared" si="398"/>
        <v>3.1020000000000003</v>
      </c>
      <c r="EC121" s="173">
        <f t="shared" si="399"/>
        <v>1.9773333333333336</v>
      </c>
      <c r="ED121" s="173">
        <f t="shared" si="400"/>
        <v>1.5687795010114631</v>
      </c>
      <c r="EE121" s="460">
        <f t="shared" si="401"/>
        <v>14.66666666666667</v>
      </c>
      <c r="EF121" s="5">
        <f t="shared" si="402"/>
        <v>0.31163645915418969</v>
      </c>
      <c r="EH121" s="173">
        <f t="shared" si="403"/>
        <v>0.39138879031620871</v>
      </c>
      <c r="EI121" s="173">
        <f t="shared" si="404"/>
        <v>2.6515124963911672</v>
      </c>
      <c r="EK121" s="528">
        <f t="shared" si="405"/>
        <v>1.8688592592592593E-3</v>
      </c>
      <c r="EL121" s="528">
        <f t="shared" si="406"/>
        <v>0.28538399999999997</v>
      </c>
      <c r="EM121" s="528">
        <f t="shared" si="407"/>
        <v>3.6351562499999997E-2</v>
      </c>
      <c r="EN121" s="528">
        <f t="shared" si="408"/>
        <v>3.9382991999999992E-2</v>
      </c>
      <c r="EO121">
        <f t="shared" si="409"/>
        <v>8.0999999999999996E-3</v>
      </c>
      <c r="EP121" s="460">
        <f t="shared" si="410"/>
        <v>44.451562500000001</v>
      </c>
      <c r="EQ121" s="460"/>
      <c r="ER121" s="460">
        <f t="shared" si="432"/>
        <v>371.08741375925922</v>
      </c>
      <c r="ES121" s="528">
        <f t="shared" si="411"/>
        <v>0.46199999999999997</v>
      </c>
      <c r="EV121" s="460">
        <f t="shared" si="412"/>
        <v>461.99999999999994</v>
      </c>
      <c r="EW121" s="528">
        <f t="shared" si="413"/>
        <v>4.5955555555555559E-3</v>
      </c>
      <c r="EX121" s="528">
        <f t="shared" si="414"/>
        <v>0.21091555555555558</v>
      </c>
      <c r="EY121" s="528">
        <f t="shared" si="415"/>
        <v>0.14802992549357291</v>
      </c>
      <c r="EZ121" s="528"/>
      <c r="FA121" s="528">
        <f t="shared" si="416"/>
        <v>1.2925000000000001E-2</v>
      </c>
      <c r="FB121" s="460">
        <f t="shared" si="417"/>
        <v>376.46603660468406</v>
      </c>
      <c r="FC121" s="173">
        <f t="shared" si="418"/>
        <v>1.2095534503639433</v>
      </c>
      <c r="FD121" s="5">
        <f t="shared" si="419"/>
        <v>2.64</v>
      </c>
      <c r="FE121" s="173">
        <f t="shared" si="420"/>
        <v>0.68579382882718765</v>
      </c>
      <c r="FF121" s="5">
        <f t="shared" si="421"/>
        <v>68.579382882718761</v>
      </c>
      <c r="FI121" s="562">
        <f t="shared" si="422"/>
        <v>-50</v>
      </c>
      <c r="FJ121">
        <f t="shared" si="423"/>
        <v>-50</v>
      </c>
      <c r="FL121">
        <f t="shared" si="424"/>
        <v>0.24749999999999997</v>
      </c>
    </row>
    <row r="122" spans="5:168">
      <c r="E122" s="170">
        <v>12</v>
      </c>
      <c r="F122" s="217">
        <f t="shared" si="425"/>
        <v>0.72</v>
      </c>
      <c r="G122" s="217"/>
      <c r="H122" s="217">
        <f t="shared" si="315"/>
        <v>2.88</v>
      </c>
      <c r="I122" s="541">
        <f t="shared" si="316"/>
        <v>17.974046122014119</v>
      </c>
      <c r="J122" s="172">
        <f t="shared" si="317"/>
        <v>19.095209986569245</v>
      </c>
      <c r="K122" s="172">
        <f t="shared" si="318"/>
        <v>37.06925610858336</v>
      </c>
      <c r="L122" s="443"/>
      <c r="M122" s="217">
        <f t="shared" si="319"/>
        <v>0.51544660124452957</v>
      </c>
      <c r="N122" s="172">
        <f t="shared" si="426"/>
        <v>31.090658152826585</v>
      </c>
      <c r="O122" s="172">
        <f t="shared" si="284"/>
        <v>2.88</v>
      </c>
      <c r="P122" s="217">
        <f t="shared" si="320"/>
        <v>7.7726645382066462</v>
      </c>
      <c r="Q122" s="217">
        <f t="shared" si="321"/>
        <v>4</v>
      </c>
      <c r="R122" s="217"/>
      <c r="S122" s="172">
        <f t="shared" si="322"/>
        <v>78.759250761090087</v>
      </c>
      <c r="T122" s="172">
        <f t="shared" si="323"/>
        <v>4</v>
      </c>
      <c r="U122" s="217">
        <f t="shared" si="324"/>
        <v>0.74295217188575291</v>
      </c>
      <c r="V122" s="217">
        <f t="shared" si="325"/>
        <v>0.49601664545133584</v>
      </c>
      <c r="W122" s="217">
        <f t="shared" si="326"/>
        <v>0.4668933239749532</v>
      </c>
      <c r="X122" s="197">
        <f t="shared" si="327"/>
        <v>350</v>
      </c>
      <c r="Y122" s="443">
        <f t="shared" si="328"/>
        <v>350</v>
      </c>
      <c r="AA122" s="217">
        <f t="shared" si="329"/>
        <v>2.2044849035750338</v>
      </c>
      <c r="AB122" s="173">
        <f t="shared" si="330"/>
        <v>1.3853641233328615</v>
      </c>
      <c r="AC122" s="173">
        <f t="shared" si="331"/>
        <v>2.1378100070892283</v>
      </c>
      <c r="AD122" s="173"/>
      <c r="AE122" s="173">
        <f t="shared" si="332"/>
        <v>0.83790647032704646</v>
      </c>
      <c r="AF122" s="545">
        <f t="shared" si="333"/>
        <v>322.23166852335584</v>
      </c>
      <c r="AG122" s="528">
        <f t="shared" si="334"/>
        <v>0.78204603897191016</v>
      </c>
      <c r="AI122" s="173">
        <f t="shared" si="335"/>
        <v>1.2793483827961318</v>
      </c>
      <c r="AJ122" s="173">
        <f t="shared" si="336"/>
        <v>1.3333333333333335</v>
      </c>
      <c r="AK122" s="173">
        <f t="shared" si="337"/>
        <v>1.1841323820133463</v>
      </c>
      <c r="AM122" s="545">
        <f t="shared" si="338"/>
        <v>720</v>
      </c>
      <c r="AN122" s="460">
        <f t="shared" si="339"/>
        <v>322.23166852335584</v>
      </c>
      <c r="AP122" s="460">
        <f t="shared" si="340"/>
        <v>720</v>
      </c>
      <c r="AQ122" s="460">
        <f t="shared" si="341"/>
        <v>322.23166852335584</v>
      </c>
      <c r="AS122" s="5">
        <f t="shared" si="285"/>
        <v>3.1033572975075803</v>
      </c>
      <c r="AT122" s="5">
        <f t="shared" si="342"/>
        <v>0.89017241256567381</v>
      </c>
      <c r="AU122" s="5">
        <f t="shared" si="343"/>
        <v>2.2131848849419065</v>
      </c>
      <c r="AV122" s="5"/>
      <c r="AW122" s="173">
        <f t="shared" si="344"/>
        <v>0.28684174177449817</v>
      </c>
      <c r="AX122" s="173">
        <f t="shared" si="214"/>
        <v>3.4371377975824631</v>
      </c>
      <c r="AY122" s="173">
        <f t="shared" si="215"/>
        <v>1.9017553552680051</v>
      </c>
      <c r="AZ122" s="173">
        <f t="shared" si="288"/>
        <v>1.8073501347380636</v>
      </c>
      <c r="BA122" s="460">
        <f t="shared" si="433"/>
        <v>16.023103426182129</v>
      </c>
      <c r="BB122" s="5">
        <f t="shared" si="434"/>
        <v>0.29551741927239294</v>
      </c>
      <c r="BD122" s="173">
        <f t="shared" si="289"/>
        <v>0.41228666170751255</v>
      </c>
      <c r="BE122" s="173">
        <f t="shared" si="218"/>
        <v>2.6003455191052374</v>
      </c>
      <c r="BG122" s="528">
        <f t="shared" si="347"/>
        <v>2.0737595553474834E-3</v>
      </c>
      <c r="BH122" s="528">
        <f t="shared" si="348"/>
        <v>0.29862220616971047</v>
      </c>
      <c r="BI122" s="528">
        <f t="shared" si="349"/>
        <v>0.1447951718003091</v>
      </c>
      <c r="BJ122" s="528">
        <f t="shared" si="350"/>
        <v>4.4278812160860714E-2</v>
      </c>
      <c r="BK122">
        <f t="shared" si="351"/>
        <v>8.088320754906354E-3</v>
      </c>
      <c r="BL122" s="460">
        <f t="shared" si="427"/>
        <v>152.88349255521544</v>
      </c>
      <c r="BM122" s="528">
        <f t="shared" si="352"/>
        <v>0.34570503057051188</v>
      </c>
      <c r="BN122" s="460">
        <f t="shared" si="353"/>
        <v>345.70503057051189</v>
      </c>
      <c r="BO122" s="528">
        <f t="shared" si="354"/>
        <v>0.504</v>
      </c>
      <c r="BR122" s="460">
        <f t="shared" si="355"/>
        <v>504</v>
      </c>
      <c r="BS122" s="528">
        <f t="shared" si="356"/>
        <v>5.0994087426577467E-3</v>
      </c>
      <c r="BT122" s="528">
        <f t="shared" si="357"/>
        <v>0.20285390456192057</v>
      </c>
      <c r="BU122" s="528">
        <f t="shared" si="358"/>
        <v>0.19130987859223375</v>
      </c>
      <c r="BV122" s="528"/>
      <c r="BW122" s="528">
        <f t="shared" si="359"/>
        <v>1.4321407489926928E-2</v>
      </c>
      <c r="BX122" s="460">
        <f t="shared" si="360"/>
        <v>413.58459938673894</v>
      </c>
      <c r="BY122" s="173">
        <f t="shared" si="361"/>
        <v>1.4154428698278732</v>
      </c>
      <c r="BZ122" s="5">
        <f t="shared" si="362"/>
        <v>2.88</v>
      </c>
      <c r="CA122" s="173">
        <f t="shared" si="363"/>
        <v>0.67047801292615195</v>
      </c>
      <c r="CB122" s="5">
        <f t="shared" si="364"/>
        <v>67.047801292615191</v>
      </c>
      <c r="CE122" s="562">
        <f t="shared" si="365"/>
        <v>-50</v>
      </c>
      <c r="CF122">
        <f t="shared" si="366"/>
        <v>-50</v>
      </c>
      <c r="CG122" s="173">
        <f t="shared" si="367"/>
        <v>0.29267302574716375</v>
      </c>
      <c r="CI122" s="170">
        <v>12</v>
      </c>
      <c r="CJ122" s="217">
        <f t="shared" si="428"/>
        <v>0.72</v>
      </c>
      <c r="CK122" s="217"/>
      <c r="CL122" s="217">
        <f t="shared" si="368"/>
        <v>2.88</v>
      </c>
      <c r="CM122" s="541">
        <f t="shared" si="369"/>
        <v>18</v>
      </c>
      <c r="CN122" s="443">
        <f t="shared" si="370"/>
        <v>18.8</v>
      </c>
      <c r="CO122" s="443">
        <f t="shared" si="371"/>
        <v>36.799999999999997</v>
      </c>
      <c r="CP122" s="443"/>
      <c r="CQ122" s="217">
        <f t="shared" si="372"/>
        <v>0.51086956521739135</v>
      </c>
      <c r="CR122" s="172">
        <f t="shared" si="429"/>
        <v>30.859076086956527</v>
      </c>
      <c r="CS122" s="172">
        <f t="shared" si="373"/>
        <v>2.88</v>
      </c>
      <c r="CT122" s="217">
        <f t="shared" si="374"/>
        <v>7.7147690217391318</v>
      </c>
      <c r="CU122" s="217">
        <f t="shared" si="375"/>
        <v>4</v>
      </c>
      <c r="CV122" s="217"/>
      <c r="CW122" s="172">
        <f t="shared" si="376"/>
        <v>78.872919665131349</v>
      </c>
      <c r="CX122" s="172">
        <f t="shared" si="377"/>
        <v>4</v>
      </c>
      <c r="CY122" s="217">
        <f t="shared" si="378"/>
        <v>0.62638297872340409</v>
      </c>
      <c r="CZ122" s="217">
        <f t="shared" si="379"/>
        <v>0.4175886524822694</v>
      </c>
      <c r="DA122" s="217">
        <f t="shared" si="380"/>
        <v>0.39981892258940688</v>
      </c>
      <c r="DB122" s="197">
        <f t="shared" si="381"/>
        <v>350</v>
      </c>
      <c r="DC122" s="443">
        <f t="shared" si="382"/>
        <v>350</v>
      </c>
      <c r="DE122" s="217">
        <f t="shared" si="383"/>
        <v>2.18944099378882</v>
      </c>
      <c r="DF122" s="173">
        <f t="shared" si="384"/>
        <v>1.3975155279503106</v>
      </c>
      <c r="DG122" s="173">
        <f t="shared" si="385"/>
        <v>2.1418444504455847</v>
      </c>
      <c r="DH122" s="173"/>
      <c r="DI122" s="173">
        <f t="shared" si="386"/>
        <v>0.85106382978723416</v>
      </c>
      <c r="DJ122" s="545">
        <f t="shared" si="387"/>
        <v>317.24999999999994</v>
      </c>
      <c r="DK122" s="528">
        <f t="shared" si="388"/>
        <v>0.79432624113475192</v>
      </c>
      <c r="DM122" s="173">
        <f t="shared" si="389"/>
        <v>1.2694205652298893</v>
      </c>
      <c r="DN122" s="173">
        <f t="shared" si="390"/>
        <v>1.3333333333333335</v>
      </c>
      <c r="DO122" s="173">
        <f t="shared" si="391"/>
        <v>1.1812857142857143</v>
      </c>
      <c r="DQ122" s="545">
        <f t="shared" si="392"/>
        <v>720</v>
      </c>
      <c r="DR122" s="460">
        <f t="shared" si="393"/>
        <v>317.24999999999994</v>
      </c>
      <c r="DT122">
        <f t="shared" si="430"/>
        <v>720</v>
      </c>
      <c r="DU122">
        <f t="shared" si="431"/>
        <v>317.24999999999994</v>
      </c>
      <c r="DW122" s="5">
        <f t="shared" si="394"/>
        <v>3.1520882584712377</v>
      </c>
      <c r="DX122" s="5">
        <f t="shared" si="395"/>
        <v>0.88888888888888906</v>
      </c>
      <c r="DY122" s="5">
        <f t="shared" si="396"/>
        <v>2.2631993695823489</v>
      </c>
      <c r="DZ122" s="5"/>
      <c r="EA122" s="173">
        <f t="shared" si="397"/>
        <v>0.28200000000000003</v>
      </c>
      <c r="EB122" s="173">
        <f t="shared" si="398"/>
        <v>3.3840000000000003</v>
      </c>
      <c r="EC122" s="173">
        <f t="shared" si="399"/>
        <v>1.9146666666666667</v>
      </c>
      <c r="ED122" s="173">
        <f t="shared" si="400"/>
        <v>1.7674094707520893</v>
      </c>
      <c r="EE122" s="460">
        <f t="shared" si="401"/>
        <v>16.000000000000004</v>
      </c>
      <c r="EF122" s="5">
        <f t="shared" si="402"/>
        <v>0.30175991594431312</v>
      </c>
      <c r="EH122" s="173">
        <f t="shared" si="403"/>
        <v>0.40879225911349054</v>
      </c>
      <c r="EI122" s="173">
        <f t="shared" si="404"/>
        <v>2.6091576617183763</v>
      </c>
      <c r="EK122" s="528">
        <f t="shared" si="405"/>
        <v>2.0387555555555562E-3</v>
      </c>
      <c r="EL122" s="528">
        <f t="shared" si="406"/>
        <v>0.31132799999999999</v>
      </c>
      <c r="EM122" s="528">
        <f t="shared" si="407"/>
        <v>3.965624999999999E-2</v>
      </c>
      <c r="EN122" s="528">
        <f t="shared" si="408"/>
        <v>4.2963263999999987E-2</v>
      </c>
      <c r="EO122">
        <f t="shared" si="409"/>
        <v>8.0999999999999996E-3</v>
      </c>
      <c r="EP122" s="460">
        <f t="shared" si="410"/>
        <v>47.756249999999987</v>
      </c>
      <c r="EQ122" s="460"/>
      <c r="ER122" s="460">
        <f t="shared" si="432"/>
        <v>404.08626955555553</v>
      </c>
      <c r="ES122" s="528">
        <f t="shared" si="411"/>
        <v>0.504</v>
      </c>
      <c r="EV122" s="460">
        <f t="shared" si="412"/>
        <v>504</v>
      </c>
      <c r="EW122" s="528">
        <f t="shared" si="413"/>
        <v>5.0133333333333349E-3</v>
      </c>
      <c r="EX122" s="528">
        <f t="shared" si="414"/>
        <v>0.20423111111111114</v>
      </c>
      <c r="EY122" s="528">
        <f t="shared" si="415"/>
        <v>0.18400131329927374</v>
      </c>
      <c r="EZ122" s="528"/>
      <c r="FA122" s="528">
        <f t="shared" si="416"/>
        <v>1.41E-2</v>
      </c>
      <c r="FB122" s="460">
        <f t="shared" si="417"/>
        <v>407.34575774371825</v>
      </c>
      <c r="FC122" s="173">
        <f t="shared" si="418"/>
        <v>1.3154320272992737</v>
      </c>
      <c r="FD122" s="5">
        <f t="shared" si="419"/>
        <v>2.88</v>
      </c>
      <c r="FE122" s="173">
        <f t="shared" si="420"/>
        <v>0.68646088919093828</v>
      </c>
      <c r="FF122" s="5">
        <f t="shared" si="421"/>
        <v>68.646088919093827</v>
      </c>
      <c r="FI122" s="562">
        <f t="shared" si="422"/>
        <v>-50</v>
      </c>
      <c r="FJ122">
        <f t="shared" si="423"/>
        <v>-50</v>
      </c>
      <c r="FL122">
        <f t="shared" si="424"/>
        <v>0.26999999999999996</v>
      </c>
    </row>
    <row r="123" spans="5:168">
      <c r="E123" s="170">
        <v>13</v>
      </c>
      <c r="F123" s="217">
        <f t="shared" si="425"/>
        <v>0.78</v>
      </c>
      <c r="G123" s="217"/>
      <c r="H123" s="217">
        <f t="shared" si="315"/>
        <v>3.12</v>
      </c>
      <c r="I123" s="541">
        <f t="shared" si="316"/>
        <v>17.974046122014119</v>
      </c>
      <c r="J123" s="172">
        <f t="shared" si="317"/>
        <v>19.095209986569245</v>
      </c>
      <c r="K123" s="172">
        <f t="shared" si="318"/>
        <v>37.06925610858336</v>
      </c>
      <c r="L123" s="443"/>
      <c r="M123" s="217">
        <f t="shared" si="319"/>
        <v>0.51544660124452957</v>
      </c>
      <c r="N123" s="172">
        <f t="shared" si="426"/>
        <v>31.090658152826585</v>
      </c>
      <c r="O123" s="172">
        <f t="shared" si="284"/>
        <v>3.12</v>
      </c>
      <c r="P123" s="217">
        <f t="shared" si="320"/>
        <v>7.7726645382066462</v>
      </c>
      <c r="Q123" s="217">
        <f t="shared" si="321"/>
        <v>4</v>
      </c>
      <c r="R123" s="217"/>
      <c r="S123" s="172">
        <f t="shared" si="322"/>
        <v>72.361703460925241</v>
      </c>
      <c r="T123" s="172">
        <f t="shared" si="323"/>
        <v>4</v>
      </c>
      <c r="U123" s="217">
        <f t="shared" si="324"/>
        <v>0.80486485287623233</v>
      </c>
      <c r="V123" s="217">
        <f t="shared" si="325"/>
        <v>0.53735136590561383</v>
      </c>
      <c r="W123" s="217">
        <f t="shared" si="326"/>
        <v>0.5058011009728659</v>
      </c>
      <c r="X123" s="197">
        <f t="shared" si="327"/>
        <v>350</v>
      </c>
      <c r="Y123" s="443">
        <f t="shared" si="328"/>
        <v>350</v>
      </c>
      <c r="AA123" s="217">
        <f t="shared" si="329"/>
        <v>2.2044849035750338</v>
      </c>
      <c r="AB123" s="173">
        <f t="shared" si="330"/>
        <v>1.3853641233328615</v>
      </c>
      <c r="AC123" s="173">
        <f t="shared" si="331"/>
        <v>2.1378100070892283</v>
      </c>
      <c r="AD123" s="173"/>
      <c r="AE123" s="173">
        <f t="shared" si="332"/>
        <v>0.83790647032704646</v>
      </c>
      <c r="AF123" s="545">
        <f t="shared" si="333"/>
        <v>349.0843075669689</v>
      </c>
      <c r="AG123" s="528">
        <f t="shared" si="334"/>
        <v>0.78204603897191016</v>
      </c>
      <c r="AI123" s="173">
        <f t="shared" si="335"/>
        <v>1.3315880149693453</v>
      </c>
      <c r="AJ123" s="173">
        <f t="shared" si="336"/>
        <v>1.3333333333333335</v>
      </c>
      <c r="AK123" s="173">
        <f t="shared" si="337"/>
        <v>1.1994767471811252</v>
      </c>
      <c r="AM123" s="545">
        <f t="shared" si="338"/>
        <v>780</v>
      </c>
      <c r="AN123" s="460">
        <f t="shared" si="339"/>
        <v>349.0843075669689</v>
      </c>
      <c r="AP123" s="460">
        <f t="shared" si="340"/>
        <v>780</v>
      </c>
      <c r="AQ123" s="460">
        <f t="shared" si="341"/>
        <v>349.0843075669689</v>
      </c>
      <c r="AS123" s="5">
        <f t="shared" si="285"/>
        <v>2.8646375053916118</v>
      </c>
      <c r="AT123" s="5">
        <f t="shared" si="342"/>
        <v>0.89017241256567381</v>
      </c>
      <c r="AU123" s="5">
        <f t="shared" si="343"/>
        <v>1.974465092825938</v>
      </c>
      <c r="AV123" s="5"/>
      <c r="AW123" s="173">
        <f t="shared" si="344"/>
        <v>0.31074522025570644</v>
      </c>
      <c r="AX123" s="173">
        <f t="shared" si="214"/>
        <v>3.7235659473810023</v>
      </c>
      <c r="AY123" s="173">
        <f t="shared" si="215"/>
        <v>1.8380127459847833</v>
      </c>
      <c r="AZ123" s="173">
        <f t="shared" si="288"/>
        <v>2.0258651391375224</v>
      </c>
      <c r="BA123" s="460">
        <f t="shared" si="433"/>
        <v>17.358362045030642</v>
      </c>
      <c r="BB123" s="5">
        <f t="shared" si="434"/>
        <v>0.28561233272123043</v>
      </c>
      <c r="BD123" s="173">
        <f t="shared" si="289"/>
        <v>0.42912156285496228</v>
      </c>
      <c r="BE123" s="173">
        <f t="shared" si="218"/>
        <v>2.5563952022659016</v>
      </c>
      <c r="BG123" s="528">
        <f t="shared" si="347"/>
        <v>2.2465728516264409E-3</v>
      </c>
      <c r="BH123" s="528">
        <f t="shared" si="348"/>
        <v>0.32350739001718637</v>
      </c>
      <c r="BI123" s="528">
        <f t="shared" si="349"/>
        <v>0.15686143611700154</v>
      </c>
      <c r="BJ123" s="528">
        <f t="shared" si="350"/>
        <v>4.7968713174265785E-2</v>
      </c>
      <c r="BK123">
        <f t="shared" si="351"/>
        <v>8.088320754906354E-3</v>
      </c>
      <c r="BL123" s="460">
        <f t="shared" si="427"/>
        <v>164.94975687190788</v>
      </c>
      <c r="BM123" s="528">
        <f t="shared" si="352"/>
        <v>0.37452916903125488</v>
      </c>
      <c r="BN123" s="460">
        <f t="shared" si="353"/>
        <v>374.52916903125487</v>
      </c>
      <c r="BO123" s="528">
        <f t="shared" si="354"/>
        <v>0.54599999999999993</v>
      </c>
      <c r="BR123" s="460">
        <f t="shared" si="355"/>
        <v>545.99999999999989</v>
      </c>
      <c r="BS123" s="528">
        <f t="shared" si="356"/>
        <v>5.5243594712125598E-3</v>
      </c>
      <c r="BT123" s="528">
        <f t="shared" si="357"/>
        <v>0.19605469290504357</v>
      </c>
      <c r="BU123" s="528">
        <f t="shared" si="358"/>
        <v>0.233691363079995</v>
      </c>
      <c r="BV123" s="528"/>
      <c r="BW123" s="528">
        <f t="shared" si="359"/>
        <v>1.551485811408751E-2</v>
      </c>
      <c r="BX123" s="460">
        <f t="shared" si="360"/>
        <v>450.78527357033857</v>
      </c>
      <c r="BY123" s="173">
        <f t="shared" si="361"/>
        <v>1.5354577064853252</v>
      </c>
      <c r="BZ123" s="5">
        <f t="shared" si="362"/>
        <v>3.12</v>
      </c>
      <c r="CA123" s="173">
        <f t="shared" si="363"/>
        <v>0.67018115010553247</v>
      </c>
      <c r="CB123" s="5">
        <f t="shared" si="364"/>
        <v>67.018115010553245</v>
      </c>
      <c r="CE123" s="562">
        <f t="shared" si="365"/>
        <v>-50</v>
      </c>
      <c r="CF123">
        <f t="shared" si="366"/>
        <v>-50</v>
      </c>
      <c r="CG123" s="173">
        <f t="shared" si="367"/>
        <v>0.31706244455942739</v>
      </c>
      <c r="CI123" s="170">
        <v>13</v>
      </c>
      <c r="CJ123" s="217">
        <f t="shared" si="428"/>
        <v>0.78</v>
      </c>
      <c r="CK123" s="217"/>
      <c r="CL123" s="217">
        <f t="shared" si="368"/>
        <v>3.12</v>
      </c>
      <c r="CM123" s="541">
        <f t="shared" si="369"/>
        <v>18</v>
      </c>
      <c r="CN123" s="443">
        <f t="shared" si="370"/>
        <v>18.8</v>
      </c>
      <c r="CO123" s="443">
        <f t="shared" si="371"/>
        <v>36.799999999999997</v>
      </c>
      <c r="CP123" s="443"/>
      <c r="CQ123" s="217">
        <f t="shared" si="372"/>
        <v>0.51086956521739135</v>
      </c>
      <c r="CR123" s="172">
        <f t="shared" si="429"/>
        <v>30.859076086956527</v>
      </c>
      <c r="CS123" s="172">
        <f t="shared" si="373"/>
        <v>3.12</v>
      </c>
      <c r="CT123" s="217">
        <f t="shared" si="374"/>
        <v>7.7147690217391318</v>
      </c>
      <c r="CU123" s="217">
        <f t="shared" si="375"/>
        <v>4</v>
      </c>
      <c r="CV123" s="217"/>
      <c r="CW123" s="172">
        <f t="shared" si="376"/>
        <v>72.46612963087891</v>
      </c>
      <c r="CX123" s="172">
        <f t="shared" si="377"/>
        <v>4</v>
      </c>
      <c r="CY123" s="217">
        <f t="shared" si="378"/>
        <v>0.67858156028368788</v>
      </c>
      <c r="CZ123" s="217">
        <f t="shared" si="379"/>
        <v>0.45238770685579194</v>
      </c>
      <c r="DA123" s="217">
        <f t="shared" si="380"/>
        <v>0.43313716613852415</v>
      </c>
      <c r="DB123" s="197">
        <f t="shared" si="381"/>
        <v>350</v>
      </c>
      <c r="DC123" s="443">
        <f t="shared" si="382"/>
        <v>350</v>
      </c>
      <c r="DE123" s="217">
        <f t="shared" si="383"/>
        <v>2.18944099378882</v>
      </c>
      <c r="DF123" s="173">
        <f t="shared" si="384"/>
        <v>1.3975155279503106</v>
      </c>
      <c r="DG123" s="173">
        <f t="shared" si="385"/>
        <v>2.1418444504455847</v>
      </c>
      <c r="DH123" s="173"/>
      <c r="DI123" s="173">
        <f t="shared" si="386"/>
        <v>0.85106382978723416</v>
      </c>
      <c r="DJ123" s="545">
        <f t="shared" si="387"/>
        <v>343.68749999999994</v>
      </c>
      <c r="DK123" s="528">
        <f t="shared" si="388"/>
        <v>0.79432624113475192</v>
      </c>
      <c r="DM123" s="173">
        <f t="shared" si="389"/>
        <v>1.3212548148310703</v>
      </c>
      <c r="DN123" s="173">
        <f t="shared" si="390"/>
        <v>1.3333333333333335</v>
      </c>
      <c r="DO123" s="173">
        <f t="shared" si="391"/>
        <v>1.196392857142857</v>
      </c>
      <c r="DQ123" s="545">
        <f t="shared" si="392"/>
        <v>780</v>
      </c>
      <c r="DR123" s="460">
        <f t="shared" si="393"/>
        <v>343.68749999999994</v>
      </c>
      <c r="DT123">
        <f t="shared" si="430"/>
        <v>780</v>
      </c>
      <c r="DU123">
        <f t="shared" si="431"/>
        <v>343.68749999999994</v>
      </c>
      <c r="DW123" s="5">
        <f t="shared" si="394"/>
        <v>2.9096199308965272</v>
      </c>
      <c r="DX123" s="5">
        <f t="shared" si="395"/>
        <v>0.88888888888888906</v>
      </c>
      <c r="DY123" s="5">
        <f t="shared" si="396"/>
        <v>2.0207310420076379</v>
      </c>
      <c r="DZ123" s="5"/>
      <c r="EA123" s="173">
        <f t="shared" si="397"/>
        <v>0.30549999999999999</v>
      </c>
      <c r="EB123" s="173">
        <f t="shared" si="398"/>
        <v>3.6659999999999999</v>
      </c>
      <c r="EC123" s="173">
        <f t="shared" si="399"/>
        <v>1.8520000000000003</v>
      </c>
      <c r="ED123" s="173">
        <f t="shared" si="400"/>
        <v>1.9794816414686822</v>
      </c>
      <c r="EE123" s="460">
        <f t="shared" si="401"/>
        <v>17.333333333333336</v>
      </c>
      <c r="EF123" s="5">
        <f t="shared" si="402"/>
        <v>0.29188337273443654</v>
      </c>
      <c r="EH123" s="173">
        <f t="shared" si="403"/>
        <v>0.42548447332075123</v>
      </c>
      <c r="EI123" s="173">
        <f t="shared" si="404"/>
        <v>2.5661038343934739</v>
      </c>
      <c r="EK123" s="528">
        <f t="shared" si="405"/>
        <v>2.2086518518518524E-3</v>
      </c>
      <c r="EL123" s="528">
        <f t="shared" si="406"/>
        <v>0.33727200000000002</v>
      </c>
      <c r="EM123" s="528">
        <f t="shared" si="407"/>
        <v>4.296093749999999E-2</v>
      </c>
      <c r="EN123" s="528">
        <f t="shared" si="408"/>
        <v>4.6543535999999983E-2</v>
      </c>
      <c r="EO123">
        <f t="shared" si="409"/>
        <v>8.0999999999999996E-3</v>
      </c>
      <c r="EP123" s="460">
        <f t="shared" si="410"/>
        <v>51.060937499999987</v>
      </c>
      <c r="EQ123" s="460"/>
      <c r="ER123" s="460">
        <f t="shared" si="432"/>
        <v>437.0851253518519</v>
      </c>
      <c r="ES123" s="528">
        <f t="shared" si="411"/>
        <v>0.54599999999999993</v>
      </c>
      <c r="EV123" s="460">
        <f t="shared" si="412"/>
        <v>545.99999999999989</v>
      </c>
      <c r="EW123" s="528">
        <f t="shared" si="413"/>
        <v>5.4311111111111122E-3</v>
      </c>
      <c r="EX123" s="528">
        <f t="shared" si="414"/>
        <v>0.19754666666666668</v>
      </c>
      <c r="EY123" s="528">
        <f t="shared" si="415"/>
        <v>0.2247637081254307</v>
      </c>
      <c r="EZ123" s="528"/>
      <c r="FA123" s="528">
        <f t="shared" si="416"/>
        <v>1.5275000000000002E-2</v>
      </c>
      <c r="FB123" s="460">
        <f t="shared" si="417"/>
        <v>443.01648590320849</v>
      </c>
      <c r="FC123" s="173">
        <f t="shared" si="418"/>
        <v>1.4261016112550604</v>
      </c>
      <c r="FD123" s="5">
        <f t="shared" si="419"/>
        <v>3.12</v>
      </c>
      <c r="FE123" s="173">
        <f t="shared" si="420"/>
        <v>0.68630230179537255</v>
      </c>
      <c r="FF123" s="5">
        <f t="shared" si="421"/>
        <v>68.63023017953725</v>
      </c>
      <c r="FI123" s="562">
        <f t="shared" si="422"/>
        <v>-50</v>
      </c>
      <c r="FJ123">
        <f t="shared" si="423"/>
        <v>-50</v>
      </c>
      <c r="FL123">
        <f t="shared" si="424"/>
        <v>0.29249999999999998</v>
      </c>
    </row>
    <row r="124" spans="5:168">
      <c r="E124" s="170">
        <v>14</v>
      </c>
      <c r="F124" s="217">
        <f t="shared" si="425"/>
        <v>0.84000000000000008</v>
      </c>
      <c r="G124" s="217"/>
      <c r="H124" s="217">
        <f t="shared" si="315"/>
        <v>3.3600000000000003</v>
      </c>
      <c r="I124" s="541">
        <f t="shared" si="316"/>
        <v>17.973310376548177</v>
      </c>
      <c r="J124" s="172">
        <f t="shared" si="317"/>
        <v>19.103578655376165</v>
      </c>
      <c r="K124" s="172">
        <f t="shared" si="318"/>
        <v>37.076889031924338</v>
      </c>
      <c r="L124" s="443"/>
      <c r="M124" s="217">
        <f t="shared" si="319"/>
        <v>0.51557529447278072</v>
      </c>
      <c r="N124" s="172">
        <f t="shared" si="426"/>
        <v>31.097147682907597</v>
      </c>
      <c r="O124" s="172">
        <f t="shared" si="284"/>
        <v>3.3600000000000003</v>
      </c>
      <c r="P124" s="217">
        <f t="shared" si="320"/>
        <v>7.7742869207268992</v>
      </c>
      <c r="Q124" s="217">
        <f t="shared" si="321"/>
        <v>4</v>
      </c>
      <c r="R124" s="217"/>
      <c r="S124" s="172">
        <f t="shared" si="322"/>
        <v>66.875877779494942</v>
      </c>
      <c r="T124" s="172">
        <f t="shared" si="323"/>
        <v>4</v>
      </c>
      <c r="U124" s="217">
        <f t="shared" si="324"/>
        <v>0.86700780370583452</v>
      </c>
      <c r="V124" s="217">
        <f t="shared" si="325"/>
        <v>0.57886351631947652</v>
      </c>
      <c r="W124" s="217">
        <f t="shared" si="326"/>
        <v>0.54461490342502261</v>
      </c>
      <c r="X124" s="197">
        <f t="shared" si="327"/>
        <v>350</v>
      </c>
      <c r="Y124" s="443">
        <f t="shared" si="328"/>
        <v>350</v>
      </c>
      <c r="AA124" s="217">
        <f t="shared" si="329"/>
        <v>2.2049067520216337</v>
      </c>
      <c r="AB124" s="173">
        <f t="shared" si="330"/>
        <v>1.385022225498755</v>
      </c>
      <c r="AC124" s="173">
        <f t="shared" si="331"/>
        <v>2.1376913996915641</v>
      </c>
      <c r="AD124" s="173"/>
      <c r="AE124" s="173">
        <f t="shared" si="332"/>
        <v>0.83753941021397338</v>
      </c>
      <c r="AF124" s="545">
        <f t="shared" si="333"/>
        <v>376.10170477771817</v>
      </c>
      <c r="AG124" s="528">
        <f t="shared" si="334"/>
        <v>0.78170344953304194</v>
      </c>
      <c r="AI124" s="173">
        <f t="shared" si="335"/>
        <v>1.3821569612520919</v>
      </c>
      <c r="AJ124" s="173">
        <f t="shared" si="336"/>
        <v>1.3821569612520919</v>
      </c>
      <c r="AK124" s="173">
        <f t="shared" si="337"/>
        <v>1.2361656503101914</v>
      </c>
      <c r="AM124" s="545">
        <f t="shared" si="338"/>
        <v>840.00000000000011</v>
      </c>
      <c r="AN124" s="460">
        <f t="shared" si="339"/>
        <v>350</v>
      </c>
      <c r="AP124" s="460">
        <f t="shared" si="340"/>
        <v>840.00000000000011</v>
      </c>
      <c r="AQ124" s="460">
        <f t="shared" si="341"/>
        <v>350</v>
      </c>
      <c r="AS124" s="5">
        <f t="shared" si="285"/>
        <v>2.8571428571428572</v>
      </c>
      <c r="AT124" s="5">
        <f t="shared" si="342"/>
        <v>0.92280627149612859</v>
      </c>
      <c r="AU124" s="5">
        <f t="shared" si="343"/>
        <v>1.9343365856467285</v>
      </c>
      <c r="AV124" s="5"/>
      <c r="AW124" s="173">
        <f t="shared" si="344"/>
        <v>0.322982195023645</v>
      </c>
      <c r="AX124" s="173">
        <f t="shared" si="214"/>
        <v>4.0117515176289951</v>
      </c>
      <c r="AY124" s="173">
        <f t="shared" si="215"/>
        <v>1.8714897440793603</v>
      </c>
      <c r="AZ124" s="173">
        <f t="shared" si="288"/>
        <v>2.143613947295496</v>
      </c>
      <c r="BA124" s="460">
        <f t="shared" si="433"/>
        <v>19.378931701418704</v>
      </c>
      <c r="BB124" s="5">
        <f t="shared" si="434"/>
        <v>0.30134362153328731</v>
      </c>
      <c r="BD124" s="173">
        <f t="shared" si="289"/>
        <v>0.45350912401406901</v>
      </c>
      <c r="BE124" s="173">
        <f t="shared" si="218"/>
        <v>2.6263752347757086</v>
      </c>
      <c r="BG124" s="528">
        <f t="shared" si="347"/>
        <v>2.5091804118809002E-3</v>
      </c>
      <c r="BH124" s="528">
        <f t="shared" si="348"/>
        <v>0.3363024018181115</v>
      </c>
      <c r="BI124" s="528">
        <f t="shared" si="349"/>
        <v>0.15726646579479653</v>
      </c>
      <c r="BJ124" s="528">
        <f t="shared" si="350"/>
        <v>4.8114349509997101E-2</v>
      </c>
      <c r="BK124">
        <f t="shared" si="351"/>
        <v>8.0879896694466789E-3</v>
      </c>
      <c r="BL124" s="460">
        <f t="shared" si="427"/>
        <v>165.35445546424322</v>
      </c>
      <c r="BM124" s="528">
        <f t="shared" si="352"/>
        <v>0.38783463019197068</v>
      </c>
      <c r="BN124" s="460">
        <f t="shared" si="353"/>
        <v>387.83463019197069</v>
      </c>
      <c r="BO124" s="528">
        <f t="shared" si="354"/>
        <v>0.58799999999999997</v>
      </c>
      <c r="BR124" s="460">
        <f t="shared" si="355"/>
        <v>588</v>
      </c>
      <c r="BS124" s="528">
        <f t="shared" si="356"/>
        <v>6.1701157669202464E-3</v>
      </c>
      <c r="BT124" s="528">
        <f t="shared" si="357"/>
        <v>0.20693540621529474</v>
      </c>
      <c r="BU124" s="528">
        <f t="shared" si="358"/>
        <v>0.25735554425464102</v>
      </c>
      <c r="BV124" s="528"/>
      <c r="BW124" s="528">
        <f t="shared" si="359"/>
        <v>1.6715631323454144E-2</v>
      </c>
      <c r="BX124" s="460">
        <f t="shared" si="360"/>
        <v>487.17669756031017</v>
      </c>
      <c r="BY124" s="173">
        <f t="shared" si="361"/>
        <v>1.6274570847645429</v>
      </c>
      <c r="BZ124" s="5">
        <f t="shared" si="362"/>
        <v>3.3600000000000003</v>
      </c>
      <c r="CA124" s="173">
        <f t="shared" si="363"/>
        <v>0.67369000733138651</v>
      </c>
      <c r="CB124" s="5">
        <f t="shared" si="364"/>
        <v>67.369000733138648</v>
      </c>
      <c r="CE124" s="562">
        <f t="shared" si="365"/>
        <v>-50</v>
      </c>
      <c r="CF124">
        <f t="shared" si="366"/>
        <v>-50</v>
      </c>
      <c r="CG124" s="173">
        <f t="shared" si="367"/>
        <v>0.33203915431767983</v>
      </c>
      <c r="CI124" s="170">
        <v>14</v>
      </c>
      <c r="CJ124" s="217">
        <f t="shared" si="428"/>
        <v>0.84000000000000008</v>
      </c>
      <c r="CK124" s="217"/>
      <c r="CL124" s="217">
        <f t="shared" si="368"/>
        <v>3.3600000000000003</v>
      </c>
      <c r="CM124" s="541">
        <f t="shared" si="369"/>
        <v>18</v>
      </c>
      <c r="CN124" s="443">
        <f t="shared" si="370"/>
        <v>18.8</v>
      </c>
      <c r="CO124" s="443">
        <f t="shared" si="371"/>
        <v>36.799999999999997</v>
      </c>
      <c r="CP124" s="443"/>
      <c r="CQ124" s="217">
        <f t="shared" si="372"/>
        <v>0.51086956521739135</v>
      </c>
      <c r="CR124" s="172">
        <f t="shared" si="429"/>
        <v>30.859076086956527</v>
      </c>
      <c r="CS124" s="172">
        <f t="shared" si="373"/>
        <v>3.3600000000000003</v>
      </c>
      <c r="CT124" s="217">
        <f t="shared" si="374"/>
        <v>7.7147690217391318</v>
      </c>
      <c r="CU124" s="217">
        <f t="shared" si="375"/>
        <v>4</v>
      </c>
      <c r="CV124" s="217"/>
      <c r="CW124" s="172">
        <f t="shared" si="376"/>
        <v>66.975117339739725</v>
      </c>
      <c r="CX124" s="172">
        <f t="shared" si="377"/>
        <v>4</v>
      </c>
      <c r="CY124" s="217">
        <f t="shared" si="378"/>
        <v>0.73078014184397155</v>
      </c>
      <c r="CZ124" s="217">
        <f t="shared" si="379"/>
        <v>0.48718676122931437</v>
      </c>
      <c r="DA124" s="217">
        <f t="shared" si="380"/>
        <v>0.46645540968764143</v>
      </c>
      <c r="DB124" s="197">
        <f t="shared" si="381"/>
        <v>350</v>
      </c>
      <c r="DC124" s="443">
        <f t="shared" si="382"/>
        <v>350</v>
      </c>
      <c r="DE124" s="217">
        <f t="shared" si="383"/>
        <v>2.18944099378882</v>
      </c>
      <c r="DF124" s="173">
        <f t="shared" si="384"/>
        <v>1.3975155279503106</v>
      </c>
      <c r="DG124" s="173">
        <f t="shared" si="385"/>
        <v>2.1418444504455847</v>
      </c>
      <c r="DH124" s="173"/>
      <c r="DI124" s="173">
        <f t="shared" si="386"/>
        <v>0.85106382978723416</v>
      </c>
      <c r="DJ124" s="545">
        <f t="shared" si="387"/>
        <v>370.12499999999994</v>
      </c>
      <c r="DK124" s="528">
        <f t="shared" si="388"/>
        <v>0.79432624113475192</v>
      </c>
      <c r="DM124" s="173">
        <f t="shared" si="389"/>
        <v>1.3711309200802089</v>
      </c>
      <c r="DN124" s="173">
        <f t="shared" si="390"/>
        <v>1.3711309200802089</v>
      </c>
      <c r="DO124" s="173">
        <f t="shared" si="391"/>
        <v>1.2279982124050928</v>
      </c>
      <c r="DQ124" s="545">
        <f t="shared" si="392"/>
        <v>840.00000000000011</v>
      </c>
      <c r="DR124" s="460">
        <f t="shared" si="393"/>
        <v>350</v>
      </c>
      <c r="DT124">
        <f t="shared" si="430"/>
        <v>840.00000000000011</v>
      </c>
      <c r="DU124">
        <f t="shared" si="431"/>
        <v>350</v>
      </c>
      <c r="DW124" s="5">
        <f t="shared" si="394"/>
        <v>2.8571428571428572</v>
      </c>
      <c r="DX124" s="5">
        <f t="shared" si="395"/>
        <v>0.91408728005347262</v>
      </c>
      <c r="DY124" s="5">
        <f t="shared" si="396"/>
        <v>1.9430555770893845</v>
      </c>
      <c r="DZ124" s="5"/>
      <c r="EA124" s="173">
        <f t="shared" si="397"/>
        <v>0.3199305480187154</v>
      </c>
      <c r="EB124" s="173">
        <f t="shared" si="398"/>
        <v>3.948</v>
      </c>
      <c r="EC124" s="173">
        <f t="shared" si="399"/>
        <v>1.8649285068270844</v>
      </c>
      <c r="ED124" s="173">
        <f t="shared" si="400"/>
        <v>2.1169712327026255</v>
      </c>
      <c r="EE124" s="460">
        <f t="shared" si="401"/>
        <v>19.195832881122929</v>
      </c>
      <c r="EF124" s="5">
        <f t="shared" si="402"/>
        <v>0.3022530897694598</v>
      </c>
      <c r="EH124" s="173">
        <f t="shared" si="403"/>
        <v>0.44776088495058197</v>
      </c>
      <c r="EI124" s="173">
        <f t="shared" si="404"/>
        <v>2.6112888973070394</v>
      </c>
      <c r="EK124" s="528">
        <f t="shared" si="405"/>
        <v>2.4459756831190851E-3</v>
      </c>
      <c r="EL124" s="528">
        <f t="shared" si="406"/>
        <v>0.35320332501266183</v>
      </c>
      <c r="EM124" s="528">
        <f t="shared" si="407"/>
        <v>4.3749999999999997E-2</v>
      </c>
      <c r="EN124" s="528">
        <f t="shared" si="408"/>
        <v>4.7398399999999993E-2</v>
      </c>
      <c r="EO124">
        <f t="shared" si="409"/>
        <v>8.0999999999999996E-3</v>
      </c>
      <c r="EP124" s="460">
        <f t="shared" si="410"/>
        <v>51.849999999999994</v>
      </c>
      <c r="EQ124" s="460"/>
      <c r="ER124" s="460">
        <f t="shared" si="432"/>
        <v>454.89770069578094</v>
      </c>
      <c r="ES124" s="528">
        <f t="shared" si="411"/>
        <v>0.58799999999999997</v>
      </c>
      <c r="EV124" s="460">
        <f t="shared" si="412"/>
        <v>588</v>
      </c>
      <c r="EW124" s="528">
        <f t="shared" si="413"/>
        <v>6.0146943027518489E-3</v>
      </c>
      <c r="EX124" s="528">
        <f t="shared" si="414"/>
        <v>0.2045648911559704</v>
      </c>
      <c r="EY124" s="528">
        <f t="shared" si="415"/>
        <v>0.25225363128877276</v>
      </c>
      <c r="EZ124" s="528"/>
      <c r="FA124" s="528">
        <f t="shared" si="416"/>
        <v>1.6449999999999999E-2</v>
      </c>
      <c r="FB124" s="460">
        <f t="shared" si="417"/>
        <v>479.28321674749503</v>
      </c>
      <c r="FC124" s="173">
        <f t="shared" si="418"/>
        <v>1.5221809174432759</v>
      </c>
      <c r="FD124" s="5">
        <f t="shared" si="419"/>
        <v>3.3600000000000003</v>
      </c>
      <c r="FE124" s="173">
        <f t="shared" si="420"/>
        <v>0.68821701956911119</v>
      </c>
      <c r="FF124" s="5">
        <f t="shared" si="421"/>
        <v>68.821701956911113</v>
      </c>
      <c r="FI124" s="562">
        <f t="shared" si="422"/>
        <v>-50</v>
      </c>
      <c r="FJ124">
        <f t="shared" si="423"/>
        <v>-50</v>
      </c>
      <c r="FL124">
        <f t="shared" si="424"/>
        <v>0.30631648214557861</v>
      </c>
    </row>
    <row r="125" spans="5:168">
      <c r="E125" s="170">
        <v>15</v>
      </c>
      <c r="F125" s="217">
        <f t="shared" si="425"/>
        <v>0.89999999999999991</v>
      </c>
      <c r="G125" s="217"/>
      <c r="H125" s="217">
        <f t="shared" si="315"/>
        <v>3.5999999999999996</v>
      </c>
      <c r="I125" s="541">
        <f t="shared" si="316"/>
        <v>17.972373615096124</v>
      </c>
      <c r="J125" s="172">
        <f t="shared" si="317"/>
        <v>19.114233761939829</v>
      </c>
      <c r="K125" s="172">
        <f t="shared" si="318"/>
        <v>37.086607377035953</v>
      </c>
      <c r="L125" s="443"/>
      <c r="M125" s="217">
        <f t="shared" si="319"/>
        <v>0.51573906483804455</v>
      </c>
      <c r="N125" s="172">
        <f t="shared" si="426"/>
        <v>31.105404278358389</v>
      </c>
      <c r="O125" s="172">
        <f t="shared" si="284"/>
        <v>3.5999999999999996</v>
      </c>
      <c r="P125" s="217">
        <f t="shared" si="320"/>
        <v>7.7763510695895972</v>
      </c>
      <c r="Q125" s="217">
        <f t="shared" si="321"/>
        <v>4</v>
      </c>
      <c r="R125" s="217"/>
      <c r="S125" s="172">
        <f t="shared" si="322"/>
        <v>62.121318574580535</v>
      </c>
      <c r="T125" s="172">
        <f t="shared" si="323"/>
        <v>4</v>
      </c>
      <c r="U125" s="217">
        <f t="shared" si="324"/>
        <v>0.92925108619282393</v>
      </c>
      <c r="V125" s="217">
        <f t="shared" si="325"/>
        <v>0.62045299486471006</v>
      </c>
      <c r="W125" s="217">
        <f t="shared" si="326"/>
        <v>0.58338791777872523</v>
      </c>
      <c r="X125" s="197">
        <f t="shared" si="327"/>
        <v>350</v>
      </c>
      <c r="Y125" s="443">
        <f t="shared" si="328"/>
        <v>350</v>
      </c>
      <c r="AA125" s="217">
        <f t="shared" si="329"/>
        <v>2.20544348968679</v>
      </c>
      <c r="AB125" s="173">
        <f t="shared" si="330"/>
        <v>1.384587120041354</v>
      </c>
      <c r="AC125" s="173">
        <f t="shared" si="331"/>
        <v>2.1375400548595702</v>
      </c>
      <c r="AD125" s="173"/>
      <c r="AE125" s="173">
        <f t="shared" si="332"/>
        <v>0.83707252926136788</v>
      </c>
      <c r="AF125" s="545">
        <f t="shared" si="333"/>
        <v>403.19086841591809</v>
      </c>
      <c r="AG125" s="528">
        <f t="shared" si="334"/>
        <v>0.7812676939772768</v>
      </c>
      <c r="AI125" s="173">
        <f t="shared" si="335"/>
        <v>1.4310673000773568</v>
      </c>
      <c r="AJ125" s="173">
        <f t="shared" si="336"/>
        <v>1.4310673000773568</v>
      </c>
      <c r="AK125" s="173">
        <f t="shared" si="337"/>
        <v>1.2723955309214987</v>
      </c>
      <c r="AM125" s="545">
        <f t="shared" si="338"/>
        <v>899.99999999999989</v>
      </c>
      <c r="AN125" s="460">
        <f t="shared" si="339"/>
        <v>350</v>
      </c>
      <c r="AP125" s="460">
        <f t="shared" si="340"/>
        <v>899.99999999999989</v>
      </c>
      <c r="AQ125" s="460">
        <f t="shared" si="341"/>
        <v>350</v>
      </c>
      <c r="AS125" s="5">
        <f t="shared" si="285"/>
        <v>2.8571428571428572</v>
      </c>
      <c r="AT125" s="5">
        <f t="shared" si="342"/>
        <v>0.95551138479025188</v>
      </c>
      <c r="AU125" s="5">
        <f t="shared" si="343"/>
        <v>1.9016314723526053</v>
      </c>
      <c r="AV125" s="5"/>
      <c r="AW125" s="173">
        <f t="shared" si="344"/>
        <v>0.33442898467658816</v>
      </c>
      <c r="AX125" s="173">
        <f t="shared" si="214"/>
        <v>4.3007025964364614</v>
      </c>
      <c r="AY125" s="173">
        <f t="shared" si="215"/>
        <v>1.9049538318172401</v>
      </c>
      <c r="AZ125" s="173">
        <f t="shared" si="288"/>
        <v>2.2576413793366239</v>
      </c>
      <c r="BA125" s="460">
        <f t="shared" si="433"/>
        <v>21.499006157780663</v>
      </c>
      <c r="BB125" s="5">
        <f t="shared" si="434"/>
        <v>0.31742576352106966</v>
      </c>
      <c r="BD125" s="173">
        <f t="shared" si="289"/>
        <v>0.47780576559774407</v>
      </c>
      <c r="BE125" s="173">
        <f t="shared" si="218"/>
        <v>2.696228050132611</v>
      </c>
      <c r="BG125" s="528">
        <f t="shared" si="347"/>
        <v>2.7852398655890454E-3</v>
      </c>
      <c r="BH125" s="528">
        <f t="shared" si="348"/>
        <v>0.34829439151555008</v>
      </c>
      <c r="BI125" s="528">
        <f t="shared" si="349"/>
        <v>0.15725826913209109</v>
      </c>
      <c r="BJ125" s="528">
        <f t="shared" si="350"/>
        <v>4.8139575635844624E-2</v>
      </c>
      <c r="BK125">
        <f t="shared" si="351"/>
        <v>8.0875681267932563E-3</v>
      </c>
      <c r="BL125" s="460">
        <f t="shared" si="427"/>
        <v>165.34583725888436</v>
      </c>
      <c r="BM125" s="528">
        <f t="shared" si="352"/>
        <v>0.40023608721366016</v>
      </c>
      <c r="BN125" s="460">
        <f t="shared" si="353"/>
        <v>400.23608721366014</v>
      </c>
      <c r="BO125" s="528">
        <f t="shared" si="354"/>
        <v>0.62999999999999989</v>
      </c>
      <c r="BR125" s="460">
        <f t="shared" si="355"/>
        <v>629.99999999999989</v>
      </c>
      <c r="BS125" s="528">
        <f t="shared" si="356"/>
        <v>6.8489504891533909E-3</v>
      </c>
      <c r="BT125" s="528">
        <f t="shared" si="357"/>
        <v>0.21808937094965702</v>
      </c>
      <c r="BU125" s="528">
        <f t="shared" si="358"/>
        <v>0.28073092761094143</v>
      </c>
      <c r="BV125" s="528"/>
      <c r="BW125" s="528">
        <f t="shared" si="359"/>
        <v>1.7919594151818589E-2</v>
      </c>
      <c r="BX125" s="460">
        <f t="shared" si="360"/>
        <v>523.5888432015704</v>
      </c>
      <c r="BY125" s="173">
        <f t="shared" si="361"/>
        <v>1.7181538874774385</v>
      </c>
      <c r="BZ125" s="5">
        <f t="shared" si="362"/>
        <v>3.5999999999999996</v>
      </c>
      <c r="CA125" s="173">
        <f t="shared" si="363"/>
        <v>0.67692663209254911</v>
      </c>
      <c r="CB125" s="5">
        <f t="shared" si="364"/>
        <v>67.692663209254917</v>
      </c>
      <c r="CE125" s="562">
        <f t="shared" si="365"/>
        <v>-50</v>
      </c>
      <c r="CF125">
        <f t="shared" si="366"/>
        <v>-50</v>
      </c>
      <c r="CG125" s="173">
        <f t="shared" si="367"/>
        <v>0.34369317712168801</v>
      </c>
      <c r="CI125" s="170">
        <v>15</v>
      </c>
      <c r="CJ125" s="217">
        <f t="shared" si="428"/>
        <v>0.89999999999999991</v>
      </c>
      <c r="CK125" s="217"/>
      <c r="CL125" s="217">
        <f t="shared" si="368"/>
        <v>3.5999999999999996</v>
      </c>
      <c r="CM125" s="541">
        <f t="shared" si="369"/>
        <v>18</v>
      </c>
      <c r="CN125" s="443">
        <f t="shared" si="370"/>
        <v>18.8</v>
      </c>
      <c r="CO125" s="443">
        <f t="shared" si="371"/>
        <v>36.799999999999997</v>
      </c>
      <c r="CP125" s="443"/>
      <c r="CQ125" s="217">
        <f t="shared" si="372"/>
        <v>0.51086956521739135</v>
      </c>
      <c r="CR125" s="172">
        <f t="shared" si="429"/>
        <v>30.859076086956527</v>
      </c>
      <c r="CS125" s="172">
        <f t="shared" si="373"/>
        <v>3.5999999999999996</v>
      </c>
      <c r="CT125" s="217">
        <f t="shared" si="374"/>
        <v>7.7147690217391318</v>
      </c>
      <c r="CU125" s="217">
        <f t="shared" si="375"/>
        <v>4</v>
      </c>
      <c r="CV125" s="217"/>
      <c r="CW125" s="172">
        <f t="shared" si="376"/>
        <v>62.216732839175215</v>
      </c>
      <c r="CX125" s="172">
        <f t="shared" si="377"/>
        <v>4</v>
      </c>
      <c r="CY125" s="217">
        <f t="shared" si="378"/>
        <v>0.78297872340425512</v>
      </c>
      <c r="CZ125" s="217">
        <f t="shared" si="379"/>
        <v>0.52198581560283674</v>
      </c>
      <c r="DA125" s="217">
        <f t="shared" si="380"/>
        <v>0.4997736532367586</v>
      </c>
      <c r="DB125" s="197">
        <f t="shared" si="381"/>
        <v>350</v>
      </c>
      <c r="DC125" s="443">
        <f t="shared" si="382"/>
        <v>350</v>
      </c>
      <c r="DE125" s="217">
        <f t="shared" si="383"/>
        <v>2.18944099378882</v>
      </c>
      <c r="DF125" s="173">
        <f t="shared" si="384"/>
        <v>1.3975155279503106</v>
      </c>
      <c r="DG125" s="173">
        <f t="shared" si="385"/>
        <v>2.1418444504455847</v>
      </c>
      <c r="DH125" s="173"/>
      <c r="DI125" s="173">
        <f t="shared" si="386"/>
        <v>0.85106382978723416</v>
      </c>
      <c r="DJ125" s="545">
        <f t="shared" si="387"/>
        <v>396.56249999999989</v>
      </c>
      <c r="DK125" s="528">
        <f t="shared" si="388"/>
        <v>0.79432624113475192</v>
      </c>
      <c r="DM125" s="173">
        <f t="shared" si="389"/>
        <v>1.4192553379451192</v>
      </c>
      <c r="DN125" s="173">
        <f t="shared" si="390"/>
        <v>1.4192553379451192</v>
      </c>
      <c r="DO125" s="173">
        <f t="shared" si="391"/>
        <v>1.2636459293420634</v>
      </c>
      <c r="DQ125" s="545">
        <f t="shared" si="392"/>
        <v>899.99999999999989</v>
      </c>
      <c r="DR125" s="460">
        <f t="shared" si="393"/>
        <v>350</v>
      </c>
      <c r="DT125">
        <f t="shared" si="430"/>
        <v>899.99999999999989</v>
      </c>
      <c r="DU125">
        <f t="shared" si="431"/>
        <v>350</v>
      </c>
      <c r="DW125" s="5">
        <f t="shared" si="394"/>
        <v>2.8571428571428572</v>
      </c>
      <c r="DX125" s="5">
        <f t="shared" si="395"/>
        <v>0.94617022529674621</v>
      </c>
      <c r="DY125" s="5">
        <f t="shared" si="396"/>
        <v>1.9109726318461111</v>
      </c>
      <c r="DZ125" s="5"/>
      <c r="EA125" s="173">
        <f t="shared" si="397"/>
        <v>0.33115957885386116</v>
      </c>
      <c r="EB125" s="173">
        <f t="shared" si="398"/>
        <v>4.2300000000000004</v>
      </c>
      <c r="EC125" s="173">
        <f t="shared" si="399"/>
        <v>1.8985106758902381</v>
      </c>
      <c r="ED125" s="173">
        <f t="shared" si="400"/>
        <v>2.2280622667641805</v>
      </c>
      <c r="EE125" s="460">
        <f t="shared" si="401"/>
        <v>21.288830069176786</v>
      </c>
      <c r="EF125" s="5">
        <f t="shared" si="402"/>
        <v>0.31849543864101842</v>
      </c>
      <c r="EH125" s="173">
        <f t="shared" si="403"/>
        <v>0.47154003323655919</v>
      </c>
      <c r="EI125" s="173">
        <f t="shared" si="404"/>
        <v>2.6805329872511137</v>
      </c>
      <c r="EK125" s="528">
        <f t="shared" si="405"/>
        <v>2.712670035925771E-3</v>
      </c>
      <c r="EL125" s="528">
        <f t="shared" si="406"/>
        <v>0.36560017505466263</v>
      </c>
      <c r="EM125" s="528">
        <f t="shared" si="407"/>
        <v>4.3749999999999997E-2</v>
      </c>
      <c r="EN125" s="528">
        <f t="shared" si="408"/>
        <v>4.7398399999999993E-2</v>
      </c>
      <c r="EO125">
        <f t="shared" si="409"/>
        <v>8.0999999999999996E-3</v>
      </c>
      <c r="EP125" s="460">
        <f t="shared" si="410"/>
        <v>51.849999999999994</v>
      </c>
      <c r="EQ125" s="460"/>
      <c r="ER125" s="460">
        <f t="shared" si="432"/>
        <v>467.56124509058844</v>
      </c>
      <c r="ES125" s="528">
        <f t="shared" si="411"/>
        <v>0.62999999999999989</v>
      </c>
      <c r="EV125" s="460">
        <f t="shared" si="412"/>
        <v>629.99999999999989</v>
      </c>
      <c r="EW125" s="528">
        <f t="shared" si="413"/>
        <v>6.6705000883420596E-3</v>
      </c>
      <c r="EX125" s="528">
        <f t="shared" si="414"/>
        <v>0.21555771287224137</v>
      </c>
      <c r="EY125" s="528">
        <f t="shared" si="415"/>
        <v>0.27497388900434971</v>
      </c>
      <c r="EZ125" s="528"/>
      <c r="FA125" s="528">
        <f t="shared" si="416"/>
        <v>1.7625000000000002E-2</v>
      </c>
      <c r="FB125" s="460">
        <f t="shared" si="417"/>
        <v>514.82710196493304</v>
      </c>
      <c r="FC125" s="173">
        <f t="shared" si="418"/>
        <v>1.6123883470555216</v>
      </c>
      <c r="FD125" s="5">
        <f t="shared" si="419"/>
        <v>3.5999999999999996</v>
      </c>
      <c r="FE125" s="173">
        <f t="shared" si="420"/>
        <v>0.69066227615861353</v>
      </c>
      <c r="FF125" s="5">
        <f t="shared" si="421"/>
        <v>69.066227615861351</v>
      </c>
      <c r="FI125" s="562">
        <f t="shared" si="422"/>
        <v>-50</v>
      </c>
      <c r="FJ125">
        <f t="shared" si="423"/>
        <v>-50</v>
      </c>
      <c r="FL125">
        <f t="shared" si="424"/>
        <v>0.31706768188135637</v>
      </c>
    </row>
    <row r="126" spans="5:168">
      <c r="E126" s="170">
        <v>16</v>
      </c>
      <c r="F126" s="217">
        <f t="shared" si="425"/>
        <v>0.96</v>
      </c>
      <c r="G126" s="217"/>
      <c r="H126" s="217">
        <f t="shared" si="315"/>
        <v>3.84</v>
      </c>
      <c r="I126" s="541">
        <f t="shared" si="316"/>
        <v>17.971467592360366</v>
      </c>
      <c r="J126" s="172">
        <f t="shared" si="317"/>
        <v>19.124539233815749</v>
      </c>
      <c r="K126" s="172">
        <f t="shared" si="318"/>
        <v>37.096006826176115</v>
      </c>
      <c r="L126" s="443"/>
      <c r="M126" s="217">
        <f t="shared" si="319"/>
        <v>0.51589737219157294</v>
      </c>
      <c r="N126" s="172">
        <f t="shared" si="426"/>
        <v>31.113383591452227</v>
      </c>
      <c r="O126" s="172">
        <f t="shared" si="284"/>
        <v>3.84</v>
      </c>
      <c r="P126" s="217">
        <f t="shared" si="320"/>
        <v>7.7783458978630566</v>
      </c>
      <c r="Q126" s="217">
        <f t="shared" si="321"/>
        <v>4</v>
      </c>
      <c r="R126" s="217"/>
      <c r="S126" s="172">
        <f t="shared" si="322"/>
        <v>57.961674874750699</v>
      </c>
      <c r="T126" s="172">
        <f t="shared" si="323"/>
        <v>4</v>
      </c>
      <c r="U126" s="217">
        <f t="shared" si="324"/>
        <v>0.99152529324825223</v>
      </c>
      <c r="V126" s="217">
        <f t="shared" si="325"/>
        <v>0.66206632584847847</v>
      </c>
      <c r="W126" s="217">
        <f t="shared" si="326"/>
        <v>0.62214850635149466</v>
      </c>
      <c r="X126" s="197">
        <f t="shared" si="327"/>
        <v>350</v>
      </c>
      <c r="Y126" s="443">
        <f t="shared" si="328"/>
        <v>350</v>
      </c>
      <c r="AA126" s="217">
        <f t="shared" si="329"/>
        <v>2.2059622255161644</v>
      </c>
      <c r="AB126" s="173">
        <f t="shared" si="330"/>
        <v>1.3841665089314854</v>
      </c>
      <c r="AC126" s="173">
        <f t="shared" si="331"/>
        <v>2.1373933227692072</v>
      </c>
      <c r="AD126" s="173"/>
      <c r="AE126" s="173">
        <f t="shared" si="332"/>
        <v>0.83662146336623999</v>
      </c>
      <c r="AF126" s="545">
        <f t="shared" si="333"/>
        <v>430.30213276085419</v>
      </c>
      <c r="AG126" s="528">
        <f t="shared" si="334"/>
        <v>0.78084669914182414</v>
      </c>
      <c r="AI126" s="173">
        <f t="shared" si="335"/>
        <v>1.4783983315472864</v>
      </c>
      <c r="AJ126" s="173">
        <f t="shared" si="336"/>
        <v>1.4783983315472864</v>
      </c>
      <c r="AK126" s="173">
        <f t="shared" si="337"/>
        <v>1.3074555542325577</v>
      </c>
      <c r="AM126" s="545">
        <f t="shared" si="338"/>
        <v>960</v>
      </c>
      <c r="AN126" s="460">
        <f t="shared" si="339"/>
        <v>350</v>
      </c>
      <c r="AP126" s="460">
        <f t="shared" si="340"/>
        <v>960</v>
      </c>
      <c r="AQ126" s="460">
        <f t="shared" si="341"/>
        <v>350</v>
      </c>
      <c r="AS126" s="5">
        <f t="shared" si="285"/>
        <v>2.8571428571428572</v>
      </c>
      <c r="AT126" s="5">
        <f t="shared" si="342"/>
        <v>0.98716367416253781</v>
      </c>
      <c r="AU126" s="5">
        <f t="shared" si="343"/>
        <v>1.8699791829803194</v>
      </c>
      <c r="AV126" s="5"/>
      <c r="AW126" s="173">
        <f t="shared" si="344"/>
        <v>0.34550728595688823</v>
      </c>
      <c r="AX126" s="173">
        <f t="shared" si="214"/>
        <v>4.5898894161157804</v>
      </c>
      <c r="AY126" s="173">
        <f t="shared" si="215"/>
        <v>1.9352018729023834</v>
      </c>
      <c r="AZ126" s="173">
        <f t="shared" si="288"/>
        <v>2.371788432196968</v>
      </c>
      <c r="BA126" s="460">
        <f t="shared" si="433"/>
        <v>23.691928179900909</v>
      </c>
      <c r="BB126" s="5">
        <f t="shared" si="434"/>
        <v>0.33296854331923226</v>
      </c>
      <c r="BD126" s="173">
        <f t="shared" si="289"/>
        <v>0.50171772165523731</v>
      </c>
      <c r="BE126" s="173">
        <f t="shared" si="218"/>
        <v>2.7621244095109438</v>
      </c>
      <c r="BG126" s="528">
        <f t="shared" si="347"/>
        <v>3.0709922011196503E-3</v>
      </c>
      <c r="BH126" s="528">
        <f t="shared" si="348"/>
        <v>0.35990505205518619</v>
      </c>
      <c r="BI126" s="528">
        <f t="shared" si="349"/>
        <v>0.1572503414331532</v>
      </c>
      <c r="BJ126" s="528">
        <f t="shared" si="350"/>
        <v>4.8163980285669677E-2</v>
      </c>
      <c r="BK126">
        <f t="shared" si="351"/>
        <v>8.0871604165621645E-3</v>
      </c>
      <c r="BL126" s="460">
        <f t="shared" si="427"/>
        <v>165.33750184971535</v>
      </c>
      <c r="BM126" s="528">
        <f t="shared" si="352"/>
        <v>0.41227001256749785</v>
      </c>
      <c r="BN126" s="460">
        <f t="shared" si="353"/>
        <v>412.27001256749787</v>
      </c>
      <c r="BO126" s="528">
        <f t="shared" si="354"/>
        <v>0.67199999999999993</v>
      </c>
      <c r="BR126" s="460">
        <f t="shared" si="355"/>
        <v>671.99999999999989</v>
      </c>
      <c r="BS126" s="528">
        <f t="shared" si="356"/>
        <v>7.5516201666876647E-3</v>
      </c>
      <c r="BT126" s="528">
        <f t="shared" si="357"/>
        <v>0.22887993760848541</v>
      </c>
      <c r="BU126" s="528">
        <f t="shared" si="358"/>
        <v>0.30452207092992323</v>
      </c>
      <c r="BV126" s="528"/>
      <c r="BW126" s="528">
        <f t="shared" si="359"/>
        <v>1.9124539233815754E-2</v>
      </c>
      <c r="BX126" s="460">
        <f t="shared" si="360"/>
        <v>560.07816793891209</v>
      </c>
      <c r="BY126" s="173">
        <f t="shared" si="361"/>
        <v>1.8085556943306029</v>
      </c>
      <c r="BZ126" s="5">
        <f t="shared" si="362"/>
        <v>3.84</v>
      </c>
      <c r="CA126" s="173">
        <f t="shared" si="363"/>
        <v>0.67981979957357386</v>
      </c>
      <c r="CB126" s="5">
        <f t="shared" si="364"/>
        <v>67.981979957357382</v>
      </c>
      <c r="CE126" s="562">
        <f t="shared" si="365"/>
        <v>-50</v>
      </c>
      <c r="CF126">
        <f t="shared" si="366"/>
        <v>-50</v>
      </c>
      <c r="CG126" s="173">
        <f t="shared" si="367"/>
        <v>0.35496478698597694</v>
      </c>
      <c r="CI126" s="170">
        <v>16</v>
      </c>
      <c r="CJ126" s="217">
        <f t="shared" si="428"/>
        <v>0.96</v>
      </c>
      <c r="CK126" s="217"/>
      <c r="CL126" s="217">
        <f t="shared" si="368"/>
        <v>3.84</v>
      </c>
      <c r="CM126" s="541">
        <f t="shared" si="369"/>
        <v>18</v>
      </c>
      <c r="CN126" s="443">
        <f t="shared" si="370"/>
        <v>18.8</v>
      </c>
      <c r="CO126" s="443">
        <f t="shared" si="371"/>
        <v>36.799999999999997</v>
      </c>
      <c r="CP126" s="443"/>
      <c r="CQ126" s="217">
        <f t="shared" si="372"/>
        <v>0.51086956521739135</v>
      </c>
      <c r="CR126" s="172">
        <f t="shared" si="429"/>
        <v>30.859076086956527</v>
      </c>
      <c r="CS126" s="172">
        <f t="shared" si="373"/>
        <v>3.84</v>
      </c>
      <c r="CT126" s="217">
        <f t="shared" si="374"/>
        <v>7.7147690217391318</v>
      </c>
      <c r="CU126" s="217">
        <f t="shared" si="375"/>
        <v>4</v>
      </c>
      <c r="CV126" s="217"/>
      <c r="CW126" s="172">
        <f t="shared" si="376"/>
        <v>58.05361372348645</v>
      </c>
      <c r="CX126" s="172">
        <f t="shared" si="377"/>
        <v>4</v>
      </c>
      <c r="CY126" s="217">
        <f t="shared" si="378"/>
        <v>0.8351773049645389</v>
      </c>
      <c r="CZ126" s="217">
        <f t="shared" si="379"/>
        <v>0.55678486997635923</v>
      </c>
      <c r="DA126" s="217">
        <f t="shared" si="380"/>
        <v>0.53309189678587587</v>
      </c>
      <c r="DB126" s="197">
        <f t="shared" si="381"/>
        <v>350</v>
      </c>
      <c r="DC126" s="443">
        <f t="shared" si="382"/>
        <v>350</v>
      </c>
      <c r="DE126" s="217">
        <f t="shared" si="383"/>
        <v>2.18944099378882</v>
      </c>
      <c r="DF126" s="173">
        <f t="shared" si="384"/>
        <v>1.3975155279503106</v>
      </c>
      <c r="DG126" s="173">
        <f t="shared" si="385"/>
        <v>2.1418444504455847</v>
      </c>
      <c r="DH126" s="173"/>
      <c r="DI126" s="173">
        <f t="shared" si="386"/>
        <v>0.85106382978723416</v>
      </c>
      <c r="DJ126" s="545">
        <f t="shared" si="387"/>
        <v>422.99999999999989</v>
      </c>
      <c r="DK126" s="528">
        <f t="shared" si="388"/>
        <v>0.79432624113475192</v>
      </c>
      <c r="DM126" s="173">
        <f t="shared" si="389"/>
        <v>1.4658006101006469</v>
      </c>
      <c r="DN126" s="173">
        <f t="shared" si="390"/>
        <v>1.4658006101006469</v>
      </c>
      <c r="DO126" s="173">
        <f t="shared" si="391"/>
        <v>1.2981239087165284</v>
      </c>
      <c r="DQ126" s="545">
        <f t="shared" si="392"/>
        <v>960</v>
      </c>
      <c r="DR126" s="460">
        <f t="shared" si="393"/>
        <v>350</v>
      </c>
      <c r="DT126">
        <f t="shared" si="430"/>
        <v>960</v>
      </c>
      <c r="DU126">
        <f t="shared" si="431"/>
        <v>350</v>
      </c>
      <c r="DW126" s="5">
        <f t="shared" si="394"/>
        <v>2.8571428571428572</v>
      </c>
      <c r="DX126" s="5">
        <f t="shared" si="395"/>
        <v>0.97720040673376463</v>
      </c>
      <c r="DY126" s="5">
        <f t="shared" si="396"/>
        <v>1.8799424504090925</v>
      </c>
      <c r="DZ126" s="5"/>
      <c r="EA126" s="173">
        <f t="shared" si="397"/>
        <v>0.3420201423568176</v>
      </c>
      <c r="EB126" s="173">
        <f t="shared" si="398"/>
        <v>4.5120000000000005</v>
      </c>
      <c r="EC126" s="173">
        <f t="shared" si="399"/>
        <v>1.928934553534627</v>
      </c>
      <c r="ED126" s="173">
        <f t="shared" si="400"/>
        <v>2.3391151305429729</v>
      </c>
      <c r="EE126" s="460">
        <f t="shared" si="401"/>
        <v>23.45280976161035</v>
      </c>
      <c r="EF126" s="5">
        <f t="shared" si="402"/>
        <v>0.3342119911838386</v>
      </c>
      <c r="EH126" s="173">
        <f t="shared" si="403"/>
        <v>0.49492582133210999</v>
      </c>
      <c r="EI126" s="173">
        <f t="shared" si="404"/>
        <v>2.7458737263587705</v>
      </c>
      <c r="EK126" s="528">
        <f t="shared" si="405"/>
        <v>2.9884091371794163E-3</v>
      </c>
      <c r="EL126" s="528">
        <f t="shared" si="406"/>
        <v>0.37759023716192658</v>
      </c>
      <c r="EM126" s="528">
        <f t="shared" si="407"/>
        <v>4.3749999999999997E-2</v>
      </c>
      <c r="EN126" s="528">
        <f t="shared" si="408"/>
        <v>4.7398399999999993E-2</v>
      </c>
      <c r="EO126">
        <f t="shared" si="409"/>
        <v>8.0999999999999996E-3</v>
      </c>
      <c r="EP126" s="460">
        <f t="shared" si="410"/>
        <v>51.849999999999994</v>
      </c>
      <c r="EQ126" s="460"/>
      <c r="ER126" s="460">
        <f t="shared" si="432"/>
        <v>479.82704629910597</v>
      </c>
      <c r="ES126" s="528">
        <f t="shared" si="411"/>
        <v>0.67199999999999993</v>
      </c>
      <c r="EV126" s="460">
        <f t="shared" si="412"/>
        <v>671.99999999999989</v>
      </c>
      <c r="EW126" s="528">
        <f t="shared" si="413"/>
        <v>7.3485470586379092E-3</v>
      </c>
      <c r="EX126" s="528">
        <f t="shared" si="414"/>
        <v>0.22619467563322199</v>
      </c>
      <c r="EY126" s="528">
        <f t="shared" si="415"/>
        <v>0.2980762408331567</v>
      </c>
      <c r="EZ126" s="528"/>
      <c r="FA126" s="528">
        <f t="shared" si="416"/>
        <v>1.8800000000000004E-2</v>
      </c>
      <c r="FB126" s="460">
        <f t="shared" si="417"/>
        <v>550.41946352501668</v>
      </c>
      <c r="FC126" s="173">
        <f t="shared" si="418"/>
        <v>1.7022465098241224</v>
      </c>
      <c r="FD126" s="5">
        <f t="shared" si="419"/>
        <v>3.84</v>
      </c>
      <c r="FE126" s="173">
        <f t="shared" si="420"/>
        <v>0.69285983458030242</v>
      </c>
      <c r="FF126" s="5">
        <f t="shared" si="421"/>
        <v>69.285983458030245</v>
      </c>
      <c r="FI126" s="562">
        <f t="shared" si="422"/>
        <v>-50</v>
      </c>
      <c r="FJ126">
        <f t="shared" si="423"/>
        <v>-50</v>
      </c>
      <c r="FL126">
        <f t="shared" si="424"/>
        <v>0.3274660937458892</v>
      </c>
    </row>
    <row r="127" spans="5:168">
      <c r="E127" s="170">
        <v>17</v>
      </c>
      <c r="F127" s="217">
        <f t="shared" si="425"/>
        <v>1.02</v>
      </c>
      <c r="G127" s="217"/>
      <c r="H127" s="217">
        <f t="shared" si="315"/>
        <v>4.08</v>
      </c>
      <c r="I127" s="541">
        <f t="shared" si="316"/>
        <v>17.97058946738715</v>
      </c>
      <c r="J127" s="172">
        <f t="shared" si="317"/>
        <v>19.134527385169843</v>
      </c>
      <c r="K127" s="172">
        <f t="shared" si="318"/>
        <v>37.105116852556989</v>
      </c>
      <c r="L127" s="443"/>
      <c r="M127" s="217">
        <f t="shared" si="319"/>
        <v>0.51605072150880649</v>
      </c>
      <c r="N127" s="172">
        <f t="shared" si="426"/>
        <v>31.12111125430879</v>
      </c>
      <c r="O127" s="172">
        <f t="shared" si="284"/>
        <v>4.08</v>
      </c>
      <c r="P127" s="217">
        <f t="shared" si="320"/>
        <v>7.7802778135771975</v>
      </c>
      <c r="Q127" s="217">
        <f t="shared" si="321"/>
        <v>4</v>
      </c>
      <c r="R127" s="217"/>
      <c r="S127" s="172">
        <f t="shared" si="322"/>
        <v>54.291956704747989</v>
      </c>
      <c r="T127" s="172">
        <f t="shared" si="323"/>
        <v>4</v>
      </c>
      <c r="U127" s="217">
        <f t="shared" si="324"/>
        <v>1.0538294459081015</v>
      </c>
      <c r="V127" s="217">
        <f t="shared" si="325"/>
        <v>0.70370275687656048</v>
      </c>
      <c r="W127" s="217">
        <f t="shared" si="326"/>
        <v>0.66089708391221758</v>
      </c>
      <c r="X127" s="197">
        <f t="shared" si="327"/>
        <v>350</v>
      </c>
      <c r="Y127" s="443">
        <f t="shared" si="328"/>
        <v>350</v>
      </c>
      <c r="AA127" s="217">
        <f t="shared" si="329"/>
        <v>2.2064646235652035</v>
      </c>
      <c r="AB127" s="173">
        <f t="shared" si="330"/>
        <v>1.3837590524082557</v>
      </c>
      <c r="AC127" s="173">
        <f t="shared" si="331"/>
        <v>2.137250777673847</v>
      </c>
      <c r="AD127" s="173"/>
      <c r="AE127" s="173">
        <f t="shared" si="332"/>
        <v>0.8361847501078471</v>
      </c>
      <c r="AF127" s="545">
        <f t="shared" si="333"/>
        <v>457.43479530171646</v>
      </c>
      <c r="AG127" s="528">
        <f t="shared" si="334"/>
        <v>0.78043910010065731</v>
      </c>
      <c r="AI127" s="173">
        <f t="shared" si="335"/>
        <v>1.5242960097507481</v>
      </c>
      <c r="AJ127" s="173">
        <f t="shared" si="336"/>
        <v>1.5242960097507481</v>
      </c>
      <c r="AK127" s="173">
        <f t="shared" si="337"/>
        <v>1.34145383438327</v>
      </c>
      <c r="AM127" s="545">
        <f t="shared" si="338"/>
        <v>1020</v>
      </c>
      <c r="AN127" s="460">
        <f t="shared" si="339"/>
        <v>350</v>
      </c>
      <c r="AP127" s="460">
        <f t="shared" si="340"/>
        <v>1020</v>
      </c>
      <c r="AQ127" s="460">
        <f t="shared" si="341"/>
        <v>350</v>
      </c>
      <c r="AS127" s="5">
        <f t="shared" si="285"/>
        <v>2.8571428571428572</v>
      </c>
      <c r="AT127" s="5">
        <f t="shared" si="342"/>
        <v>1.0178604408166081</v>
      </c>
      <c r="AU127" s="5">
        <f t="shared" si="343"/>
        <v>1.8392824163262491</v>
      </c>
      <c r="AV127" s="5"/>
      <c r="AW127" s="173">
        <f t="shared" si="344"/>
        <v>0.35625115428581283</v>
      </c>
      <c r="AX127" s="173">
        <f t="shared" si="214"/>
        <v>4.879304483218311</v>
      </c>
      <c r="AY127" s="173">
        <f t="shared" si="215"/>
        <v>1.9625275936075708</v>
      </c>
      <c r="AZ127" s="173">
        <f t="shared" si="288"/>
        <v>2.4862348428176966</v>
      </c>
      <c r="BA127" s="460">
        <f t="shared" si="433"/>
        <v>25.955441240823507</v>
      </c>
      <c r="BB127" s="5">
        <f t="shared" si="434"/>
        <v>0.34798859697163226</v>
      </c>
      <c r="BD127" s="173">
        <f t="shared" si="289"/>
        <v>0.52527511374554114</v>
      </c>
      <c r="BE127" s="173">
        <f t="shared" si="218"/>
        <v>2.8244045885634059</v>
      </c>
      <c r="BG127" s="528">
        <f t="shared" si="347"/>
        <v>3.3661501304687721E-3</v>
      </c>
      <c r="BH127" s="528">
        <f t="shared" si="348"/>
        <v>0.37116962898545158</v>
      </c>
      <c r="BI127" s="528">
        <f t="shared" si="349"/>
        <v>0.15724265783963756</v>
      </c>
      <c r="BJ127" s="528">
        <f t="shared" si="350"/>
        <v>4.8187639382466806E-2</v>
      </c>
      <c r="BK127">
        <f t="shared" si="351"/>
        <v>8.086765260324218E-3</v>
      </c>
      <c r="BL127" s="460">
        <f t="shared" si="427"/>
        <v>165.32942309996179</v>
      </c>
      <c r="BM127" s="528">
        <f t="shared" si="352"/>
        <v>0.42397137017846431</v>
      </c>
      <c r="BN127" s="460">
        <f t="shared" si="353"/>
        <v>423.97137017846433</v>
      </c>
      <c r="BO127" s="528">
        <f t="shared" si="354"/>
        <v>0.71399999999999997</v>
      </c>
      <c r="BR127" s="460">
        <f t="shared" si="355"/>
        <v>714</v>
      </c>
      <c r="BS127" s="528">
        <f t="shared" si="356"/>
        <v>8.2774183536117353E-3</v>
      </c>
      <c r="BT127" s="528">
        <f t="shared" si="357"/>
        <v>0.23931783839694065</v>
      </c>
      <c r="BU127" s="528">
        <f t="shared" si="358"/>
        <v>0.32871036384814556</v>
      </c>
      <c r="BV127" s="528"/>
      <c r="BW127" s="528">
        <f t="shared" si="359"/>
        <v>2.0330435346742958E-2</v>
      </c>
      <c r="BX127" s="460">
        <f t="shared" si="360"/>
        <v>596.63605594544094</v>
      </c>
      <c r="BY127" s="173">
        <f t="shared" si="361"/>
        <v>1.8986888975437899</v>
      </c>
      <c r="BZ127" s="5">
        <f t="shared" si="362"/>
        <v>4.08</v>
      </c>
      <c r="CA127" s="173">
        <f t="shared" si="363"/>
        <v>0.68242386749311812</v>
      </c>
      <c r="CB127" s="5">
        <f t="shared" si="364"/>
        <v>68.242386749311805</v>
      </c>
      <c r="CE127" s="562">
        <f t="shared" si="365"/>
        <v>-50</v>
      </c>
      <c r="CF127">
        <f t="shared" si="366"/>
        <v>-50</v>
      </c>
      <c r="CG127" s="173">
        <f t="shared" si="367"/>
        <v>0.36588932752951409</v>
      </c>
      <c r="CI127" s="170">
        <v>17</v>
      </c>
      <c r="CJ127" s="217">
        <f t="shared" si="428"/>
        <v>1.02</v>
      </c>
      <c r="CK127" s="217"/>
      <c r="CL127" s="217">
        <f t="shared" si="368"/>
        <v>4.08</v>
      </c>
      <c r="CM127" s="541">
        <f t="shared" si="369"/>
        <v>18</v>
      </c>
      <c r="CN127" s="443">
        <f t="shared" si="370"/>
        <v>18.8</v>
      </c>
      <c r="CO127" s="443">
        <f t="shared" si="371"/>
        <v>36.799999999999997</v>
      </c>
      <c r="CP127" s="443"/>
      <c r="CQ127" s="217">
        <f t="shared" si="372"/>
        <v>0.51086956521739135</v>
      </c>
      <c r="CR127" s="172">
        <f t="shared" si="429"/>
        <v>30.859076086956527</v>
      </c>
      <c r="CS127" s="172">
        <f t="shared" si="373"/>
        <v>4.08</v>
      </c>
      <c r="CT127" s="217">
        <f t="shared" si="374"/>
        <v>7.7147690217391318</v>
      </c>
      <c r="CU127" s="217">
        <f t="shared" si="375"/>
        <v>4</v>
      </c>
      <c r="CV127" s="217"/>
      <c r="CW127" s="172">
        <f t="shared" si="376"/>
        <v>54.380718208542447</v>
      </c>
      <c r="CX127" s="172">
        <f t="shared" si="377"/>
        <v>4</v>
      </c>
      <c r="CY127" s="217">
        <f t="shared" si="378"/>
        <v>0.88737588652482258</v>
      </c>
      <c r="CZ127" s="217">
        <f t="shared" si="379"/>
        <v>0.59158392434988183</v>
      </c>
      <c r="DA127" s="217">
        <f t="shared" si="380"/>
        <v>0.56641014033499304</v>
      </c>
      <c r="DB127" s="197">
        <f t="shared" si="381"/>
        <v>350</v>
      </c>
      <c r="DC127" s="443">
        <f t="shared" si="382"/>
        <v>350</v>
      </c>
      <c r="DE127" s="217">
        <f t="shared" si="383"/>
        <v>2.18944099378882</v>
      </c>
      <c r="DF127" s="173">
        <f t="shared" si="384"/>
        <v>1.3975155279503106</v>
      </c>
      <c r="DG127" s="173">
        <f t="shared" si="385"/>
        <v>2.1418444504455847</v>
      </c>
      <c r="DH127" s="173"/>
      <c r="DI127" s="173">
        <f t="shared" si="386"/>
        <v>0.85106382978723416</v>
      </c>
      <c r="DJ127" s="545">
        <f t="shared" si="387"/>
        <v>449.43749999999989</v>
      </c>
      <c r="DK127" s="528">
        <f t="shared" si="388"/>
        <v>0.79432624113475192</v>
      </c>
      <c r="DM127" s="173">
        <f t="shared" si="389"/>
        <v>1.5109126853849439</v>
      </c>
      <c r="DN127" s="173">
        <f t="shared" si="390"/>
        <v>1.5109126853849439</v>
      </c>
      <c r="DO127" s="173">
        <f t="shared" si="391"/>
        <v>1.3315402607789706</v>
      </c>
      <c r="DQ127" s="545">
        <f t="shared" si="392"/>
        <v>1020</v>
      </c>
      <c r="DR127" s="460">
        <f t="shared" si="393"/>
        <v>350</v>
      </c>
      <c r="DT127">
        <f t="shared" si="430"/>
        <v>1020</v>
      </c>
      <c r="DU127">
        <f t="shared" si="431"/>
        <v>350</v>
      </c>
      <c r="DW127" s="5">
        <f t="shared" si="394"/>
        <v>2.8571428571428572</v>
      </c>
      <c r="DX127" s="5">
        <f t="shared" si="395"/>
        <v>1.0072751235899629</v>
      </c>
      <c r="DY127" s="5">
        <f t="shared" si="396"/>
        <v>1.8498677335528944</v>
      </c>
      <c r="DZ127" s="5"/>
      <c r="EA127" s="173">
        <f t="shared" si="397"/>
        <v>0.35254629325648701</v>
      </c>
      <c r="EB127" s="173">
        <f t="shared" si="398"/>
        <v>4.7939999999999996</v>
      </c>
      <c r="EC127" s="173">
        <f t="shared" si="399"/>
        <v>1.9564920374365544</v>
      </c>
      <c r="ED127" s="173">
        <f t="shared" si="400"/>
        <v>2.4503038644007056</v>
      </c>
      <c r="EE127" s="460">
        <f t="shared" si="401"/>
        <v>25.685515651544055</v>
      </c>
      <c r="EF127" s="5">
        <f t="shared" si="402"/>
        <v>0.34941946078221331</v>
      </c>
      <c r="EH127" s="173">
        <f t="shared" si="403"/>
        <v>0.51794878245774456</v>
      </c>
      <c r="EI127" s="173">
        <f t="shared" si="404"/>
        <v>2.807650803651824</v>
      </c>
      <c r="EK127" s="528">
        <f t="shared" si="405"/>
        <v>3.2729054832434119E-3</v>
      </c>
      <c r="EL127" s="528">
        <f t="shared" si="406"/>
        <v>0.3892111077551616</v>
      </c>
      <c r="EM127" s="528">
        <f t="shared" si="407"/>
        <v>4.3749999999999997E-2</v>
      </c>
      <c r="EN127" s="528">
        <f t="shared" si="408"/>
        <v>4.7398399999999993E-2</v>
      </c>
      <c r="EO127">
        <f t="shared" si="409"/>
        <v>8.0999999999999996E-3</v>
      </c>
      <c r="EP127" s="460">
        <f t="shared" si="410"/>
        <v>51.849999999999994</v>
      </c>
      <c r="EQ127" s="460"/>
      <c r="ER127" s="460">
        <f t="shared" si="432"/>
        <v>491.73241323840506</v>
      </c>
      <c r="ES127" s="528">
        <f t="shared" si="411"/>
        <v>0.71399999999999997</v>
      </c>
      <c r="EV127" s="460">
        <f t="shared" si="412"/>
        <v>714</v>
      </c>
      <c r="EW127" s="528">
        <f t="shared" si="413"/>
        <v>8.0481282374837999E-3</v>
      </c>
      <c r="EX127" s="528">
        <f t="shared" si="414"/>
        <v>0.23648709105740198</v>
      </c>
      <c r="EY127" s="528">
        <f t="shared" si="415"/>
        <v>0.32154261092865549</v>
      </c>
      <c r="EZ127" s="528"/>
      <c r="FA127" s="528">
        <f t="shared" si="416"/>
        <v>1.9974999999999996E-2</v>
      </c>
      <c r="FB127" s="460">
        <f t="shared" si="417"/>
        <v>586.05283022354126</v>
      </c>
      <c r="FC127" s="173">
        <f t="shared" si="418"/>
        <v>1.7917852434619463</v>
      </c>
      <c r="FD127" s="5">
        <f t="shared" si="419"/>
        <v>4.08</v>
      </c>
      <c r="FE127" s="173">
        <f t="shared" si="420"/>
        <v>0.69484830095633277</v>
      </c>
      <c r="FF127" s="5">
        <f t="shared" si="421"/>
        <v>69.484830095633271</v>
      </c>
      <c r="FI127" s="562">
        <f t="shared" si="422"/>
        <v>-50</v>
      </c>
      <c r="FJ127">
        <f t="shared" si="423"/>
        <v>-50</v>
      </c>
      <c r="FL127">
        <f t="shared" si="424"/>
        <v>0.33754432333067902</v>
      </c>
    </row>
    <row r="128" spans="5:168">
      <c r="E128" s="170">
        <v>18</v>
      </c>
      <c r="F128" s="217">
        <f t="shared" si="425"/>
        <v>1.08</v>
      </c>
      <c r="G128" s="217"/>
      <c r="H128" s="217">
        <f t="shared" si="315"/>
        <v>4.32</v>
      </c>
      <c r="I128" s="541">
        <f t="shared" si="316"/>
        <v>17.969736811611654</v>
      </c>
      <c r="J128" s="172">
        <f t="shared" si="317"/>
        <v>19.144225839488307</v>
      </c>
      <c r="K128" s="172">
        <f t="shared" si="318"/>
        <v>37.113962651099961</v>
      </c>
      <c r="L128" s="443"/>
      <c r="M128" s="217">
        <f t="shared" si="319"/>
        <v>0.51619954446156158</v>
      </c>
      <c r="N128" s="172">
        <f t="shared" si="426"/>
        <v>31.128609178175886</v>
      </c>
      <c r="O128" s="172">
        <f t="shared" si="284"/>
        <v>4.32</v>
      </c>
      <c r="P128" s="217">
        <f t="shared" si="320"/>
        <v>7.7821522945439714</v>
      </c>
      <c r="Q128" s="217">
        <f t="shared" si="321"/>
        <v>4</v>
      </c>
      <c r="R128" s="217"/>
      <c r="S128" s="172">
        <f t="shared" si="322"/>
        <v>51.030506574852822</v>
      </c>
      <c r="T128" s="172">
        <f t="shared" si="323"/>
        <v>4</v>
      </c>
      <c r="U128" s="217">
        <f t="shared" si="324"/>
        <v>1.1161626530487969</v>
      </c>
      <c r="V128" s="217">
        <f t="shared" si="325"/>
        <v>0.74536160306647803</v>
      </c>
      <c r="W128" s="217">
        <f t="shared" si="326"/>
        <v>0.69963402797715635</v>
      </c>
      <c r="X128" s="197">
        <f t="shared" si="327"/>
        <v>350</v>
      </c>
      <c r="Y128" s="443">
        <f t="shared" si="328"/>
        <v>350</v>
      </c>
      <c r="AA128" s="217">
        <f t="shared" si="329"/>
        <v>2.2069521063290272</v>
      </c>
      <c r="AB128" s="173">
        <f t="shared" si="330"/>
        <v>1.3833636051932505</v>
      </c>
      <c r="AC128" s="173">
        <f t="shared" si="331"/>
        <v>2.1371120556101126</v>
      </c>
      <c r="AD128" s="173"/>
      <c r="AE128" s="173">
        <f t="shared" si="332"/>
        <v>0.83576113937170593</v>
      </c>
      <c r="AF128" s="545">
        <f t="shared" si="333"/>
        <v>484.58821656204771</v>
      </c>
      <c r="AG128" s="528">
        <f t="shared" si="334"/>
        <v>0.78004373008025896</v>
      </c>
      <c r="AI128" s="173">
        <f t="shared" si="335"/>
        <v>1.568885102573502</v>
      </c>
      <c r="AJ128" s="173">
        <f t="shared" si="336"/>
        <v>1.568885102573502</v>
      </c>
      <c r="AK128" s="173">
        <f t="shared" si="337"/>
        <v>1.3744827920297544</v>
      </c>
      <c r="AM128" s="545">
        <f t="shared" si="338"/>
        <v>1080</v>
      </c>
      <c r="AN128" s="460">
        <f t="shared" si="339"/>
        <v>350</v>
      </c>
      <c r="AP128" s="460">
        <f t="shared" si="340"/>
        <v>1080</v>
      </c>
      <c r="AQ128" s="460">
        <f t="shared" si="341"/>
        <v>350</v>
      </c>
      <c r="AS128" s="5">
        <f t="shared" si="285"/>
        <v>2.8571428571428572</v>
      </c>
      <c r="AT128" s="5">
        <f t="shared" si="342"/>
        <v>1.0476848619572809</v>
      </c>
      <c r="AU128" s="5">
        <f t="shared" si="343"/>
        <v>1.8094579951855763</v>
      </c>
      <c r="AV128" s="5"/>
      <c r="AW128" s="173">
        <f t="shared" si="344"/>
        <v>0.36668970168504833</v>
      </c>
      <c r="AX128" s="173">
        <f t="shared" si="214"/>
        <v>5.1689409766618422</v>
      </c>
      <c r="AY128" s="173">
        <f t="shared" si="215"/>
        <v>1.9871821846654163</v>
      </c>
      <c r="AZ128" s="173">
        <f t="shared" si="288"/>
        <v>2.6011409605768692</v>
      </c>
      <c r="BA128" s="460">
        <f t="shared" si="433"/>
        <v>28.287491272846587</v>
      </c>
      <c r="BB128" s="5">
        <f t="shared" si="434"/>
        <v>0.36250106782080621</v>
      </c>
      <c r="BD128" s="173">
        <f t="shared" si="289"/>
        <v>0.54850408757715718</v>
      </c>
      <c r="BE128" s="173">
        <f t="shared" si="218"/>
        <v>2.8833593951597676</v>
      </c>
      <c r="BG128" s="528">
        <f t="shared" si="347"/>
        <v>3.6704521558839662E-3</v>
      </c>
      <c r="BH128" s="528">
        <f t="shared" si="348"/>
        <v>0.38211825159886931</v>
      </c>
      <c r="BI128" s="528">
        <f t="shared" si="349"/>
        <v>0.15723519710160194</v>
      </c>
      <c r="BJ128" s="528">
        <f t="shared" si="350"/>
        <v>4.8210617828353501E-2</v>
      </c>
      <c r="BK128">
        <f t="shared" si="351"/>
        <v>8.0863815652252435E-3</v>
      </c>
      <c r="BL128" s="460">
        <f t="shared" si="427"/>
        <v>165.32157866682718</v>
      </c>
      <c r="BM128" s="528">
        <f t="shared" si="352"/>
        <v>0.4353700296208412</v>
      </c>
      <c r="BN128" s="460">
        <f t="shared" si="353"/>
        <v>435.37002962084119</v>
      </c>
      <c r="BO128" s="528">
        <f t="shared" si="354"/>
        <v>0.75600000000000001</v>
      </c>
      <c r="BR128" s="460">
        <f t="shared" si="355"/>
        <v>756</v>
      </c>
      <c r="BS128" s="528">
        <f t="shared" si="356"/>
        <v>9.025702022665491E-3</v>
      </c>
      <c r="BT128" s="528">
        <f t="shared" si="357"/>
        <v>0.24941284204968298</v>
      </c>
      <c r="BU128" s="528">
        <f t="shared" si="358"/>
        <v>0.35327911447093813</v>
      </c>
      <c r="BV128" s="528"/>
      <c r="BW128" s="528">
        <f t="shared" si="359"/>
        <v>2.1537254069424343E-2</v>
      </c>
      <c r="BX128" s="460">
        <f t="shared" si="360"/>
        <v>633.254912612711</v>
      </c>
      <c r="BY128" s="173">
        <f t="shared" si="361"/>
        <v>1.988575812862645</v>
      </c>
      <c r="BZ128" s="5">
        <f t="shared" si="362"/>
        <v>4.32</v>
      </c>
      <c r="CA128" s="173">
        <f t="shared" si="363"/>
        <v>0.68478213279008093</v>
      </c>
      <c r="CB128" s="5">
        <f t="shared" si="364"/>
        <v>68.478213279008088</v>
      </c>
      <c r="CE128" s="562">
        <f t="shared" si="365"/>
        <v>-50</v>
      </c>
      <c r="CF128">
        <f t="shared" si="366"/>
        <v>-50</v>
      </c>
      <c r="CG128" s="173">
        <f t="shared" si="367"/>
        <v>0.37649701194033403</v>
      </c>
      <c r="CI128" s="170">
        <v>18</v>
      </c>
      <c r="CJ128" s="217">
        <f t="shared" si="428"/>
        <v>1.08</v>
      </c>
      <c r="CK128" s="217"/>
      <c r="CL128" s="217">
        <f t="shared" si="368"/>
        <v>4.32</v>
      </c>
      <c r="CM128" s="541">
        <f t="shared" si="369"/>
        <v>18</v>
      </c>
      <c r="CN128" s="443">
        <f t="shared" si="370"/>
        <v>18.8</v>
      </c>
      <c r="CO128" s="443">
        <f t="shared" si="371"/>
        <v>36.799999999999997</v>
      </c>
      <c r="CP128" s="443"/>
      <c r="CQ128" s="217">
        <f t="shared" si="372"/>
        <v>0.51086956521739135</v>
      </c>
      <c r="CR128" s="172">
        <f t="shared" si="429"/>
        <v>30.859076086956527</v>
      </c>
      <c r="CS128" s="172">
        <f t="shared" si="373"/>
        <v>4.32</v>
      </c>
      <c r="CT128" s="217">
        <f t="shared" si="374"/>
        <v>7.7147690217391318</v>
      </c>
      <c r="CU128" s="217">
        <f t="shared" si="375"/>
        <v>4</v>
      </c>
      <c r="CV128" s="217"/>
      <c r="CW128" s="172">
        <f t="shared" si="376"/>
        <v>51.116347181583556</v>
      </c>
      <c r="CX128" s="172">
        <f t="shared" si="377"/>
        <v>4</v>
      </c>
      <c r="CY128" s="217">
        <f t="shared" si="378"/>
        <v>0.93957446808510636</v>
      </c>
      <c r="CZ128" s="217">
        <f t="shared" si="379"/>
        <v>0.6263829787234042</v>
      </c>
      <c r="DA128" s="217">
        <f t="shared" si="380"/>
        <v>0.59972838388411043</v>
      </c>
      <c r="DB128" s="197">
        <f t="shared" si="381"/>
        <v>350</v>
      </c>
      <c r="DC128" s="443">
        <f t="shared" si="382"/>
        <v>350</v>
      </c>
      <c r="DE128" s="217">
        <f t="shared" si="383"/>
        <v>2.18944099378882</v>
      </c>
      <c r="DF128" s="173">
        <f t="shared" si="384"/>
        <v>1.3975155279503106</v>
      </c>
      <c r="DG128" s="173">
        <f t="shared" si="385"/>
        <v>2.1418444504455847</v>
      </c>
      <c r="DH128" s="173"/>
      <c r="DI128" s="173">
        <f t="shared" si="386"/>
        <v>0.85106382978723416</v>
      </c>
      <c r="DJ128" s="545">
        <f t="shared" si="387"/>
        <v>475.87499999999994</v>
      </c>
      <c r="DK128" s="528">
        <f t="shared" si="388"/>
        <v>0.79432624113475192</v>
      </c>
      <c r="DM128" s="173">
        <f t="shared" si="389"/>
        <v>1.5547163269043189</v>
      </c>
      <c r="DN128" s="173">
        <f t="shared" si="390"/>
        <v>1.5547163269043189</v>
      </c>
      <c r="DO128" s="173">
        <f t="shared" si="391"/>
        <v>1.3639874026451744</v>
      </c>
      <c r="DQ128" s="545">
        <f t="shared" si="392"/>
        <v>1080</v>
      </c>
      <c r="DR128" s="460">
        <f t="shared" si="393"/>
        <v>350</v>
      </c>
      <c r="DT128">
        <f t="shared" si="430"/>
        <v>1080</v>
      </c>
      <c r="DU128">
        <f t="shared" si="431"/>
        <v>350</v>
      </c>
      <c r="DW128" s="5">
        <f t="shared" si="394"/>
        <v>2.8571428571428572</v>
      </c>
      <c r="DX128" s="5">
        <f t="shared" si="395"/>
        <v>1.0364775512695459</v>
      </c>
      <c r="DY128" s="5">
        <f t="shared" si="396"/>
        <v>1.8206653058733113</v>
      </c>
      <c r="DZ128" s="5"/>
      <c r="EA128" s="173">
        <f t="shared" si="397"/>
        <v>0.36276714294434104</v>
      </c>
      <c r="EB128" s="173">
        <f t="shared" si="398"/>
        <v>5.0759999999999996</v>
      </c>
      <c r="EC128" s="173">
        <f t="shared" si="399"/>
        <v>1.9814326538086378</v>
      </c>
      <c r="ED128" s="173">
        <f t="shared" si="400"/>
        <v>2.5617827536268249</v>
      </c>
      <c r="EE128" s="460">
        <f t="shared" si="401"/>
        <v>27.984893884277739</v>
      </c>
      <c r="EF128" s="5">
        <f t="shared" si="402"/>
        <v>0.36413306117466221</v>
      </c>
      <c r="EH128" s="173">
        <f t="shared" si="403"/>
        <v>0.54063543119001356</v>
      </c>
      <c r="EI128" s="173">
        <f t="shared" si="404"/>
        <v>2.8661545422569907</v>
      </c>
      <c r="EK128" s="528">
        <f t="shared" si="405"/>
        <v>3.565897367387745E-3</v>
      </c>
      <c r="EL128" s="528">
        <f t="shared" si="406"/>
        <v>0.40049492581055257</v>
      </c>
      <c r="EM128" s="528">
        <f t="shared" si="407"/>
        <v>4.3749999999999997E-2</v>
      </c>
      <c r="EN128" s="528">
        <f t="shared" si="408"/>
        <v>4.7398399999999993E-2</v>
      </c>
      <c r="EO128">
        <f t="shared" si="409"/>
        <v>8.0999999999999996E-3</v>
      </c>
      <c r="EP128" s="460">
        <f t="shared" si="410"/>
        <v>51.849999999999994</v>
      </c>
      <c r="EQ128" s="460"/>
      <c r="ER128" s="460">
        <f t="shared" si="432"/>
        <v>503.30922317794034</v>
      </c>
      <c r="ES128" s="528">
        <f t="shared" si="411"/>
        <v>0.75600000000000001</v>
      </c>
      <c r="EV128" s="460">
        <f t="shared" si="412"/>
        <v>756</v>
      </c>
      <c r="EW128" s="528">
        <f t="shared" si="413"/>
        <v>8.7686000837403563E-3</v>
      </c>
      <c r="EX128" s="528">
        <f t="shared" si="414"/>
        <v>0.24644525580301138</v>
      </c>
      <c r="EY128" s="528">
        <f t="shared" si="415"/>
        <v>0.34535680157670817</v>
      </c>
      <c r="EZ128" s="528"/>
      <c r="FA128" s="528">
        <f t="shared" si="416"/>
        <v>2.1149999999999999E-2</v>
      </c>
      <c r="FB128" s="460">
        <f t="shared" si="417"/>
        <v>621.72065746345993</v>
      </c>
      <c r="FC128" s="173">
        <f t="shared" si="418"/>
        <v>1.8810298806414003</v>
      </c>
      <c r="FD128" s="5">
        <f t="shared" si="419"/>
        <v>4.32</v>
      </c>
      <c r="FE128" s="173">
        <f t="shared" si="420"/>
        <v>0.69665847176230067</v>
      </c>
      <c r="FF128" s="5">
        <f t="shared" si="421"/>
        <v>69.665847176230074</v>
      </c>
      <c r="FI128" s="562">
        <f t="shared" si="422"/>
        <v>-50</v>
      </c>
      <c r="FJ128">
        <f t="shared" si="423"/>
        <v>-50</v>
      </c>
      <c r="FL128">
        <f t="shared" si="424"/>
        <v>0.34733024324458189</v>
      </c>
    </row>
    <row r="129" spans="5:168">
      <c r="E129" s="170">
        <v>19</v>
      </c>
      <c r="F129" s="217">
        <f t="shared" si="425"/>
        <v>1.1400000000000001</v>
      </c>
      <c r="G129" s="217"/>
      <c r="H129" s="217">
        <f t="shared" si="315"/>
        <v>4.5600000000000005</v>
      </c>
      <c r="I129" s="541">
        <f t="shared" si="316"/>
        <v>17.968907529620733</v>
      </c>
      <c r="J129" s="172">
        <f t="shared" si="317"/>
        <v>19.153658430854243</v>
      </c>
      <c r="K129" s="172">
        <f t="shared" si="318"/>
        <v>37.122565960474972</v>
      </c>
      <c r="L129" s="443"/>
      <c r="M129" s="217">
        <f t="shared" si="319"/>
        <v>0.51634421350290938</v>
      </c>
      <c r="N129" s="172">
        <f t="shared" si="426"/>
        <v>31.135896268377575</v>
      </c>
      <c r="O129" s="172">
        <f t="shared" si="284"/>
        <v>4.5600000000000005</v>
      </c>
      <c r="P129" s="217">
        <f t="shared" si="320"/>
        <v>7.7839740670943938</v>
      </c>
      <c r="Q129" s="217">
        <f t="shared" si="321"/>
        <v>4</v>
      </c>
      <c r="R129" s="217"/>
      <c r="S129" s="172">
        <f t="shared" si="322"/>
        <v>48.11285911430295</v>
      </c>
      <c r="T129" s="172">
        <f t="shared" si="323"/>
        <v>4</v>
      </c>
      <c r="U129" s="217">
        <f t="shared" si="324"/>
        <v>1.1785240989842447</v>
      </c>
      <c r="V129" s="217">
        <f t="shared" si="325"/>
        <v>0.78704223751489444</v>
      </c>
      <c r="W129" s="217">
        <f t="shared" si="326"/>
        <v>0.7383596840710811</v>
      </c>
      <c r="X129" s="197">
        <f t="shared" si="327"/>
        <v>350</v>
      </c>
      <c r="Y129" s="443">
        <f t="shared" si="328"/>
        <v>350</v>
      </c>
      <c r="AA129" s="217">
        <f t="shared" si="329"/>
        <v>2.2074259011570097</v>
      </c>
      <c r="AB129" s="173">
        <f t="shared" si="330"/>
        <v>1.382979179121903</v>
      </c>
      <c r="AC129" s="173">
        <f t="shared" si="331"/>
        <v>2.1369768425281834</v>
      </c>
      <c r="AD129" s="173"/>
      <c r="AE129" s="173">
        <f t="shared" si="332"/>
        <v>0.83534955255471843</v>
      </c>
      <c r="AF129" s="545">
        <f t="shared" si="333"/>
        <v>511.76181119938678</v>
      </c>
      <c r="AG129" s="528">
        <f t="shared" si="334"/>
        <v>0.77965958238440392</v>
      </c>
      <c r="AI129" s="173">
        <f t="shared" si="335"/>
        <v>1.612273262433757</v>
      </c>
      <c r="AJ129" s="173">
        <f t="shared" si="336"/>
        <v>1.612273262433757</v>
      </c>
      <c r="AK129" s="173">
        <f t="shared" si="337"/>
        <v>1.4066221697040173</v>
      </c>
      <c r="AM129" s="545">
        <f t="shared" si="338"/>
        <v>1140.0000000000002</v>
      </c>
      <c r="AN129" s="460">
        <f t="shared" si="339"/>
        <v>350</v>
      </c>
      <c r="AP129" s="460">
        <f t="shared" si="340"/>
        <v>1140.0000000000002</v>
      </c>
      <c r="AQ129" s="460">
        <f t="shared" si="341"/>
        <v>350</v>
      </c>
      <c r="AS129" s="5">
        <f t="shared" si="285"/>
        <v>2.8571428571428572</v>
      </c>
      <c r="AT129" s="5">
        <f t="shared" si="342"/>
        <v>1.076708704594989</v>
      </c>
      <c r="AU129" s="5">
        <f t="shared" si="343"/>
        <v>1.7804341525478682</v>
      </c>
      <c r="AV129" s="5"/>
      <c r="AW129" s="173">
        <f t="shared" si="344"/>
        <v>0.37684804660824617</v>
      </c>
      <c r="AX129" s="173">
        <f t="shared" si="214"/>
        <v>5.4587926527934583</v>
      </c>
      <c r="AY129" s="173">
        <f t="shared" si="215"/>
        <v>2.0093824657737827</v>
      </c>
      <c r="AZ129" s="173">
        <f t="shared" si="288"/>
        <v>2.7166518797561818</v>
      </c>
      <c r="BA129" s="460">
        <f t="shared" si="433"/>
        <v>30.68619808095719</v>
      </c>
      <c r="BB129" s="5">
        <f t="shared" si="434"/>
        <v>0.37651981727487355</v>
      </c>
      <c r="BD129" s="173">
        <f t="shared" si="289"/>
        <v>0.57142752849731482</v>
      </c>
      <c r="BE129" s="173">
        <f t="shared" si="218"/>
        <v>2.9392396402563179</v>
      </c>
      <c r="BG129" s="528">
        <f t="shared" si="347"/>
        <v>3.9836589279595037E-3</v>
      </c>
      <c r="BH129" s="528">
        <f t="shared" si="348"/>
        <v>0.39277691598473552</v>
      </c>
      <c r="BI129" s="528">
        <f t="shared" si="349"/>
        <v>0.15722794088418141</v>
      </c>
      <c r="BJ129" s="528">
        <f t="shared" si="350"/>
        <v>4.8232971622143531E-2</v>
      </c>
      <c r="BK129">
        <f t="shared" si="351"/>
        <v>8.0860083883293292E-3</v>
      </c>
      <c r="BL129" s="460">
        <f t="shared" si="427"/>
        <v>165.31394927251071</v>
      </c>
      <c r="BM129" s="528">
        <f t="shared" si="352"/>
        <v>0.44649174663524749</v>
      </c>
      <c r="BN129" s="460">
        <f t="shared" si="353"/>
        <v>446.49174663524747</v>
      </c>
      <c r="BO129" s="528">
        <f t="shared" si="354"/>
        <v>0.79800000000000004</v>
      </c>
      <c r="BR129" s="460">
        <f t="shared" si="355"/>
        <v>798</v>
      </c>
      <c r="BS129" s="528">
        <f t="shared" si="356"/>
        <v>9.7958826097364858E-3</v>
      </c>
      <c r="BT129" s="528">
        <f t="shared" si="357"/>
        <v>0.25917388988562262</v>
      </c>
      <c r="BU129" s="528">
        <f t="shared" si="358"/>
        <v>0.37821325456896143</v>
      </c>
      <c r="BV129" s="528"/>
      <c r="BW129" s="528">
        <f t="shared" si="359"/>
        <v>2.2744969386639415E-2</v>
      </c>
      <c r="BX129" s="460">
        <f t="shared" si="360"/>
        <v>669.92799645095988</v>
      </c>
      <c r="BY129" s="173">
        <f t="shared" si="361"/>
        <v>2.0782354922583091</v>
      </c>
      <c r="BZ129" s="5">
        <f t="shared" si="362"/>
        <v>4.5600000000000005</v>
      </c>
      <c r="CA129" s="173">
        <f t="shared" si="363"/>
        <v>0.68692953199957973</v>
      </c>
      <c r="CB129" s="5">
        <f t="shared" si="364"/>
        <v>68.692953199957969</v>
      </c>
      <c r="CE129" s="562">
        <f t="shared" si="365"/>
        <v>-50</v>
      </c>
      <c r="CF129">
        <f t="shared" si="366"/>
        <v>-50</v>
      </c>
      <c r="CG129" s="173">
        <f t="shared" si="367"/>
        <v>0.38681390874682886</v>
      </c>
      <c r="CI129" s="170">
        <v>19</v>
      </c>
      <c r="CJ129" s="217">
        <f t="shared" si="428"/>
        <v>1.1400000000000001</v>
      </c>
      <c r="CK129" s="217"/>
      <c r="CL129" s="217">
        <f t="shared" si="368"/>
        <v>4.5600000000000005</v>
      </c>
      <c r="CM129" s="541">
        <f t="shared" si="369"/>
        <v>18</v>
      </c>
      <c r="CN129" s="443">
        <f t="shared" si="370"/>
        <v>18.8</v>
      </c>
      <c r="CO129" s="443">
        <f t="shared" si="371"/>
        <v>36.799999999999997</v>
      </c>
      <c r="CP129" s="443"/>
      <c r="CQ129" s="217">
        <f t="shared" si="372"/>
        <v>0.51086956521739135</v>
      </c>
      <c r="CR129" s="172">
        <f t="shared" si="429"/>
        <v>30.859076086956527</v>
      </c>
      <c r="CS129" s="172">
        <f t="shared" si="373"/>
        <v>4.5600000000000005</v>
      </c>
      <c r="CT129" s="217">
        <f t="shared" si="374"/>
        <v>7.7147690217391318</v>
      </c>
      <c r="CU129" s="217">
        <f t="shared" si="375"/>
        <v>4</v>
      </c>
      <c r="CV129" s="217"/>
      <c r="CW129" s="172">
        <f t="shared" si="376"/>
        <v>48.196001393176829</v>
      </c>
      <c r="CX129" s="172">
        <f t="shared" si="377"/>
        <v>4</v>
      </c>
      <c r="CY129" s="217">
        <f t="shared" si="378"/>
        <v>0.99177304964539004</v>
      </c>
      <c r="CZ129" s="217">
        <f t="shared" si="379"/>
        <v>0.66118203309692669</v>
      </c>
      <c r="DA129" s="217">
        <f t="shared" si="380"/>
        <v>0.6330466274332277</v>
      </c>
      <c r="DB129" s="197">
        <f t="shared" si="381"/>
        <v>350</v>
      </c>
      <c r="DC129" s="443">
        <f t="shared" si="382"/>
        <v>350</v>
      </c>
      <c r="DE129" s="217">
        <f t="shared" si="383"/>
        <v>2.18944099378882</v>
      </c>
      <c r="DF129" s="173">
        <f t="shared" si="384"/>
        <v>1.3975155279503106</v>
      </c>
      <c r="DG129" s="173">
        <f t="shared" si="385"/>
        <v>2.1418444504455847</v>
      </c>
      <c r="DH129" s="173"/>
      <c r="DI129" s="173">
        <f t="shared" si="386"/>
        <v>0.85106382978723416</v>
      </c>
      <c r="DJ129" s="545">
        <f t="shared" si="387"/>
        <v>502.31249999999994</v>
      </c>
      <c r="DK129" s="528">
        <f t="shared" si="388"/>
        <v>0.79432624113475192</v>
      </c>
      <c r="DM129" s="173">
        <f t="shared" si="389"/>
        <v>1.5973191827022464</v>
      </c>
      <c r="DN129" s="173">
        <f t="shared" si="390"/>
        <v>1.5973191827022464</v>
      </c>
      <c r="DO129" s="173">
        <f t="shared" si="391"/>
        <v>1.3955450736066022</v>
      </c>
      <c r="DQ129" s="545">
        <f t="shared" si="392"/>
        <v>1140.0000000000002</v>
      </c>
      <c r="DR129" s="460">
        <f t="shared" si="393"/>
        <v>350</v>
      </c>
      <c r="DT129">
        <f t="shared" si="430"/>
        <v>1140.0000000000002</v>
      </c>
      <c r="DU129">
        <f t="shared" si="431"/>
        <v>350</v>
      </c>
      <c r="DW129" s="5">
        <f t="shared" si="394"/>
        <v>2.8571428571428572</v>
      </c>
      <c r="DX129" s="5">
        <f t="shared" si="395"/>
        <v>1.0648794551348311</v>
      </c>
      <c r="DY129" s="5">
        <f t="shared" si="396"/>
        <v>1.7922634020080261</v>
      </c>
      <c r="DZ129" s="5"/>
      <c r="EA129" s="173">
        <f t="shared" si="397"/>
        <v>0.37270780929719088</v>
      </c>
      <c r="EB129" s="173">
        <f t="shared" si="398"/>
        <v>5.3580000000000023</v>
      </c>
      <c r="EC129" s="173">
        <f t="shared" si="399"/>
        <v>2.0039716987378253</v>
      </c>
      <c r="ED129" s="173">
        <f t="shared" si="400"/>
        <v>2.6736904535002499</v>
      </c>
      <c r="EE129" s="460">
        <f t="shared" si="401"/>
        <v>30.34906447134269</v>
      </c>
      <c r="EF129" s="5">
        <f t="shared" si="402"/>
        <v>0.37836671820169437</v>
      </c>
      <c r="EH129" s="173">
        <f t="shared" si="403"/>
        <v>0.56300898555156431</v>
      </c>
      <c r="EI129" s="173">
        <f t="shared" si="404"/>
        <v>2.9216353575746288</v>
      </c>
      <c r="EK129" s="528">
        <f t="shared" si="405"/>
        <v>3.8671452373039788E-3</v>
      </c>
      <c r="EL129" s="528">
        <f t="shared" si="406"/>
        <v>0.41146942146409865</v>
      </c>
      <c r="EM129" s="528">
        <f t="shared" si="407"/>
        <v>4.3749999999999997E-2</v>
      </c>
      <c r="EN129" s="528">
        <f t="shared" si="408"/>
        <v>4.7398399999999993E-2</v>
      </c>
      <c r="EO129">
        <f t="shared" si="409"/>
        <v>8.0999999999999996E-3</v>
      </c>
      <c r="EP129" s="460">
        <f t="shared" si="410"/>
        <v>51.849999999999994</v>
      </c>
      <c r="EQ129" s="460"/>
      <c r="ER129" s="460">
        <f t="shared" si="432"/>
        <v>514.58496670140266</v>
      </c>
      <c r="ES129" s="528">
        <f t="shared" si="411"/>
        <v>0.79800000000000004</v>
      </c>
      <c r="EV129" s="460">
        <f t="shared" si="412"/>
        <v>798</v>
      </c>
      <c r="EW129" s="528">
        <f t="shared" si="413"/>
        <v>9.5093735343540469E-3</v>
      </c>
      <c r="EX129" s="528">
        <f t="shared" si="414"/>
        <v>0.25607859487890683</v>
      </c>
      <c r="EY129" s="528">
        <f t="shared" si="415"/>
        <v>0.36950420355773067</v>
      </c>
      <c r="EZ129" s="528"/>
      <c r="FA129" s="528">
        <f t="shared" si="416"/>
        <v>2.2325000000000012E-2</v>
      </c>
      <c r="FB129" s="460">
        <f t="shared" si="417"/>
        <v>657.4171719709916</v>
      </c>
      <c r="FC129" s="173">
        <f t="shared" si="418"/>
        <v>1.9700021386723943</v>
      </c>
      <c r="FD129" s="5">
        <f t="shared" si="419"/>
        <v>4.5600000000000005</v>
      </c>
      <c r="FE129" s="173">
        <f t="shared" si="420"/>
        <v>0.69831523836638243</v>
      </c>
      <c r="FF129" s="5">
        <f t="shared" si="421"/>
        <v>69.83152383663824</v>
      </c>
      <c r="FI129" s="562">
        <f t="shared" si="422"/>
        <v>-50</v>
      </c>
      <c r="FJ129">
        <f t="shared" si="423"/>
        <v>-50</v>
      </c>
      <c r="FL129">
        <f t="shared" si="424"/>
        <v>0.35684790251858695</v>
      </c>
    </row>
    <row r="130" spans="5:168">
      <c r="E130" s="170">
        <v>20</v>
      </c>
      <c r="F130" s="217">
        <f t="shared" si="425"/>
        <v>1.2000000000000002</v>
      </c>
      <c r="G130" s="217"/>
      <c r="H130" s="217">
        <f t="shared" si="315"/>
        <v>4.8000000000000007</v>
      </c>
      <c r="I130" s="541">
        <f t="shared" si="316"/>
        <v>17.968099798478022</v>
      </c>
      <c r="J130" s="172">
        <f t="shared" si="317"/>
        <v>19.162845894088857</v>
      </c>
      <c r="K130" s="172">
        <f t="shared" si="318"/>
        <v>37.130945692566883</v>
      </c>
      <c r="L130" s="443"/>
      <c r="M130" s="217">
        <f t="shared" si="319"/>
        <v>0.51648505265246958</v>
      </c>
      <c r="N130" s="172">
        <f t="shared" si="426"/>
        <v>31.142988971775004</v>
      </c>
      <c r="O130" s="172">
        <f t="shared" si="284"/>
        <v>4.8000000000000007</v>
      </c>
      <c r="P130" s="217">
        <f t="shared" si="320"/>
        <v>7.7857472429437511</v>
      </c>
      <c r="Q130" s="217">
        <f t="shared" si="321"/>
        <v>4</v>
      </c>
      <c r="R130" s="217"/>
      <c r="S130" s="172">
        <f t="shared" si="322"/>
        <v>45.487442867535528</v>
      </c>
      <c r="T130" s="172">
        <f t="shared" si="323"/>
        <v>4</v>
      </c>
      <c r="U130" s="217">
        <f t="shared" si="324"/>
        <v>1.2409130333849743</v>
      </c>
      <c r="V130" s="217">
        <f t="shared" si="325"/>
        <v>0.8287440835497264</v>
      </c>
      <c r="W130" s="217">
        <f t="shared" si="326"/>
        <v>0.77707437000331403</v>
      </c>
      <c r="X130" s="197">
        <f t="shared" si="327"/>
        <v>350</v>
      </c>
      <c r="Y130" s="443">
        <f t="shared" si="328"/>
        <v>350</v>
      </c>
      <c r="AA130" s="217">
        <f t="shared" si="329"/>
        <v>2.2078870757940559</v>
      </c>
      <c r="AB130" s="173">
        <f t="shared" si="330"/>
        <v>1.3826049145289765</v>
      </c>
      <c r="AC130" s="173">
        <f t="shared" si="331"/>
        <v>2.1368448652025109</v>
      </c>
      <c r="AD130" s="173"/>
      <c r="AE130" s="173">
        <f t="shared" si="332"/>
        <v>0.8349490513272616</v>
      </c>
      <c r="AF130" s="545">
        <f t="shared" si="333"/>
        <v>538.95504077124906</v>
      </c>
      <c r="AG130" s="528">
        <f t="shared" si="334"/>
        <v>0.77928578123877756</v>
      </c>
      <c r="AI130" s="173">
        <f t="shared" si="335"/>
        <v>1.6545541433997455</v>
      </c>
      <c r="AJ130" s="173">
        <f t="shared" si="336"/>
        <v>1.6545541433997455</v>
      </c>
      <c r="AK130" s="173">
        <f t="shared" si="337"/>
        <v>1.4379413407899349</v>
      </c>
      <c r="AM130" s="545">
        <f t="shared" si="338"/>
        <v>1200.0000000000002</v>
      </c>
      <c r="AN130" s="460">
        <f t="shared" si="339"/>
        <v>350</v>
      </c>
      <c r="AP130" s="460">
        <f t="shared" si="340"/>
        <v>1200.0000000000002</v>
      </c>
      <c r="AQ130" s="460">
        <f t="shared" si="341"/>
        <v>350</v>
      </c>
      <c r="AS130" s="5">
        <f t="shared" si="285"/>
        <v>2.8571428571428572</v>
      </c>
      <c r="AT130" s="5">
        <f t="shared" si="342"/>
        <v>1.104994403608484</v>
      </c>
      <c r="AU130" s="5">
        <f t="shared" si="343"/>
        <v>1.7521484535343732</v>
      </c>
      <c r="AV130" s="5"/>
      <c r="AW130" s="173">
        <f t="shared" si="344"/>
        <v>0.38674804126296941</v>
      </c>
      <c r="AX130" s="173">
        <f t="shared" si="214"/>
        <v>5.7488537682266587</v>
      </c>
      <c r="AY130" s="173">
        <f t="shared" si="215"/>
        <v>2.0293171385527278</v>
      </c>
      <c r="AZ130" s="173">
        <f t="shared" si="288"/>
        <v>2.8329006142069235</v>
      </c>
      <c r="BA130" s="460">
        <f t="shared" si="433"/>
        <v>33.149832108254522</v>
      </c>
      <c r="BB130" s="5">
        <f t="shared" si="434"/>
        <v>0.3900575961143733</v>
      </c>
      <c r="BD130" s="173">
        <f t="shared" si="289"/>
        <v>0.59406561745007047</v>
      </c>
      <c r="BE130" s="173">
        <f t="shared" si="218"/>
        <v>2.9922633929806519</v>
      </c>
      <c r="BG130" s="528">
        <f t="shared" si="347"/>
        <v>4.3055502856032676E-3</v>
      </c>
      <c r="BH130" s="528">
        <f t="shared" si="348"/>
        <v>0.40316823778866778</v>
      </c>
      <c r="BI130" s="528">
        <f t="shared" si="349"/>
        <v>0.15722087323668268</v>
      </c>
      <c r="BJ130" s="528">
        <f t="shared" si="350"/>
        <v>4.8254749480852295E-2</v>
      </c>
      <c r="BK130">
        <f t="shared" si="351"/>
        <v>8.0856449093151105E-3</v>
      </c>
      <c r="BL130" s="460">
        <f t="shared" si="427"/>
        <v>165.30651814599779</v>
      </c>
      <c r="BM130" s="528">
        <f t="shared" si="352"/>
        <v>0.45735891372830256</v>
      </c>
      <c r="BN130" s="460">
        <f t="shared" si="353"/>
        <v>457.35891372830258</v>
      </c>
      <c r="BO130" s="528">
        <f t="shared" si="354"/>
        <v>0.84000000000000008</v>
      </c>
      <c r="BR130" s="460">
        <f t="shared" si="355"/>
        <v>840.00000000000011</v>
      </c>
      <c r="BS130" s="528">
        <f t="shared" si="356"/>
        <v>1.0587418735090002E-2</v>
      </c>
      <c r="BT130" s="528">
        <f t="shared" si="357"/>
        <v>0.26860920638916247</v>
      </c>
      <c r="BU130" s="528">
        <f t="shared" si="358"/>
        <v>0.40349910338459127</v>
      </c>
      <c r="BV130" s="528"/>
      <c r="BW130" s="528">
        <f t="shared" si="359"/>
        <v>2.3953557367611074E-2</v>
      </c>
      <c r="BX130" s="460">
        <f t="shared" si="360"/>
        <v>706.64928587645477</v>
      </c>
      <c r="BY130" s="173">
        <f t="shared" si="361"/>
        <v>2.1676843415775764</v>
      </c>
      <c r="BZ130" s="5">
        <f t="shared" si="362"/>
        <v>4.8000000000000007</v>
      </c>
      <c r="CA130" s="173">
        <f t="shared" si="363"/>
        <v>0.68889458314829688</v>
      </c>
      <c r="CB130" s="5">
        <f t="shared" si="364"/>
        <v>68.889458314829682</v>
      </c>
      <c r="CE130" s="562">
        <f t="shared" si="365"/>
        <v>-50</v>
      </c>
      <c r="CF130">
        <f t="shared" si="366"/>
        <v>-50</v>
      </c>
      <c r="CG130" s="173">
        <f t="shared" si="367"/>
        <v>0.39686269665968865</v>
      </c>
      <c r="CI130" s="170">
        <v>20</v>
      </c>
      <c r="CJ130" s="217">
        <f t="shared" si="428"/>
        <v>1.2000000000000002</v>
      </c>
      <c r="CK130" s="217"/>
      <c r="CL130" s="217">
        <f t="shared" si="368"/>
        <v>4.8000000000000007</v>
      </c>
      <c r="CM130" s="541">
        <f t="shared" si="369"/>
        <v>18</v>
      </c>
      <c r="CN130" s="443">
        <f t="shared" si="370"/>
        <v>18.8</v>
      </c>
      <c r="CO130" s="443">
        <f t="shared" si="371"/>
        <v>36.799999999999997</v>
      </c>
      <c r="CP130" s="443"/>
      <c r="CQ130" s="217">
        <f t="shared" si="372"/>
        <v>0.51086956521739135</v>
      </c>
      <c r="CR130" s="172">
        <f t="shared" si="429"/>
        <v>30.859076086956527</v>
      </c>
      <c r="CS130" s="172">
        <f t="shared" si="373"/>
        <v>4.8000000000000007</v>
      </c>
      <c r="CT130" s="217">
        <f t="shared" si="374"/>
        <v>7.7147690217391318</v>
      </c>
      <c r="CU130" s="217">
        <f t="shared" si="375"/>
        <v>4</v>
      </c>
      <c r="CV130" s="217"/>
      <c r="CW130" s="172">
        <f t="shared" si="376"/>
        <v>45.568081491569373</v>
      </c>
      <c r="CX130" s="172">
        <f t="shared" si="377"/>
        <v>4</v>
      </c>
      <c r="CY130" s="217">
        <f t="shared" si="378"/>
        <v>1.0439716312056737</v>
      </c>
      <c r="CZ130" s="217">
        <f t="shared" si="379"/>
        <v>0.69598108747044918</v>
      </c>
      <c r="DA130" s="217">
        <f t="shared" si="380"/>
        <v>0.66636487098234487</v>
      </c>
      <c r="DB130" s="197">
        <f t="shared" si="381"/>
        <v>350</v>
      </c>
      <c r="DC130" s="443">
        <f t="shared" si="382"/>
        <v>350</v>
      </c>
      <c r="DE130" s="217">
        <f t="shared" si="383"/>
        <v>2.18944099378882</v>
      </c>
      <c r="DF130" s="173">
        <f t="shared" si="384"/>
        <v>1.3975155279503106</v>
      </c>
      <c r="DG130" s="173">
        <f t="shared" si="385"/>
        <v>2.1418444504455847</v>
      </c>
      <c r="DH130" s="173"/>
      <c r="DI130" s="173">
        <f t="shared" si="386"/>
        <v>0.85106382978723416</v>
      </c>
      <c r="DJ130" s="545">
        <f t="shared" si="387"/>
        <v>528.75</v>
      </c>
      <c r="DK130" s="528">
        <f t="shared" si="388"/>
        <v>0.79432624113475192</v>
      </c>
      <c r="DM130" s="173">
        <f t="shared" si="389"/>
        <v>1.6388149028228558</v>
      </c>
      <c r="DN130" s="173">
        <f t="shared" si="390"/>
        <v>1.6388149028228558</v>
      </c>
      <c r="DO130" s="173">
        <f t="shared" si="391"/>
        <v>1.4262826440663128</v>
      </c>
      <c r="DQ130" s="545">
        <f t="shared" si="392"/>
        <v>1200.0000000000002</v>
      </c>
      <c r="DR130" s="460">
        <f t="shared" si="393"/>
        <v>350</v>
      </c>
      <c r="DT130">
        <f t="shared" si="430"/>
        <v>1200.0000000000002</v>
      </c>
      <c r="DU130">
        <f t="shared" si="431"/>
        <v>350</v>
      </c>
      <c r="DW130" s="5">
        <f t="shared" si="394"/>
        <v>2.8571428571428572</v>
      </c>
      <c r="DX130" s="5">
        <f t="shared" si="395"/>
        <v>1.0925432685485708</v>
      </c>
      <c r="DY130" s="5">
        <f t="shared" si="396"/>
        <v>1.7645995885942865</v>
      </c>
      <c r="DZ130" s="5"/>
      <c r="EA130" s="173">
        <f t="shared" si="397"/>
        <v>0.38239014399199978</v>
      </c>
      <c r="EB130" s="173">
        <f t="shared" si="398"/>
        <v>5.6400000000000015</v>
      </c>
      <c r="EC130" s="173">
        <f t="shared" si="399"/>
        <v>2.0242964723123777</v>
      </c>
      <c r="ED130" s="173">
        <f t="shared" si="400"/>
        <v>2.7861531535236845</v>
      </c>
      <c r="EE130" s="460">
        <f t="shared" si="401"/>
        <v>32.776298056457129</v>
      </c>
      <c r="EF130" s="5">
        <f t="shared" si="402"/>
        <v>0.39213324190984145</v>
      </c>
      <c r="EH130" s="173">
        <f t="shared" si="403"/>
        <v>0.58508992825481021</v>
      </c>
      <c r="EI130" s="173">
        <f t="shared" si="404"/>
        <v>2.9743110021458792</v>
      </c>
      <c r="EK130" s="528">
        <f t="shared" si="405"/>
        <v>4.1764287345716711E-3</v>
      </c>
      <c r="EL130" s="528">
        <f t="shared" si="406"/>
        <v>0.42215871896716767</v>
      </c>
      <c r="EM130" s="528">
        <f t="shared" si="407"/>
        <v>4.3749999999999997E-2</v>
      </c>
      <c r="EN130" s="528">
        <f t="shared" si="408"/>
        <v>4.7398399999999993E-2</v>
      </c>
      <c r="EO130">
        <f t="shared" si="409"/>
        <v>8.0999999999999996E-3</v>
      </c>
      <c r="EP130" s="460">
        <f t="shared" si="410"/>
        <v>51.849999999999994</v>
      </c>
      <c r="EQ130" s="460"/>
      <c r="ER130" s="460">
        <f t="shared" si="432"/>
        <v>525.58354770173935</v>
      </c>
      <c r="ES130" s="528">
        <f t="shared" si="411"/>
        <v>0.84000000000000008</v>
      </c>
      <c r="EV130" s="460">
        <f t="shared" si="412"/>
        <v>840.00000000000011</v>
      </c>
      <c r="EW130" s="528">
        <f t="shared" si="413"/>
        <v>1.0269906724356568E-2</v>
      </c>
      <c r="EX130" s="528">
        <f t="shared" si="414"/>
        <v>0.26539577812458071</v>
      </c>
      <c r="EY130" s="528">
        <f t="shared" si="415"/>
        <v>0.39397156421421103</v>
      </c>
      <c r="EZ130" s="528"/>
      <c r="FA130" s="528">
        <f t="shared" si="416"/>
        <v>2.350000000000001E-2</v>
      </c>
      <c r="FB130" s="460">
        <f t="shared" si="417"/>
        <v>693.13724906314837</v>
      </c>
      <c r="FC130" s="173">
        <f t="shared" si="418"/>
        <v>2.0587207967648875</v>
      </c>
      <c r="FD130" s="5">
        <f t="shared" si="419"/>
        <v>4.8000000000000007</v>
      </c>
      <c r="FE130" s="173">
        <f t="shared" si="420"/>
        <v>0.69983895572248078</v>
      </c>
      <c r="FF130" s="5">
        <f t="shared" si="421"/>
        <v>69.983895572248073</v>
      </c>
      <c r="FI130" s="562">
        <f t="shared" si="422"/>
        <v>-50</v>
      </c>
      <c r="FJ130">
        <f t="shared" si="423"/>
        <v>-50</v>
      </c>
      <c r="FL130">
        <f t="shared" si="424"/>
        <v>0.36611822297106356</v>
      </c>
    </row>
    <row r="131" spans="5:168">
      <c r="E131" s="170">
        <v>21</v>
      </c>
      <c r="F131" s="217">
        <f t="shared" si="425"/>
        <v>1.26</v>
      </c>
      <c r="G131" s="217"/>
      <c r="H131" s="217">
        <f t="shared" si="315"/>
        <v>5.04</v>
      </c>
      <c r="I131" s="541">
        <f t="shared" si="316"/>
        <v>17.967312020558008</v>
      </c>
      <c r="J131" s="172">
        <f t="shared" si="317"/>
        <v>19.171806401235912</v>
      </c>
      <c r="K131" s="172">
        <f t="shared" si="318"/>
        <v>37.139118421793924</v>
      </c>
      <c r="L131" s="443"/>
      <c r="M131" s="217">
        <f t="shared" si="319"/>
        <v>0.51662234588039224</v>
      </c>
      <c r="N131" s="172">
        <f t="shared" si="426"/>
        <v>31.149901702336408</v>
      </c>
      <c r="O131" s="172">
        <f t="shared" si="284"/>
        <v>5.04</v>
      </c>
      <c r="P131" s="217">
        <f t="shared" si="320"/>
        <v>7.7874754255841019</v>
      </c>
      <c r="Q131" s="217">
        <f t="shared" si="321"/>
        <v>4</v>
      </c>
      <c r="R131" s="217"/>
      <c r="S131" s="172">
        <f t="shared" si="322"/>
        <v>43.112510185324737</v>
      </c>
      <c r="T131" s="172">
        <f t="shared" si="323"/>
        <v>4</v>
      </c>
      <c r="U131" s="217">
        <f t="shared" si="324"/>
        <v>1.303328762988518</v>
      </c>
      <c r="V131" s="217">
        <f t="shared" si="325"/>
        <v>0.87046660835895528</v>
      </c>
      <c r="W131" s="217">
        <f t="shared" si="326"/>
        <v>0.81577837938390541</v>
      </c>
      <c r="X131" s="197">
        <f t="shared" si="327"/>
        <v>350</v>
      </c>
      <c r="Y131" s="443">
        <f t="shared" si="328"/>
        <v>350</v>
      </c>
      <c r="AA131" s="217">
        <f t="shared" si="329"/>
        <v>2.2083365660087169</v>
      </c>
      <c r="AB131" s="173">
        <f t="shared" si="330"/>
        <v>1.3822400580049816</v>
      </c>
      <c r="AC131" s="173">
        <f t="shared" si="331"/>
        <v>2.1367158841660876</v>
      </c>
      <c r="AD131" s="173"/>
      <c r="AE131" s="173">
        <f t="shared" si="332"/>
        <v>0.8345588133504499</v>
      </c>
      <c r="AF131" s="545">
        <f t="shared" si="333"/>
        <v>566.16740778649785</v>
      </c>
      <c r="AG131" s="528">
        <f t="shared" si="334"/>
        <v>0.77892155912708683</v>
      </c>
      <c r="AI131" s="173">
        <f t="shared" si="335"/>
        <v>1.6958098242979329</v>
      </c>
      <c r="AJ131" s="173">
        <f t="shared" si="336"/>
        <v>1.6958098242979329</v>
      </c>
      <c r="AK131" s="173">
        <f t="shared" si="337"/>
        <v>1.4685011044182217</v>
      </c>
      <c r="AM131" s="545">
        <f t="shared" si="338"/>
        <v>1260</v>
      </c>
      <c r="AN131" s="460">
        <f t="shared" si="339"/>
        <v>350</v>
      </c>
      <c r="AP131" s="460">
        <f t="shared" si="340"/>
        <v>1260</v>
      </c>
      <c r="AQ131" s="460">
        <f t="shared" si="341"/>
        <v>350</v>
      </c>
      <c r="AS131" s="5">
        <f t="shared" si="285"/>
        <v>2.8571428571428572</v>
      </c>
      <c r="AT131" s="5">
        <f t="shared" si="342"/>
        <v>1.1325966771374185</v>
      </c>
      <c r="AU131" s="5">
        <f t="shared" si="343"/>
        <v>1.7245461800054387</v>
      </c>
      <c r="AV131" s="5"/>
      <c r="AW131" s="173">
        <f t="shared" si="344"/>
        <v>0.39640883699809648</v>
      </c>
      <c r="AX131" s="173">
        <f t="shared" si="214"/>
        <v>6.0391190163893116</v>
      </c>
      <c r="AY131" s="173">
        <f t="shared" si="215"/>
        <v>2.0471516481560861</v>
      </c>
      <c r="AZ131" s="173">
        <f t="shared" si="288"/>
        <v>2.9500105777844436</v>
      </c>
      <c r="BA131" s="460">
        <f t="shared" si="433"/>
        <v>35.676795329828686</v>
      </c>
      <c r="BB131" s="5">
        <f t="shared" si="434"/>
        <v>0.40312618536013456</v>
      </c>
      <c r="BD131" s="173">
        <f t="shared" si="289"/>
        <v>0.61643626915791494</v>
      </c>
      <c r="BE131" s="173">
        <f t="shared" si="218"/>
        <v>3.0426216225576681</v>
      </c>
      <c r="BG131" s="528">
        <f t="shared" si="347"/>
        <v>4.6359228219866174E-3</v>
      </c>
      <c r="BH131" s="528">
        <f t="shared" si="348"/>
        <v>0.41331203737321626</v>
      </c>
      <c r="BI131" s="528">
        <f t="shared" si="349"/>
        <v>0.15721398017988256</v>
      </c>
      <c r="BJ131" s="528">
        <f t="shared" si="350"/>
        <v>4.8275994100181158E-2</v>
      </c>
      <c r="BK131">
        <f t="shared" si="351"/>
        <v>8.0852904092511037E-3</v>
      </c>
      <c r="BL131" s="460">
        <f t="shared" si="427"/>
        <v>165.29927058913367</v>
      </c>
      <c r="BM131" s="528">
        <f t="shared" si="352"/>
        <v>0.46799114348476278</v>
      </c>
      <c r="BN131" s="460">
        <f t="shared" si="353"/>
        <v>467.9911434847628</v>
      </c>
      <c r="BO131" s="528">
        <f t="shared" si="354"/>
        <v>0.8819999999999999</v>
      </c>
      <c r="BR131" s="460">
        <f t="shared" si="355"/>
        <v>881.99999999999989</v>
      </c>
      <c r="BS131" s="528">
        <f t="shared" si="356"/>
        <v>1.139981021799988E-2</v>
      </c>
      <c r="BT131" s="528">
        <f t="shared" si="357"/>
        <v>0.27772639014166373</v>
      </c>
      <c r="BU131" s="528">
        <f t="shared" si="358"/>
        <v>0.42912417601698144</v>
      </c>
      <c r="BV131" s="528"/>
      <c r="BW131" s="528">
        <f t="shared" si="359"/>
        <v>2.5162995901622128E-2</v>
      </c>
      <c r="BX131" s="460">
        <f t="shared" si="360"/>
        <v>743.41337227826705</v>
      </c>
      <c r="BY131" s="173">
        <f t="shared" si="361"/>
        <v>2.2569365971627846</v>
      </c>
      <c r="BZ131" s="5">
        <f t="shared" si="362"/>
        <v>5.04</v>
      </c>
      <c r="CA131" s="173">
        <f t="shared" si="363"/>
        <v>0.69070080750868346</v>
      </c>
      <c r="CB131" s="5">
        <f t="shared" si="364"/>
        <v>69.070080750868343</v>
      </c>
      <c r="CE131" s="562">
        <f t="shared" si="365"/>
        <v>-50</v>
      </c>
      <c r="CF131">
        <f t="shared" si="366"/>
        <v>-50</v>
      </c>
      <c r="CG131" s="173">
        <f t="shared" si="367"/>
        <v>0.40666325135177878</v>
      </c>
      <c r="CI131" s="170">
        <v>21</v>
      </c>
      <c r="CJ131" s="217">
        <f t="shared" si="428"/>
        <v>1.26</v>
      </c>
      <c r="CK131" s="217"/>
      <c r="CL131" s="217">
        <f t="shared" si="368"/>
        <v>5.04</v>
      </c>
      <c r="CM131" s="541">
        <f t="shared" si="369"/>
        <v>18</v>
      </c>
      <c r="CN131" s="443">
        <f t="shared" si="370"/>
        <v>18.8</v>
      </c>
      <c r="CO131" s="443">
        <f t="shared" si="371"/>
        <v>36.799999999999997</v>
      </c>
      <c r="CP131" s="443"/>
      <c r="CQ131" s="217">
        <f t="shared" si="372"/>
        <v>0.51086956521739135</v>
      </c>
      <c r="CR131" s="172">
        <f t="shared" si="429"/>
        <v>30.859076086956527</v>
      </c>
      <c r="CS131" s="172">
        <f t="shared" si="373"/>
        <v>5.04</v>
      </c>
      <c r="CT131" s="217">
        <f t="shared" si="374"/>
        <v>7.7147690217391318</v>
      </c>
      <c r="CU131" s="217">
        <f t="shared" si="375"/>
        <v>4</v>
      </c>
      <c r="CV131" s="217"/>
      <c r="CW131" s="172">
        <f t="shared" si="376"/>
        <v>43.190816618639715</v>
      </c>
      <c r="CX131" s="172">
        <f t="shared" si="377"/>
        <v>4</v>
      </c>
      <c r="CY131" s="217">
        <f t="shared" si="378"/>
        <v>1.0961702127659574</v>
      </c>
      <c r="CZ131" s="217">
        <f t="shared" si="379"/>
        <v>0.73078014184397155</v>
      </c>
      <c r="DA131" s="217">
        <f t="shared" si="380"/>
        <v>0.69968311453146215</v>
      </c>
      <c r="DB131" s="197">
        <f t="shared" si="381"/>
        <v>350</v>
      </c>
      <c r="DC131" s="443">
        <f t="shared" si="382"/>
        <v>350</v>
      </c>
      <c r="DE131" s="217">
        <f t="shared" si="383"/>
        <v>2.18944099378882</v>
      </c>
      <c r="DF131" s="173">
        <f t="shared" si="384"/>
        <v>1.3975155279503106</v>
      </c>
      <c r="DG131" s="173">
        <f t="shared" si="385"/>
        <v>2.1418444504455847</v>
      </c>
      <c r="DH131" s="173"/>
      <c r="DI131" s="173">
        <f t="shared" si="386"/>
        <v>0.85106382978723416</v>
      </c>
      <c r="DJ131" s="545">
        <f t="shared" si="387"/>
        <v>555.18749999999989</v>
      </c>
      <c r="DK131" s="528">
        <f t="shared" si="388"/>
        <v>0.79432624113475192</v>
      </c>
      <c r="DM131" s="173">
        <f t="shared" si="389"/>
        <v>1.6792855623746665</v>
      </c>
      <c r="DN131" s="173">
        <f t="shared" si="390"/>
        <v>1.6792855623746665</v>
      </c>
      <c r="DO131" s="173">
        <f t="shared" si="391"/>
        <v>1.4562609104009874</v>
      </c>
      <c r="DQ131" s="545">
        <f t="shared" si="392"/>
        <v>1260</v>
      </c>
      <c r="DR131" s="460">
        <f t="shared" si="393"/>
        <v>350</v>
      </c>
      <c r="DT131">
        <f t="shared" si="430"/>
        <v>1260</v>
      </c>
      <c r="DU131">
        <f t="shared" si="431"/>
        <v>350</v>
      </c>
      <c r="DW131" s="5">
        <f t="shared" si="394"/>
        <v>2.8571428571428572</v>
      </c>
      <c r="DX131" s="5">
        <f t="shared" si="395"/>
        <v>1.1195237082497775</v>
      </c>
      <c r="DY131" s="5">
        <f t="shared" si="396"/>
        <v>1.7376191488930797</v>
      </c>
      <c r="DZ131" s="5"/>
      <c r="EA131" s="173">
        <f t="shared" si="397"/>
        <v>0.39183329788742211</v>
      </c>
      <c r="EB131" s="173">
        <f t="shared" si="398"/>
        <v>5.9220000000000006</v>
      </c>
      <c r="EC131" s="173">
        <f t="shared" si="399"/>
        <v>2.0425711247493332</v>
      </c>
      <c r="ED131" s="173">
        <f t="shared" si="400"/>
        <v>2.8992870447665591</v>
      </c>
      <c r="EE131" s="460">
        <f t="shared" si="401"/>
        <v>35.264996809867995</v>
      </c>
      <c r="EF131" s="5">
        <f t="shared" si="402"/>
        <v>0.40544446807505191</v>
      </c>
      <c r="EH131" s="173">
        <f t="shared" si="403"/>
        <v>0.60689644916919461</v>
      </c>
      <c r="EI131" s="173">
        <f t="shared" si="404"/>
        <v>3.0243721992792438</v>
      </c>
      <c r="EK131" s="528">
        <f t="shared" si="405"/>
        <v>4.4935442601729565E-3</v>
      </c>
      <c r="EL131" s="528">
        <f t="shared" si="406"/>
        <v>0.43258396086771406</v>
      </c>
      <c r="EM131" s="528">
        <f t="shared" si="407"/>
        <v>4.3749999999999997E-2</v>
      </c>
      <c r="EN131" s="528">
        <f t="shared" si="408"/>
        <v>4.7398399999999993E-2</v>
      </c>
      <c r="EO131">
        <f t="shared" si="409"/>
        <v>8.0999999999999996E-3</v>
      </c>
      <c r="EP131" s="460">
        <f t="shared" si="410"/>
        <v>51.849999999999994</v>
      </c>
      <c r="EQ131" s="460"/>
      <c r="ER131" s="460">
        <f t="shared" si="432"/>
        <v>536.32590512788704</v>
      </c>
      <c r="ES131" s="528">
        <f t="shared" si="411"/>
        <v>0.8819999999999999</v>
      </c>
      <c r="EV131" s="460">
        <f t="shared" si="412"/>
        <v>881.99999999999989</v>
      </c>
      <c r="EW131" s="528">
        <f t="shared" si="413"/>
        <v>1.1049699000425304E-2</v>
      </c>
      <c r="EX131" s="528">
        <f t="shared" si="414"/>
        <v>0.27440481599319511</v>
      </c>
      <c r="EY131" s="528">
        <f t="shared" si="415"/>
        <v>0.41874679938905418</v>
      </c>
      <c r="EZ131" s="528"/>
      <c r="FA131" s="528">
        <f t="shared" si="416"/>
        <v>2.4674999999999999E-2</v>
      </c>
      <c r="FB131" s="460">
        <f t="shared" si="417"/>
        <v>728.87631438267465</v>
      </c>
      <c r="FC131" s="173">
        <f t="shared" si="418"/>
        <v>2.1472022195105613</v>
      </c>
      <c r="FD131" s="5">
        <f t="shared" si="419"/>
        <v>5.04</v>
      </c>
      <c r="FE131" s="173">
        <f t="shared" si="420"/>
        <v>0.70124644417521576</v>
      </c>
      <c r="FF131" s="5">
        <f t="shared" si="421"/>
        <v>70.12464441752158</v>
      </c>
      <c r="FI131" s="562">
        <f t="shared" si="422"/>
        <v>-50</v>
      </c>
      <c r="FJ131">
        <f t="shared" si="423"/>
        <v>-50</v>
      </c>
      <c r="FL131">
        <f t="shared" si="424"/>
        <v>0.37515954053051059</v>
      </c>
    </row>
    <row r="132" spans="5:168">
      <c r="E132" s="170">
        <v>22</v>
      </c>
      <c r="F132" s="217">
        <f t="shared" si="425"/>
        <v>1.32</v>
      </c>
      <c r="G132" s="217"/>
      <c r="H132" s="217">
        <f t="shared" si="315"/>
        <v>5.28</v>
      </c>
      <c r="I132" s="541">
        <f t="shared" si="316"/>
        <v>17.966542786385336</v>
      </c>
      <c r="J132" s="172">
        <f t="shared" si="317"/>
        <v>19.180555984242606</v>
      </c>
      <c r="K132" s="172">
        <f t="shared" si="318"/>
        <v>37.147098770627942</v>
      </c>
      <c r="L132" s="443"/>
      <c r="M132" s="217">
        <f t="shared" si="319"/>
        <v>0.51675634371284462</v>
      </c>
      <c r="N132" s="172">
        <f t="shared" si="426"/>
        <v>31.156647176430589</v>
      </c>
      <c r="O132" s="172">
        <f t="shared" si="284"/>
        <v>5.28</v>
      </c>
      <c r="P132" s="217">
        <f t="shared" si="320"/>
        <v>7.7891617941076472</v>
      </c>
      <c r="Q132" s="217">
        <f t="shared" si="321"/>
        <v>4</v>
      </c>
      <c r="R132" s="217"/>
      <c r="S132" s="172">
        <f t="shared" si="322"/>
        <v>40.953904444300875</v>
      </c>
      <c r="T132" s="172">
        <f t="shared" si="323"/>
        <v>4</v>
      </c>
      <c r="U132" s="217">
        <f t="shared" si="324"/>
        <v>1.3657706447113955</v>
      </c>
      <c r="V132" s="217">
        <f t="shared" si="325"/>
        <v>0.91220931769667846</v>
      </c>
      <c r="W132" s="217">
        <f t="shared" si="326"/>
        <v>0.85447198454523421</v>
      </c>
      <c r="X132" s="197">
        <f t="shared" si="327"/>
        <v>350</v>
      </c>
      <c r="Y132" s="443">
        <f t="shared" si="328"/>
        <v>350</v>
      </c>
      <c r="AA132" s="217">
        <f t="shared" si="329"/>
        <v>2.2087751973605414</v>
      </c>
      <c r="AB132" s="173">
        <f t="shared" si="330"/>
        <v>1.3818839448711178</v>
      </c>
      <c r="AC132" s="173">
        <f t="shared" si="331"/>
        <v>2.1365896881434465</v>
      </c>
      <c r="AD132" s="173"/>
      <c r="AE132" s="173">
        <f t="shared" si="332"/>
        <v>0.83417811314460732</v>
      </c>
      <c r="AF132" s="545">
        <f t="shared" si="333"/>
        <v>593.39845076250538</v>
      </c>
      <c r="AG132" s="528">
        <f t="shared" si="334"/>
        <v>0.77856623893496701</v>
      </c>
      <c r="AI132" s="173">
        <f t="shared" si="335"/>
        <v>1.7361127178131059</v>
      </c>
      <c r="AJ132" s="173">
        <f t="shared" si="336"/>
        <v>1.7361127178131059</v>
      </c>
      <c r="AK132" s="173">
        <f t="shared" si="337"/>
        <v>1.4983550996146462</v>
      </c>
      <c r="AM132" s="545">
        <f t="shared" si="338"/>
        <v>1320</v>
      </c>
      <c r="AN132" s="460">
        <f t="shared" si="339"/>
        <v>350</v>
      </c>
      <c r="AP132" s="460">
        <f t="shared" si="340"/>
        <v>1320</v>
      </c>
      <c r="AQ132" s="460">
        <f t="shared" si="341"/>
        <v>350</v>
      </c>
      <c r="AS132" s="5">
        <f t="shared" si="285"/>
        <v>2.8571428571428572</v>
      </c>
      <c r="AT132" s="5">
        <f t="shared" si="342"/>
        <v>1.1595637993050252</v>
      </c>
      <c r="AU132" s="5">
        <f t="shared" si="343"/>
        <v>1.697579057837832</v>
      </c>
      <c r="AV132" s="5"/>
      <c r="AW132" s="173">
        <f t="shared" si="344"/>
        <v>0.4058473297567588</v>
      </c>
      <c r="AX132" s="173">
        <f t="shared" si="214"/>
        <v>6.3295834748000592</v>
      </c>
      <c r="AY132" s="173">
        <f t="shared" si="215"/>
        <v>2.0630320142638152</v>
      </c>
      <c r="AZ132" s="173">
        <f t="shared" si="288"/>
        <v>3.0680975530371235</v>
      </c>
      <c r="BA132" s="460">
        <f t="shared" si="433"/>
        <v>38.265605377065832</v>
      </c>
      <c r="BB132" s="5">
        <f t="shared" si="434"/>
        <v>0.41573651332334077</v>
      </c>
      <c r="BD132" s="173">
        <f t="shared" si="289"/>
        <v>0.63855548188676348</v>
      </c>
      <c r="BE132" s="173">
        <f t="shared" si="218"/>
        <v>3.09048264503308</v>
      </c>
      <c r="BG132" s="528">
        <f t="shared" si="347"/>
        <v>4.9745878620611672E-3</v>
      </c>
      <c r="BH132" s="528">
        <f t="shared" si="348"/>
        <v>0.4232258008489006</v>
      </c>
      <c r="BI132" s="528">
        <f t="shared" si="349"/>
        <v>0.15720724938087169</v>
      </c>
      <c r="BJ132" s="528">
        <f t="shared" si="350"/>
        <v>4.8296743147617581E-2</v>
      </c>
      <c r="BK132">
        <f t="shared" si="351"/>
        <v>8.0849442538734016E-3</v>
      </c>
      <c r="BL132" s="460">
        <f t="shared" si="427"/>
        <v>165.2921936347451</v>
      </c>
      <c r="BM132" s="528">
        <f t="shared" si="352"/>
        <v>0.47840572800879572</v>
      </c>
      <c r="BN132" s="460">
        <f t="shared" si="353"/>
        <v>478.40572800879573</v>
      </c>
      <c r="BO132" s="528">
        <f t="shared" si="354"/>
        <v>0.92399999999999993</v>
      </c>
      <c r="BR132" s="460">
        <f t="shared" si="355"/>
        <v>923.99999999999989</v>
      </c>
      <c r="BS132" s="528">
        <f t="shared" si="356"/>
        <v>1.22325931034291E-2</v>
      </c>
      <c r="BT132" s="528">
        <f t="shared" si="357"/>
        <v>0.28653248937751985</v>
      </c>
      <c r="BU132" s="528">
        <f t="shared" si="358"/>
        <v>0.45507702622866636</v>
      </c>
      <c r="BV132" s="528"/>
      <c r="BW132" s="528">
        <f t="shared" si="359"/>
        <v>2.6373264478333582E-2</v>
      </c>
      <c r="BX132" s="460">
        <f t="shared" si="360"/>
        <v>780.2153731879489</v>
      </c>
      <c r="BY132" s="173">
        <f t="shared" si="361"/>
        <v>2.346004698681273</v>
      </c>
      <c r="BZ132" s="5">
        <f t="shared" si="362"/>
        <v>5.28</v>
      </c>
      <c r="CA132" s="173">
        <f t="shared" si="363"/>
        <v>0.69236778740944716</v>
      </c>
      <c r="CB132" s="5">
        <f t="shared" si="364"/>
        <v>69.236778740944715</v>
      </c>
      <c r="CE132" s="562">
        <f t="shared" si="365"/>
        <v>-50</v>
      </c>
      <c r="CF132">
        <f t="shared" si="366"/>
        <v>-50</v>
      </c>
      <c r="CG132" s="173">
        <f t="shared" si="367"/>
        <v>0.41623310776534828</v>
      </c>
      <c r="CI132" s="170">
        <v>22</v>
      </c>
      <c r="CJ132" s="217">
        <f t="shared" si="428"/>
        <v>1.32</v>
      </c>
      <c r="CK132" s="217"/>
      <c r="CL132" s="217">
        <f t="shared" si="368"/>
        <v>5.28</v>
      </c>
      <c r="CM132" s="541">
        <f t="shared" si="369"/>
        <v>18</v>
      </c>
      <c r="CN132" s="443">
        <f t="shared" si="370"/>
        <v>18.8</v>
      </c>
      <c r="CO132" s="443">
        <f t="shared" si="371"/>
        <v>36.799999999999997</v>
      </c>
      <c r="CP132" s="443"/>
      <c r="CQ132" s="217">
        <f t="shared" si="372"/>
        <v>0.51086956521739135</v>
      </c>
      <c r="CR132" s="172">
        <f t="shared" si="429"/>
        <v>30.859076086956527</v>
      </c>
      <c r="CS132" s="172">
        <f t="shared" si="373"/>
        <v>5.28</v>
      </c>
      <c r="CT132" s="217">
        <f t="shared" si="374"/>
        <v>7.7147690217391318</v>
      </c>
      <c r="CU132" s="217">
        <f t="shared" si="375"/>
        <v>4</v>
      </c>
      <c r="CV132" s="217"/>
      <c r="CW132" s="172">
        <f t="shared" si="376"/>
        <v>41.030030661483188</v>
      </c>
      <c r="CX132" s="172">
        <f t="shared" si="377"/>
        <v>4</v>
      </c>
      <c r="CY132" s="217">
        <f t="shared" si="378"/>
        <v>1.1483687943262411</v>
      </c>
      <c r="CZ132" s="217">
        <f t="shared" si="379"/>
        <v>0.76557919621749404</v>
      </c>
      <c r="DA132" s="217">
        <f t="shared" si="380"/>
        <v>0.73300135808057942</v>
      </c>
      <c r="DB132" s="197">
        <f t="shared" si="381"/>
        <v>350</v>
      </c>
      <c r="DC132" s="443">
        <f t="shared" si="382"/>
        <v>350</v>
      </c>
      <c r="DE132" s="217">
        <f t="shared" si="383"/>
        <v>2.18944099378882</v>
      </c>
      <c r="DF132" s="173">
        <f t="shared" si="384"/>
        <v>1.3975155279503106</v>
      </c>
      <c r="DG132" s="173">
        <f t="shared" si="385"/>
        <v>2.1418444504455847</v>
      </c>
      <c r="DH132" s="173"/>
      <c r="DI132" s="173">
        <f t="shared" si="386"/>
        <v>0.85106382978723416</v>
      </c>
      <c r="DJ132" s="545">
        <f t="shared" si="387"/>
        <v>581.62499999999989</v>
      </c>
      <c r="DK132" s="528">
        <f t="shared" si="388"/>
        <v>0.79432624113475192</v>
      </c>
      <c r="DM132" s="173">
        <f t="shared" si="389"/>
        <v>1.7188035705937181</v>
      </c>
      <c r="DN132" s="173">
        <f t="shared" si="390"/>
        <v>1.7188035705937181</v>
      </c>
      <c r="DO132" s="173">
        <f t="shared" si="391"/>
        <v>1.4855335090817663</v>
      </c>
      <c r="DQ132" s="545">
        <f t="shared" si="392"/>
        <v>1320</v>
      </c>
      <c r="DR132" s="460">
        <f t="shared" si="393"/>
        <v>350</v>
      </c>
      <c r="DT132">
        <f t="shared" si="430"/>
        <v>1320</v>
      </c>
      <c r="DU132">
        <f t="shared" si="431"/>
        <v>350</v>
      </c>
      <c r="DW132" s="5">
        <f t="shared" si="394"/>
        <v>2.8571428571428572</v>
      </c>
      <c r="DX132" s="5">
        <f t="shared" si="395"/>
        <v>1.1458690470624788</v>
      </c>
      <c r="DY132" s="5">
        <f t="shared" si="396"/>
        <v>1.7112738100803784</v>
      </c>
      <c r="DZ132" s="5"/>
      <c r="EA132" s="173">
        <f t="shared" si="397"/>
        <v>0.40105416647186759</v>
      </c>
      <c r="EB132" s="173">
        <f t="shared" si="398"/>
        <v>6.2040000000000015</v>
      </c>
      <c r="EC132" s="173">
        <f t="shared" si="399"/>
        <v>2.0589404745207691</v>
      </c>
      <c r="ED132" s="173">
        <f t="shared" si="400"/>
        <v>3.0132002730404435</v>
      </c>
      <c r="EE132" s="460">
        <f t="shared" si="401"/>
        <v>37.813678553061798</v>
      </c>
      <c r="EF132" s="5">
        <f t="shared" si="402"/>
        <v>0.41831137579742583</v>
      </c>
      <c r="EH132" s="173">
        <f t="shared" si="403"/>
        <v>0.62844479860011127</v>
      </c>
      <c r="EI132" s="173">
        <f t="shared" si="404"/>
        <v>3.0719870829790166</v>
      </c>
      <c r="EK132" s="528">
        <f t="shared" si="405"/>
        <v>4.8183029516279188E-3</v>
      </c>
      <c r="EL132" s="528">
        <f t="shared" si="406"/>
        <v>0.44276379978494174</v>
      </c>
      <c r="EM132" s="528">
        <f t="shared" si="407"/>
        <v>4.3749999999999997E-2</v>
      </c>
      <c r="EN132" s="528">
        <f t="shared" si="408"/>
        <v>4.7398399999999993E-2</v>
      </c>
      <c r="EO132">
        <f t="shared" si="409"/>
        <v>8.0999999999999996E-3</v>
      </c>
      <c r="EP132" s="460">
        <f t="shared" si="410"/>
        <v>51.849999999999994</v>
      </c>
      <c r="EQ132" s="460"/>
      <c r="ER132" s="460">
        <f t="shared" si="432"/>
        <v>546.83050273656966</v>
      </c>
      <c r="ES132" s="528">
        <f t="shared" si="411"/>
        <v>0.92399999999999993</v>
      </c>
      <c r="EV132" s="460">
        <f t="shared" si="412"/>
        <v>923.99999999999989</v>
      </c>
      <c r="EW132" s="528">
        <f t="shared" si="413"/>
        <v>1.1848285946626031E-2</v>
      </c>
      <c r="EX132" s="528">
        <f t="shared" si="414"/>
        <v>0.28311313913969782</v>
      </c>
      <c r="EY132" s="528">
        <f t="shared" si="415"/>
        <v>0.44381883922396348</v>
      </c>
      <c r="EZ132" s="528"/>
      <c r="FA132" s="528">
        <f t="shared" si="416"/>
        <v>2.5850000000000008E-2</v>
      </c>
      <c r="FB132" s="460">
        <f t="shared" si="417"/>
        <v>764.63026431028732</v>
      </c>
      <c r="FC132" s="173">
        <f t="shared" si="418"/>
        <v>2.2354607670468569</v>
      </c>
      <c r="FD132" s="5">
        <f t="shared" si="419"/>
        <v>5.28</v>
      </c>
      <c r="FE132" s="173">
        <f t="shared" si="420"/>
        <v>0.70255173483857281</v>
      </c>
      <c r="FF132" s="5">
        <f t="shared" si="421"/>
        <v>70.255173483857277</v>
      </c>
      <c r="FI132" s="562">
        <f t="shared" si="422"/>
        <v>-50</v>
      </c>
      <c r="FJ132">
        <f t="shared" si="423"/>
        <v>-50</v>
      </c>
      <c r="FL132">
        <f t="shared" si="424"/>
        <v>0.38398803172838381</v>
      </c>
    </row>
    <row r="133" spans="5:168">
      <c r="E133" s="170">
        <v>23</v>
      </c>
      <c r="F133" s="217">
        <f t="shared" si="425"/>
        <v>1.3800000000000001</v>
      </c>
      <c r="G133" s="217"/>
      <c r="H133" s="217">
        <f t="shared" si="315"/>
        <v>5.5200000000000005</v>
      </c>
      <c r="I133" s="541">
        <f t="shared" si="316"/>
        <v>17.965790845001457</v>
      </c>
      <c r="J133" s="172">
        <f t="shared" si="317"/>
        <v>19.189108872021333</v>
      </c>
      <c r="K133" s="172">
        <f t="shared" si="318"/>
        <v>37.154899717022786</v>
      </c>
      <c r="L133" s="443"/>
      <c r="M133" s="217">
        <f t="shared" si="319"/>
        <v>0.51688726849946698</v>
      </c>
      <c r="N133" s="172">
        <f t="shared" si="426"/>
        <v>31.16323668020199</v>
      </c>
      <c r="O133" s="172">
        <f t="shared" si="284"/>
        <v>5.5200000000000005</v>
      </c>
      <c r="P133" s="217">
        <f t="shared" si="320"/>
        <v>7.7908091700504976</v>
      </c>
      <c r="Q133" s="217">
        <f t="shared" si="321"/>
        <v>4</v>
      </c>
      <c r="R133" s="217"/>
      <c r="S133" s="172">
        <f t="shared" si="322"/>
        <v>38.983409749650562</v>
      </c>
      <c r="T133" s="172">
        <f t="shared" si="323"/>
        <v>4</v>
      </c>
      <c r="U133" s="217">
        <f t="shared" si="324"/>
        <v>1.4282380798719205</v>
      </c>
      <c r="V133" s="217">
        <f t="shared" si="325"/>
        <v>0.95397175144291058</v>
      </c>
      <c r="W133" s="217">
        <f t="shared" si="326"/>
        <v>0.89315543899239358</v>
      </c>
      <c r="X133" s="197">
        <f t="shared" si="327"/>
        <v>350</v>
      </c>
      <c r="Y133" s="443">
        <f t="shared" si="328"/>
        <v>350</v>
      </c>
      <c r="AA133" s="217">
        <f t="shared" si="329"/>
        <v>2.2092037025581397</v>
      </c>
      <c r="AB133" s="173">
        <f t="shared" si="330"/>
        <v>1.3815359852041493</v>
      </c>
      <c r="AC133" s="173">
        <f t="shared" si="331"/>
        <v>2.1364660896112198</v>
      </c>
      <c r="AD133" s="173"/>
      <c r="AE133" s="173">
        <f t="shared" si="332"/>
        <v>0.83380630683318457</v>
      </c>
      <c r="AF133" s="545">
        <f t="shared" si="333"/>
        <v>620.64774007943981</v>
      </c>
      <c r="AG133" s="528">
        <f t="shared" si="334"/>
        <v>0.7782192197109723</v>
      </c>
      <c r="AI133" s="173">
        <f t="shared" si="335"/>
        <v>1.775527092878721</v>
      </c>
      <c r="AJ133" s="173">
        <f t="shared" si="336"/>
        <v>1.775527092878721</v>
      </c>
      <c r="AK133" s="173">
        <f t="shared" si="337"/>
        <v>1.5275509329965833</v>
      </c>
      <c r="AM133" s="545">
        <f t="shared" si="338"/>
        <v>1380.0000000000002</v>
      </c>
      <c r="AN133" s="460">
        <f t="shared" si="339"/>
        <v>350</v>
      </c>
      <c r="AP133" s="460">
        <f t="shared" si="340"/>
        <v>1380.0000000000002</v>
      </c>
      <c r="AQ133" s="460">
        <f t="shared" si="341"/>
        <v>350</v>
      </c>
      <c r="AS133" s="5">
        <f t="shared" si="285"/>
        <v>2.8571428571428572</v>
      </c>
      <c r="AT133" s="5">
        <f t="shared" si="342"/>
        <v>1.1859386151360332</v>
      </c>
      <c r="AU133" s="5">
        <f t="shared" si="343"/>
        <v>1.671204242006824</v>
      </c>
      <c r="AV133" s="5"/>
      <c r="AW133" s="173">
        <f t="shared" si="344"/>
        <v>0.41507851529761158</v>
      </c>
      <c r="AX133" s="173">
        <f t="shared" ref="AX133:AX196" si="435">0.5*L*AJ133^2*AN133*1000</f>
        <v>6.6202425608473616</v>
      </c>
      <c r="AY133" s="173">
        <f t="shared" ref="AY133:AY196" si="436">AJ133*Nps/2*(1-AW133)</f>
        <v>2.0770878865918743</v>
      </c>
      <c r="AZ133" s="173">
        <f t="shared" si="288"/>
        <v>3.1872712770522114</v>
      </c>
      <c r="BA133" s="460">
        <f t="shared" si="433"/>
        <v>40.91488222219315</v>
      </c>
      <c r="BB133" s="5">
        <f t="shared" si="434"/>
        <v>0.42789875377906111</v>
      </c>
      <c r="BD133" s="173">
        <f t="shared" si="289"/>
        <v>0.66043761983483951</v>
      </c>
      <c r="BE133" s="173">
        <f t="shared" ref="BE133:BE196" si="437">AJ133*Nps*SQRT((1-AW133)/3)</f>
        <v>3.1359956704621803</v>
      </c>
      <c r="BG133" s="528">
        <f t="shared" si="347"/>
        <v>5.3213697662559166E-3</v>
      </c>
      <c r="BH133" s="528">
        <f t="shared" si="348"/>
        <v>0.43292504771752605</v>
      </c>
      <c r="BI133" s="528">
        <f t="shared" si="349"/>
        <v>0.15720066989376275</v>
      </c>
      <c r="BJ133" s="528">
        <f t="shared" si="350"/>
        <v>4.8317030054370699E-2</v>
      </c>
      <c r="BK133">
        <f t="shared" si="351"/>
        <v>8.0846058802506553E-3</v>
      </c>
      <c r="BL133" s="460">
        <f t="shared" si="427"/>
        <v>165.2852757740134</v>
      </c>
      <c r="BM133" s="528">
        <f t="shared" si="352"/>
        <v>0.48861800519326964</v>
      </c>
      <c r="BN133" s="460">
        <f t="shared" si="353"/>
        <v>488.61800519326965</v>
      </c>
      <c r="BO133" s="528">
        <f t="shared" si="354"/>
        <v>0.96599999999999997</v>
      </c>
      <c r="BR133" s="460">
        <f t="shared" si="355"/>
        <v>966</v>
      </c>
      <c r="BS133" s="528">
        <f t="shared" si="356"/>
        <v>1.3085335490793238E-2</v>
      </c>
      <c r="BT133" s="528">
        <f t="shared" si="357"/>
        <v>0.2950340653547262</v>
      </c>
      <c r="BU133" s="528">
        <f t="shared" si="358"/>
        <v>0.4813471161917553</v>
      </c>
      <c r="BV133" s="528"/>
      <c r="BW133" s="528">
        <f t="shared" si="359"/>
        <v>2.7584344003530673E-2</v>
      </c>
      <c r="BX133" s="460">
        <f t="shared" si="360"/>
        <v>817.05086104080544</v>
      </c>
      <c r="BY133" s="173">
        <f t="shared" si="361"/>
        <v>2.4348995843529715</v>
      </c>
      <c r="BZ133" s="5">
        <f t="shared" si="362"/>
        <v>5.5200000000000005</v>
      </c>
      <c r="CA133" s="173">
        <f t="shared" si="363"/>
        <v>0.69391196475410699</v>
      </c>
      <c r="CB133" s="5">
        <f t="shared" si="364"/>
        <v>69.391196475410695</v>
      </c>
      <c r="CE133" s="562">
        <f t="shared" si="365"/>
        <v>-50</v>
      </c>
      <c r="CF133">
        <f t="shared" si="366"/>
        <v>-50</v>
      </c>
      <c r="CG133" s="173">
        <f t="shared" si="367"/>
        <v>0.42558782877333329</v>
      </c>
      <c r="CI133" s="170">
        <v>23</v>
      </c>
      <c r="CJ133" s="217">
        <f t="shared" si="428"/>
        <v>1.3800000000000001</v>
      </c>
      <c r="CK133" s="217"/>
      <c r="CL133" s="217">
        <f t="shared" si="368"/>
        <v>5.5200000000000005</v>
      </c>
      <c r="CM133" s="541">
        <f t="shared" si="369"/>
        <v>18</v>
      </c>
      <c r="CN133" s="443">
        <f t="shared" si="370"/>
        <v>18.8</v>
      </c>
      <c r="CO133" s="443">
        <f t="shared" si="371"/>
        <v>36.799999999999997</v>
      </c>
      <c r="CP133" s="443"/>
      <c r="CQ133" s="217">
        <f t="shared" si="372"/>
        <v>0.51086956521739135</v>
      </c>
      <c r="CR133" s="172">
        <f t="shared" si="429"/>
        <v>30.859076086956527</v>
      </c>
      <c r="CS133" s="172">
        <f t="shared" si="373"/>
        <v>5.5200000000000005</v>
      </c>
      <c r="CT133" s="217">
        <f t="shared" si="374"/>
        <v>7.7147690217391318</v>
      </c>
      <c r="CU133" s="217">
        <f t="shared" si="375"/>
        <v>4</v>
      </c>
      <c r="CV133" s="217"/>
      <c r="CW133" s="172">
        <f t="shared" si="376"/>
        <v>39.057491220959704</v>
      </c>
      <c r="CX133" s="172">
        <f t="shared" si="377"/>
        <v>4</v>
      </c>
      <c r="CY133" s="217">
        <f t="shared" si="378"/>
        <v>1.2005673758865247</v>
      </c>
      <c r="CZ133" s="217">
        <f t="shared" si="379"/>
        <v>0.80037825059101653</v>
      </c>
      <c r="DA133" s="217">
        <f t="shared" si="380"/>
        <v>0.76631960162969659</v>
      </c>
      <c r="DB133" s="197">
        <f t="shared" si="381"/>
        <v>350</v>
      </c>
      <c r="DC133" s="443">
        <f t="shared" si="382"/>
        <v>350</v>
      </c>
      <c r="DE133" s="217">
        <f t="shared" si="383"/>
        <v>2.18944099378882</v>
      </c>
      <c r="DF133" s="173">
        <f t="shared" si="384"/>
        <v>1.3975155279503106</v>
      </c>
      <c r="DG133" s="173">
        <f t="shared" si="385"/>
        <v>2.1418444504455847</v>
      </c>
      <c r="DH133" s="173"/>
      <c r="DI133" s="173">
        <f t="shared" si="386"/>
        <v>0.85106382978723416</v>
      </c>
      <c r="DJ133" s="545">
        <f t="shared" si="387"/>
        <v>608.06249999999989</v>
      </c>
      <c r="DK133" s="528">
        <f t="shared" si="388"/>
        <v>0.79432624113475192</v>
      </c>
      <c r="DM133" s="173">
        <f t="shared" si="389"/>
        <v>1.7574331932029248</v>
      </c>
      <c r="DN133" s="173">
        <f t="shared" si="390"/>
        <v>1.7574331932029248</v>
      </c>
      <c r="DO133" s="173">
        <f t="shared" si="391"/>
        <v>1.5141480443478454</v>
      </c>
      <c r="DQ133" s="545">
        <f t="shared" si="392"/>
        <v>1380.0000000000002</v>
      </c>
      <c r="DR133" s="460">
        <f t="shared" si="393"/>
        <v>350</v>
      </c>
      <c r="DT133">
        <f t="shared" si="430"/>
        <v>1380.0000000000002</v>
      </c>
      <c r="DU133">
        <f t="shared" si="431"/>
        <v>350</v>
      </c>
      <c r="DW133" s="5">
        <f t="shared" si="394"/>
        <v>2.8571428571428572</v>
      </c>
      <c r="DX133" s="5">
        <f t="shared" si="395"/>
        <v>1.1716221288019497</v>
      </c>
      <c r="DY133" s="5">
        <f t="shared" si="396"/>
        <v>1.6855207283409075</v>
      </c>
      <c r="DZ133" s="5"/>
      <c r="EA133" s="173">
        <f t="shared" si="397"/>
        <v>0.41006774508068239</v>
      </c>
      <c r="EB133" s="173">
        <f t="shared" si="398"/>
        <v>6.4860000000000015</v>
      </c>
      <c r="EC133" s="173">
        <f t="shared" si="399"/>
        <v>2.073533053072516</v>
      </c>
      <c r="ED133" s="173">
        <f t="shared" si="400"/>
        <v>3.1279945069547788</v>
      </c>
      <c r="EE133" s="460">
        <f t="shared" si="401"/>
        <v>40.420963443667269</v>
      </c>
      <c r="EF133" s="5">
        <f t="shared" si="402"/>
        <v>0.43074418613156523</v>
      </c>
      <c r="EH133" s="173">
        <f t="shared" si="403"/>
        <v>0.64974957258801069</v>
      </c>
      <c r="EI133" s="173">
        <f t="shared" si="404"/>
        <v>3.1173047395351183</v>
      </c>
      <c r="EK133" s="528">
        <f t="shared" si="405"/>
        <v>5.1505289863552906E-3</v>
      </c>
      <c r="EL133" s="528">
        <f t="shared" si="406"/>
        <v>0.45271479056907349</v>
      </c>
      <c r="EM133" s="528">
        <f t="shared" si="407"/>
        <v>4.3749999999999997E-2</v>
      </c>
      <c r="EN133" s="528">
        <f t="shared" si="408"/>
        <v>4.7398399999999993E-2</v>
      </c>
      <c r="EO133">
        <f t="shared" si="409"/>
        <v>8.0999999999999996E-3</v>
      </c>
      <c r="EP133" s="460">
        <f t="shared" si="410"/>
        <v>51.849999999999994</v>
      </c>
      <c r="EQ133" s="460"/>
      <c r="ER133" s="460">
        <f t="shared" si="432"/>
        <v>557.1137195554287</v>
      </c>
      <c r="ES133" s="528">
        <f t="shared" si="411"/>
        <v>0.96599999999999997</v>
      </c>
      <c r="EV133" s="460">
        <f t="shared" si="412"/>
        <v>966</v>
      </c>
      <c r="EW133" s="528">
        <f t="shared" si="413"/>
        <v>1.2665235212349076E-2</v>
      </c>
      <c r="EX133" s="528">
        <f t="shared" si="414"/>
        <v>0.29152766517384338</v>
      </c>
      <c r="EY133" s="528">
        <f t="shared" si="415"/>
        <v>0.46917750044661338</v>
      </c>
      <c r="EZ133" s="528"/>
      <c r="FA133" s="528">
        <f t="shared" si="416"/>
        <v>2.7025000000000004E-2</v>
      </c>
      <c r="FB133" s="460">
        <f t="shared" si="417"/>
        <v>800.39540083280576</v>
      </c>
      <c r="FC133" s="173">
        <f t="shared" si="418"/>
        <v>2.3235091203882345</v>
      </c>
      <c r="FD133" s="5">
        <f t="shared" si="419"/>
        <v>5.5200000000000005</v>
      </c>
      <c r="FE133" s="173">
        <f t="shared" si="420"/>
        <v>0.70376663241857407</v>
      </c>
      <c r="FF133" s="5">
        <f t="shared" si="421"/>
        <v>70.376663241857401</v>
      </c>
      <c r="FI133" s="562">
        <f t="shared" si="422"/>
        <v>-50</v>
      </c>
      <c r="FJ133">
        <f t="shared" si="423"/>
        <v>-50</v>
      </c>
      <c r="FL133">
        <f t="shared" si="424"/>
        <v>0.3926180538006534</v>
      </c>
    </row>
    <row r="134" spans="5:168">
      <c r="E134" s="170">
        <v>24</v>
      </c>
      <c r="F134" s="217">
        <f t="shared" si="425"/>
        <v>1.44</v>
      </c>
      <c r="G134" s="217"/>
      <c r="H134" s="217">
        <f t="shared" si="315"/>
        <v>5.76</v>
      </c>
      <c r="I134" s="541">
        <f t="shared" si="316"/>
        <v>17.965055080074904</v>
      </c>
      <c r="J134" s="172">
        <f t="shared" si="317"/>
        <v>19.197477762181197</v>
      </c>
      <c r="K134" s="172">
        <f t="shared" si="318"/>
        <v>37.162532842256098</v>
      </c>
      <c r="L134" s="443"/>
      <c r="M134" s="217">
        <f t="shared" si="319"/>
        <v>0.51701531865986516</v>
      </c>
      <c r="N134" s="172">
        <f t="shared" si="426"/>
        <v>31.169680285121611</v>
      </c>
      <c r="O134" s="172">
        <f t="shared" ref="O134:O197" si="438">T134*F134</f>
        <v>5.76</v>
      </c>
      <c r="P134" s="217">
        <f t="shared" si="320"/>
        <v>7.7924200712804028</v>
      </c>
      <c r="Q134" s="217">
        <f t="shared" si="321"/>
        <v>4</v>
      </c>
      <c r="R134" s="217"/>
      <c r="S134" s="172">
        <f t="shared" si="322"/>
        <v>37.17751322583765</v>
      </c>
      <c r="T134" s="172">
        <f t="shared" si="323"/>
        <v>4</v>
      </c>
      <c r="U134" s="217">
        <f t="shared" si="324"/>
        <v>1.4907305093035661</v>
      </c>
      <c r="V134" s="217">
        <f t="shared" si="325"/>
        <v>0.99575347984784501</v>
      </c>
      <c r="W134" s="217">
        <f t="shared" si="326"/>
        <v>0.93182897947580634</v>
      </c>
      <c r="X134" s="197">
        <f t="shared" si="327"/>
        <v>350</v>
      </c>
      <c r="Y134" s="443">
        <f t="shared" si="328"/>
        <v>350</v>
      </c>
      <c r="AA134" s="217">
        <f t="shared" si="329"/>
        <v>2.2096227354528284</v>
      </c>
      <c r="AB134" s="173">
        <f t="shared" si="330"/>
        <v>1.3811956525700009</v>
      </c>
      <c r="AC134" s="173">
        <f t="shared" si="331"/>
        <v>2.1363449212190959</v>
      </c>
      <c r="AD134" s="173"/>
      <c r="AE134" s="173">
        <f t="shared" si="332"/>
        <v>0.83344281984375113</v>
      </c>
      <c r="AF134" s="545">
        <f t="shared" si="333"/>
        <v>647.91487447361521</v>
      </c>
      <c r="AG134" s="528">
        <f t="shared" si="334"/>
        <v>0.77787996518750124</v>
      </c>
      <c r="AI134" s="173">
        <f t="shared" si="335"/>
        <v>1.8141103019944764</v>
      </c>
      <c r="AJ134" s="173">
        <f t="shared" si="336"/>
        <v>1.8141103019944764</v>
      </c>
      <c r="AK134" s="173">
        <f t="shared" si="337"/>
        <v>1.5561310878971428</v>
      </c>
      <c r="AM134" s="545">
        <f t="shared" si="338"/>
        <v>1440</v>
      </c>
      <c r="AN134" s="460">
        <f t="shared" si="339"/>
        <v>350</v>
      </c>
      <c r="AP134" s="460">
        <f t="shared" si="340"/>
        <v>1440</v>
      </c>
      <c r="AQ134" s="460">
        <f t="shared" si="341"/>
        <v>350</v>
      </c>
      <c r="AS134" s="5">
        <f t="shared" ref="AS134:AS197" si="439">1/AN134*1000</f>
        <v>2.8571428571428572</v>
      </c>
      <c r="AT134" s="5">
        <f t="shared" si="342"/>
        <v>1.2117593587607831</v>
      </c>
      <c r="AU134" s="5">
        <f t="shared" si="343"/>
        <v>1.6453834983820741</v>
      </c>
      <c r="AV134" s="5"/>
      <c r="AW134" s="173">
        <f t="shared" si="344"/>
        <v>0.42411577556627406</v>
      </c>
      <c r="AX134" s="173">
        <f t="shared" si="435"/>
        <v>6.91109199438523</v>
      </c>
      <c r="AY134" s="173">
        <f t="shared" si="436"/>
        <v>2.0894350086026425</v>
      </c>
      <c r="AZ134" s="173">
        <f t="shared" ref="AZ134:AZ197" si="440">AX134/AY134</f>
        <v>3.3076367371709643</v>
      </c>
      <c r="BA134" s="460">
        <f t="shared" si="433"/>
        <v>43.623336915388187</v>
      </c>
      <c r="BB134" s="5">
        <f t="shared" si="434"/>
        <v>0.43962240900633104</v>
      </c>
      <c r="BD134" s="173">
        <f t="shared" ref="BD134:BD197" si="441">AJ134*SQRT(AW134/3)</f>
        <v>0.68209564348300999</v>
      </c>
      <c r="BE134" s="173">
        <f t="shared" si="437"/>
        <v>3.1792936634642488</v>
      </c>
      <c r="BG134" s="528">
        <f t="shared" si="347"/>
        <v>5.6761044956737177E-3</v>
      </c>
      <c r="BH134" s="528">
        <f t="shared" si="348"/>
        <v>0.44242362725757561</v>
      </c>
      <c r="BI134" s="528">
        <f t="shared" si="349"/>
        <v>0.15719423195065541</v>
      </c>
      <c r="BJ134" s="528">
        <f t="shared" si="350"/>
        <v>4.833688465381171E-2</v>
      </c>
      <c r="BK134">
        <f t="shared" si="351"/>
        <v>8.0842747860337075E-3</v>
      </c>
      <c r="BL134" s="460">
        <f t="shared" si="427"/>
        <v>165.27850673668911</v>
      </c>
      <c r="BM134" s="528">
        <f t="shared" si="352"/>
        <v>0.49864165391181231</v>
      </c>
      <c r="BN134" s="460">
        <f t="shared" si="353"/>
        <v>498.64165391181228</v>
      </c>
      <c r="BO134" s="528">
        <f t="shared" si="354"/>
        <v>1.008</v>
      </c>
      <c r="BR134" s="460">
        <f t="shared" si="355"/>
        <v>1008</v>
      </c>
      <c r="BS134" s="528">
        <f t="shared" si="356"/>
        <v>1.3957634005755044E-2</v>
      </c>
      <c r="BT134" s="528">
        <f t="shared" si="357"/>
        <v>0.30323724595631774</v>
      </c>
      <c r="BU134" s="528">
        <f t="shared" si="358"/>
        <v>0.50792470757562935</v>
      </c>
      <c r="BV134" s="528"/>
      <c r="BW134" s="528">
        <f t="shared" si="359"/>
        <v>2.8796216643271793E-2</v>
      </c>
      <c r="BX134" s="460">
        <f t="shared" si="360"/>
        <v>853.91580418097396</v>
      </c>
      <c r="BY134" s="173">
        <f t="shared" si="361"/>
        <v>2.5236309273247239</v>
      </c>
      <c r="BZ134" s="5">
        <f t="shared" si="362"/>
        <v>5.76</v>
      </c>
      <c r="CA134" s="173">
        <f t="shared" si="363"/>
        <v>0.6953472517709387</v>
      </c>
      <c r="CB134" s="5">
        <f t="shared" si="364"/>
        <v>69.534725177093875</v>
      </c>
      <c r="CE134" s="562">
        <f t="shared" si="365"/>
        <v>-50</v>
      </c>
      <c r="CF134">
        <f t="shared" si="366"/>
        <v>-50</v>
      </c>
      <c r="CG134" s="173">
        <f t="shared" si="367"/>
        <v>0.43474130238568315</v>
      </c>
      <c r="CI134" s="170">
        <v>24</v>
      </c>
      <c r="CJ134" s="217">
        <f t="shared" si="428"/>
        <v>1.44</v>
      </c>
      <c r="CK134" s="217"/>
      <c r="CL134" s="217">
        <f t="shared" si="368"/>
        <v>5.76</v>
      </c>
      <c r="CM134" s="541">
        <f t="shared" si="369"/>
        <v>18</v>
      </c>
      <c r="CN134" s="443">
        <f t="shared" si="370"/>
        <v>18.8</v>
      </c>
      <c r="CO134" s="443">
        <f t="shared" si="371"/>
        <v>36.799999999999997</v>
      </c>
      <c r="CP134" s="443"/>
      <c r="CQ134" s="217">
        <f t="shared" si="372"/>
        <v>0.51086956521739135</v>
      </c>
      <c r="CR134" s="172">
        <f t="shared" si="429"/>
        <v>30.859076086956527</v>
      </c>
      <c r="CS134" s="172">
        <f t="shared" si="373"/>
        <v>5.76</v>
      </c>
      <c r="CT134" s="217">
        <f t="shared" si="374"/>
        <v>7.7147690217391318</v>
      </c>
      <c r="CU134" s="217">
        <f t="shared" si="375"/>
        <v>4</v>
      </c>
      <c r="CV134" s="217"/>
      <c r="CW134" s="172">
        <f t="shared" si="376"/>
        <v>37.249671338088909</v>
      </c>
      <c r="CX134" s="172">
        <f t="shared" si="377"/>
        <v>4</v>
      </c>
      <c r="CY134" s="217">
        <f t="shared" si="378"/>
        <v>1.2527659574468082</v>
      </c>
      <c r="CZ134" s="217">
        <f t="shared" si="379"/>
        <v>0.83517730496453879</v>
      </c>
      <c r="DA134" s="217">
        <f t="shared" si="380"/>
        <v>0.79963784517881376</v>
      </c>
      <c r="DB134" s="197">
        <f t="shared" si="381"/>
        <v>350</v>
      </c>
      <c r="DC134" s="443">
        <f t="shared" si="382"/>
        <v>350</v>
      </c>
      <c r="DE134" s="217">
        <f t="shared" si="383"/>
        <v>2.18944099378882</v>
      </c>
      <c r="DF134" s="173">
        <f t="shared" si="384"/>
        <v>1.3975155279503106</v>
      </c>
      <c r="DG134" s="173">
        <f t="shared" si="385"/>
        <v>2.1418444504455847</v>
      </c>
      <c r="DH134" s="173"/>
      <c r="DI134" s="173">
        <f t="shared" si="386"/>
        <v>0.85106382978723416</v>
      </c>
      <c r="DJ134" s="545">
        <f t="shared" si="387"/>
        <v>634.49999999999989</v>
      </c>
      <c r="DK134" s="528">
        <f t="shared" si="388"/>
        <v>0.79432624113475192</v>
      </c>
      <c r="DM134" s="173">
        <f t="shared" si="389"/>
        <v>1.7952317797034296</v>
      </c>
      <c r="DN134" s="173">
        <f t="shared" si="390"/>
        <v>1.7952317797034296</v>
      </c>
      <c r="DO134" s="173">
        <f t="shared" si="391"/>
        <v>1.5421469973111823</v>
      </c>
      <c r="DQ134" s="545">
        <f t="shared" si="392"/>
        <v>1440</v>
      </c>
      <c r="DR134" s="460">
        <f t="shared" si="393"/>
        <v>350</v>
      </c>
      <c r="DT134">
        <f t="shared" si="430"/>
        <v>1440</v>
      </c>
      <c r="DU134">
        <f t="shared" si="431"/>
        <v>350</v>
      </c>
      <c r="DW134" s="5">
        <f t="shared" si="394"/>
        <v>2.8571428571428572</v>
      </c>
      <c r="DX134" s="5">
        <f t="shared" si="395"/>
        <v>1.1968211864689531</v>
      </c>
      <c r="DY134" s="5">
        <f t="shared" si="396"/>
        <v>1.6603216706739041</v>
      </c>
      <c r="DZ134" s="5"/>
      <c r="EA134" s="173">
        <f t="shared" si="397"/>
        <v>0.41888741526413359</v>
      </c>
      <c r="EB134" s="173">
        <f t="shared" si="398"/>
        <v>6.7680000000000016</v>
      </c>
      <c r="EC134" s="173">
        <f t="shared" si="399"/>
        <v>2.0864635594068592</v>
      </c>
      <c r="ED134" s="173">
        <f t="shared" si="400"/>
        <v>3.243766213642385</v>
      </c>
      <c r="EE134" s="460">
        <f t="shared" si="401"/>
        <v>43.085562712882307</v>
      </c>
      <c r="EF134" s="5">
        <f t="shared" si="402"/>
        <v>0.44275244551304105</v>
      </c>
      <c r="EH134" s="173">
        <f t="shared" si="403"/>
        <v>0.67082394569091408</v>
      </c>
      <c r="EI134" s="173">
        <f t="shared" si="404"/>
        <v>3.1604580634417867</v>
      </c>
      <c r="EK134" s="528">
        <f t="shared" si="405"/>
        <v>5.4900581465703816E-3</v>
      </c>
      <c r="EL134" s="528">
        <f t="shared" si="406"/>
        <v>0.46245170645160338</v>
      </c>
      <c r="EM134" s="528">
        <f t="shared" si="407"/>
        <v>4.3749999999999997E-2</v>
      </c>
      <c r="EN134" s="528">
        <f t="shared" si="408"/>
        <v>4.7398399999999993E-2</v>
      </c>
      <c r="EO134">
        <f t="shared" si="409"/>
        <v>8.0999999999999996E-3</v>
      </c>
      <c r="EP134" s="460">
        <f t="shared" si="410"/>
        <v>51.849999999999994</v>
      </c>
      <c r="EQ134" s="460"/>
      <c r="ER134" s="460">
        <f t="shared" si="432"/>
        <v>567.19016459817374</v>
      </c>
      <c r="ES134" s="528">
        <f t="shared" si="411"/>
        <v>1.008</v>
      </c>
      <c r="EV134" s="460">
        <f t="shared" si="412"/>
        <v>1008</v>
      </c>
      <c r="EW134" s="528">
        <f t="shared" si="413"/>
        <v>1.3500142983369792E-2</v>
      </c>
      <c r="EX134" s="528">
        <f t="shared" si="414"/>
        <v>0.29965485512322626</v>
      </c>
      <c r="EY134" s="528">
        <f t="shared" si="415"/>
        <v>0.49481337963343996</v>
      </c>
      <c r="EZ134" s="528"/>
      <c r="FA134" s="528">
        <f t="shared" si="416"/>
        <v>2.8200000000000003E-2</v>
      </c>
      <c r="FB134" s="460">
        <f t="shared" si="417"/>
        <v>836.16837774003591</v>
      </c>
      <c r="FC134" s="173">
        <f t="shared" si="418"/>
        <v>2.4113585423382098</v>
      </c>
      <c r="FD134" s="5">
        <f t="shared" si="419"/>
        <v>5.76</v>
      </c>
      <c r="FE134" s="173">
        <f t="shared" si="420"/>
        <v>0.7049011458933967</v>
      </c>
      <c r="FF134" s="5">
        <f t="shared" si="421"/>
        <v>70.490114589339669</v>
      </c>
      <c r="FI134" s="562">
        <f t="shared" si="422"/>
        <v>-50</v>
      </c>
      <c r="FJ134">
        <f t="shared" si="423"/>
        <v>-50</v>
      </c>
      <c r="FL134">
        <f t="shared" si="424"/>
        <v>0.40106241886991512</v>
      </c>
    </row>
    <row r="135" spans="5:168">
      <c r="E135" s="170">
        <v>25</v>
      </c>
      <c r="F135" s="217">
        <f t="shared" si="425"/>
        <v>1.5</v>
      </c>
      <c r="G135" s="217"/>
      <c r="H135" s="217">
        <f t="shared" si="315"/>
        <v>6</v>
      </c>
      <c r="I135" s="541">
        <f t="shared" si="316"/>
        <v>17.964334490450458</v>
      </c>
      <c r="J135" s="172">
        <f t="shared" si="317"/>
        <v>19.205674042269688</v>
      </c>
      <c r="K135" s="172">
        <f t="shared" si="318"/>
        <v>37.170008532720146</v>
      </c>
      <c r="L135" s="443"/>
      <c r="M135" s="217">
        <f t="shared" si="319"/>
        <v>0.51714067214106596</v>
      </c>
      <c r="N135" s="172">
        <f t="shared" si="426"/>
        <v>31.17598702348651</v>
      </c>
      <c r="O135" s="172">
        <f t="shared" si="438"/>
        <v>6</v>
      </c>
      <c r="P135" s="217">
        <f t="shared" si="320"/>
        <v>7.7939967558716274</v>
      </c>
      <c r="Q135" s="217">
        <f t="shared" si="321"/>
        <v>4</v>
      </c>
      <c r="R135" s="217"/>
      <c r="S135" s="172">
        <f t="shared" si="322"/>
        <v>35.516464367722904</v>
      </c>
      <c r="T135" s="172">
        <f t="shared" si="323"/>
        <v>4</v>
      </c>
      <c r="U135" s="217">
        <f t="shared" si="324"/>
        <v>1.5532474091897639</v>
      </c>
      <c r="V135" s="217">
        <f t="shared" si="325"/>
        <v>1.037554100330593</v>
      </c>
      <c r="W135" s="217">
        <f t="shared" si="326"/>
        <v>0.97049282775781476</v>
      </c>
      <c r="X135" s="197">
        <f t="shared" si="327"/>
        <v>350</v>
      </c>
      <c r="Y135" s="443">
        <f t="shared" si="328"/>
        <v>350</v>
      </c>
      <c r="AA135" s="217">
        <f t="shared" si="329"/>
        <v>2.2100328824321176</v>
      </c>
      <c r="AB135" s="173">
        <f t="shared" si="330"/>
        <v>1.3808624748507543</v>
      </c>
      <c r="AC135" s="173">
        <f t="shared" si="331"/>
        <v>2.1362260328757321</v>
      </c>
      <c r="AD135" s="173"/>
      <c r="AE135" s="173">
        <f t="shared" si="332"/>
        <v>0.83308713689431935</v>
      </c>
      <c r="AF135" s="545">
        <f t="shared" si="333"/>
        <v>675.19947804854348</v>
      </c>
      <c r="AG135" s="528">
        <f t="shared" si="334"/>
        <v>0.77754799443469813</v>
      </c>
      <c r="AI135" s="173">
        <f t="shared" si="335"/>
        <v>1.8519137804998649</v>
      </c>
      <c r="AJ135" s="173">
        <f t="shared" si="336"/>
        <v>1.8519137804998649</v>
      </c>
      <c r="AK135" s="173">
        <f t="shared" si="337"/>
        <v>1.584133664567801</v>
      </c>
      <c r="AM135" s="545">
        <f t="shared" si="338"/>
        <v>1500</v>
      </c>
      <c r="AN135" s="460">
        <f t="shared" si="339"/>
        <v>350</v>
      </c>
      <c r="AP135" s="460">
        <f t="shared" si="340"/>
        <v>1500</v>
      </c>
      <c r="AQ135" s="460">
        <f t="shared" si="341"/>
        <v>350</v>
      </c>
      <c r="AS135" s="5">
        <f t="shared" si="439"/>
        <v>2.8571428571428572</v>
      </c>
      <c r="AT135" s="5">
        <f t="shared" si="342"/>
        <v>1.2370603195911176</v>
      </c>
      <c r="AU135" s="5">
        <f t="shared" si="343"/>
        <v>1.6200825375517396</v>
      </c>
      <c r="AV135" s="5"/>
      <c r="AW135" s="173">
        <f t="shared" si="344"/>
        <v>0.43297111185689113</v>
      </c>
      <c r="AX135" s="173">
        <f t="shared" si="435"/>
        <v>7.2021277658511345</v>
      </c>
      <c r="AY135" s="173">
        <f t="shared" si="436"/>
        <v>2.1001772237874796</v>
      </c>
      <c r="AZ135" s="173">
        <f t="shared" si="440"/>
        <v>3.4292952443616871</v>
      </c>
      <c r="BA135" s="460">
        <f t="shared" si="433"/>
        <v>46.389761984666912</v>
      </c>
      <c r="BB135" s="5">
        <f t="shared" si="434"/>
        <v>0.4509163805686619</v>
      </c>
      <c r="BD135" s="173">
        <f t="shared" si="441"/>
        <v>0.70354129925999154</v>
      </c>
      <c r="BE135" s="173">
        <f t="shared" si="437"/>
        <v>3.2204956729149554</v>
      </c>
      <c r="BG135" s="528">
        <f t="shared" si="347"/>
        <v>6.0386383891261304E-3</v>
      </c>
      <c r="BH135" s="528">
        <f t="shared" si="348"/>
        <v>0.45173395983871312</v>
      </c>
      <c r="BI135" s="528">
        <f t="shared" si="349"/>
        <v>0.1571879267914415</v>
      </c>
      <c r="BJ135" s="528">
        <f t="shared" si="350"/>
        <v>4.8356333701287099E-2</v>
      </c>
      <c r="BK135">
        <f t="shared" si="351"/>
        <v>8.0839505207027061E-3</v>
      </c>
      <c r="BL135" s="460">
        <f t="shared" si="427"/>
        <v>165.2718773121442</v>
      </c>
      <c r="BM135" s="528">
        <f t="shared" si="352"/>
        <v>0.50848893429204756</v>
      </c>
      <c r="BN135" s="460">
        <f t="shared" si="353"/>
        <v>508.48893429204753</v>
      </c>
      <c r="BO135" s="528">
        <f t="shared" si="354"/>
        <v>1.0499999999999998</v>
      </c>
      <c r="BR135" s="460">
        <f t="shared" si="355"/>
        <v>1049.9999999999998</v>
      </c>
      <c r="BS135" s="528">
        <f t="shared" si="356"/>
        <v>1.4849110792933108E-2</v>
      </c>
      <c r="BT135" s="528">
        <f t="shared" si="357"/>
        <v>0.31114777137791855</v>
      </c>
      <c r="BU135" s="528">
        <f t="shared" si="358"/>
        <v>0.53480076972814361</v>
      </c>
      <c r="BV135" s="528"/>
      <c r="BW135" s="528">
        <f t="shared" si="359"/>
        <v>3.0008865691046393E-2</v>
      </c>
      <c r="BX135" s="460">
        <f t="shared" si="360"/>
        <v>890.80651759004172</v>
      </c>
      <c r="BY135" s="173">
        <f t="shared" si="361"/>
        <v>2.612207326831312</v>
      </c>
      <c r="BZ135" s="5">
        <f t="shared" si="362"/>
        <v>6</v>
      </c>
      <c r="CA135" s="173">
        <f t="shared" si="363"/>
        <v>0.69668550376243432</v>
      </c>
      <c r="CB135" s="5">
        <f t="shared" si="364"/>
        <v>69.668550376243431</v>
      </c>
      <c r="CE135" s="562">
        <f t="shared" si="365"/>
        <v>-50</v>
      </c>
      <c r="CF135">
        <f t="shared" si="366"/>
        <v>-50</v>
      </c>
      <c r="CG135" s="173">
        <f t="shared" si="367"/>
        <v>0.44370598373247122</v>
      </c>
      <c r="CI135" s="170">
        <v>25</v>
      </c>
      <c r="CJ135" s="217">
        <f t="shared" si="428"/>
        <v>1.5</v>
      </c>
      <c r="CK135" s="217"/>
      <c r="CL135" s="217">
        <f t="shared" si="368"/>
        <v>6</v>
      </c>
      <c r="CM135" s="541">
        <f t="shared" si="369"/>
        <v>18</v>
      </c>
      <c r="CN135" s="443">
        <f t="shared" si="370"/>
        <v>18.8</v>
      </c>
      <c r="CO135" s="443">
        <f t="shared" si="371"/>
        <v>36.799999999999997</v>
      </c>
      <c r="CP135" s="443"/>
      <c r="CQ135" s="217">
        <f t="shared" si="372"/>
        <v>0.51086956521739135</v>
      </c>
      <c r="CR135" s="172">
        <f t="shared" si="429"/>
        <v>30.859076086956527</v>
      </c>
      <c r="CS135" s="172">
        <f t="shared" si="373"/>
        <v>6</v>
      </c>
      <c r="CT135" s="217">
        <f t="shared" si="374"/>
        <v>7.7147690217391318</v>
      </c>
      <c r="CU135" s="217">
        <f t="shared" si="375"/>
        <v>4</v>
      </c>
      <c r="CV135" s="217"/>
      <c r="CW135" s="172">
        <f t="shared" si="376"/>
        <v>35.586808406094789</v>
      </c>
      <c r="CX135" s="172">
        <f t="shared" si="377"/>
        <v>4</v>
      </c>
      <c r="CY135" s="217">
        <f t="shared" si="378"/>
        <v>1.3049645390070921</v>
      </c>
      <c r="CZ135" s="217">
        <f t="shared" si="379"/>
        <v>0.86997635933806139</v>
      </c>
      <c r="DA135" s="217">
        <f t="shared" si="380"/>
        <v>0.83295608872793103</v>
      </c>
      <c r="DB135" s="197">
        <f t="shared" si="381"/>
        <v>350</v>
      </c>
      <c r="DC135" s="443">
        <f t="shared" si="382"/>
        <v>350</v>
      </c>
      <c r="DE135" s="217">
        <f t="shared" si="383"/>
        <v>2.18944099378882</v>
      </c>
      <c r="DF135" s="173">
        <f t="shared" si="384"/>
        <v>1.3975155279503106</v>
      </c>
      <c r="DG135" s="173">
        <f t="shared" si="385"/>
        <v>2.1418444504455847</v>
      </c>
      <c r="DH135" s="173"/>
      <c r="DI135" s="173">
        <f t="shared" si="386"/>
        <v>0.85106382978723416</v>
      </c>
      <c r="DJ135" s="545">
        <f t="shared" si="387"/>
        <v>660.93749999999989</v>
      </c>
      <c r="DK135" s="528">
        <f t="shared" si="388"/>
        <v>0.79432624113475192</v>
      </c>
      <c r="DM135" s="173">
        <f t="shared" si="389"/>
        <v>1.8322507626258087</v>
      </c>
      <c r="DN135" s="173">
        <f t="shared" si="390"/>
        <v>1.8322507626258087</v>
      </c>
      <c r="DO135" s="173">
        <f t="shared" si="391"/>
        <v>1.5695684661425742</v>
      </c>
      <c r="DQ135" s="545">
        <f t="shared" si="392"/>
        <v>1500</v>
      </c>
      <c r="DR135" s="460">
        <f t="shared" si="393"/>
        <v>350</v>
      </c>
      <c r="DT135">
        <f t="shared" si="430"/>
        <v>1500</v>
      </c>
      <c r="DU135">
        <f t="shared" si="431"/>
        <v>350</v>
      </c>
      <c r="DW135" s="5">
        <f t="shared" si="394"/>
        <v>2.8571428571428572</v>
      </c>
      <c r="DX135" s="5">
        <f t="shared" si="395"/>
        <v>1.2215005084172059</v>
      </c>
      <c r="DY135" s="5">
        <f t="shared" si="396"/>
        <v>1.6356423487256513</v>
      </c>
      <c r="DZ135" s="5"/>
      <c r="EA135" s="173">
        <f t="shared" si="397"/>
        <v>0.42752517794602207</v>
      </c>
      <c r="EB135" s="173">
        <f t="shared" si="398"/>
        <v>7.0500000000000016</v>
      </c>
      <c r="EC135" s="173">
        <f t="shared" si="399"/>
        <v>2.0978348585849504</v>
      </c>
      <c r="ED135" s="173">
        <f t="shared" si="400"/>
        <v>3.360607709967899</v>
      </c>
      <c r="EE135" s="460">
        <f t="shared" si="401"/>
        <v>45.806269065645225</v>
      </c>
      <c r="EF135" s="5">
        <f t="shared" si="402"/>
        <v>0.45434509686823638</v>
      </c>
      <c r="EH135" s="173">
        <f t="shared" si="403"/>
        <v>0.691679862699071</v>
      </c>
      <c r="EI135" s="173">
        <f t="shared" si="404"/>
        <v>3.2015660832391721</v>
      </c>
      <c r="EK135" s="528">
        <f t="shared" si="405"/>
        <v>5.8367365960535498E-3</v>
      </c>
      <c r="EL135" s="528">
        <f t="shared" si="406"/>
        <v>0.47198779645240829</v>
      </c>
      <c r="EM135" s="528">
        <f t="shared" si="407"/>
        <v>4.3749999999999997E-2</v>
      </c>
      <c r="EN135" s="528">
        <f t="shared" si="408"/>
        <v>4.7398399999999993E-2</v>
      </c>
      <c r="EO135">
        <f t="shared" si="409"/>
        <v>8.0999999999999996E-3</v>
      </c>
      <c r="EP135" s="460">
        <f t="shared" si="410"/>
        <v>51.849999999999994</v>
      </c>
      <c r="EQ135" s="460"/>
      <c r="ER135" s="460">
        <f t="shared" si="432"/>
        <v>577.07293304846178</v>
      </c>
      <c r="ES135" s="528">
        <f t="shared" si="411"/>
        <v>1.0499999999999998</v>
      </c>
      <c r="EV135" s="460">
        <f t="shared" si="412"/>
        <v>1049.9999999999998</v>
      </c>
      <c r="EW135" s="528">
        <f t="shared" si="413"/>
        <v>1.4352630973902171E-2</v>
      </c>
      <c r="EX135" s="528">
        <f t="shared" si="414"/>
        <v>0.30750076156042239</v>
      </c>
      <c r="EY135" s="528">
        <f t="shared" si="415"/>
        <v>0.52071776326604458</v>
      </c>
      <c r="EZ135" s="528"/>
      <c r="FA135" s="528">
        <f t="shared" si="416"/>
        <v>2.9375000000000005E-2</v>
      </c>
      <c r="FB135" s="460">
        <f t="shared" si="417"/>
        <v>871.94615580036918</v>
      </c>
      <c r="FC135" s="173">
        <f t="shared" si="418"/>
        <v>2.4990190888488306</v>
      </c>
      <c r="FD135" s="5">
        <f t="shared" si="419"/>
        <v>6</v>
      </c>
      <c r="FE135" s="173">
        <f t="shared" si="420"/>
        <v>0.70596382209240149</v>
      </c>
      <c r="FF135" s="5">
        <f t="shared" si="421"/>
        <v>70.596382209240147</v>
      </c>
      <c r="FI135" s="562">
        <f t="shared" si="422"/>
        <v>-50</v>
      </c>
      <c r="FJ135">
        <f t="shared" si="423"/>
        <v>-50</v>
      </c>
      <c r="FL135">
        <f t="shared" si="424"/>
        <v>0.40933261718236147</v>
      </c>
    </row>
    <row r="136" spans="5:168">
      <c r="E136" s="170">
        <v>26</v>
      </c>
      <c r="F136" s="217">
        <f t="shared" si="425"/>
        <v>1.56</v>
      </c>
      <c r="G136" s="217"/>
      <c r="H136" s="217">
        <f t="shared" si="315"/>
        <v>6.24</v>
      </c>
      <c r="I136" s="541">
        <f t="shared" si="316"/>
        <v>17.963628174168928</v>
      </c>
      <c r="J136" s="172">
        <f t="shared" si="317"/>
        <v>19.213707971538241</v>
      </c>
      <c r="K136" s="172">
        <f t="shared" si="318"/>
        <v>37.177336145707173</v>
      </c>
      <c r="L136" s="443"/>
      <c r="M136" s="217">
        <f t="shared" si="319"/>
        <v>0.51726348925805277</v>
      </c>
      <c r="N136" s="172">
        <f t="shared" si="426"/>
        <v>31.182165032604473</v>
      </c>
      <c r="O136" s="172">
        <f t="shared" si="438"/>
        <v>6.24</v>
      </c>
      <c r="P136" s="217">
        <f t="shared" si="320"/>
        <v>7.7955412581511183</v>
      </c>
      <c r="Q136" s="217">
        <f t="shared" si="321"/>
        <v>4</v>
      </c>
      <c r="R136" s="217"/>
      <c r="S136" s="172">
        <f t="shared" si="322"/>
        <v>33.983551472156648</v>
      </c>
      <c r="T136" s="172">
        <f t="shared" si="323"/>
        <v>4</v>
      </c>
      <c r="U136" s="217">
        <f t="shared" si="324"/>
        <v>1.6157882874886975</v>
      </c>
      <c r="V136" s="217">
        <f t="shared" si="325"/>
        <v>1.0793732347313745</v>
      </c>
      <c r="W136" s="217">
        <f t="shared" si="326"/>
        <v>1.0091471921289985</v>
      </c>
      <c r="X136" s="197">
        <f t="shared" si="327"/>
        <v>350</v>
      </c>
      <c r="Y136" s="443">
        <f t="shared" si="328"/>
        <v>350</v>
      </c>
      <c r="AA136" s="217">
        <f t="shared" si="329"/>
        <v>2.2104346717802335</v>
      </c>
      <c r="AB136" s="173">
        <f t="shared" si="330"/>
        <v>1.3805360267083941</v>
      </c>
      <c r="AC136" s="173">
        <f t="shared" si="331"/>
        <v>2.1361092893545699</v>
      </c>
      <c r="AD136" s="173"/>
      <c r="AE136" s="173">
        <f t="shared" si="332"/>
        <v>0.83273879376647197</v>
      </c>
      <c r="AF136" s="545">
        <f t="shared" si="333"/>
        <v>702.50119770936681</v>
      </c>
      <c r="AG136" s="528">
        <f t="shared" si="334"/>
        <v>0.77722287418204061</v>
      </c>
      <c r="AI136" s="173">
        <f t="shared" si="335"/>
        <v>1.888983867548133</v>
      </c>
      <c r="AJ136" s="173">
        <f t="shared" si="336"/>
        <v>1.888983867548133</v>
      </c>
      <c r="AK136" s="173">
        <f t="shared" si="337"/>
        <v>1.6115929883072588</v>
      </c>
      <c r="AM136" s="545">
        <f t="shared" si="338"/>
        <v>1560</v>
      </c>
      <c r="AN136" s="460">
        <f t="shared" si="339"/>
        <v>350</v>
      </c>
      <c r="AP136" s="460">
        <f t="shared" si="340"/>
        <v>1560</v>
      </c>
      <c r="AQ136" s="460">
        <f t="shared" si="341"/>
        <v>350</v>
      </c>
      <c r="AS136" s="5">
        <f t="shared" si="439"/>
        <v>2.8571428571428572</v>
      </c>
      <c r="AT136" s="5">
        <f t="shared" si="342"/>
        <v>1.2618723896307935</v>
      </c>
      <c r="AU136" s="5">
        <f t="shared" si="343"/>
        <v>1.5952704675120637</v>
      </c>
      <c r="AV136" s="5"/>
      <c r="AW136" s="173">
        <f t="shared" si="344"/>
        <v>0.4416553363707777</v>
      </c>
      <c r="AX136" s="173">
        <f t="shared" si="435"/>
        <v>7.4933461088999147</v>
      </c>
      <c r="AY136" s="173">
        <f t="shared" si="436"/>
        <v>2.1094081242543794</v>
      </c>
      <c r="AZ136" s="173">
        <f t="shared" si="440"/>
        <v>3.5523453345703864</v>
      </c>
      <c r="BA136" s="460">
        <f t="shared" si="433"/>
        <v>49.213023195600947</v>
      </c>
      <c r="BB136" s="5">
        <f t="shared" si="434"/>
        <v>0.46178903006861588</v>
      </c>
      <c r="BD136" s="173">
        <f t="shared" si="441"/>
        <v>0.72478527704448603</v>
      </c>
      <c r="BE136" s="173">
        <f t="shared" si="437"/>
        <v>3.2597087464133927</v>
      </c>
      <c r="BG136" s="528">
        <f t="shared" si="347"/>
        <v>6.4088271134095176E-3</v>
      </c>
      <c r="BH136" s="528">
        <f t="shared" si="348"/>
        <v>0.46086723517836048</v>
      </c>
      <c r="BI136" s="528">
        <f t="shared" si="349"/>
        <v>0.15718174652397809</v>
      </c>
      <c r="BJ136" s="528">
        <f t="shared" si="350"/>
        <v>4.8375401301181682E-2</v>
      </c>
      <c r="BK136">
        <f t="shared" si="351"/>
        <v>8.0836326783760171E-3</v>
      </c>
      <c r="BL136" s="460">
        <f t="shared" si="427"/>
        <v>165.26537920235413</v>
      </c>
      <c r="BM136" s="528">
        <f t="shared" si="352"/>
        <v>0.51817088505950182</v>
      </c>
      <c r="BN136" s="460">
        <f t="shared" si="353"/>
        <v>518.17088505950187</v>
      </c>
      <c r="BO136" s="528">
        <f t="shared" si="354"/>
        <v>1.0919999999999999</v>
      </c>
      <c r="BR136" s="460">
        <f t="shared" si="355"/>
        <v>1091.9999999999998</v>
      </c>
      <c r="BS136" s="528">
        <f t="shared" si="356"/>
        <v>1.5759410934613569E-2</v>
      </c>
      <c r="BT136" s="528">
        <f t="shared" si="357"/>
        <v>0.31877103334331913</v>
      </c>
      <c r="BU136" s="528">
        <f t="shared" si="358"/>
        <v>0.56196690168540042</v>
      </c>
      <c r="BV136" s="528"/>
      <c r="BW136" s="528">
        <f t="shared" si="359"/>
        <v>3.1222275453749646E-2</v>
      </c>
      <c r="BX136" s="460">
        <f t="shared" si="360"/>
        <v>927.71962141708286</v>
      </c>
      <c r="BY136" s="173">
        <f t="shared" si="361"/>
        <v>2.7006364642123883</v>
      </c>
      <c r="BZ136" s="5">
        <f t="shared" si="362"/>
        <v>6.24</v>
      </c>
      <c r="CA136" s="173">
        <f t="shared" si="363"/>
        <v>0.69793688905454265</v>
      </c>
      <c r="CB136" s="5">
        <f t="shared" si="364"/>
        <v>69.79368890545426</v>
      </c>
      <c r="CE136" s="562">
        <f t="shared" si="365"/>
        <v>-50</v>
      </c>
      <c r="CF136">
        <f t="shared" si="366"/>
        <v>-50</v>
      </c>
      <c r="CG136" s="173">
        <f t="shared" si="367"/>
        <v>0.45249309386995068</v>
      </c>
      <c r="CI136" s="170">
        <v>26</v>
      </c>
      <c r="CJ136" s="217">
        <f t="shared" si="428"/>
        <v>1.56</v>
      </c>
      <c r="CK136" s="217"/>
      <c r="CL136" s="217">
        <f t="shared" si="368"/>
        <v>6.24</v>
      </c>
      <c r="CM136" s="541">
        <f t="shared" si="369"/>
        <v>18</v>
      </c>
      <c r="CN136" s="443">
        <f t="shared" si="370"/>
        <v>18.8</v>
      </c>
      <c r="CO136" s="443">
        <f t="shared" si="371"/>
        <v>36.799999999999997</v>
      </c>
      <c r="CP136" s="443"/>
      <c r="CQ136" s="217">
        <f t="shared" si="372"/>
        <v>0.51086956521739135</v>
      </c>
      <c r="CR136" s="172">
        <f t="shared" si="429"/>
        <v>30.859076086956527</v>
      </c>
      <c r="CS136" s="172">
        <f t="shared" si="373"/>
        <v>6.24</v>
      </c>
      <c r="CT136" s="217">
        <f t="shared" si="374"/>
        <v>7.7147690217391318</v>
      </c>
      <c r="CU136" s="217">
        <f t="shared" si="375"/>
        <v>4</v>
      </c>
      <c r="CV136" s="217"/>
      <c r="CW136" s="172">
        <f t="shared" si="376"/>
        <v>34.052180256578175</v>
      </c>
      <c r="CX136" s="172">
        <f t="shared" si="377"/>
        <v>4</v>
      </c>
      <c r="CY136" s="217">
        <f t="shared" si="378"/>
        <v>1.3571631205673758</v>
      </c>
      <c r="CZ136" s="217">
        <f t="shared" si="379"/>
        <v>0.90477541371158388</v>
      </c>
      <c r="DA136" s="217">
        <f t="shared" si="380"/>
        <v>0.86627433227704831</v>
      </c>
      <c r="DB136" s="197">
        <f t="shared" si="381"/>
        <v>350</v>
      </c>
      <c r="DC136" s="443">
        <f t="shared" si="382"/>
        <v>350</v>
      </c>
      <c r="DE136" s="217">
        <f t="shared" si="383"/>
        <v>2.18944099378882</v>
      </c>
      <c r="DF136" s="173">
        <f t="shared" si="384"/>
        <v>1.3975155279503106</v>
      </c>
      <c r="DG136" s="173">
        <f t="shared" si="385"/>
        <v>2.1418444504455847</v>
      </c>
      <c r="DH136" s="173"/>
      <c r="DI136" s="173">
        <f t="shared" si="386"/>
        <v>0.85106382978723416</v>
      </c>
      <c r="DJ136" s="545">
        <f t="shared" si="387"/>
        <v>687.37499999999989</v>
      </c>
      <c r="DK136" s="528">
        <f t="shared" si="388"/>
        <v>0.79432624113475192</v>
      </c>
      <c r="DM136" s="173">
        <f t="shared" si="389"/>
        <v>1.8685364784848519</v>
      </c>
      <c r="DN136" s="173">
        <f t="shared" si="390"/>
        <v>1.8685364784848519</v>
      </c>
      <c r="DO136" s="173">
        <f t="shared" si="391"/>
        <v>1.59644677418631</v>
      </c>
      <c r="DQ136" s="545">
        <f t="shared" si="392"/>
        <v>1560</v>
      </c>
      <c r="DR136" s="460">
        <f t="shared" si="393"/>
        <v>350</v>
      </c>
      <c r="DT136">
        <f t="shared" si="430"/>
        <v>1560</v>
      </c>
      <c r="DU136">
        <f t="shared" si="431"/>
        <v>350</v>
      </c>
      <c r="DW136" s="5">
        <f t="shared" si="394"/>
        <v>2.8571428571428572</v>
      </c>
      <c r="DX136" s="5">
        <f t="shared" si="395"/>
        <v>1.2456909856565679</v>
      </c>
      <c r="DY136" s="5">
        <f t="shared" si="396"/>
        <v>1.6114518714862893</v>
      </c>
      <c r="DZ136" s="5"/>
      <c r="EA136" s="173">
        <f t="shared" si="397"/>
        <v>0.43599184497979876</v>
      </c>
      <c r="EB136" s="173">
        <f t="shared" si="398"/>
        <v>7.3319999999999999</v>
      </c>
      <c r="EC136" s="173">
        <f t="shared" si="399"/>
        <v>2.1077396236363706</v>
      </c>
      <c r="ED136" s="173">
        <f t="shared" si="400"/>
        <v>3.4786080395217374</v>
      </c>
      <c r="EE136" s="460">
        <f t="shared" si="401"/>
        <v>48.581948440606148</v>
      </c>
      <c r="EF136" s="5">
        <f t="shared" si="402"/>
        <v>0.46553054065159466</v>
      </c>
      <c r="EH136" s="173">
        <f t="shared" si="403"/>
        <v>0.7123281978770567</v>
      </c>
      <c r="EI136" s="173">
        <f t="shared" si="404"/>
        <v>3.2407358727764248</v>
      </c>
      <c r="EK136" s="528">
        <f t="shared" si="405"/>
        <v>6.1904198301874569E-3</v>
      </c>
      <c r="EL136" s="528">
        <f t="shared" si="406"/>
        <v>0.48133499685769776</v>
      </c>
      <c r="EM136" s="528">
        <f t="shared" si="407"/>
        <v>4.3749999999999997E-2</v>
      </c>
      <c r="EN136" s="528">
        <f t="shared" si="408"/>
        <v>4.7398399999999993E-2</v>
      </c>
      <c r="EO136">
        <f t="shared" si="409"/>
        <v>8.0999999999999996E-3</v>
      </c>
      <c r="EP136" s="460">
        <f t="shared" si="410"/>
        <v>51.849999999999994</v>
      </c>
      <c r="EQ136" s="460"/>
      <c r="ER136" s="460">
        <f t="shared" si="432"/>
        <v>586.77381668788519</v>
      </c>
      <c r="ES136" s="528">
        <f t="shared" si="411"/>
        <v>1.0919999999999999</v>
      </c>
      <c r="EV136" s="460">
        <f t="shared" si="412"/>
        <v>1091.9999999999998</v>
      </c>
      <c r="EW136" s="528">
        <f t="shared" si="413"/>
        <v>1.5222343844723256E-2</v>
      </c>
      <c r="EX136" s="528">
        <f t="shared" si="414"/>
        <v>0.31507106991299927</v>
      </c>
      <c r="EY136" s="528">
        <f t="shared" si="415"/>
        <v>0.54688255136816555</v>
      </c>
      <c r="EZ136" s="528"/>
      <c r="FA136" s="528">
        <f t="shared" si="416"/>
        <v>3.0550000000000004E-2</v>
      </c>
      <c r="FB136" s="460">
        <f t="shared" si="417"/>
        <v>907.72596512588814</v>
      </c>
      <c r="FC136" s="173">
        <f t="shared" si="418"/>
        <v>2.5864997818137727</v>
      </c>
      <c r="FD136" s="5">
        <f t="shared" si="419"/>
        <v>6.24</v>
      </c>
      <c r="FE136" s="173">
        <f t="shared" si="420"/>
        <v>0.70696200693925937</v>
      </c>
      <c r="FF136" s="5">
        <f t="shared" si="421"/>
        <v>70.696200693925931</v>
      </c>
      <c r="FI136" s="562">
        <f t="shared" si="422"/>
        <v>-50</v>
      </c>
      <c r="FJ136">
        <f t="shared" si="423"/>
        <v>-50</v>
      </c>
      <c r="FL136">
        <f t="shared" si="424"/>
        <v>0.41743900051257332</v>
      </c>
    </row>
    <row r="137" spans="5:168">
      <c r="E137" s="170">
        <v>27</v>
      </c>
      <c r="F137" s="217">
        <f t="shared" si="425"/>
        <v>1.62</v>
      </c>
      <c r="G137" s="217"/>
      <c r="H137" s="217">
        <f t="shared" si="315"/>
        <v>6.48</v>
      </c>
      <c r="I137" s="541">
        <f t="shared" si="316"/>
        <v>17.962935315229416</v>
      </c>
      <c r="J137" s="172">
        <f t="shared" si="317"/>
        <v>19.221588831513767</v>
      </c>
      <c r="K137" s="172">
        <f t="shared" si="318"/>
        <v>37.184524146743186</v>
      </c>
      <c r="L137" s="443"/>
      <c r="M137" s="217">
        <f t="shared" si="319"/>
        <v>0.51738391504681236</v>
      </c>
      <c r="N137" s="172">
        <f t="shared" si="426"/>
        <v>31.188221674233809</v>
      </c>
      <c r="O137" s="172">
        <f t="shared" si="438"/>
        <v>6.48</v>
      </c>
      <c r="P137" s="217">
        <f t="shared" si="320"/>
        <v>7.7970554185584522</v>
      </c>
      <c r="Q137" s="217">
        <f t="shared" si="321"/>
        <v>4</v>
      </c>
      <c r="R137" s="217"/>
      <c r="S137" s="172">
        <f t="shared" si="322"/>
        <v>32.564538868379792</v>
      </c>
      <c r="T137" s="172">
        <f t="shared" si="323"/>
        <v>4</v>
      </c>
      <c r="U137" s="217">
        <f t="shared" si="324"/>
        <v>1.6783526808447913</v>
      </c>
      <c r="V137" s="217">
        <f t="shared" si="325"/>
        <v>1.1212105269377723</v>
      </c>
      <c r="W137" s="217">
        <f t="shared" si="326"/>
        <v>1.0477922687180581</v>
      </c>
      <c r="X137" s="197">
        <f t="shared" si="327"/>
        <v>350</v>
      </c>
      <c r="Y137" s="443">
        <f t="shared" si="328"/>
        <v>350</v>
      </c>
      <c r="AA137" s="217">
        <f t="shared" si="329"/>
        <v>2.2108285814322022</v>
      </c>
      <c r="AB137" s="173">
        <f t="shared" si="330"/>
        <v>1.3802159233419156</v>
      </c>
      <c r="AC137" s="173">
        <f t="shared" si="331"/>
        <v>2.1359945683105011</v>
      </c>
      <c r="AD137" s="173"/>
      <c r="AE137" s="173">
        <f t="shared" si="332"/>
        <v>0.83239737049041573</v>
      </c>
      <c r="AF137" s="545">
        <f t="shared" si="333"/>
        <v>729.81970094653821</v>
      </c>
      <c r="AG137" s="528">
        <f t="shared" si="334"/>
        <v>0.77690421245772145</v>
      </c>
      <c r="AI137" s="173">
        <f t="shared" si="335"/>
        <v>1.9253624861881236</v>
      </c>
      <c r="AJ137" s="173">
        <f t="shared" si="336"/>
        <v>1.9253624861881236</v>
      </c>
      <c r="AK137" s="173">
        <f t="shared" si="337"/>
        <v>1.6385401132257704</v>
      </c>
      <c r="AM137" s="545">
        <f t="shared" si="338"/>
        <v>1620</v>
      </c>
      <c r="AN137" s="460">
        <f t="shared" si="339"/>
        <v>350</v>
      </c>
      <c r="AP137" s="460">
        <f t="shared" si="340"/>
        <v>1620</v>
      </c>
      <c r="AQ137" s="460">
        <f t="shared" si="341"/>
        <v>350</v>
      </c>
      <c r="AS137" s="5">
        <f t="shared" si="439"/>
        <v>2.8571428571428572</v>
      </c>
      <c r="AT137" s="5">
        <f t="shared" si="342"/>
        <v>1.2862235168585756</v>
      </c>
      <c r="AU137" s="5">
        <f t="shared" si="343"/>
        <v>1.5709193402842816</v>
      </c>
      <c r="AV137" s="5"/>
      <c r="AW137" s="173">
        <f t="shared" si="344"/>
        <v>0.45017823090050146</v>
      </c>
      <c r="AX137" s="173">
        <f t="shared" si="435"/>
        <v>7.7847434767630759</v>
      </c>
      <c r="AY137" s="173">
        <f t="shared" si="436"/>
        <v>2.1172124166275257</v>
      </c>
      <c r="AZ137" s="173">
        <f t="shared" si="440"/>
        <v>3.6768835359294139</v>
      </c>
      <c r="BA137" s="460">
        <f t="shared" si="433"/>
        <v>52.09205243277232</v>
      </c>
      <c r="BB137" s="5">
        <f t="shared" si="434"/>
        <v>0.47224823163189011</v>
      </c>
      <c r="BD137" s="173">
        <f t="shared" si="441"/>
        <v>0.7458373419826746</v>
      </c>
      <c r="BE137" s="173">
        <f t="shared" si="437"/>
        <v>3.2970295165057646</v>
      </c>
      <c r="BG137" s="528">
        <f t="shared" si="347"/>
        <v>6.7865347564885284E-3</v>
      </c>
      <c r="BH137" s="528">
        <f t="shared" si="348"/>
        <v>0.46983357657400349</v>
      </c>
      <c r="BI137" s="528">
        <f t="shared" si="349"/>
        <v>0.15717568400825738</v>
      </c>
      <c r="BJ137" s="528">
        <f t="shared" si="350"/>
        <v>4.8394109260690453E-2</v>
      </c>
      <c r="BK137">
        <f t="shared" si="351"/>
        <v>8.0833208918532368E-3</v>
      </c>
      <c r="BL137" s="460">
        <f t="shared" si="427"/>
        <v>165.25900490011063</v>
      </c>
      <c r="BM137" s="528">
        <f t="shared" si="352"/>
        <v>0.52769748696651786</v>
      </c>
      <c r="BN137" s="460">
        <f t="shared" si="353"/>
        <v>527.69748696651789</v>
      </c>
      <c r="BO137" s="528">
        <f t="shared" si="354"/>
        <v>1.1339999999999999</v>
      </c>
      <c r="BR137" s="460">
        <f t="shared" si="355"/>
        <v>1134</v>
      </c>
      <c r="BS137" s="528">
        <f t="shared" si="356"/>
        <v>1.6688200220873431E-2</v>
      </c>
      <c r="BT137" s="528">
        <f t="shared" si="357"/>
        <v>0.32611210898130705</v>
      </c>
      <c r="BU137" s="528">
        <f t="shared" si="358"/>
        <v>0.58941526547137324</v>
      </c>
      <c r="BV137" s="528"/>
      <c r="BW137" s="528">
        <f t="shared" si="359"/>
        <v>3.2436431153179492E-2</v>
      </c>
      <c r="BX137" s="460">
        <f t="shared" si="360"/>
        <v>964.65200582673322</v>
      </c>
      <c r="BY137" s="173">
        <f t="shared" si="361"/>
        <v>2.7889252313180264</v>
      </c>
      <c r="BZ137" s="5">
        <f t="shared" si="362"/>
        <v>6.48</v>
      </c>
      <c r="CA137" s="173">
        <f t="shared" si="363"/>
        <v>0.69911018141620651</v>
      </c>
      <c r="CB137" s="5">
        <f t="shared" si="364"/>
        <v>69.911018141620644</v>
      </c>
      <c r="CE137" s="562">
        <f t="shared" si="365"/>
        <v>-50</v>
      </c>
      <c r="CF137">
        <f t="shared" si="366"/>
        <v>-50</v>
      </c>
      <c r="CG137" s="173">
        <f t="shared" si="367"/>
        <v>0.46111278446818199</v>
      </c>
      <c r="CI137" s="170">
        <v>27</v>
      </c>
      <c r="CJ137" s="217">
        <f t="shared" si="428"/>
        <v>1.62</v>
      </c>
      <c r="CK137" s="217"/>
      <c r="CL137" s="217">
        <f t="shared" si="368"/>
        <v>6.48</v>
      </c>
      <c r="CM137" s="541">
        <f t="shared" si="369"/>
        <v>18</v>
      </c>
      <c r="CN137" s="443">
        <f t="shared" si="370"/>
        <v>18.8</v>
      </c>
      <c r="CO137" s="443">
        <f t="shared" si="371"/>
        <v>36.799999999999997</v>
      </c>
      <c r="CP137" s="443"/>
      <c r="CQ137" s="217">
        <f t="shared" si="372"/>
        <v>0.51086956521739135</v>
      </c>
      <c r="CR137" s="172">
        <f t="shared" si="429"/>
        <v>30.859076086956527</v>
      </c>
      <c r="CS137" s="172">
        <f t="shared" si="373"/>
        <v>6.48</v>
      </c>
      <c r="CT137" s="217">
        <f t="shared" si="374"/>
        <v>7.7147690217391318</v>
      </c>
      <c r="CU137" s="217">
        <f t="shared" si="375"/>
        <v>4</v>
      </c>
      <c r="CV137" s="217"/>
      <c r="CW137" s="172">
        <f t="shared" si="376"/>
        <v>32.631542115412735</v>
      </c>
      <c r="CX137" s="172">
        <f t="shared" si="377"/>
        <v>4</v>
      </c>
      <c r="CY137" s="217">
        <f t="shared" si="378"/>
        <v>1.4093617021276594</v>
      </c>
      <c r="CZ137" s="217">
        <f t="shared" si="379"/>
        <v>0.93957446808510636</v>
      </c>
      <c r="DA137" s="217">
        <f t="shared" si="380"/>
        <v>0.8995925758261657</v>
      </c>
      <c r="DB137" s="197">
        <f t="shared" si="381"/>
        <v>350</v>
      </c>
      <c r="DC137" s="443">
        <f t="shared" si="382"/>
        <v>350</v>
      </c>
      <c r="DE137" s="217">
        <f t="shared" si="383"/>
        <v>2.18944099378882</v>
      </c>
      <c r="DF137" s="173">
        <f t="shared" si="384"/>
        <v>1.3975155279503106</v>
      </c>
      <c r="DG137" s="173">
        <f t="shared" si="385"/>
        <v>2.1418444504455847</v>
      </c>
      <c r="DH137" s="173"/>
      <c r="DI137" s="173">
        <f t="shared" si="386"/>
        <v>0.85106382978723416</v>
      </c>
      <c r="DJ137" s="545">
        <f t="shared" si="387"/>
        <v>713.81249999999989</v>
      </c>
      <c r="DK137" s="528">
        <f t="shared" si="388"/>
        <v>0.79432624113475192</v>
      </c>
      <c r="DM137" s="173">
        <f t="shared" si="389"/>
        <v>1.904130847844834</v>
      </c>
      <c r="DN137" s="173">
        <f t="shared" si="390"/>
        <v>1.904130847844834</v>
      </c>
      <c r="DO137" s="173">
        <f t="shared" si="391"/>
        <v>1.6228129737122226</v>
      </c>
      <c r="DQ137" s="545">
        <f t="shared" si="392"/>
        <v>1620</v>
      </c>
      <c r="DR137" s="460">
        <f t="shared" si="393"/>
        <v>350</v>
      </c>
      <c r="DT137">
        <f t="shared" si="430"/>
        <v>1620</v>
      </c>
      <c r="DU137">
        <f t="shared" si="431"/>
        <v>350</v>
      </c>
      <c r="DW137" s="5">
        <f t="shared" si="394"/>
        <v>2.8571428571428572</v>
      </c>
      <c r="DX137" s="5">
        <f t="shared" si="395"/>
        <v>1.2694205652298893</v>
      </c>
      <c r="DY137" s="5">
        <f t="shared" si="396"/>
        <v>1.5877222919129679</v>
      </c>
      <c r="DZ137" s="5"/>
      <c r="EA137" s="173">
        <f t="shared" si="397"/>
        <v>0.44429719783046123</v>
      </c>
      <c r="EB137" s="173">
        <f t="shared" si="398"/>
        <v>7.6140000000000017</v>
      </c>
      <c r="EC137" s="173">
        <f t="shared" si="399"/>
        <v>2.1162616956896678</v>
      </c>
      <c r="ED137" s="173">
        <f t="shared" si="400"/>
        <v>3.5978537132283526</v>
      </c>
      <c r="EE137" s="460">
        <f t="shared" si="401"/>
        <v>51.411532891810516</v>
      </c>
      <c r="EF137" s="5">
        <f t="shared" si="402"/>
        <v>0.47631668757389029</v>
      </c>
      <c r="EH137" s="173">
        <f t="shared" si="403"/>
        <v>0.73277888826865312</v>
      </c>
      <c r="EI137" s="173">
        <f t="shared" si="404"/>
        <v>3.2780641347702408</v>
      </c>
      <c r="EK137" s="528">
        <f t="shared" si="405"/>
        <v>6.550971768925367E-3</v>
      </c>
      <c r="EL137" s="528">
        <f t="shared" si="406"/>
        <v>0.49050410640482928</v>
      </c>
      <c r="EM137" s="528">
        <f t="shared" si="407"/>
        <v>4.3749999999999997E-2</v>
      </c>
      <c r="EN137" s="528">
        <f t="shared" si="408"/>
        <v>4.7398399999999993E-2</v>
      </c>
      <c r="EO137">
        <f t="shared" si="409"/>
        <v>8.0999999999999996E-3</v>
      </c>
      <c r="EP137" s="460">
        <f t="shared" si="410"/>
        <v>51.849999999999994</v>
      </c>
      <c r="EQ137" s="460"/>
      <c r="ER137" s="460">
        <f t="shared" si="432"/>
        <v>596.30347817375457</v>
      </c>
      <c r="ES137" s="528">
        <f t="shared" si="411"/>
        <v>1.1339999999999999</v>
      </c>
      <c r="EV137" s="460">
        <f t="shared" si="412"/>
        <v>1134</v>
      </c>
      <c r="EW137" s="528">
        <f t="shared" si="413"/>
        <v>1.6108946972767296E-2</v>
      </c>
      <c r="EX137" s="528">
        <f t="shared" si="414"/>
        <v>0.32237113415000906</v>
      </c>
      <c r="EY137" s="528">
        <f t="shared" si="415"/>
        <v>0.57330019222571182</v>
      </c>
      <c r="EZ137" s="528"/>
      <c r="FA137" s="528">
        <f t="shared" si="416"/>
        <v>3.172500000000001E-2</v>
      </c>
      <c r="FB137" s="460">
        <f t="shared" si="417"/>
        <v>943.50527334848823</v>
      </c>
      <c r="FC137" s="173">
        <f t="shared" si="418"/>
        <v>2.6738087515222428</v>
      </c>
      <c r="FD137" s="5">
        <f t="shared" si="419"/>
        <v>6.48</v>
      </c>
      <c r="FE137" s="173">
        <f t="shared" si="420"/>
        <v>0.70790205212910984</v>
      </c>
      <c r="FF137" s="5">
        <f t="shared" si="421"/>
        <v>70.79020521291099</v>
      </c>
      <c r="FI137" s="562">
        <f t="shared" si="422"/>
        <v>-50</v>
      </c>
      <c r="FJ137">
        <f t="shared" si="423"/>
        <v>-50</v>
      </c>
      <c r="FL137">
        <f t="shared" si="424"/>
        <v>0.42539093409299483</v>
      </c>
    </row>
    <row r="138" spans="5:168">
      <c r="E138" s="170">
        <v>28</v>
      </c>
      <c r="F138" s="217">
        <f t="shared" si="425"/>
        <v>1.6800000000000002</v>
      </c>
      <c r="G138" s="217"/>
      <c r="H138" s="217">
        <f t="shared" si="315"/>
        <v>6.7200000000000006</v>
      </c>
      <c r="I138" s="541">
        <f t="shared" si="316"/>
        <v>17.962255172539802</v>
      </c>
      <c r="J138" s="172">
        <f t="shared" si="317"/>
        <v>19.229325051679961</v>
      </c>
      <c r="K138" s="172">
        <f t="shared" si="318"/>
        <v>37.191580224219763</v>
      </c>
      <c r="L138" s="443"/>
      <c r="M138" s="217">
        <f t="shared" si="319"/>
        <v>0.51750208122840757</v>
      </c>
      <c r="N138" s="172">
        <f t="shared" si="426"/>
        <v>31.194163634278855</v>
      </c>
      <c r="O138" s="172">
        <f t="shared" si="438"/>
        <v>6.7200000000000006</v>
      </c>
      <c r="P138" s="217">
        <f t="shared" si="320"/>
        <v>7.7985409085697137</v>
      </c>
      <c r="Q138" s="217">
        <f t="shared" si="321"/>
        <v>4</v>
      </c>
      <c r="R138" s="217"/>
      <c r="S138" s="172">
        <f t="shared" si="322"/>
        <v>31.24722474639783</v>
      </c>
      <c r="T138" s="172">
        <f t="shared" si="323"/>
        <v>4</v>
      </c>
      <c r="U138" s="217">
        <f t="shared" si="324"/>
        <v>1.7409401519048704</v>
      </c>
      <c r="V138" s="217">
        <f t="shared" si="325"/>
        <v>1.1630656408220088</v>
      </c>
      <c r="W138" s="217">
        <f t="shared" si="326"/>
        <v>1.0864282426300391</v>
      </c>
      <c r="X138" s="197">
        <f t="shared" si="327"/>
        <v>350</v>
      </c>
      <c r="Y138" s="443">
        <f t="shared" si="328"/>
        <v>350</v>
      </c>
      <c r="AA138" s="217">
        <f t="shared" si="329"/>
        <v>2.2112150454461257</v>
      </c>
      <c r="AB138" s="173">
        <f t="shared" si="330"/>
        <v>1.3799018152764198</v>
      </c>
      <c r="AC138" s="173">
        <f t="shared" si="331"/>
        <v>2.1358817586243477</v>
      </c>
      <c r="AD138" s="173"/>
      <c r="AE138" s="173">
        <f t="shared" si="332"/>
        <v>0.83206248565662322</v>
      </c>
      <c r="AF138" s="545">
        <f t="shared" si="333"/>
        <v>757.15467390989829</v>
      </c>
      <c r="AG138" s="528">
        <f t="shared" si="334"/>
        <v>0.77659165327951507</v>
      </c>
      <c r="AI138" s="173">
        <f t="shared" si="335"/>
        <v>1.961087711025693</v>
      </c>
      <c r="AJ138" s="173">
        <f t="shared" si="336"/>
        <v>1.961087711025693</v>
      </c>
      <c r="AK138" s="173">
        <f t="shared" si="337"/>
        <v>1.6650032427350812</v>
      </c>
      <c r="AM138" s="545">
        <f t="shared" si="338"/>
        <v>1680.0000000000002</v>
      </c>
      <c r="AN138" s="460">
        <f t="shared" si="339"/>
        <v>350</v>
      </c>
      <c r="AP138" s="460">
        <f t="shared" si="340"/>
        <v>1680.0000000000002</v>
      </c>
      <c r="AQ138" s="460">
        <f t="shared" si="341"/>
        <v>350</v>
      </c>
      <c r="AS138" s="5">
        <f t="shared" si="439"/>
        <v>2.8571428571428572</v>
      </c>
      <c r="AT138" s="5">
        <f t="shared" si="342"/>
        <v>1.3101390836650064</v>
      </c>
      <c r="AU138" s="5">
        <f t="shared" si="343"/>
        <v>1.5470037734778508</v>
      </c>
      <c r="AV138" s="5"/>
      <c r="AW138" s="173">
        <f t="shared" si="344"/>
        <v>0.45854867928275223</v>
      </c>
      <c r="AX138" s="173">
        <f t="shared" si="435"/>
        <v>8.0763165217055839</v>
      </c>
      <c r="AY138" s="173">
        <f t="shared" si="436"/>
        <v>2.1236670623544516</v>
      </c>
      <c r="AZ138" s="173">
        <f t="shared" si="440"/>
        <v>3.8030050307187007</v>
      </c>
      <c r="BA138" s="460">
        <f t="shared" si="433"/>
        <v>55.025841513930274</v>
      </c>
      <c r="BB138" s="5">
        <f t="shared" si="434"/>
        <v>0.48230141751465905</v>
      </c>
      <c r="BD138" s="173">
        <f t="shared" si="441"/>
        <v>0.76670644560338241</v>
      </c>
      <c r="BE138" s="173">
        <f t="shared" si="437"/>
        <v>3.3325455248876845</v>
      </c>
      <c r="BG138" s="528">
        <f t="shared" si="347"/>
        <v>7.1716330395032229E-3</v>
      </c>
      <c r="BH138" s="528">
        <f t="shared" si="348"/>
        <v>0.4786421779869422</v>
      </c>
      <c r="BI138" s="528">
        <f t="shared" si="349"/>
        <v>0.15716973275972326</v>
      </c>
      <c r="BJ138" s="528">
        <f t="shared" si="350"/>
        <v>4.8412477385110113E-2</v>
      </c>
      <c r="BK138">
        <f t="shared" si="351"/>
        <v>8.0830148276429103E-3</v>
      </c>
      <c r="BL138" s="460">
        <f t="shared" si="427"/>
        <v>165.25274758736617</v>
      </c>
      <c r="BM138" s="528">
        <f t="shared" si="352"/>
        <v>0.5370777991659148</v>
      </c>
      <c r="BN138" s="460">
        <f t="shared" si="353"/>
        <v>537.07779916591483</v>
      </c>
      <c r="BO138" s="528">
        <f t="shared" si="354"/>
        <v>1.1759999999999999</v>
      </c>
      <c r="BR138" s="460">
        <f t="shared" si="355"/>
        <v>1176</v>
      </c>
      <c r="BS138" s="528">
        <f t="shared" si="356"/>
        <v>1.7635163211893172E-2</v>
      </c>
      <c r="BT138" s="528">
        <f t="shared" si="357"/>
        <v>0.333175790263468</v>
      </c>
      <c r="BU138" s="528">
        <f t="shared" si="358"/>
        <v>0.61713852869219699</v>
      </c>
      <c r="BV138" s="528"/>
      <c r="BW138" s="528">
        <f t="shared" si="359"/>
        <v>3.3651318840439932E-2</v>
      </c>
      <c r="BX138" s="460">
        <f t="shared" si="360"/>
        <v>1001.6008010079981</v>
      </c>
      <c r="BY138" s="173">
        <f t="shared" si="361"/>
        <v>2.8770798370069199</v>
      </c>
      <c r="BZ138" s="5">
        <f t="shared" si="362"/>
        <v>6.7200000000000006</v>
      </c>
      <c r="CA138" s="173">
        <f t="shared" si="363"/>
        <v>0.70021299334066955</v>
      </c>
      <c r="CB138" s="5">
        <f t="shared" si="364"/>
        <v>70.021299334066953</v>
      </c>
      <c r="CE138" s="562">
        <f t="shared" si="365"/>
        <v>-50</v>
      </c>
      <c r="CF138">
        <f t="shared" si="366"/>
        <v>-50</v>
      </c>
      <c r="CG138" s="173">
        <f t="shared" si="367"/>
        <v>0.46957427527495588</v>
      </c>
      <c r="CI138" s="170">
        <v>28</v>
      </c>
      <c r="CJ138" s="217">
        <f t="shared" si="428"/>
        <v>1.6800000000000002</v>
      </c>
      <c r="CK138" s="217"/>
      <c r="CL138" s="217">
        <f t="shared" si="368"/>
        <v>6.7200000000000006</v>
      </c>
      <c r="CM138" s="541">
        <f t="shared" si="369"/>
        <v>18</v>
      </c>
      <c r="CN138" s="443">
        <f t="shared" si="370"/>
        <v>18.8</v>
      </c>
      <c r="CO138" s="443">
        <f t="shared" si="371"/>
        <v>36.799999999999997</v>
      </c>
      <c r="CP138" s="443"/>
      <c r="CQ138" s="217">
        <f t="shared" si="372"/>
        <v>0.51086956521739135</v>
      </c>
      <c r="CR138" s="172">
        <f t="shared" si="429"/>
        <v>30.859076086956527</v>
      </c>
      <c r="CS138" s="172">
        <f t="shared" si="373"/>
        <v>6.7200000000000006</v>
      </c>
      <c r="CT138" s="217">
        <f t="shared" si="374"/>
        <v>7.7147690217391318</v>
      </c>
      <c r="CU138" s="217">
        <f t="shared" si="375"/>
        <v>4</v>
      </c>
      <c r="CV138" s="217"/>
      <c r="CW138" s="172">
        <f t="shared" si="376"/>
        <v>31.312684210932993</v>
      </c>
      <c r="CX138" s="172">
        <f t="shared" si="377"/>
        <v>4</v>
      </c>
      <c r="CY138" s="217">
        <f t="shared" si="378"/>
        <v>1.4615602836879431</v>
      </c>
      <c r="CZ138" s="217">
        <f t="shared" si="379"/>
        <v>0.97437352245862874</v>
      </c>
      <c r="DA138" s="217">
        <f t="shared" si="380"/>
        <v>0.93291081937528286</v>
      </c>
      <c r="DB138" s="197">
        <f t="shared" si="381"/>
        <v>350</v>
      </c>
      <c r="DC138" s="443">
        <f t="shared" si="382"/>
        <v>350</v>
      </c>
      <c r="DE138" s="217">
        <f t="shared" si="383"/>
        <v>2.18944099378882</v>
      </c>
      <c r="DF138" s="173">
        <f t="shared" si="384"/>
        <v>1.3975155279503106</v>
      </c>
      <c r="DG138" s="173">
        <f t="shared" si="385"/>
        <v>2.1418444504455847</v>
      </c>
      <c r="DH138" s="173"/>
      <c r="DI138" s="173">
        <f t="shared" si="386"/>
        <v>0.85106382978723416</v>
      </c>
      <c r="DJ138" s="545">
        <f t="shared" si="387"/>
        <v>740.24999999999989</v>
      </c>
      <c r="DK138" s="528">
        <f t="shared" si="388"/>
        <v>0.79432624113475192</v>
      </c>
      <c r="DM138" s="173">
        <f t="shared" si="389"/>
        <v>1.9390719429665317</v>
      </c>
      <c r="DN138" s="173">
        <f t="shared" si="390"/>
        <v>1.9390719429665317</v>
      </c>
      <c r="DO138" s="173">
        <f t="shared" si="391"/>
        <v>1.6486952663949617</v>
      </c>
      <c r="DQ138" s="545">
        <f t="shared" si="392"/>
        <v>1680.0000000000002</v>
      </c>
      <c r="DR138" s="460">
        <f t="shared" si="393"/>
        <v>350</v>
      </c>
      <c r="DT138">
        <f t="shared" si="430"/>
        <v>1680.0000000000002</v>
      </c>
      <c r="DU138">
        <f t="shared" si="431"/>
        <v>350</v>
      </c>
      <c r="DW138" s="5">
        <f t="shared" si="394"/>
        <v>2.8571428571428572</v>
      </c>
      <c r="DX138" s="5">
        <f t="shared" si="395"/>
        <v>1.2927146286443545</v>
      </c>
      <c r="DY138" s="5">
        <f t="shared" si="396"/>
        <v>1.5644282284985027</v>
      </c>
      <c r="DZ138" s="5"/>
      <c r="EA138" s="173">
        <f t="shared" si="397"/>
        <v>0.45245012002552404</v>
      </c>
      <c r="EB138" s="173">
        <f t="shared" si="398"/>
        <v>7.8960000000000017</v>
      </c>
      <c r="EC138" s="173">
        <f t="shared" si="399"/>
        <v>2.1234772192663969</v>
      </c>
      <c r="ED138" s="173">
        <f t="shared" si="400"/>
        <v>3.7184293423820449</v>
      </c>
      <c r="EE138" s="460">
        <f t="shared" si="401"/>
        <v>54.294014403062896</v>
      </c>
      <c r="EF138" s="5">
        <f t="shared" si="402"/>
        <v>0.48671100442175635</v>
      </c>
      <c r="EH138" s="173">
        <f t="shared" si="403"/>
        <v>0.75304104609155065</v>
      </c>
      <c r="EI138" s="173">
        <f t="shared" si="404"/>
        <v>3.3136385227955731</v>
      </c>
      <c r="EK138" s="528">
        <f t="shared" si="405"/>
        <v>6.918263968603614E-3</v>
      </c>
      <c r="EL138" s="528">
        <f t="shared" si="406"/>
        <v>0.49950493250817851</v>
      </c>
      <c r="EM138" s="528">
        <f t="shared" si="407"/>
        <v>4.3749999999999997E-2</v>
      </c>
      <c r="EN138" s="528">
        <f t="shared" si="408"/>
        <v>4.7398399999999993E-2</v>
      </c>
      <c r="EO138">
        <f t="shared" si="409"/>
        <v>8.0999999999999996E-3</v>
      </c>
      <c r="EP138" s="460">
        <f t="shared" si="410"/>
        <v>51.849999999999994</v>
      </c>
      <c r="EQ138" s="460"/>
      <c r="ER138" s="460">
        <f t="shared" si="432"/>
        <v>605.67159647678204</v>
      </c>
      <c r="ES138" s="528">
        <f t="shared" si="411"/>
        <v>1.1759999999999999</v>
      </c>
      <c r="EV138" s="460">
        <f t="shared" si="412"/>
        <v>1176</v>
      </c>
      <c r="EW138" s="528">
        <f t="shared" si="413"/>
        <v>1.7012124512959706E-2</v>
      </c>
      <c r="EX138" s="528">
        <f t="shared" si="414"/>
        <v>0.32940600779264478</v>
      </c>
      <c r="EY138" s="528">
        <f t="shared" si="415"/>
        <v>0.59996362622776322</v>
      </c>
      <c r="EZ138" s="528"/>
      <c r="FA138" s="528">
        <f t="shared" si="416"/>
        <v>3.2900000000000006E-2</v>
      </c>
      <c r="FB138" s="460">
        <f t="shared" si="417"/>
        <v>979.28175853336779</v>
      </c>
      <c r="FC138" s="173">
        <f t="shared" si="418"/>
        <v>2.7609533550101499</v>
      </c>
      <c r="FD138" s="5">
        <f t="shared" si="419"/>
        <v>6.7200000000000006</v>
      </c>
      <c r="FE138" s="173">
        <f t="shared" si="420"/>
        <v>0.70878948016855903</v>
      </c>
      <c r="FF138" s="5">
        <f t="shared" si="421"/>
        <v>70.878948016855901</v>
      </c>
      <c r="FI138" s="562">
        <f t="shared" si="422"/>
        <v>-50</v>
      </c>
      <c r="FJ138">
        <f t="shared" si="423"/>
        <v>-50</v>
      </c>
      <c r="FL138">
        <f t="shared" si="424"/>
        <v>0.4331969234286932</v>
      </c>
    </row>
    <row r="139" spans="5:168">
      <c r="E139" s="170">
        <v>29</v>
      </c>
      <c r="F139" s="217">
        <f t="shared" si="425"/>
        <v>1.7399999999999998</v>
      </c>
      <c r="G139" s="217"/>
      <c r="H139" s="217">
        <f t="shared" si="315"/>
        <v>6.9599999999999991</v>
      </c>
      <c r="I139" s="541">
        <f t="shared" si="316"/>
        <v>17.961587070629054</v>
      </c>
      <c r="J139" s="172">
        <f t="shared" si="317"/>
        <v>19.236924315119744</v>
      </c>
      <c r="K139" s="172">
        <f t="shared" si="318"/>
        <v>37.198511385748802</v>
      </c>
      <c r="L139" s="443"/>
      <c r="M139" s="217">
        <f t="shared" si="319"/>
        <v>0.51761810785989126</v>
      </c>
      <c r="N139" s="172">
        <f t="shared" si="426"/>
        <v>31.199997006589669</v>
      </c>
      <c r="O139" s="172">
        <f t="shared" si="438"/>
        <v>6.9599999999999991</v>
      </c>
      <c r="P139" s="217">
        <f t="shared" si="320"/>
        <v>7.7999992516474173</v>
      </c>
      <c r="Q139" s="217">
        <f t="shared" si="321"/>
        <v>4</v>
      </c>
      <c r="R139" s="217"/>
      <c r="S139" s="172">
        <f t="shared" si="322"/>
        <v>30.021090472629545</v>
      </c>
      <c r="T139" s="172">
        <f t="shared" si="323"/>
        <v>4</v>
      </c>
      <c r="U139" s="217">
        <f t="shared" si="324"/>
        <v>1.8035502869732656</v>
      </c>
      <c r="V139" s="217">
        <f t="shared" si="325"/>
        <v>1.2049382584387192</v>
      </c>
      <c r="W139" s="217">
        <f t="shared" si="326"/>
        <v>1.1250552889407919</v>
      </c>
      <c r="X139" s="197">
        <f t="shared" si="327"/>
        <v>350</v>
      </c>
      <c r="Y139" s="443">
        <f t="shared" si="328"/>
        <v>350</v>
      </c>
      <c r="AA139" s="217">
        <f t="shared" si="329"/>
        <v>2.2115944594434929</v>
      </c>
      <c r="AB139" s="173">
        <f t="shared" si="330"/>
        <v>1.3795933839830525</v>
      </c>
      <c r="AC139" s="173">
        <f t="shared" si="331"/>
        <v>2.1357707590112729</v>
      </c>
      <c r="AD139" s="173"/>
      <c r="AE139" s="173">
        <f t="shared" si="332"/>
        <v>0.83173379163447669</v>
      </c>
      <c r="AF139" s="545">
        <f t="shared" si="333"/>
        <v>784.50581972597672</v>
      </c>
      <c r="AG139" s="528">
        <f t="shared" si="334"/>
        <v>0.77628487219217845</v>
      </c>
      <c r="AI139" s="173">
        <f t="shared" si="335"/>
        <v>1.9961942453766375</v>
      </c>
      <c r="AJ139" s="173">
        <f t="shared" si="336"/>
        <v>1.9961942453766375</v>
      </c>
      <c r="AK139" s="173">
        <f t="shared" si="337"/>
        <v>1.69100808299504</v>
      </c>
      <c r="AM139" s="545">
        <f t="shared" si="338"/>
        <v>1739.9999999999998</v>
      </c>
      <c r="AN139" s="460">
        <f t="shared" si="339"/>
        <v>350</v>
      </c>
      <c r="AP139" s="460">
        <f t="shared" si="340"/>
        <v>1739.9999999999998</v>
      </c>
      <c r="AQ139" s="460">
        <f t="shared" si="341"/>
        <v>350</v>
      </c>
      <c r="AS139" s="5">
        <f t="shared" si="439"/>
        <v>2.8571428571428572</v>
      </c>
      <c r="AT139" s="5">
        <f t="shared" si="342"/>
        <v>1.3336422249507107</v>
      </c>
      <c r="AU139" s="5">
        <f t="shared" si="343"/>
        <v>1.5235006321921465</v>
      </c>
      <c r="AV139" s="5"/>
      <c r="AW139" s="173">
        <f t="shared" si="344"/>
        <v>0.46677477873274875</v>
      </c>
      <c r="AX139" s="173">
        <f t="shared" si="435"/>
        <v>8.3680620770770862</v>
      </c>
      <c r="AY139" s="173">
        <f t="shared" si="436"/>
        <v>2.1288422363667423</v>
      </c>
      <c r="AZ139" s="173">
        <f t="shared" si="440"/>
        <v>3.9308042343986518</v>
      </c>
      <c r="BA139" s="460">
        <f t="shared" si="433"/>
        <v>58.013436785355907</v>
      </c>
      <c r="BB139" s="5">
        <f t="shared" si="434"/>
        <v>0.49195561795113579</v>
      </c>
      <c r="BD139" s="173">
        <f t="shared" si="441"/>
        <v>0.78740082010366907</v>
      </c>
      <c r="BE139" s="173">
        <f t="shared" si="437"/>
        <v>3.3663363355632474</v>
      </c>
      <c r="BG139" s="528">
        <f t="shared" si="347"/>
        <v>7.5640006282991536E-3</v>
      </c>
      <c r="BH139" s="528">
        <f t="shared" si="348"/>
        <v>0.48730141926905951</v>
      </c>
      <c r="BI139" s="528">
        <f t="shared" si="349"/>
        <v>0.15716388686800423</v>
      </c>
      <c r="BJ139" s="528">
        <f t="shared" si="350"/>
        <v>4.8430523726048912E-2</v>
      </c>
      <c r="BK139">
        <f t="shared" si="351"/>
        <v>8.0827141817830742E-3</v>
      </c>
      <c r="BL139" s="460">
        <f t="shared" si="427"/>
        <v>165.2466010497873</v>
      </c>
      <c r="BM139" s="528">
        <f t="shared" si="352"/>
        <v>0.54632007380770076</v>
      </c>
      <c r="BN139" s="460">
        <f t="shared" si="353"/>
        <v>546.32007380770074</v>
      </c>
      <c r="BO139" s="528">
        <f t="shared" si="354"/>
        <v>1.2179999999999997</v>
      </c>
      <c r="BR139" s="460">
        <f t="shared" si="355"/>
        <v>1217.9999999999998</v>
      </c>
      <c r="BS139" s="528">
        <f t="shared" si="356"/>
        <v>1.860000154499792E-2</v>
      </c>
      <c r="BT139" s="528">
        <f t="shared" si="357"/>
        <v>0.33996660972400178</v>
      </c>
      <c r="BU139" s="528">
        <f t="shared" si="358"/>
        <v>0.64512981484173848</v>
      </c>
      <c r="BV139" s="528"/>
      <c r="BW139" s="528">
        <f t="shared" si="359"/>
        <v>3.4866925321154527E-2</v>
      </c>
      <c r="BX139" s="460">
        <f t="shared" si="360"/>
        <v>1038.5633514318927</v>
      </c>
      <c r="BY139" s="173">
        <f t="shared" si="361"/>
        <v>2.9651058961050869</v>
      </c>
      <c r="BZ139" s="5">
        <f t="shared" si="362"/>
        <v>6.9599999999999991</v>
      </c>
      <c r="CA139" s="173">
        <f t="shared" si="363"/>
        <v>0.70125196374290732</v>
      </c>
      <c r="CB139" s="5">
        <f t="shared" si="364"/>
        <v>70.125196374290738</v>
      </c>
      <c r="CE139" s="562">
        <f t="shared" si="365"/>
        <v>-50</v>
      </c>
      <c r="CF139">
        <f t="shared" si="366"/>
        <v>-50</v>
      </c>
      <c r="CG139" s="173">
        <f t="shared" si="367"/>
        <v>0.47788596966221969</v>
      </c>
      <c r="CI139" s="170">
        <v>29</v>
      </c>
      <c r="CJ139" s="217">
        <f t="shared" si="428"/>
        <v>1.7399999999999998</v>
      </c>
      <c r="CK139" s="217"/>
      <c r="CL139" s="217">
        <f t="shared" si="368"/>
        <v>6.9599999999999991</v>
      </c>
      <c r="CM139" s="541">
        <f t="shared" si="369"/>
        <v>18</v>
      </c>
      <c r="CN139" s="443">
        <f t="shared" si="370"/>
        <v>18.8</v>
      </c>
      <c r="CO139" s="443">
        <f t="shared" si="371"/>
        <v>36.799999999999997</v>
      </c>
      <c r="CP139" s="443"/>
      <c r="CQ139" s="217">
        <f t="shared" si="372"/>
        <v>0.51086956521739135</v>
      </c>
      <c r="CR139" s="172">
        <f t="shared" si="429"/>
        <v>30.859076086956527</v>
      </c>
      <c r="CS139" s="172">
        <f t="shared" si="373"/>
        <v>6.9599999999999991</v>
      </c>
      <c r="CT139" s="217">
        <f t="shared" si="374"/>
        <v>7.7147690217391318</v>
      </c>
      <c r="CU139" s="217">
        <f t="shared" si="375"/>
        <v>4</v>
      </c>
      <c r="CV139" s="217"/>
      <c r="CW139" s="172">
        <f t="shared" si="376"/>
        <v>30.085080911446699</v>
      </c>
      <c r="CX139" s="172">
        <f t="shared" si="377"/>
        <v>4</v>
      </c>
      <c r="CY139" s="217">
        <f t="shared" si="378"/>
        <v>1.5137588652482266</v>
      </c>
      <c r="CZ139" s="217">
        <f t="shared" si="379"/>
        <v>1.0091725768321511</v>
      </c>
      <c r="DA139" s="217">
        <f t="shared" si="380"/>
        <v>0.96622906292440003</v>
      </c>
      <c r="DB139" s="197">
        <f t="shared" si="381"/>
        <v>350</v>
      </c>
      <c r="DC139" s="443">
        <f t="shared" si="382"/>
        <v>350</v>
      </c>
      <c r="DE139" s="217">
        <f t="shared" si="383"/>
        <v>2.18944099378882</v>
      </c>
      <c r="DF139" s="173">
        <f t="shared" si="384"/>
        <v>1.3975155279503106</v>
      </c>
      <c r="DG139" s="173">
        <f t="shared" si="385"/>
        <v>2.1418444504455847</v>
      </c>
      <c r="DH139" s="173"/>
      <c r="DI139" s="173">
        <f t="shared" si="386"/>
        <v>0.85106382978723416</v>
      </c>
      <c r="DJ139" s="545">
        <f t="shared" si="387"/>
        <v>766.68749999999977</v>
      </c>
      <c r="DK139" s="528">
        <f t="shared" si="388"/>
        <v>0.79432624113475192</v>
      </c>
      <c r="DM139" s="173">
        <f t="shared" si="389"/>
        <v>1.9733944649475721</v>
      </c>
      <c r="DN139" s="173">
        <f t="shared" si="390"/>
        <v>1.9733944649475721</v>
      </c>
      <c r="DO139" s="173">
        <f t="shared" si="391"/>
        <v>1.6741193567512878</v>
      </c>
      <c r="DQ139" s="545">
        <f t="shared" si="392"/>
        <v>1739.9999999999998</v>
      </c>
      <c r="DR139" s="460">
        <f t="shared" si="393"/>
        <v>350</v>
      </c>
      <c r="DT139">
        <f t="shared" si="430"/>
        <v>1739.9999999999998</v>
      </c>
      <c r="DU139">
        <f t="shared" si="431"/>
        <v>350</v>
      </c>
      <c r="DW139" s="5">
        <f t="shared" si="394"/>
        <v>2.8571428571428572</v>
      </c>
      <c r="DX139" s="5">
        <f t="shared" si="395"/>
        <v>1.3155963099650481</v>
      </c>
      <c r="DY139" s="5">
        <f t="shared" si="396"/>
        <v>1.5415465471778091</v>
      </c>
      <c r="DZ139" s="5"/>
      <c r="EA139" s="173">
        <f t="shared" si="397"/>
        <v>0.46045870848776682</v>
      </c>
      <c r="EB139" s="173">
        <f t="shared" si="398"/>
        <v>8.177999999999999</v>
      </c>
      <c r="EC139" s="173">
        <f t="shared" si="399"/>
        <v>2.1294555965618107</v>
      </c>
      <c r="ED139" s="173">
        <f t="shared" si="400"/>
        <v>3.8404181863214633</v>
      </c>
      <c r="EE139" s="460">
        <f t="shared" si="401"/>
        <v>57.22843948347959</v>
      </c>
      <c r="EF139" s="5">
        <f t="shared" si="402"/>
        <v>0.49672055409062721</v>
      </c>
      <c r="EH139" s="173">
        <f t="shared" si="403"/>
        <v>0.77312305413009996</v>
      </c>
      <c r="EI139" s="173">
        <f t="shared" si="404"/>
        <v>3.3475387526187883</v>
      </c>
      <c r="EK139" s="528">
        <f t="shared" si="405"/>
        <v>7.2921749332949329E-3</v>
      </c>
      <c r="EL139" s="528">
        <f t="shared" si="406"/>
        <v>0.50834641417049442</v>
      </c>
      <c r="EM139" s="528">
        <f t="shared" si="407"/>
        <v>4.3749999999999997E-2</v>
      </c>
      <c r="EN139" s="528">
        <f t="shared" si="408"/>
        <v>4.7398399999999993E-2</v>
      </c>
      <c r="EO139">
        <f t="shared" si="409"/>
        <v>8.0999999999999996E-3</v>
      </c>
      <c r="EP139" s="460">
        <f t="shared" si="410"/>
        <v>51.849999999999994</v>
      </c>
      <c r="EQ139" s="460"/>
      <c r="ER139" s="460">
        <f t="shared" si="432"/>
        <v>614.88698910378923</v>
      </c>
      <c r="ES139" s="528">
        <f t="shared" si="411"/>
        <v>1.2179999999999997</v>
      </c>
      <c r="EV139" s="460">
        <f t="shared" si="412"/>
        <v>1217.9999999999998</v>
      </c>
      <c r="EW139" s="528">
        <f t="shared" si="413"/>
        <v>1.7931577704823606E-2</v>
      </c>
      <c r="EX139" s="528">
        <f t="shared" si="414"/>
        <v>0.3361804710085366</v>
      </c>
      <c r="EY139" s="528">
        <f t="shared" si="415"/>
        <v>0.62686623727191904</v>
      </c>
      <c r="EZ139" s="528"/>
      <c r="FA139" s="528">
        <f t="shared" si="416"/>
        <v>3.4075000000000001E-2</v>
      </c>
      <c r="FB139" s="460">
        <f t="shared" si="417"/>
        <v>1015.0532859852792</v>
      </c>
      <c r="FC139" s="173">
        <f t="shared" si="418"/>
        <v>2.8479402750890683</v>
      </c>
      <c r="FD139" s="5">
        <f t="shared" si="419"/>
        <v>6.9599999999999991</v>
      </c>
      <c r="FE139" s="173">
        <f t="shared" si="420"/>
        <v>0.70962911730585498</v>
      </c>
      <c r="FF139" s="5">
        <f t="shared" si="421"/>
        <v>70.962911730585503</v>
      </c>
      <c r="FI139" s="562">
        <f t="shared" si="422"/>
        <v>-50</v>
      </c>
      <c r="FJ139">
        <f t="shared" si="423"/>
        <v>-50</v>
      </c>
      <c r="FL139">
        <f t="shared" si="424"/>
        <v>0.44086472089254264</v>
      </c>
    </row>
    <row r="140" spans="5:168">
      <c r="E140" s="170">
        <v>30</v>
      </c>
      <c r="F140" s="217">
        <f t="shared" si="425"/>
        <v>1.7999999999999998</v>
      </c>
      <c r="G140" s="217"/>
      <c r="H140" s="217">
        <f t="shared" si="315"/>
        <v>7.1999999999999993</v>
      </c>
      <c r="I140" s="541">
        <f t="shared" si="316"/>
        <v>17.960930391789599</v>
      </c>
      <c r="J140" s="172">
        <f t="shared" si="317"/>
        <v>19.244393647890824</v>
      </c>
      <c r="K140" s="172">
        <f t="shared" si="318"/>
        <v>37.20532403968042</v>
      </c>
      <c r="L140" s="443"/>
      <c r="M140" s="217">
        <f t="shared" si="319"/>
        <v>0.5177321047310085</v>
      </c>
      <c r="N140" s="172">
        <f t="shared" si="426"/>
        <v>31.205727363857925</v>
      </c>
      <c r="O140" s="172">
        <f t="shared" si="438"/>
        <v>7.1999999999999993</v>
      </c>
      <c r="P140" s="217">
        <f t="shared" si="320"/>
        <v>7.8014318409644812</v>
      </c>
      <c r="Q140" s="217">
        <f t="shared" si="321"/>
        <v>4</v>
      </c>
      <c r="R140" s="217"/>
      <c r="S140" s="172">
        <f t="shared" si="322"/>
        <v>28.877020045164468</v>
      </c>
      <c r="T140" s="172">
        <f t="shared" si="323"/>
        <v>4</v>
      </c>
      <c r="U140" s="217">
        <f t="shared" si="324"/>
        <v>1.8661826939527315</v>
      </c>
      <c r="V140" s="217">
        <f t="shared" si="325"/>
        <v>1.2468280784424026</v>
      </c>
      <c r="W140" s="217">
        <f t="shared" si="326"/>
        <v>1.1636735735702002</v>
      </c>
      <c r="X140" s="197">
        <f t="shared" si="327"/>
        <v>350</v>
      </c>
      <c r="Y140" s="443">
        <f t="shared" si="328"/>
        <v>350</v>
      </c>
      <c r="AA140" s="217">
        <f t="shared" si="329"/>
        <v>2.2119671852117788</v>
      </c>
      <c r="AB140" s="173">
        <f t="shared" si="330"/>
        <v>1.379290338173399</v>
      </c>
      <c r="AC140" s="173">
        <f t="shared" si="331"/>
        <v>2.1356614768434512</v>
      </c>
      <c r="AD140" s="173"/>
      <c r="AE140" s="173">
        <f t="shared" si="332"/>
        <v>0.83141097052717972</v>
      </c>
      <c r="AF140" s="545">
        <f t="shared" si="333"/>
        <v>811.87285702039378</v>
      </c>
      <c r="AG140" s="528">
        <f t="shared" si="334"/>
        <v>0.77598357249203453</v>
      </c>
      <c r="AI140" s="173">
        <f t="shared" si="335"/>
        <v>2.0307138249477075</v>
      </c>
      <c r="AJ140" s="173">
        <f t="shared" si="336"/>
        <v>2.0307138249477075</v>
      </c>
      <c r="AK140" s="173">
        <f t="shared" si="337"/>
        <v>1.7165781419365733</v>
      </c>
      <c r="AM140" s="545">
        <f t="shared" si="338"/>
        <v>1799.9999999999998</v>
      </c>
      <c r="AN140" s="460">
        <f t="shared" si="339"/>
        <v>350</v>
      </c>
      <c r="AP140" s="460">
        <f t="shared" si="340"/>
        <v>1799.9999999999998</v>
      </c>
      <c r="AQ140" s="460">
        <f t="shared" si="341"/>
        <v>350</v>
      </c>
      <c r="AS140" s="5">
        <f t="shared" si="439"/>
        <v>2.8571428571428572</v>
      </c>
      <c r="AT140" s="5">
        <f t="shared" si="342"/>
        <v>1.3567540972438703</v>
      </c>
      <c r="AU140" s="5">
        <f t="shared" si="343"/>
        <v>1.5003887598989869</v>
      </c>
      <c r="AV140" s="5"/>
      <c r="AW140" s="173">
        <f t="shared" si="344"/>
        <v>0.4748639340353546</v>
      </c>
      <c r="AX140" s="173">
        <f t="shared" si="435"/>
        <v>8.6599771415508719</v>
      </c>
      <c r="AY140" s="173">
        <f t="shared" si="436"/>
        <v>2.1328021382661131</v>
      </c>
      <c r="AZ140" s="173">
        <f t="shared" si="440"/>
        <v>4.0603753091653889</v>
      </c>
      <c r="BA140" s="460">
        <f t="shared" si="433"/>
        <v>61.053934375974158</v>
      </c>
      <c r="BB140" s="5">
        <f t="shared" si="434"/>
        <v>0.50121749614424849</v>
      </c>
      <c r="BD140" s="173">
        <f t="shared" si="441"/>
        <v>0.80792805884481123</v>
      </c>
      <c r="BE140" s="173">
        <f t="shared" si="437"/>
        <v>3.3984744766066348</v>
      </c>
      <c r="BG140" s="528">
        <f t="shared" si="347"/>
        <v>7.9635225288786846E-3</v>
      </c>
      <c r="BH140" s="528">
        <f t="shared" si="348"/>
        <v>0.49581896364681399</v>
      </c>
      <c r="BI140" s="528">
        <f t="shared" si="349"/>
        <v>0.15715814092815897</v>
      </c>
      <c r="BJ140" s="528">
        <f t="shared" si="350"/>
        <v>4.8448264791416763E-2</v>
      </c>
      <c r="BK140">
        <f t="shared" si="351"/>
        <v>8.08241867630532E-3</v>
      </c>
      <c r="BL140" s="460">
        <f t="shared" si="427"/>
        <v>165.24055960446429</v>
      </c>
      <c r="BM140" s="528">
        <f t="shared" si="352"/>
        <v>0.55543185296196496</v>
      </c>
      <c r="BN140" s="460">
        <f t="shared" si="353"/>
        <v>555.43185296196498</v>
      </c>
      <c r="BO140" s="528">
        <f t="shared" si="354"/>
        <v>1.2599999999999998</v>
      </c>
      <c r="BR140" s="460">
        <f t="shared" si="355"/>
        <v>1259.9999999999998</v>
      </c>
      <c r="BS140" s="528">
        <f t="shared" si="356"/>
        <v>1.9582432448062341E-2</v>
      </c>
      <c r="BT140" s="528">
        <f t="shared" si="357"/>
        <v>0.34648886304440224</v>
      </c>
      <c r="BU140" s="528">
        <f t="shared" si="358"/>
        <v>0.6733826600504762</v>
      </c>
      <c r="BV140" s="528"/>
      <c r="BW140" s="528">
        <f t="shared" si="359"/>
        <v>3.60832380897953E-2</v>
      </c>
      <c r="BX140" s="460">
        <f t="shared" si="360"/>
        <v>1075.537193632736</v>
      </c>
      <c r="BY140" s="173">
        <f t="shared" si="361"/>
        <v>3.0530085042043096</v>
      </c>
      <c r="BZ140" s="5">
        <f t="shared" si="362"/>
        <v>7.1999999999999993</v>
      </c>
      <c r="CA140" s="173">
        <f t="shared" si="363"/>
        <v>0.70223291017925071</v>
      </c>
      <c r="CB140" s="5">
        <f t="shared" si="364"/>
        <v>70.223291017925078</v>
      </c>
      <c r="CE140" s="562">
        <f t="shared" si="365"/>
        <v>-50</v>
      </c>
      <c r="CF140">
        <f t="shared" si="366"/>
        <v>-50</v>
      </c>
      <c r="CG140" s="173">
        <f t="shared" si="367"/>
        <v>0.48605555238058951</v>
      </c>
      <c r="CI140" s="170">
        <v>30</v>
      </c>
      <c r="CJ140" s="217">
        <f t="shared" si="428"/>
        <v>1.7999999999999998</v>
      </c>
      <c r="CK140" s="217"/>
      <c r="CL140" s="217">
        <f t="shared" si="368"/>
        <v>7.1999999999999993</v>
      </c>
      <c r="CM140" s="541">
        <f t="shared" si="369"/>
        <v>18</v>
      </c>
      <c r="CN140" s="443">
        <f t="shared" si="370"/>
        <v>18.8</v>
      </c>
      <c r="CO140" s="443">
        <f t="shared" si="371"/>
        <v>36.799999999999997</v>
      </c>
      <c r="CP140" s="443"/>
      <c r="CQ140" s="217">
        <f t="shared" si="372"/>
        <v>0.51086956521739135</v>
      </c>
      <c r="CR140" s="172">
        <f t="shared" si="429"/>
        <v>30.859076086956527</v>
      </c>
      <c r="CS140" s="172">
        <f t="shared" si="373"/>
        <v>7.1999999999999993</v>
      </c>
      <c r="CT140" s="217">
        <f t="shared" si="374"/>
        <v>7.7147690217391318</v>
      </c>
      <c r="CU140" s="217">
        <f t="shared" si="375"/>
        <v>4</v>
      </c>
      <c r="CV140" s="217"/>
      <c r="CW140" s="172">
        <f t="shared" si="376"/>
        <v>28.939610035228402</v>
      </c>
      <c r="CX140" s="172">
        <f t="shared" si="377"/>
        <v>4</v>
      </c>
      <c r="CY140" s="217">
        <f t="shared" si="378"/>
        <v>1.5659574468085102</v>
      </c>
      <c r="CZ140" s="217">
        <f t="shared" si="379"/>
        <v>1.0439716312056735</v>
      </c>
      <c r="DA140" s="217">
        <f t="shared" si="380"/>
        <v>0.99954730647351719</v>
      </c>
      <c r="DB140" s="197">
        <f t="shared" si="381"/>
        <v>350</v>
      </c>
      <c r="DC140" s="443">
        <f t="shared" si="382"/>
        <v>350</v>
      </c>
      <c r="DE140" s="217">
        <f t="shared" si="383"/>
        <v>2.18944099378882</v>
      </c>
      <c r="DF140" s="173">
        <f t="shared" si="384"/>
        <v>1.3975155279503106</v>
      </c>
      <c r="DG140" s="173">
        <f t="shared" si="385"/>
        <v>2.1418444504455847</v>
      </c>
      <c r="DH140" s="173"/>
      <c r="DI140" s="173">
        <f t="shared" si="386"/>
        <v>0.85106382978723416</v>
      </c>
      <c r="DJ140" s="545">
        <f t="shared" si="387"/>
        <v>793.12499999999977</v>
      </c>
      <c r="DK140" s="528">
        <f t="shared" si="388"/>
        <v>0.79432624113475192</v>
      </c>
      <c r="DM140" s="173">
        <f t="shared" si="389"/>
        <v>2.0071301473923979</v>
      </c>
      <c r="DN140" s="173">
        <f t="shared" si="390"/>
        <v>2.0071301473923979</v>
      </c>
      <c r="DO140" s="173">
        <f t="shared" si="391"/>
        <v>1.6991087511548626</v>
      </c>
      <c r="DQ140" s="545">
        <f t="shared" si="392"/>
        <v>1799.9999999999998</v>
      </c>
      <c r="DR140" s="460">
        <f t="shared" si="393"/>
        <v>350</v>
      </c>
      <c r="DT140">
        <f t="shared" si="430"/>
        <v>1799.9999999999998</v>
      </c>
      <c r="DU140">
        <f t="shared" si="431"/>
        <v>350</v>
      </c>
      <c r="DW140" s="5">
        <f t="shared" si="394"/>
        <v>2.8571428571428572</v>
      </c>
      <c r="DX140" s="5">
        <f t="shared" si="395"/>
        <v>1.3380867649282653</v>
      </c>
      <c r="DY140" s="5">
        <f t="shared" si="396"/>
        <v>1.5190560922145919</v>
      </c>
      <c r="DZ140" s="5"/>
      <c r="EA140" s="173">
        <f t="shared" si="397"/>
        <v>0.46833036772489284</v>
      </c>
      <c r="EB140" s="173">
        <f t="shared" si="398"/>
        <v>8.4600000000000026</v>
      </c>
      <c r="EC140" s="173">
        <f t="shared" si="399"/>
        <v>2.1342602947847955</v>
      </c>
      <c r="ED140" s="173">
        <f t="shared" si="400"/>
        <v>3.9639026320606559</v>
      </c>
      <c r="EE140" s="460">
        <f t="shared" si="401"/>
        <v>60.213904421771936</v>
      </c>
      <c r="EF140" s="5">
        <f t="shared" si="402"/>
        <v>0.50635203073819723</v>
      </c>
      <c r="EH140" s="173">
        <f t="shared" si="403"/>
        <v>0.79303264719448008</v>
      </c>
      <c r="EI140" s="173">
        <f t="shared" si="404"/>
        <v>3.3798375424646867</v>
      </c>
      <c r="EK140" s="528">
        <f t="shared" si="405"/>
        <v>7.6725895100986739E-3</v>
      </c>
      <c r="EL140" s="528">
        <f t="shared" si="406"/>
        <v>0.51703672596828165</v>
      </c>
      <c r="EM140" s="528">
        <f t="shared" si="407"/>
        <v>4.3749999999999997E-2</v>
      </c>
      <c r="EN140" s="528">
        <f t="shared" si="408"/>
        <v>4.7398399999999993E-2</v>
      </c>
      <c r="EO140">
        <f t="shared" si="409"/>
        <v>8.0999999999999996E-3</v>
      </c>
      <c r="EP140" s="460">
        <f t="shared" si="410"/>
        <v>51.849999999999994</v>
      </c>
      <c r="EQ140" s="460"/>
      <c r="ER140" s="460">
        <f t="shared" si="432"/>
        <v>623.95771547838024</v>
      </c>
      <c r="ES140" s="528">
        <f t="shared" si="411"/>
        <v>1.2599999999999998</v>
      </c>
      <c r="EV140" s="460">
        <f t="shared" si="412"/>
        <v>1259.9999999999998</v>
      </c>
      <c r="EW140" s="528">
        <f t="shared" si="413"/>
        <v>1.8867023385488541E-2</v>
      </c>
      <c r="EX140" s="528">
        <f t="shared" si="414"/>
        <v>0.34269905440361198</v>
      </c>
      <c r="EY140" s="528">
        <f t="shared" si="415"/>
        <v>0.65400181048788231</v>
      </c>
      <c r="EZ140" s="528"/>
      <c r="FA140" s="528">
        <f t="shared" si="416"/>
        <v>3.525000000000001E-2</v>
      </c>
      <c r="FB140" s="460">
        <f t="shared" si="417"/>
        <v>1050.817888276983</v>
      </c>
      <c r="FC140" s="173">
        <f t="shared" si="418"/>
        <v>2.9347756037553627</v>
      </c>
      <c r="FD140" s="5">
        <f t="shared" si="419"/>
        <v>7.1999999999999993</v>
      </c>
      <c r="FE140" s="173">
        <f t="shared" si="420"/>
        <v>0.71042520145508659</v>
      </c>
      <c r="FF140" s="5">
        <f t="shared" si="421"/>
        <v>71.042520145508661</v>
      </c>
      <c r="FI140" s="562">
        <f t="shared" si="422"/>
        <v>-50</v>
      </c>
      <c r="FJ140">
        <f t="shared" si="423"/>
        <v>-50</v>
      </c>
      <c r="FL140">
        <f t="shared" si="424"/>
        <v>0.44840141590681226</v>
      </c>
    </row>
    <row r="141" spans="5:168">
      <c r="E141" s="170">
        <v>31</v>
      </c>
      <c r="F141" s="217">
        <f t="shared" si="425"/>
        <v>1.8599999999999999</v>
      </c>
      <c r="G141" s="217"/>
      <c r="H141" s="217">
        <f t="shared" si="315"/>
        <v>7.4399999999999995</v>
      </c>
      <c r="I141" s="541">
        <f t="shared" si="316"/>
        <v>17.960284569389575</v>
      </c>
      <c r="J141" s="172">
        <f t="shared" si="317"/>
        <v>19.251739495094874</v>
      </c>
      <c r="K141" s="172">
        <f t="shared" si="318"/>
        <v>37.212024064484453</v>
      </c>
      <c r="L141" s="443"/>
      <c r="M141" s="217">
        <f t="shared" si="319"/>
        <v>0.51784417255295323</v>
      </c>
      <c r="N141" s="172">
        <f t="shared" si="426"/>
        <v>31.211359817957547</v>
      </c>
      <c r="O141" s="172">
        <f t="shared" si="438"/>
        <v>7.4399999999999995</v>
      </c>
      <c r="P141" s="217">
        <f t="shared" si="320"/>
        <v>7.8028399544893867</v>
      </c>
      <c r="Q141" s="217">
        <f t="shared" si="321"/>
        <v>4</v>
      </c>
      <c r="R141" s="217"/>
      <c r="S141" s="172">
        <f t="shared" si="322"/>
        <v>27.807073850170607</v>
      </c>
      <c r="T141" s="172">
        <f t="shared" si="323"/>
        <v>4</v>
      </c>
      <c r="U141" s="217">
        <f t="shared" si="324"/>
        <v>1.9288370005278801</v>
      </c>
      <c r="V141" s="217">
        <f t="shared" si="325"/>
        <v>1.2887348146912594</v>
      </c>
      <c r="W141" s="217">
        <f t="shared" si="326"/>
        <v>1.2022832540525448</v>
      </c>
      <c r="X141" s="197">
        <f t="shared" si="327"/>
        <v>350</v>
      </c>
      <c r="Y141" s="443">
        <f t="shared" si="328"/>
        <v>350</v>
      </c>
      <c r="AA141" s="217">
        <f t="shared" si="329"/>
        <v>2.2123335546217895</v>
      </c>
      <c r="AB141" s="173">
        <f t="shared" si="330"/>
        <v>1.3789924106455733</v>
      </c>
      <c r="AC141" s="173">
        <f t="shared" si="331"/>
        <v>2.1355538271479939</v>
      </c>
      <c r="AD141" s="173"/>
      <c r="AE141" s="173">
        <f t="shared" si="332"/>
        <v>0.831093730728936</v>
      </c>
      <c r="AF141" s="545">
        <f t="shared" si="333"/>
        <v>839.25551861429187</v>
      </c>
      <c r="AG141" s="528">
        <f t="shared" si="334"/>
        <v>0.77568748201367377</v>
      </c>
      <c r="AI141" s="173">
        <f t="shared" si="335"/>
        <v>2.0646755614173053</v>
      </c>
      <c r="AJ141" s="173">
        <f t="shared" si="336"/>
        <v>2.0646755614173053</v>
      </c>
      <c r="AK141" s="173">
        <f t="shared" si="337"/>
        <v>1.7417349837659049</v>
      </c>
      <c r="AM141" s="545">
        <f t="shared" si="338"/>
        <v>1859.9999999999998</v>
      </c>
      <c r="AN141" s="460">
        <f t="shared" si="339"/>
        <v>350</v>
      </c>
      <c r="AP141" s="460">
        <f t="shared" si="340"/>
        <v>1859.9999999999998</v>
      </c>
      <c r="AQ141" s="460">
        <f t="shared" si="341"/>
        <v>350</v>
      </c>
      <c r="AS141" s="5">
        <f t="shared" si="439"/>
        <v>2.8571428571428572</v>
      </c>
      <c r="AT141" s="5">
        <f t="shared" si="342"/>
        <v>1.3794941077511971</v>
      </c>
      <c r="AU141" s="5">
        <f t="shared" si="343"/>
        <v>1.4776487493916601</v>
      </c>
      <c r="AV141" s="5"/>
      <c r="AW141" s="173">
        <f t="shared" si="344"/>
        <v>0.48282293771291895</v>
      </c>
      <c r="AX141" s="173">
        <f t="shared" si="435"/>
        <v>8.9520588652191169</v>
      </c>
      <c r="AY141" s="173">
        <f t="shared" si="436"/>
        <v>2.1356056828594636</v>
      </c>
      <c r="AZ141" s="173">
        <f t="shared" si="440"/>
        <v>4.191812625836798</v>
      </c>
      <c r="BA141" s="460">
        <f t="shared" si="433"/>
        <v>64.146476010430661</v>
      </c>
      <c r="BB141" s="5">
        <f t="shared" si="434"/>
        <v>0.51009337913512054</v>
      </c>
      <c r="BD141" s="173">
        <f t="shared" si="441"/>
        <v>0.828295185466699</v>
      </c>
      <c r="BE141" s="173">
        <f t="shared" si="437"/>
        <v>3.4290262416508668</v>
      </c>
      <c r="BG141" s="528">
        <f t="shared" si="347"/>
        <v>8.3700895540612212E-3</v>
      </c>
      <c r="BH141" s="528">
        <f t="shared" si="348"/>
        <v>0.50420184069159002</v>
      </c>
      <c r="BI141" s="528">
        <f t="shared" si="349"/>
        <v>0.15715248998215878</v>
      </c>
      <c r="BJ141" s="528">
        <f t="shared" si="350"/>
        <v>4.8465715724151953E-2</v>
      </c>
      <c r="BK141">
        <f t="shared" si="351"/>
        <v>8.0821280562253083E-3</v>
      </c>
      <c r="BL141" s="460">
        <f t="shared" si="427"/>
        <v>165.23461803838407</v>
      </c>
      <c r="BM141" s="528">
        <f t="shared" si="352"/>
        <v>0.56442005108779381</v>
      </c>
      <c r="BN141" s="460">
        <f t="shared" si="353"/>
        <v>564.42005108779381</v>
      </c>
      <c r="BO141" s="528">
        <f t="shared" si="354"/>
        <v>1.3019999999999998</v>
      </c>
      <c r="BR141" s="460">
        <f t="shared" si="355"/>
        <v>1301.9999999999998</v>
      </c>
      <c r="BS141" s="528">
        <f t="shared" si="356"/>
        <v>2.0582187428019399E-2</v>
      </c>
      <c r="BT141" s="528">
        <f t="shared" si="357"/>
        <v>0.35274662897790804</v>
      </c>
      <c r="BU141" s="528">
        <f t="shared" si="358"/>
        <v>0.70189097525381039</v>
      </c>
      <c r="BV141" s="528"/>
      <c r="BW141" s="528">
        <f t="shared" si="359"/>
        <v>3.7300245271746323E-2</v>
      </c>
      <c r="BX141" s="460">
        <f t="shared" si="360"/>
        <v>1112.5200369314844</v>
      </c>
      <c r="BY141" s="173">
        <f t="shared" si="361"/>
        <v>3.1407923009396712</v>
      </c>
      <c r="BZ141" s="5">
        <f t="shared" si="362"/>
        <v>7.4399999999999995</v>
      </c>
      <c r="CA141" s="173">
        <f t="shared" si="363"/>
        <v>0.7031609532056744</v>
      </c>
      <c r="CB141" s="5">
        <f t="shared" si="364"/>
        <v>70.316095320567442</v>
      </c>
      <c r="CE141" s="562">
        <f t="shared" si="365"/>
        <v>-50</v>
      </c>
      <c r="CF141">
        <f t="shared" si="366"/>
        <v>-50</v>
      </c>
      <c r="CG141" s="173">
        <f t="shared" si="367"/>
        <v>0.4940900727600181</v>
      </c>
      <c r="CI141" s="170">
        <v>31</v>
      </c>
      <c r="CJ141" s="217">
        <f t="shared" si="428"/>
        <v>1.8599999999999999</v>
      </c>
      <c r="CK141" s="217"/>
      <c r="CL141" s="217">
        <f t="shared" si="368"/>
        <v>7.4399999999999995</v>
      </c>
      <c r="CM141" s="541">
        <f t="shared" si="369"/>
        <v>18</v>
      </c>
      <c r="CN141" s="443">
        <f t="shared" si="370"/>
        <v>18.8</v>
      </c>
      <c r="CO141" s="443">
        <f t="shared" si="371"/>
        <v>36.799999999999997</v>
      </c>
      <c r="CP141" s="443"/>
      <c r="CQ141" s="217">
        <f t="shared" si="372"/>
        <v>0.51086956521739135</v>
      </c>
      <c r="CR141" s="172">
        <f t="shared" si="429"/>
        <v>30.859076086956527</v>
      </c>
      <c r="CS141" s="172">
        <f t="shared" si="373"/>
        <v>7.4399999999999995</v>
      </c>
      <c r="CT141" s="217">
        <f t="shared" si="374"/>
        <v>7.7147690217391318</v>
      </c>
      <c r="CU141" s="217">
        <f t="shared" si="375"/>
        <v>4</v>
      </c>
      <c r="CV141" s="217"/>
      <c r="CW141" s="172">
        <f t="shared" si="376"/>
        <v>27.868326487594807</v>
      </c>
      <c r="CX141" s="172">
        <f t="shared" si="377"/>
        <v>4</v>
      </c>
      <c r="CY141" s="217">
        <f t="shared" si="378"/>
        <v>1.6181560283687939</v>
      </c>
      <c r="CZ141" s="217">
        <f t="shared" si="379"/>
        <v>1.0787706855791959</v>
      </c>
      <c r="DA141" s="217">
        <f t="shared" si="380"/>
        <v>1.0328655500226342</v>
      </c>
      <c r="DB141" s="197">
        <f t="shared" si="381"/>
        <v>350</v>
      </c>
      <c r="DC141" s="443">
        <f t="shared" si="382"/>
        <v>350</v>
      </c>
      <c r="DE141" s="217">
        <f t="shared" si="383"/>
        <v>2.18944099378882</v>
      </c>
      <c r="DF141" s="173">
        <f t="shared" si="384"/>
        <v>1.3975155279503106</v>
      </c>
      <c r="DG141" s="173">
        <f t="shared" si="385"/>
        <v>2.1418444504455847</v>
      </c>
      <c r="DH141" s="173"/>
      <c r="DI141" s="173">
        <f t="shared" si="386"/>
        <v>0.85106382978723416</v>
      </c>
      <c r="DJ141" s="545">
        <f t="shared" si="387"/>
        <v>819.56249999999977</v>
      </c>
      <c r="DK141" s="528">
        <f t="shared" si="388"/>
        <v>0.79432624113475192</v>
      </c>
      <c r="DM141" s="173">
        <f t="shared" si="389"/>
        <v>2.0403080999832213</v>
      </c>
      <c r="DN141" s="173">
        <f t="shared" si="390"/>
        <v>2.0403080999832213</v>
      </c>
      <c r="DO141" s="173">
        <f t="shared" si="391"/>
        <v>1.7236850123332501</v>
      </c>
      <c r="DQ141" s="545">
        <f t="shared" si="392"/>
        <v>1859.9999999999998</v>
      </c>
      <c r="DR141" s="460">
        <f t="shared" si="393"/>
        <v>350</v>
      </c>
      <c r="DT141">
        <f t="shared" si="430"/>
        <v>1859.9999999999998</v>
      </c>
      <c r="DU141">
        <f t="shared" si="431"/>
        <v>350</v>
      </c>
      <c r="DW141" s="5">
        <f t="shared" si="394"/>
        <v>2.8571428571428572</v>
      </c>
      <c r="DX141" s="5">
        <f t="shared" si="395"/>
        <v>1.3602053999888144</v>
      </c>
      <c r="DY141" s="5">
        <f t="shared" si="396"/>
        <v>1.4969374571540428</v>
      </c>
      <c r="DZ141" s="5"/>
      <c r="EA141" s="173">
        <f t="shared" si="397"/>
        <v>0.47607188999608502</v>
      </c>
      <c r="EB141" s="173">
        <f t="shared" si="398"/>
        <v>8.7419999999999991</v>
      </c>
      <c r="EC141" s="173">
        <f t="shared" si="399"/>
        <v>2.1379495332997762</v>
      </c>
      <c r="ED141" s="173">
        <f t="shared" si="400"/>
        <v>4.0889646195283813</v>
      </c>
      <c r="EE141" s="460">
        <f t="shared" si="401"/>
        <v>63.249551099479859</v>
      </c>
      <c r="EF141" s="5">
        <f t="shared" si="402"/>
        <v>0.51561179079750363</v>
      </c>
      <c r="EH141" s="173">
        <f t="shared" si="403"/>
        <v>0.81277698207722859</v>
      </c>
      <c r="EI141" s="173">
        <f t="shared" si="404"/>
        <v>3.4106014132982003</v>
      </c>
      <c r="EK141" s="528">
        <f t="shared" si="405"/>
        <v>8.0593983556537241E-3</v>
      </c>
      <c r="EL141" s="528">
        <f t="shared" si="406"/>
        <v>0.52558336655567783</v>
      </c>
      <c r="EM141" s="528">
        <f t="shared" si="407"/>
        <v>4.3749999999999997E-2</v>
      </c>
      <c r="EN141" s="528">
        <f t="shared" si="408"/>
        <v>4.7398399999999993E-2</v>
      </c>
      <c r="EO141">
        <f t="shared" si="409"/>
        <v>8.0999999999999996E-3</v>
      </c>
      <c r="EP141" s="460">
        <f t="shared" si="410"/>
        <v>51.849999999999994</v>
      </c>
      <c r="EQ141" s="460"/>
      <c r="ER141" s="460">
        <f t="shared" si="432"/>
        <v>632.89116491133143</v>
      </c>
      <c r="ES141" s="528">
        <f t="shared" si="411"/>
        <v>1.3019999999999998</v>
      </c>
      <c r="EV141" s="460">
        <f t="shared" si="412"/>
        <v>1301.9999999999998</v>
      </c>
      <c r="EW141" s="528">
        <f t="shared" si="413"/>
        <v>1.9818192677837028E-2</v>
      </c>
      <c r="EX141" s="528">
        <f t="shared" si="414"/>
        <v>0.3489660600117504</v>
      </c>
      <c r="EY141" s="528">
        <f t="shared" si="415"/>
        <v>0.68136449527337561</v>
      </c>
      <c r="EZ141" s="528"/>
      <c r="FA141" s="528">
        <f t="shared" si="416"/>
        <v>3.6425000000000006E-2</v>
      </c>
      <c r="FB141" s="460">
        <f t="shared" si="417"/>
        <v>1086.5737479629629</v>
      </c>
      <c r="FC141" s="173">
        <f t="shared" si="418"/>
        <v>3.0214649128742943</v>
      </c>
      <c r="FD141" s="5">
        <f t="shared" si="419"/>
        <v>7.4399999999999995</v>
      </c>
      <c r="FE141" s="173">
        <f t="shared" si="420"/>
        <v>0.71118147046921121</v>
      </c>
      <c r="FF141" s="5">
        <f t="shared" si="421"/>
        <v>71.118147046921123</v>
      </c>
      <c r="FI141" s="562">
        <f t="shared" si="422"/>
        <v>-50</v>
      </c>
      <c r="FJ141">
        <f t="shared" si="423"/>
        <v>-50</v>
      </c>
      <c r="FL141">
        <f t="shared" si="424"/>
        <v>0.45581351169837919</v>
      </c>
    </row>
    <row r="142" spans="5:168">
      <c r="E142" s="170">
        <v>32</v>
      </c>
      <c r="F142" s="217">
        <f t="shared" si="425"/>
        <v>1.92</v>
      </c>
      <c r="G142" s="217"/>
      <c r="H142" s="217">
        <f t="shared" ref="H142:H173" si="442">F142*Vout</f>
        <v>7.68</v>
      </c>
      <c r="I142" s="541">
        <f t="shared" ref="I142:I173" si="443">VIN_min-F142*(Rdcr_pri+RON/1000)/CG142/Nps</f>
        <v>17.959391390174037</v>
      </c>
      <c r="J142" s="172">
        <f t="shared" ref="J142:J173" si="444">(T142+Vfwd1+F142/CG142*Rdcr_sec)*Nps</f>
        <v>19.261898879537007</v>
      </c>
      <c r="K142" s="172">
        <f t="shared" ref="K142:K173" si="445">(Vout+Vfwd1+F142/CG142*Rdcr_sec)*Nps++I142</f>
        <v>37.221290269711048</v>
      </c>
      <c r="L142" s="443"/>
      <c r="M142" s="217">
        <f t="shared" ref="M142:M173" si="446">(Vout+Vfwd1+F142/FL142*Rdcr_sec)*Nps/((Vout+Vfwd1+F142/FL142*Rdcr_sec)*Nps+I142)</f>
        <v>0.51795798647169788</v>
      </c>
      <c r="N142" s="172">
        <f t="shared" ref="N142:N173" si="447">M142*I142*(Isw_max+VIN_min/Lmag*ILIM_delay)*0.5*Efficiency</f>
        <v>31.216667071933319</v>
      </c>
      <c r="O142" s="172">
        <f t="shared" si="438"/>
        <v>7.68</v>
      </c>
      <c r="P142" s="217">
        <f t="shared" ref="P142:P172" si="448">N142/Vout</f>
        <v>7.8041667679833298</v>
      </c>
      <c r="Q142" s="217">
        <f t="shared" ref="Q142:Q173" si="449">MIN(Vout,N142/F142)</f>
        <v>4</v>
      </c>
      <c r="R142" s="217"/>
      <c r="S142" s="172">
        <f t="shared" ref="S142:S173" si="450">(SQRT(Isw_max^2*Nps^2*I142^2+4*Isw_max*F142/Efficiency*(Nps^2*Vfwd1*I142-Nps*I142^2)+4*(F142/Efficiency)^2*Nps^2*Vfwd1^2+8*(F142/Efficiency)^2*Nps*Vfwd1*I142+4*(F142/Efficiency)^2*I142^2)-2*F142/Efficiency*I142-2*F142/Efficiency*Nps*Vfwd1+Isw_max*Nps*I142)/(4*F142/Efficiency*Nps)</f>
        <v>26.803921833457053</v>
      </c>
      <c r="T142" s="172">
        <f t="shared" ref="T142:T173" si="451">MIN(Vout, S142)</f>
        <v>4</v>
      </c>
      <c r="U142" s="217">
        <f t="shared" ref="U142:U173" si="452">MIN(2*(Vout+Vfwd1+F142/FL142*Rdcr_sec)*F142/(I142*M142), Isw_max)</f>
        <v>1.991527653312392</v>
      </c>
      <c r="V142" s="217">
        <f t="shared" ref="V142:V173" si="453">L*U142/I142*1000000</f>
        <v>1.3306871775634885</v>
      </c>
      <c r="W142" s="217">
        <f t="shared" ref="W142:W173" si="454">L*U142/J142*1000000</f>
        <v>1.2407048749039606</v>
      </c>
      <c r="X142" s="197">
        <f t="shared" ref="X142:X173" si="455">IF(1/((350000*L)*(1/I142+1/J142))&gt;Isw_min, 350, 0.001/((Isw_min*L)*(1/I142+1/J142)))</f>
        <v>350</v>
      </c>
      <c r="Y142" s="443">
        <f t="shared" si="328"/>
        <v>350</v>
      </c>
      <c r="AA142" s="217">
        <f t="shared" ref="AA142:AA173" si="456">1/((X142*1000*L)*(1/I142+1/J142))</f>
        <v>2.2128399300308588</v>
      </c>
      <c r="AB142" s="173">
        <f t="shared" ref="AB142:AB173" si="457">L*AA142/J142*1000000</f>
        <v>1.3785805504658832</v>
      </c>
      <c r="AC142" s="173">
        <f t="shared" ref="AC142:AC173" si="458">0.5*AB142*AA142*Nps*X142/1000</f>
        <v>2.1354046621843796</v>
      </c>
      <c r="AD142" s="173"/>
      <c r="AE142" s="173">
        <f t="shared" ref="AE142:AE173" si="459">L*Isw_min/J142*1000000</f>
        <v>0.83065538346261891</v>
      </c>
      <c r="AF142" s="545">
        <f t="shared" ref="AF142:AF173" si="460">MAX(12000,F142/(0.5*AE142/1000000*Isw_min*Nps))/1000</f>
        <v>866.78544957916506</v>
      </c>
      <c r="AG142" s="528">
        <f t="shared" ref="AG142:AG173" si="461">0.5*AE142/1000000*Isw_min*Nps*X142*1000</f>
        <v>0.77527835789844435</v>
      </c>
      <c r="AI142" s="173">
        <f t="shared" ref="AI142:AI173" si="462">SQRT(F142/(0.5*L/J142*Fsw_DCM*Nps))</f>
        <v>2.0982658897037267</v>
      </c>
      <c r="AJ142" s="173">
        <f t="shared" ref="AJ142:AJ173" si="463">MAX(IF(F142&gt;AC142,U142,AI142),Isw_min)</f>
        <v>2.0982658897037267</v>
      </c>
      <c r="AK142" s="173">
        <f t="shared" ref="AK142:AK173" si="464">IF(F142&gt;AG142, (AJ142-Isw_min)/1.08*0.8+1.2, AF142*0.2/350+1)</f>
        <v>1.7666167084225135</v>
      </c>
      <c r="AM142" s="545">
        <f t="shared" ref="AM142:AM173" si="465">F142*1000</f>
        <v>1920</v>
      </c>
      <c r="AN142" s="460">
        <f t="shared" ref="AN142:AN173" si="466">IF(F142&gt;AG142, Y142, AF142)</f>
        <v>350</v>
      </c>
      <c r="AP142" s="460">
        <f t="shared" ref="AP142:AP173" si="467">IF(H142&gt;N142, "",AM142)</f>
        <v>1920</v>
      </c>
      <c r="AQ142" s="460">
        <f t="shared" ref="AQ142:AQ173" si="468">IF(H142&gt;N142, "",AN142)</f>
        <v>350</v>
      </c>
      <c r="AS142" s="5">
        <f t="shared" si="439"/>
        <v>2.8571428571428572</v>
      </c>
      <c r="AT142" s="5">
        <f t="shared" ref="AT142:AT173" si="469">L*AJ142/I142*1000000</f>
        <v>1.4020069015379213</v>
      </c>
      <c r="AU142" s="5">
        <f t="shared" si="343"/>
        <v>1.4551359556049359</v>
      </c>
      <c r="AV142" s="5"/>
      <c r="AW142" s="173">
        <f t="shared" si="344"/>
        <v>0.49070241553827243</v>
      </c>
      <c r="AX142" s="173">
        <f t="shared" si="435"/>
        <v>9.2457114621777627</v>
      </c>
      <c r="AY142" s="173">
        <f t="shared" si="436"/>
        <v>2.1372834983690914</v>
      </c>
      <c r="AZ142" s="173">
        <f t="shared" si="440"/>
        <v>4.3259172071617726</v>
      </c>
      <c r="BA142" s="460">
        <f t="shared" si="433"/>
        <v>67.296331273820215</v>
      </c>
      <c r="BB142" s="5">
        <f t="shared" si="434"/>
        <v>0.51855154295300099</v>
      </c>
      <c r="BD142" s="173">
        <f t="shared" si="441"/>
        <v>0.84861165308734599</v>
      </c>
      <c r="BE142" s="173">
        <f t="shared" si="437"/>
        <v>3.4581648548537087</v>
      </c>
      <c r="BG142" s="528">
        <f t="shared" si="347"/>
        <v>8.7857292006187828E-3</v>
      </c>
      <c r="BH142" s="528">
        <f t="shared" ref="BH142:BH173" si="470">0.5*K142*AJ142*AN142*1000*Tfall</f>
        <v>0.51253232456800446</v>
      </c>
      <c r="BI142" s="528">
        <f t="shared" ref="BI142:BI173" si="471">Qg*Vdd*AN142*1000*0+Qg*I142*AN142*1000</f>
        <v>0.15714467466402282</v>
      </c>
      <c r="BJ142" s="528">
        <f t="shared" si="350"/>
        <v>4.8489855726973029E-2</v>
      </c>
      <c r="BK142">
        <f t="shared" si="351"/>
        <v>8.081726125578316E-3</v>
      </c>
      <c r="BL142" s="460">
        <f t="shared" si="427"/>
        <v>165.22640078960114</v>
      </c>
      <c r="BM142" s="528">
        <f t="shared" ref="BM142:BM173" si="472">(BH142+BI142*0+BJ142+BK142*0+BG142*(1+RdsonTC*(Ta-25)))/(1-BG142*RdsonTC*ThetaJA)</f>
        <v>0.57337697465517901</v>
      </c>
      <c r="BN142" s="460">
        <f t="shared" si="353"/>
        <v>573.37697465517897</v>
      </c>
      <c r="BO142" s="528">
        <f t="shared" si="354"/>
        <v>1.3439999999999999</v>
      </c>
      <c r="BR142" s="460">
        <f t="shared" si="355"/>
        <v>1343.9999999999998</v>
      </c>
      <c r="BS142" s="528">
        <f t="shared" si="356"/>
        <v>2.160425213266914E-2</v>
      </c>
      <c r="BT142" s="528">
        <f t="shared" si="357"/>
        <v>0.35876712490036117</v>
      </c>
      <c r="BU142" s="528">
        <f t="shared" si="358"/>
        <v>0.73078801581114561</v>
      </c>
      <c r="BV142" s="528"/>
      <c r="BW142" s="528">
        <f t="shared" si="359"/>
        <v>3.8523797759074017E-2</v>
      </c>
      <c r="BX142" s="460">
        <f t="shared" si="360"/>
        <v>1149.6831906032498</v>
      </c>
      <c r="BY142" s="173">
        <f t="shared" si="361"/>
        <v>3.2287175008884472</v>
      </c>
      <c r="BZ142" s="5">
        <f t="shared" si="362"/>
        <v>7.68</v>
      </c>
      <c r="CA142" s="173">
        <f t="shared" si="363"/>
        <v>0.70402409810085487</v>
      </c>
      <c r="CB142" s="5">
        <f t="shared" si="364"/>
        <v>70.402409810085487</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0.49881047607421186</v>
      </c>
      <c r="CI142" s="170">
        <v>32</v>
      </c>
      <c r="CJ142" s="217">
        <f t="shared" si="428"/>
        <v>1.92</v>
      </c>
      <c r="CK142" s="217"/>
      <c r="CL142" s="217">
        <f t="shared" si="368"/>
        <v>7.68</v>
      </c>
      <c r="CM142" s="541">
        <f t="shared" si="369"/>
        <v>18</v>
      </c>
      <c r="CN142" s="443">
        <f t="shared" si="370"/>
        <v>18.8</v>
      </c>
      <c r="CO142" s="443">
        <f t="shared" si="371"/>
        <v>36.799999999999997</v>
      </c>
      <c r="CP142" s="443"/>
      <c r="CQ142" s="217">
        <f t="shared" si="372"/>
        <v>0.51086956521739135</v>
      </c>
      <c r="CR142" s="172">
        <f t="shared" si="429"/>
        <v>30.859076086956527</v>
      </c>
      <c r="CS142" s="172">
        <f t="shared" si="373"/>
        <v>7.68</v>
      </c>
      <c r="CT142" s="217">
        <f t="shared" si="374"/>
        <v>7.7147690217391318</v>
      </c>
      <c r="CU142" s="217">
        <f t="shared" si="375"/>
        <v>4</v>
      </c>
      <c r="CV142" s="217"/>
      <c r="CW142" s="172">
        <f t="shared" si="376"/>
        <v>26.864278341011861</v>
      </c>
      <c r="CX142" s="172">
        <f t="shared" si="377"/>
        <v>4</v>
      </c>
      <c r="CY142" s="217">
        <f t="shared" si="378"/>
        <v>1.6703546099290778</v>
      </c>
      <c r="CZ142" s="217">
        <f t="shared" si="379"/>
        <v>1.1135697399527185</v>
      </c>
      <c r="DA142" s="217">
        <f t="shared" si="380"/>
        <v>1.0661837935717517</v>
      </c>
      <c r="DB142" s="197">
        <f t="shared" si="381"/>
        <v>350</v>
      </c>
      <c r="DC142" s="443">
        <f t="shared" si="382"/>
        <v>350</v>
      </c>
      <c r="DE142" s="217">
        <f t="shared" si="383"/>
        <v>2.18944099378882</v>
      </c>
      <c r="DF142" s="173">
        <f t="shared" si="384"/>
        <v>1.3975155279503106</v>
      </c>
      <c r="DG142" s="173">
        <f t="shared" si="385"/>
        <v>2.1418444504455847</v>
      </c>
      <c r="DH142" s="173"/>
      <c r="DI142" s="173">
        <f t="shared" si="386"/>
        <v>0.85106382978723416</v>
      </c>
      <c r="DJ142" s="545">
        <f t="shared" si="387"/>
        <v>845.99999999999977</v>
      </c>
      <c r="DK142" s="528">
        <f t="shared" si="388"/>
        <v>0.79432624113475192</v>
      </c>
      <c r="DM142" s="173">
        <f t="shared" si="389"/>
        <v>2.0729551025390918</v>
      </c>
      <c r="DN142" s="173">
        <f t="shared" si="390"/>
        <v>2.0729551025390918</v>
      </c>
      <c r="DO142" s="173">
        <f t="shared" si="391"/>
        <v>1.7478679771894505</v>
      </c>
      <c r="DQ142" s="545">
        <f t="shared" si="392"/>
        <v>1920</v>
      </c>
      <c r="DR142" s="460">
        <f t="shared" si="393"/>
        <v>350</v>
      </c>
      <c r="DT142">
        <f t="shared" si="430"/>
        <v>1920</v>
      </c>
      <c r="DU142">
        <f t="shared" si="431"/>
        <v>350</v>
      </c>
      <c r="DW142" s="5">
        <f t="shared" si="394"/>
        <v>2.8571428571428572</v>
      </c>
      <c r="DX142" s="5">
        <f t="shared" si="395"/>
        <v>1.3819700683593945</v>
      </c>
      <c r="DY142" s="5">
        <f t="shared" si="396"/>
        <v>1.4751727887834627</v>
      </c>
      <c r="DZ142" s="5"/>
      <c r="EA142" s="173">
        <f t="shared" si="397"/>
        <v>0.48368952392578807</v>
      </c>
      <c r="EB142" s="173">
        <f t="shared" si="398"/>
        <v>9.0239999999999974</v>
      </c>
      <c r="EC142" s="173">
        <f t="shared" si="399"/>
        <v>2.1405768717448503</v>
      </c>
      <c r="ED142" s="173">
        <f t="shared" si="400"/>
        <v>4.2156860232934577</v>
      </c>
      <c r="EE142" s="460">
        <f t="shared" si="401"/>
        <v>66.334563281250936</v>
      </c>
      <c r="EF142" s="5">
        <f t="shared" si="402"/>
        <v>0.52450588045634217</v>
      </c>
      <c r="EH142" s="173">
        <f t="shared" si="403"/>
        <v>0.83236269794934326</v>
      </c>
      <c r="EI142" s="173">
        <f t="shared" si="404"/>
        <v>3.4398913737347985</v>
      </c>
      <c r="EK142" s="528">
        <f t="shared" si="405"/>
        <v>8.4524974634376162E-3</v>
      </c>
      <c r="EL142" s="528">
        <f t="shared" si="406"/>
        <v>0.53399323441406998</v>
      </c>
      <c r="EM142" s="528">
        <f t="shared" si="407"/>
        <v>4.3749999999999997E-2</v>
      </c>
      <c r="EN142" s="528">
        <f t="shared" si="408"/>
        <v>4.7398399999999993E-2</v>
      </c>
      <c r="EO142">
        <f t="shared" si="409"/>
        <v>8.0999999999999996E-3</v>
      </c>
      <c r="EP142" s="460">
        <f t="shared" si="410"/>
        <v>51.849999999999994</v>
      </c>
      <c r="EQ142" s="460"/>
      <c r="ER142" s="460">
        <f t="shared" si="432"/>
        <v>641.6941318775074</v>
      </c>
      <c r="ES142" s="528">
        <f t="shared" si="411"/>
        <v>1.3439999999999999</v>
      </c>
      <c r="EV142" s="460">
        <f t="shared" si="412"/>
        <v>1343.9999999999998</v>
      </c>
      <c r="EW142" s="528">
        <f t="shared" si="413"/>
        <v>2.0784829828125288E-2</v>
      </c>
      <c r="EX142" s="528">
        <f t="shared" si="414"/>
        <v>0.35498557989285234</v>
      </c>
      <c r="EY142" s="528">
        <f t="shared" si="415"/>
        <v>0.70894877282410895</v>
      </c>
      <c r="EZ142" s="528"/>
      <c r="FA142" s="528">
        <f t="shared" si="416"/>
        <v>3.7599999999999995E-2</v>
      </c>
      <c r="FB142" s="460">
        <f t="shared" si="417"/>
        <v>1122.3191825450867</v>
      </c>
      <c r="FC142" s="173">
        <f t="shared" si="418"/>
        <v>3.1080133144225939</v>
      </c>
      <c r="FD142" s="5">
        <f t="shared" si="419"/>
        <v>7.68</v>
      </c>
      <c r="FE142" s="173">
        <f t="shared" si="420"/>
        <v>0.71190123483927636</v>
      </c>
      <c r="FF142" s="5">
        <f t="shared" si="421"/>
        <v>71.190123483927636</v>
      </c>
      <c r="FI142" s="562">
        <f t="shared" si="422"/>
        <v>-50</v>
      </c>
      <c r="FJ142">
        <f t="shared" si="423"/>
        <v>-50</v>
      </c>
      <c r="FL142">
        <f t="shared" ref="FL142:FL173" si="476">MIN(SQRT(2*L*DR142*1000*CJ142*(CX142+Vfwd1))/(Nps*(CX142+Vfwd1)), 1-EA142)</f>
        <v>0.46310699099277586</v>
      </c>
    </row>
    <row r="143" spans="5:168">
      <c r="E143" s="170">
        <v>33</v>
      </c>
      <c r="F143" s="217">
        <f t="shared" ref="F143:F174" si="477">IF(PLOT_TYPE=1, E143/100*Iout_max, min_I*EXP(N143*rr/100))</f>
        <v>1.98</v>
      </c>
      <c r="G143" s="217"/>
      <c r="H143" s="217">
        <f t="shared" si="442"/>
        <v>7.92</v>
      </c>
      <c r="I143" s="541">
        <f t="shared" si="443"/>
        <v>17.957483139140233</v>
      </c>
      <c r="J143" s="172">
        <f t="shared" si="444"/>
        <v>19.28360410456607</v>
      </c>
      <c r="K143" s="172">
        <f t="shared" si="445"/>
        <v>37.241087243706303</v>
      </c>
      <c r="L143" s="443"/>
      <c r="M143" s="217">
        <f t="shared" si="446"/>
        <v>0.51808429937343281</v>
      </c>
      <c r="N143" s="172">
        <f t="shared" si="447"/>
        <v>31.220962095428668</v>
      </c>
      <c r="O143" s="172">
        <f t="shared" si="438"/>
        <v>7.92</v>
      </c>
      <c r="P143" s="217">
        <f t="shared" si="448"/>
        <v>7.8052405238571669</v>
      </c>
      <c r="Q143" s="217">
        <f t="shared" si="449"/>
        <v>4</v>
      </c>
      <c r="R143" s="217"/>
      <c r="S143" s="172">
        <f t="shared" si="450"/>
        <v>25.86039979059489</v>
      </c>
      <c r="T143" s="172">
        <f t="shared" si="451"/>
        <v>4</v>
      </c>
      <c r="U143" s="217">
        <f t="shared" si="452"/>
        <v>2.0543011956506967</v>
      </c>
      <c r="V143" s="217">
        <f t="shared" si="453"/>
        <v>1.3727766946403288</v>
      </c>
      <c r="W143" s="217">
        <f t="shared" si="454"/>
        <v>1.2783717304158524</v>
      </c>
      <c r="X143" s="197">
        <f t="shared" si="455"/>
        <v>350</v>
      </c>
      <c r="Y143" s="443">
        <f t="shared" si="328"/>
        <v>350</v>
      </c>
      <c r="AA143" s="217">
        <f t="shared" si="456"/>
        <v>2.213920553108617</v>
      </c>
      <c r="AB143" s="173">
        <f t="shared" si="457"/>
        <v>1.3777013100477791</v>
      </c>
      <c r="AC143" s="173">
        <f t="shared" si="458"/>
        <v>2.1350848724516118</v>
      </c>
      <c r="AD143" s="173"/>
      <c r="AE143" s="173">
        <f t="shared" si="459"/>
        <v>0.82972041498256233</v>
      </c>
      <c r="AF143" s="545">
        <f t="shared" si="460"/>
        <v>894.87975297751893</v>
      </c>
      <c r="AG143" s="528">
        <f t="shared" si="461"/>
        <v>0.77440572065039159</v>
      </c>
      <c r="AI143" s="173">
        <f t="shared" si="462"/>
        <v>2.1319992888143418</v>
      </c>
      <c r="AJ143" s="173">
        <f t="shared" si="463"/>
        <v>2.1319992888143418</v>
      </c>
      <c r="AK143" s="173">
        <f t="shared" si="464"/>
        <v>1.7916044114674134</v>
      </c>
      <c r="AM143" s="545">
        <f t="shared" si="465"/>
        <v>1980</v>
      </c>
      <c r="AN143" s="460">
        <f t="shared" si="466"/>
        <v>350</v>
      </c>
      <c r="AP143" s="460">
        <f t="shared" si="467"/>
        <v>1980</v>
      </c>
      <c r="AQ143" s="460">
        <f t="shared" si="468"/>
        <v>350</v>
      </c>
      <c r="AS143" s="5">
        <f t="shared" si="439"/>
        <v>2.8571428571428572</v>
      </c>
      <c r="AT143" s="5">
        <f t="shared" si="469"/>
        <v>1.4246980641740983</v>
      </c>
      <c r="AU143" s="5">
        <f t="shared" si="343"/>
        <v>1.4324447929687589</v>
      </c>
      <c r="AV143" s="5"/>
      <c r="AW143" s="173">
        <f t="shared" si="344"/>
        <v>0.49864432246093437</v>
      </c>
      <c r="AX143" s="173">
        <f t="shared" si="435"/>
        <v>9.5453840317602054</v>
      </c>
      <c r="AY143" s="173">
        <f t="shared" si="436"/>
        <v>2.1377798959126406</v>
      </c>
      <c r="AZ143" s="173">
        <f t="shared" si="440"/>
        <v>4.4650920564884355</v>
      </c>
      <c r="BA143" s="460">
        <f t="shared" si="433"/>
        <v>70.522554176617874</v>
      </c>
      <c r="BB143" s="5">
        <f t="shared" si="434"/>
        <v>0.52647331256502861</v>
      </c>
      <c r="BD143" s="173">
        <f t="shared" si="441"/>
        <v>0.86920430253598135</v>
      </c>
      <c r="BE143" s="173">
        <f t="shared" si="437"/>
        <v>3.4862569106812722</v>
      </c>
      <c r="BG143" s="528">
        <f t="shared" si="347"/>
        <v>9.2172966584741535E-3</v>
      </c>
      <c r="BH143" s="528">
        <f t="shared" si="470"/>
        <v>0.52104918808854639</v>
      </c>
      <c r="BI143" s="528">
        <f t="shared" si="471"/>
        <v>0.15712797746747703</v>
      </c>
      <c r="BJ143" s="528">
        <f t="shared" si="350"/>
        <v>4.8541450268267047E-2</v>
      </c>
      <c r="BK143">
        <f t="shared" si="351"/>
        <v>8.0808674126131054E-3</v>
      </c>
      <c r="BL143" s="460">
        <f t="shared" si="427"/>
        <v>165.20884488009014</v>
      </c>
      <c r="BM143" s="528">
        <f t="shared" si="472"/>
        <v>0.58257245608618136</v>
      </c>
      <c r="BN143" s="460">
        <f t="shared" si="353"/>
        <v>582.57245608618132</v>
      </c>
      <c r="BO143" s="528">
        <f t="shared" si="354"/>
        <v>1.3859999999999999</v>
      </c>
      <c r="BR143" s="460">
        <f t="shared" si="355"/>
        <v>1386</v>
      </c>
      <c r="BS143" s="528">
        <f t="shared" si="356"/>
        <v>2.2665483586411853E-2</v>
      </c>
      <c r="BT143" s="528">
        <f t="shared" si="357"/>
        <v>0.36461961741818782</v>
      </c>
      <c r="BU143" s="528">
        <f t="shared" si="358"/>
        <v>0.76051494685426735</v>
      </c>
      <c r="BV143" s="528"/>
      <c r="BW143" s="528">
        <f t="shared" si="359"/>
        <v>3.9772433465667528E-2</v>
      </c>
      <c r="BX143" s="460">
        <f t="shared" si="360"/>
        <v>1187.5724813245345</v>
      </c>
      <c r="BY143" s="173">
        <f t="shared" si="361"/>
        <v>3.3175892612199127</v>
      </c>
      <c r="BZ143" s="5">
        <f t="shared" si="362"/>
        <v>7.92</v>
      </c>
      <c r="CA143" s="173">
        <f t="shared" si="363"/>
        <v>0.70477749416695024</v>
      </c>
      <c r="CB143" s="5">
        <f t="shared" si="364"/>
        <v>70.477749416695019</v>
      </c>
      <c r="CE143" s="562">
        <f t="shared" si="473"/>
        <v>-50</v>
      </c>
      <c r="CF143">
        <f t="shared" si="474"/>
        <v>-50</v>
      </c>
      <c r="CG143" s="173">
        <f t="shared" si="475"/>
        <v>0.49131096646335176</v>
      </c>
      <c r="CI143" s="170">
        <v>33</v>
      </c>
      <c r="CJ143" s="217">
        <f t="shared" si="428"/>
        <v>1.98</v>
      </c>
      <c r="CK143" s="217"/>
      <c r="CL143" s="217">
        <f t="shared" si="368"/>
        <v>7.92</v>
      </c>
      <c r="CM143" s="541">
        <f t="shared" si="369"/>
        <v>18</v>
      </c>
      <c r="CN143" s="443">
        <f t="shared" si="370"/>
        <v>18.8</v>
      </c>
      <c r="CO143" s="443">
        <f t="shared" si="371"/>
        <v>36.799999999999997</v>
      </c>
      <c r="CP143" s="443"/>
      <c r="CQ143" s="217">
        <f t="shared" si="372"/>
        <v>0.51086956521739135</v>
      </c>
      <c r="CR143" s="172">
        <f t="shared" si="429"/>
        <v>30.859076086956527</v>
      </c>
      <c r="CS143" s="172">
        <f t="shared" si="373"/>
        <v>7.92</v>
      </c>
      <c r="CT143" s="217">
        <f t="shared" si="374"/>
        <v>7.7147690217391318</v>
      </c>
      <c r="CU143" s="217">
        <f t="shared" si="375"/>
        <v>4</v>
      </c>
      <c r="CV143" s="217"/>
      <c r="CW143" s="172">
        <f t="shared" si="376"/>
        <v>25.921356355165837</v>
      </c>
      <c r="CX143" s="172">
        <f t="shared" si="377"/>
        <v>4</v>
      </c>
      <c r="CY143" s="217">
        <f t="shared" si="378"/>
        <v>1.7225531914893615</v>
      </c>
      <c r="CZ143" s="217">
        <f t="shared" si="379"/>
        <v>1.1483687943262411</v>
      </c>
      <c r="DA143" s="217">
        <f t="shared" si="380"/>
        <v>1.099502037120869</v>
      </c>
      <c r="DB143" s="197">
        <f t="shared" si="381"/>
        <v>350</v>
      </c>
      <c r="DC143" s="443">
        <f t="shared" si="382"/>
        <v>350</v>
      </c>
      <c r="DE143" s="217">
        <f t="shared" si="383"/>
        <v>2.18944099378882</v>
      </c>
      <c r="DF143" s="173">
        <f t="shared" si="384"/>
        <v>1.3975155279503106</v>
      </c>
      <c r="DG143" s="173">
        <f t="shared" si="385"/>
        <v>2.1418444504455847</v>
      </c>
      <c r="DH143" s="173"/>
      <c r="DI143" s="173">
        <f t="shared" si="386"/>
        <v>0.85106382978723416</v>
      </c>
      <c r="DJ143" s="545">
        <f t="shared" si="387"/>
        <v>872.43749999999977</v>
      </c>
      <c r="DK143" s="528">
        <f t="shared" si="388"/>
        <v>0.79432624113475192</v>
      </c>
      <c r="DM143" s="173">
        <f t="shared" si="389"/>
        <v>2.1050958580142072</v>
      </c>
      <c r="DN143" s="173">
        <f t="shared" si="390"/>
        <v>2.1050958580142072</v>
      </c>
      <c r="DO143" s="173">
        <f t="shared" si="391"/>
        <v>1.7716759442080545</v>
      </c>
      <c r="DQ143" s="545">
        <f t="shared" si="392"/>
        <v>1980</v>
      </c>
      <c r="DR143" s="460">
        <f t="shared" si="393"/>
        <v>350</v>
      </c>
      <c r="DT143">
        <f t="shared" si="430"/>
        <v>1980</v>
      </c>
      <c r="DU143">
        <f t="shared" si="431"/>
        <v>350</v>
      </c>
      <c r="DW143" s="5">
        <f t="shared" si="394"/>
        <v>2.8571428571428572</v>
      </c>
      <c r="DX143" s="5">
        <f t="shared" si="395"/>
        <v>1.403397238676138</v>
      </c>
      <c r="DY143" s="5">
        <f t="shared" si="396"/>
        <v>1.4537456184667192</v>
      </c>
      <c r="DZ143" s="5"/>
      <c r="EA143" s="173">
        <f t="shared" si="397"/>
        <v>0.49118903353664828</v>
      </c>
      <c r="EB143" s="173">
        <f t="shared" si="398"/>
        <v>9.3059999999999992</v>
      </c>
      <c r="EC143" s="173">
        <f t="shared" si="399"/>
        <v>2.1421917160284152</v>
      </c>
      <c r="ED143" s="173">
        <f t="shared" si="400"/>
        <v>4.3441489995363982</v>
      </c>
      <c r="EE143" s="460">
        <f t="shared" si="401"/>
        <v>69.468163314468839</v>
      </c>
      <c r="EF143" s="5">
        <f t="shared" si="402"/>
        <v>0.53304006010446359</v>
      </c>
      <c r="EH143" s="173">
        <f t="shared" si="403"/>
        <v>0.85179596875986874</v>
      </c>
      <c r="EI143" s="173">
        <f t="shared" si="404"/>
        <v>3.467763509231375</v>
      </c>
      <c r="EK143" s="528">
        <f t="shared" si="405"/>
        <v>8.8517877432258713E-3</v>
      </c>
      <c r="EL143" s="528">
        <f t="shared" si="406"/>
        <v>0.54227269302445968</v>
      </c>
      <c r="EM143" s="528">
        <f t="shared" si="407"/>
        <v>4.3749999999999997E-2</v>
      </c>
      <c r="EN143" s="528">
        <f t="shared" si="408"/>
        <v>4.7398399999999993E-2</v>
      </c>
      <c r="EO143">
        <f t="shared" si="409"/>
        <v>8.0999999999999996E-3</v>
      </c>
      <c r="EP143" s="460">
        <f t="shared" si="410"/>
        <v>51.849999999999994</v>
      </c>
      <c r="EQ143" s="460"/>
      <c r="ER143" s="460">
        <f t="shared" si="432"/>
        <v>650.3728807676855</v>
      </c>
      <c r="ES143" s="528">
        <f t="shared" si="411"/>
        <v>1.3859999999999999</v>
      </c>
      <c r="EV143" s="460">
        <f t="shared" si="412"/>
        <v>1386</v>
      </c>
      <c r="EW143" s="528">
        <f t="shared" si="413"/>
        <v>2.1766691171866897E-2</v>
      </c>
      <c r="EX143" s="528">
        <f t="shared" si="414"/>
        <v>0.36076151267870105</v>
      </c>
      <c r="EY143" s="528">
        <f t="shared" si="415"/>
        <v>0.73674942748731631</v>
      </c>
      <c r="EZ143" s="528"/>
      <c r="FA143" s="528">
        <f t="shared" si="416"/>
        <v>3.8775000000000004E-2</v>
      </c>
      <c r="FB143" s="460">
        <f t="shared" si="417"/>
        <v>1158.0526313378843</v>
      </c>
      <c r="FC143" s="173">
        <f t="shared" si="418"/>
        <v>3.1944255121055694</v>
      </c>
      <c r="FD143" s="5">
        <f t="shared" si="419"/>
        <v>7.92</v>
      </c>
      <c r="FE143" s="173">
        <f t="shared" si="420"/>
        <v>0.71258743795383062</v>
      </c>
      <c r="FF143" s="5">
        <f t="shared" si="421"/>
        <v>71.258743795383054</v>
      </c>
      <c r="FI143" s="562">
        <f t="shared" si="422"/>
        <v>-50</v>
      </c>
      <c r="FJ143">
        <f t="shared" si="423"/>
        <v>-50</v>
      </c>
      <c r="FL143">
        <f t="shared" si="476"/>
        <v>0.4702873725350889</v>
      </c>
    </row>
    <row r="144" spans="5:168">
      <c r="E144" s="170">
        <v>34</v>
      </c>
      <c r="F144" s="217">
        <f t="shared" si="477"/>
        <v>2.04</v>
      </c>
      <c r="G144" s="217"/>
      <c r="H144" s="217">
        <f t="shared" si="442"/>
        <v>8.16</v>
      </c>
      <c r="I144" s="541">
        <f t="shared" si="443"/>
        <v>17.95552609738338</v>
      </c>
      <c r="J144" s="172">
        <f t="shared" si="444"/>
        <v>19.305864295165343</v>
      </c>
      <c r="K144" s="172">
        <f t="shared" si="445"/>
        <v>37.261390392548719</v>
      </c>
      <c r="L144" s="443"/>
      <c r="M144" s="217">
        <f t="shared" si="446"/>
        <v>0.5182097515368338</v>
      </c>
      <c r="N144" s="172">
        <f t="shared" si="447"/>
        <v>31.225118788274116</v>
      </c>
      <c r="O144" s="172">
        <f t="shared" si="438"/>
        <v>8.16</v>
      </c>
      <c r="P144" s="217">
        <f t="shared" si="448"/>
        <v>7.8062796970685291</v>
      </c>
      <c r="Q144" s="217">
        <f t="shared" si="449"/>
        <v>4</v>
      </c>
      <c r="R144" s="217"/>
      <c r="S144" s="172">
        <f t="shared" si="450"/>
        <v>24.972609110077485</v>
      </c>
      <c r="T144" s="172">
        <f t="shared" si="451"/>
        <v>4</v>
      </c>
      <c r="U144" s="217">
        <f t="shared" si="452"/>
        <v>2.1171038709347831</v>
      </c>
      <c r="V144" s="217">
        <f t="shared" si="453"/>
        <v>1.414898472672413</v>
      </c>
      <c r="W144" s="217">
        <f t="shared" si="454"/>
        <v>1.3159341670903328</v>
      </c>
      <c r="X144" s="197">
        <f t="shared" si="455"/>
        <v>350</v>
      </c>
      <c r="Y144" s="443">
        <f t="shared" si="328"/>
        <v>341.19996701038207</v>
      </c>
      <c r="AA144" s="217">
        <f t="shared" si="456"/>
        <v>2.2150270633927729</v>
      </c>
      <c r="AB144" s="173">
        <f t="shared" si="457"/>
        <v>1.3768005593704311</v>
      </c>
      <c r="AC144" s="173">
        <f t="shared" si="458"/>
        <v>2.1347553499298693</v>
      </c>
      <c r="AD144" s="173"/>
      <c r="AE144" s="173">
        <f t="shared" si="459"/>
        <v>0.82876372460604064</v>
      </c>
      <c r="AF144" s="545">
        <f t="shared" si="460"/>
        <v>923.06163661259257</v>
      </c>
      <c r="AG144" s="528">
        <f t="shared" si="461"/>
        <v>0.77351280963230473</v>
      </c>
      <c r="AI144" s="173">
        <f t="shared" si="462"/>
        <v>2.1653099184900952</v>
      </c>
      <c r="AJ144" s="173">
        <f t="shared" si="463"/>
        <v>2.1653099184900952</v>
      </c>
      <c r="AK144" s="173">
        <f t="shared" si="464"/>
        <v>1.8162789519679716</v>
      </c>
      <c r="AM144" s="545">
        <f t="shared" si="465"/>
        <v>2040</v>
      </c>
      <c r="AN144" s="460">
        <f t="shared" si="466"/>
        <v>341.19996701038207</v>
      </c>
      <c r="AP144" s="460">
        <f t="shared" si="467"/>
        <v>2040</v>
      </c>
      <c r="AQ144" s="460">
        <f t="shared" si="468"/>
        <v>341.19996701038207</v>
      </c>
      <c r="AS144" s="5">
        <f t="shared" si="439"/>
        <v>2.9308326397627464</v>
      </c>
      <c r="AT144" s="5">
        <f t="shared" si="469"/>
        <v>1.4471154384982177</v>
      </c>
      <c r="AU144" s="5">
        <f t="shared" si="343"/>
        <v>1.4837172012645288</v>
      </c>
      <c r="AV144" s="5"/>
      <c r="AW144" s="173">
        <f t="shared" si="344"/>
        <v>0.4937557398758064</v>
      </c>
      <c r="AX144" s="173">
        <f t="shared" si="435"/>
        <v>9.5984335226138207</v>
      </c>
      <c r="AY144" s="173">
        <f t="shared" si="436"/>
        <v>2.1923514352511928</v>
      </c>
      <c r="AZ144" s="173">
        <f t="shared" si="440"/>
        <v>4.3781454780830167</v>
      </c>
      <c r="BA144" s="460">
        <f t="shared" si="433"/>
        <v>73.802887363409098</v>
      </c>
      <c r="BB144" s="5">
        <f t="shared" si="434"/>
        <v>0.56190372333724503</v>
      </c>
      <c r="BD144" s="173">
        <f t="shared" si="441"/>
        <v>0.87844690397862257</v>
      </c>
      <c r="BE144" s="173">
        <f t="shared" si="437"/>
        <v>3.5579470888197697</v>
      </c>
      <c r="BG144" s="528">
        <f t="shared" si="347"/>
        <v>9.4143613499374518E-3</v>
      </c>
      <c r="BH144" s="528">
        <f t="shared" si="470"/>
        <v>0.5161659763877412</v>
      </c>
      <c r="BI144" s="528">
        <f t="shared" si="471"/>
        <v>0.1531606228020316</v>
      </c>
      <c r="BJ144" s="528">
        <f t="shared" si="350"/>
        <v>4.737258604088411E-2</v>
      </c>
      <c r="BK144">
        <f t="shared" si="351"/>
        <v>8.0799867438225217E-3</v>
      </c>
      <c r="BL144" s="460">
        <f t="shared" si="427"/>
        <v>161.24060954585411</v>
      </c>
      <c r="BM144" s="528">
        <f t="shared" si="472"/>
        <v>0.57678498413646828</v>
      </c>
      <c r="BN144" s="460">
        <f t="shared" si="353"/>
        <v>576.78498413646832</v>
      </c>
      <c r="BO144" s="528">
        <f t="shared" si="354"/>
        <v>1.4279999999999999</v>
      </c>
      <c r="BR144" s="460">
        <f t="shared" si="355"/>
        <v>1428</v>
      </c>
      <c r="BS144" s="528">
        <f t="shared" si="356"/>
        <v>2.3150068893288817E-2</v>
      </c>
      <c r="BT144" s="528">
        <f t="shared" si="357"/>
        <v>0.37976962460523223</v>
      </c>
      <c r="BU144" s="528">
        <f t="shared" si="358"/>
        <v>0.74180988922693414</v>
      </c>
      <c r="BV144" s="528"/>
      <c r="BW144" s="528">
        <f t="shared" si="359"/>
        <v>3.9993473010890922E-2</v>
      </c>
      <c r="BX144" s="460">
        <f t="shared" si="360"/>
        <v>1184.7230557363459</v>
      </c>
      <c r="BY144" s="173">
        <f t="shared" si="361"/>
        <v>3.3469165890607626</v>
      </c>
      <c r="BZ144" s="5">
        <f t="shared" si="362"/>
        <v>8.16</v>
      </c>
      <c r="CA144" s="173">
        <f t="shared" si="363"/>
        <v>0.70913871121282279</v>
      </c>
      <c r="CB144" s="5">
        <f t="shared" si="364"/>
        <v>70.913871121282284</v>
      </c>
      <c r="CE144" s="562">
        <f t="shared" si="473"/>
        <v>-50</v>
      </c>
      <c r="CF144">
        <f t="shared" si="474"/>
        <v>-50</v>
      </c>
      <c r="CG144" s="173">
        <f t="shared" si="475"/>
        <v>0.48392425071231376</v>
      </c>
      <c r="CI144" s="170">
        <v>34</v>
      </c>
      <c r="CJ144" s="217">
        <f t="shared" si="428"/>
        <v>2.04</v>
      </c>
      <c r="CK144" s="217"/>
      <c r="CL144" s="217">
        <f t="shared" si="368"/>
        <v>8.16</v>
      </c>
      <c r="CM144" s="541">
        <f t="shared" si="369"/>
        <v>18</v>
      </c>
      <c r="CN144" s="443">
        <f t="shared" si="370"/>
        <v>18.8</v>
      </c>
      <c r="CO144" s="443">
        <f t="shared" si="371"/>
        <v>36.799999999999997</v>
      </c>
      <c r="CP144" s="443"/>
      <c r="CQ144" s="217">
        <f t="shared" si="372"/>
        <v>0.51086956521739135</v>
      </c>
      <c r="CR144" s="172">
        <f t="shared" si="429"/>
        <v>30.859076086956527</v>
      </c>
      <c r="CS144" s="172">
        <f t="shared" si="373"/>
        <v>8.16</v>
      </c>
      <c r="CT144" s="217">
        <f t="shared" si="374"/>
        <v>7.7147690217391318</v>
      </c>
      <c r="CU144" s="217">
        <f t="shared" si="375"/>
        <v>4</v>
      </c>
      <c r="CV144" s="217"/>
      <c r="CW144" s="172">
        <f t="shared" si="376"/>
        <v>25.034170052299135</v>
      </c>
      <c r="CX144" s="172">
        <f t="shared" si="377"/>
        <v>4</v>
      </c>
      <c r="CY144" s="217">
        <f t="shared" si="378"/>
        <v>1.7747517730496452</v>
      </c>
      <c r="CZ144" s="217">
        <f t="shared" si="379"/>
        <v>1.1831678486997637</v>
      </c>
      <c r="DA144" s="217">
        <f t="shared" si="380"/>
        <v>1.1328202806699861</v>
      </c>
      <c r="DB144" s="197">
        <f t="shared" si="381"/>
        <v>350</v>
      </c>
      <c r="DC144" s="443">
        <f t="shared" si="382"/>
        <v>350</v>
      </c>
      <c r="DE144" s="217">
        <f t="shared" si="383"/>
        <v>2.18944099378882</v>
      </c>
      <c r="DF144" s="173">
        <f t="shared" si="384"/>
        <v>1.3975155279503106</v>
      </c>
      <c r="DG144" s="173">
        <f t="shared" si="385"/>
        <v>2.1418444504455847</v>
      </c>
      <c r="DH144" s="173"/>
      <c r="DI144" s="173">
        <f t="shared" si="386"/>
        <v>0.85106382978723416</v>
      </c>
      <c r="DJ144" s="545">
        <f t="shared" si="387"/>
        <v>898.87499999999977</v>
      </c>
      <c r="DK144" s="528">
        <f t="shared" si="388"/>
        <v>0.79432624113475192</v>
      </c>
      <c r="DM144" s="173">
        <f t="shared" si="389"/>
        <v>2.136753211232941</v>
      </c>
      <c r="DN144" s="173">
        <f t="shared" si="390"/>
        <v>2.136753211232941</v>
      </c>
      <c r="DO144" s="173">
        <f t="shared" si="391"/>
        <v>1.7951258354811905</v>
      </c>
      <c r="DQ144" s="545">
        <f t="shared" si="392"/>
        <v>2040</v>
      </c>
      <c r="DR144" s="460">
        <f t="shared" si="393"/>
        <v>350</v>
      </c>
      <c r="DT144">
        <f t="shared" si="430"/>
        <v>2040</v>
      </c>
      <c r="DU144">
        <f t="shared" si="431"/>
        <v>350</v>
      </c>
      <c r="DW144" s="5">
        <f t="shared" si="394"/>
        <v>2.8571428571428572</v>
      </c>
      <c r="DX144" s="5">
        <f t="shared" si="395"/>
        <v>1.4245021408219607</v>
      </c>
      <c r="DY144" s="5">
        <f t="shared" si="396"/>
        <v>1.4326407163208965</v>
      </c>
      <c r="DZ144" s="5"/>
      <c r="EA144" s="173">
        <f t="shared" si="397"/>
        <v>0.49857574928768622</v>
      </c>
      <c r="EB144" s="173">
        <f t="shared" si="398"/>
        <v>9.588000000000001</v>
      </c>
      <c r="EC144" s="173">
        <f t="shared" si="399"/>
        <v>2.1428397557992156</v>
      </c>
      <c r="ED144" s="173">
        <f t="shared" si="400"/>
        <v>4.474436305398843</v>
      </c>
      <c r="EE144" s="460">
        <f t="shared" si="401"/>
        <v>72.649609181919999</v>
      </c>
      <c r="EF144" s="5">
        <f t="shared" si="402"/>
        <v>0.54121982616567199</v>
      </c>
      <c r="EH144" s="173">
        <f t="shared" si="403"/>
        <v>0.87108254890748682</v>
      </c>
      <c r="EI144" s="173">
        <f t="shared" si="404"/>
        <v>3.4942694913669095</v>
      </c>
      <c r="EK144" s="528">
        <f t="shared" si="405"/>
        <v>9.2571746455362008E-3</v>
      </c>
      <c r="EL144" s="528">
        <f t="shared" si="406"/>
        <v>0.5504276272136055</v>
      </c>
      <c r="EM144" s="528">
        <f t="shared" si="407"/>
        <v>4.3749999999999997E-2</v>
      </c>
      <c r="EN144" s="528">
        <f t="shared" si="408"/>
        <v>4.7398399999999993E-2</v>
      </c>
      <c r="EO144">
        <f t="shared" si="409"/>
        <v>8.0999999999999996E-3</v>
      </c>
      <c r="EP144" s="460">
        <f t="shared" si="410"/>
        <v>51.849999999999994</v>
      </c>
      <c r="EQ144" s="460"/>
      <c r="ER144" s="460">
        <f t="shared" si="432"/>
        <v>658.9332018591416</v>
      </c>
      <c r="ES144" s="528">
        <f t="shared" si="411"/>
        <v>1.4279999999999999</v>
      </c>
      <c r="EV144" s="460">
        <f t="shared" si="412"/>
        <v>1428</v>
      </c>
      <c r="EW144" s="528">
        <f t="shared" si="413"/>
        <v>2.2763544210334923E-2</v>
      </c>
      <c r="EX144" s="528">
        <f t="shared" si="414"/>
        <v>0.36629757834892679</v>
      </c>
      <c r="EY144" s="528">
        <f t="shared" si="415"/>
        <v>0.76476152138581777</v>
      </c>
      <c r="EZ144" s="528"/>
      <c r="FA144" s="528">
        <f t="shared" si="416"/>
        <v>3.9949999999999999E-2</v>
      </c>
      <c r="FB144" s="460">
        <f t="shared" si="417"/>
        <v>1193.7726439450794</v>
      </c>
      <c r="FC144" s="173">
        <f t="shared" si="418"/>
        <v>3.2807058458042211</v>
      </c>
      <c r="FD144" s="5">
        <f t="shared" si="419"/>
        <v>8.16</v>
      </c>
      <c r="FE144" s="173">
        <f t="shared" si="420"/>
        <v>0.71324270634863052</v>
      </c>
      <c r="FF144" s="5">
        <f t="shared" si="421"/>
        <v>71.324270634863055</v>
      </c>
      <c r="FI144" s="562">
        <f t="shared" si="422"/>
        <v>-50</v>
      </c>
      <c r="FJ144">
        <f t="shared" si="423"/>
        <v>-50</v>
      </c>
      <c r="FL144">
        <f t="shared" si="476"/>
        <v>0.47735975995629537</v>
      </c>
    </row>
    <row r="145" spans="5:168">
      <c r="E145" s="170">
        <v>35</v>
      </c>
      <c r="F145" s="217">
        <f t="shared" si="477"/>
        <v>2.0999999999999996</v>
      </c>
      <c r="G145" s="217"/>
      <c r="H145" s="217">
        <f t="shared" si="442"/>
        <v>8.3999999999999986</v>
      </c>
      <c r="I145" s="541">
        <f t="shared" si="443"/>
        <v>17.953518904039601</v>
      </c>
      <c r="J145" s="172">
        <f t="shared" si="444"/>
        <v>19.328694930355233</v>
      </c>
      <c r="K145" s="172">
        <f t="shared" si="445"/>
        <v>37.282213834394838</v>
      </c>
      <c r="L145" s="443"/>
      <c r="M145" s="217">
        <f t="shared" si="446"/>
        <v>0.51833442961768172</v>
      </c>
      <c r="N145" s="172">
        <f t="shared" si="447"/>
        <v>31.22913995958578</v>
      </c>
      <c r="O145" s="172">
        <f t="shared" si="438"/>
        <v>8.3999999999999986</v>
      </c>
      <c r="P145" s="217">
        <f t="shared" si="448"/>
        <v>7.8072849898964449</v>
      </c>
      <c r="Q145" s="217">
        <f t="shared" si="449"/>
        <v>4</v>
      </c>
      <c r="R145" s="217"/>
      <c r="S145" s="172">
        <f t="shared" si="450"/>
        <v>24.135774976072621</v>
      </c>
      <c r="T145" s="172">
        <f t="shared" si="451"/>
        <v>4</v>
      </c>
      <c r="U145" s="217">
        <f t="shared" si="452"/>
        <v>2.1799357574313865</v>
      </c>
      <c r="V145" s="217">
        <f t="shared" si="453"/>
        <v>1.4570530283782266</v>
      </c>
      <c r="W145" s="217">
        <f t="shared" si="454"/>
        <v>1.3533882749680231</v>
      </c>
      <c r="X145" s="197">
        <f t="shared" si="455"/>
        <v>350</v>
      </c>
      <c r="Y145" s="443">
        <f t="shared" si="328"/>
        <v>332.17721232048342</v>
      </c>
      <c r="AA145" s="217">
        <f t="shared" si="456"/>
        <v>2.2161600994689215</v>
      </c>
      <c r="AB145" s="173">
        <f t="shared" si="457"/>
        <v>1.3758777449512107</v>
      </c>
      <c r="AC145" s="173">
        <f t="shared" si="458"/>
        <v>2.1344157520757054</v>
      </c>
      <c r="AD145" s="173"/>
      <c r="AE145" s="173">
        <f t="shared" si="459"/>
        <v>0.82778480687138389</v>
      </c>
      <c r="AF145" s="545">
        <f t="shared" si="460"/>
        <v>951.3342036034212</v>
      </c>
      <c r="AG145" s="528">
        <f t="shared" si="461"/>
        <v>0.7725991530799583</v>
      </c>
      <c r="AI145" s="173">
        <f t="shared" si="462"/>
        <v>2.1982205832420019</v>
      </c>
      <c r="AJ145" s="173">
        <f t="shared" si="463"/>
        <v>2.1982205832420019</v>
      </c>
      <c r="AK145" s="173">
        <f t="shared" si="464"/>
        <v>1.8406572221545692</v>
      </c>
      <c r="AM145" s="545">
        <f t="shared" si="465"/>
        <v>2099.9999999999995</v>
      </c>
      <c r="AN145" s="460">
        <f t="shared" si="466"/>
        <v>332.17721232048342</v>
      </c>
      <c r="AP145" s="460">
        <f t="shared" si="467"/>
        <v>2099.9999999999995</v>
      </c>
      <c r="AQ145" s="460">
        <f t="shared" si="468"/>
        <v>332.17721232048342</v>
      </c>
      <c r="AS145" s="5">
        <f t="shared" si="439"/>
        <v>3.0104413033462496</v>
      </c>
      <c r="AT145" s="5">
        <f t="shared" si="469"/>
        <v>1.4692744714780535</v>
      </c>
      <c r="AU145" s="5">
        <f t="shared" si="343"/>
        <v>1.5411668318681961</v>
      </c>
      <c r="AV145" s="5"/>
      <c r="AW145" s="173">
        <f t="shared" si="344"/>
        <v>0.48805949806923143</v>
      </c>
      <c r="AX145" s="173">
        <f t="shared" si="435"/>
        <v>9.6308279996376882</v>
      </c>
      <c r="AY145" s="173">
        <f t="shared" si="436"/>
        <v>2.2507162974789146</v>
      </c>
      <c r="AZ145" s="173">
        <f t="shared" si="440"/>
        <v>4.2790057593777711</v>
      </c>
      <c r="BA145" s="460">
        <f t="shared" si="433"/>
        <v>77.136909752597788</v>
      </c>
      <c r="BB145" s="5">
        <f t="shared" si="434"/>
        <v>0.60089433613206578</v>
      </c>
      <c r="BD145" s="173">
        <f t="shared" si="441"/>
        <v>0.88663940180711154</v>
      </c>
      <c r="BE145" s="173">
        <f t="shared" si="437"/>
        <v>3.6322888622855527</v>
      </c>
      <c r="BG145" s="528">
        <f t="shared" si="347"/>
        <v>9.5907790318098436E-3</v>
      </c>
      <c r="BH145" s="528">
        <f t="shared" si="470"/>
        <v>0.51043926110911919</v>
      </c>
      <c r="BI145" s="528">
        <f t="shared" si="471"/>
        <v>0.14909374652217439</v>
      </c>
      <c r="BJ145" s="528">
        <f t="shared" si="350"/>
        <v>4.6171419015827712E-2</v>
      </c>
      <c r="BK145">
        <f t="shared" si="351"/>
        <v>8.0790835068178211E-3</v>
      </c>
      <c r="BL145" s="460">
        <f t="shared" si="427"/>
        <v>157.17283002899222</v>
      </c>
      <c r="BM145" s="528">
        <f t="shared" si="472"/>
        <v>0.57009007313706273</v>
      </c>
      <c r="BN145" s="460">
        <f t="shared" si="353"/>
        <v>570.09007313706275</v>
      </c>
      <c r="BO145" s="528">
        <f t="shared" si="354"/>
        <v>1.4699999999999998</v>
      </c>
      <c r="BR145" s="460">
        <f t="shared" si="355"/>
        <v>1469.9999999999998</v>
      </c>
      <c r="BS145" s="528">
        <f t="shared" si="356"/>
        <v>2.3583882865106175E-2</v>
      </c>
      <c r="BT145" s="528">
        <f t="shared" si="357"/>
        <v>0.39580567137251021</v>
      </c>
      <c r="BU145" s="528">
        <f t="shared" si="358"/>
        <v>0.72039845026718463</v>
      </c>
      <c r="BV145" s="528"/>
      <c r="BW145" s="528">
        <f t="shared" si="359"/>
        <v>4.0128449998490377E-2</v>
      </c>
      <c r="BX145" s="460">
        <f t="shared" si="360"/>
        <v>1179.9164545032913</v>
      </c>
      <c r="BY145" s="173">
        <f t="shared" si="361"/>
        <v>3.37329074368904</v>
      </c>
      <c r="BZ145" s="5">
        <f t="shared" si="362"/>
        <v>8.3999999999999986</v>
      </c>
      <c r="CA145" s="173">
        <f t="shared" si="363"/>
        <v>0.71347936467998463</v>
      </c>
      <c r="CB145" s="5">
        <f t="shared" si="364"/>
        <v>71.347936467998466</v>
      </c>
      <c r="CE145" s="562">
        <f t="shared" si="473"/>
        <v>-50</v>
      </c>
      <c r="CF145">
        <f t="shared" si="474"/>
        <v>-50</v>
      </c>
      <c r="CG145" s="173">
        <f t="shared" si="475"/>
        <v>0.4766453875974947</v>
      </c>
      <c r="CI145" s="170">
        <v>35</v>
      </c>
      <c r="CJ145" s="217">
        <f t="shared" si="428"/>
        <v>2.0999999999999996</v>
      </c>
      <c r="CK145" s="217"/>
      <c r="CL145" s="217">
        <f t="shared" si="368"/>
        <v>8.3999999999999986</v>
      </c>
      <c r="CM145" s="541">
        <f t="shared" si="369"/>
        <v>18</v>
      </c>
      <c r="CN145" s="443">
        <f t="shared" si="370"/>
        <v>18.8</v>
      </c>
      <c r="CO145" s="443">
        <f t="shared" si="371"/>
        <v>36.799999999999997</v>
      </c>
      <c r="CP145" s="443"/>
      <c r="CQ145" s="217">
        <f t="shared" si="372"/>
        <v>0.51086956521739135</v>
      </c>
      <c r="CR145" s="172">
        <f t="shared" si="429"/>
        <v>30.859076086956527</v>
      </c>
      <c r="CS145" s="172">
        <f t="shared" si="373"/>
        <v>8.3999999999999986</v>
      </c>
      <c r="CT145" s="217">
        <f t="shared" si="374"/>
        <v>7.7147690217391318</v>
      </c>
      <c r="CU145" s="217">
        <f t="shared" si="375"/>
        <v>4</v>
      </c>
      <c r="CV145" s="217"/>
      <c r="CW145" s="172">
        <f t="shared" si="376"/>
        <v>24.197945036757325</v>
      </c>
      <c r="CX145" s="172">
        <f t="shared" si="377"/>
        <v>4</v>
      </c>
      <c r="CY145" s="217">
        <f t="shared" si="378"/>
        <v>1.8269503546099286</v>
      </c>
      <c r="CZ145" s="217">
        <f t="shared" si="379"/>
        <v>1.2179669030732858</v>
      </c>
      <c r="DA145" s="217">
        <f t="shared" si="380"/>
        <v>1.1661385242191034</v>
      </c>
      <c r="DB145" s="197">
        <f t="shared" si="381"/>
        <v>350</v>
      </c>
      <c r="DC145" s="443">
        <f t="shared" si="382"/>
        <v>350</v>
      </c>
      <c r="DE145" s="217">
        <f t="shared" si="383"/>
        <v>2.18944099378882</v>
      </c>
      <c r="DF145" s="173">
        <f t="shared" si="384"/>
        <v>1.3975155279503106</v>
      </c>
      <c r="DG145" s="173">
        <f t="shared" si="385"/>
        <v>2.1418444504455847</v>
      </c>
      <c r="DH145" s="173"/>
      <c r="DI145" s="173">
        <f t="shared" si="386"/>
        <v>0.85106382978723416</v>
      </c>
      <c r="DJ145" s="545">
        <f t="shared" si="387"/>
        <v>925.31249999999966</v>
      </c>
      <c r="DK145" s="528">
        <f t="shared" si="388"/>
        <v>0.79432624113475192</v>
      </c>
      <c r="DM145" s="173">
        <f t="shared" si="389"/>
        <v>2.16794833886788</v>
      </c>
      <c r="DN145" s="173">
        <f t="shared" si="390"/>
        <v>2.16794833886788</v>
      </c>
      <c r="DO145" s="173">
        <f t="shared" si="391"/>
        <v>1.8182333374329973</v>
      </c>
      <c r="DQ145" s="545">
        <f t="shared" si="392"/>
        <v>2099.9999999999995</v>
      </c>
      <c r="DR145" s="460">
        <f t="shared" si="393"/>
        <v>350</v>
      </c>
      <c r="DT145">
        <f t="shared" si="430"/>
        <v>2099.9999999999995</v>
      </c>
      <c r="DU145">
        <f t="shared" si="431"/>
        <v>350</v>
      </c>
      <c r="DW145" s="5">
        <f t="shared" si="394"/>
        <v>2.8571428571428572</v>
      </c>
      <c r="DX145" s="5">
        <f t="shared" si="395"/>
        <v>1.4452988925785866</v>
      </c>
      <c r="DY145" s="5">
        <f t="shared" si="396"/>
        <v>1.4118439645642706</v>
      </c>
      <c r="DZ145" s="5"/>
      <c r="EA145" s="173">
        <f t="shared" si="397"/>
        <v>0.50585461240250529</v>
      </c>
      <c r="EB145" s="173">
        <f t="shared" si="398"/>
        <v>9.870000000000001</v>
      </c>
      <c r="EC145" s="173">
        <f t="shared" si="399"/>
        <v>2.1425633444024266</v>
      </c>
      <c r="ED145" s="173">
        <f t="shared" si="400"/>
        <v>4.6066315965807778</v>
      </c>
      <c r="EE145" s="460">
        <f t="shared" si="401"/>
        <v>75.878191860375779</v>
      </c>
      <c r="EF145" s="5">
        <f t="shared" si="402"/>
        <v>0.54905043066388282</v>
      </c>
      <c r="EH145" s="173">
        <f t="shared" si="403"/>
        <v>0.89022781322007205</v>
      </c>
      <c r="EI145" s="173">
        <f t="shared" si="404"/>
        <v>3.5194570200212989</v>
      </c>
      <c r="EK145" s="528">
        <f t="shared" si="405"/>
        <v>9.6685678250532162E-3</v>
      </c>
      <c r="EL145" s="528">
        <f t="shared" si="406"/>
        <v>0.5584634920923659</v>
      </c>
      <c r="EM145" s="528">
        <f t="shared" si="407"/>
        <v>4.3749999999999997E-2</v>
      </c>
      <c r="EN145" s="528">
        <f t="shared" si="408"/>
        <v>4.7398399999999993E-2</v>
      </c>
      <c r="EO145">
        <f t="shared" si="409"/>
        <v>8.0999999999999996E-3</v>
      </c>
      <c r="EP145" s="460">
        <f t="shared" si="410"/>
        <v>51.849999999999994</v>
      </c>
      <c r="EQ145" s="460"/>
      <c r="ER145" s="460">
        <f t="shared" si="432"/>
        <v>667.38045991741899</v>
      </c>
      <c r="ES145" s="528">
        <f t="shared" si="411"/>
        <v>1.4699999999999998</v>
      </c>
      <c r="EV145" s="460">
        <f t="shared" si="412"/>
        <v>1469.9999999999998</v>
      </c>
      <c r="EW145" s="528">
        <f t="shared" si="413"/>
        <v>2.3775166782917745E-2</v>
      </c>
      <c r="EX145" s="528">
        <f t="shared" si="414"/>
        <v>0.37159733147331603</v>
      </c>
      <c r="EY145" s="528">
        <f t="shared" si="415"/>
        <v>0.79298037185354031</v>
      </c>
      <c r="EZ145" s="528"/>
      <c r="FA145" s="528">
        <f t="shared" si="416"/>
        <v>4.1125000000000002E-2</v>
      </c>
      <c r="FB145" s="460">
        <f t="shared" si="417"/>
        <v>1229.4778701097741</v>
      </c>
      <c r="FC145" s="173">
        <f t="shared" si="418"/>
        <v>3.3668583300271928</v>
      </c>
      <c r="FD145" s="5">
        <f t="shared" si="419"/>
        <v>8.3999999999999986</v>
      </c>
      <c r="FE145" s="173">
        <f t="shared" si="420"/>
        <v>0.71386939184646303</v>
      </c>
      <c r="FF145" s="5">
        <f t="shared" si="421"/>
        <v>71.386939184646309</v>
      </c>
      <c r="FI145" s="562">
        <f t="shared" si="422"/>
        <v>-50</v>
      </c>
      <c r="FJ145">
        <f t="shared" si="423"/>
        <v>-50</v>
      </c>
      <c r="FL145">
        <f t="shared" si="476"/>
        <v>0.48432888421516457</v>
      </c>
    </row>
    <row r="146" spans="5:168">
      <c r="E146" s="170">
        <v>36</v>
      </c>
      <c r="F146" s="217">
        <f t="shared" si="477"/>
        <v>2.16</v>
      </c>
      <c r="G146" s="217"/>
      <c r="H146" s="217">
        <f t="shared" si="442"/>
        <v>8.64</v>
      </c>
      <c r="I146" s="541">
        <f t="shared" si="443"/>
        <v>17.957201388540547</v>
      </c>
      <c r="J146" s="172">
        <f t="shared" si="444"/>
        <v>19.286808850723627</v>
      </c>
      <c r="K146" s="172">
        <f t="shared" si="445"/>
        <v>37.244010239264171</v>
      </c>
      <c r="L146" s="443"/>
      <c r="M146" s="217">
        <f t="shared" si="446"/>
        <v>0.51837858238951484</v>
      </c>
      <c r="N146" s="172">
        <f t="shared" si="447"/>
        <v>31.238206141737102</v>
      </c>
      <c r="O146" s="172">
        <f t="shared" si="438"/>
        <v>8.64</v>
      </c>
      <c r="P146" s="217">
        <f t="shared" si="448"/>
        <v>7.8095515354342755</v>
      </c>
      <c r="Q146" s="217">
        <f t="shared" si="449"/>
        <v>4</v>
      </c>
      <c r="R146" s="217"/>
      <c r="S146" s="172">
        <f t="shared" si="450"/>
        <v>23.353079170052919</v>
      </c>
      <c r="T146" s="172">
        <f t="shared" si="451"/>
        <v>4</v>
      </c>
      <c r="U146" s="217">
        <f t="shared" si="452"/>
        <v>2.2424251922979432</v>
      </c>
      <c r="V146" s="217">
        <f t="shared" si="453"/>
        <v>1.4985131438547803</v>
      </c>
      <c r="W146" s="217">
        <f t="shared" si="454"/>
        <v>1.3952076010006036</v>
      </c>
      <c r="X146" s="197">
        <f t="shared" si="455"/>
        <v>350</v>
      </c>
      <c r="Y146" s="443">
        <f t="shared" si="328"/>
        <v>323.23537981342434</v>
      </c>
      <c r="AA146" s="217">
        <f t="shared" si="456"/>
        <v>2.2140799633972486</v>
      </c>
      <c r="AB146" s="173">
        <f t="shared" si="457"/>
        <v>1.3775715706214475</v>
      </c>
      <c r="AC146" s="173">
        <f t="shared" si="458"/>
        <v>2.1350375288610377</v>
      </c>
      <c r="AD146" s="173"/>
      <c r="AE146" s="173">
        <f t="shared" si="459"/>
        <v>0.82958254648745033</v>
      </c>
      <c r="AF146" s="545">
        <f t="shared" si="460"/>
        <v>976.3946980678835</v>
      </c>
      <c r="AG146" s="528">
        <f t="shared" si="461"/>
        <v>0.77427704338828707</v>
      </c>
      <c r="AI146" s="173">
        <f t="shared" si="462"/>
        <v>2.2269856607179173</v>
      </c>
      <c r="AJ146" s="173">
        <f t="shared" si="463"/>
        <v>2.2424251922979432</v>
      </c>
      <c r="AK146" s="173">
        <f t="shared" si="464"/>
        <v>1.873401377010822</v>
      </c>
      <c r="AM146" s="545">
        <f t="shared" si="465"/>
        <v>2160</v>
      </c>
      <c r="AN146" s="460">
        <f t="shared" si="466"/>
        <v>323.23537981342434</v>
      </c>
      <c r="AP146" s="460">
        <f t="shared" si="467"/>
        <v>2160</v>
      </c>
      <c r="AQ146" s="460">
        <f t="shared" si="468"/>
        <v>323.23537981342434</v>
      </c>
      <c r="AS146" s="5">
        <f t="shared" si="439"/>
        <v>3.0937207448553834</v>
      </c>
      <c r="AT146" s="5">
        <f t="shared" si="469"/>
        <v>1.4985131438547803</v>
      </c>
      <c r="AU146" s="5">
        <f t="shared" si="343"/>
        <v>1.5952076010006031</v>
      </c>
      <c r="AV146" s="5"/>
      <c r="AW146" s="173">
        <f t="shared" si="344"/>
        <v>0.48437246520930854</v>
      </c>
      <c r="AX146" s="173">
        <f t="shared" si="435"/>
        <v>9.7522779030675402</v>
      </c>
      <c r="AY146" s="173">
        <f t="shared" si="436"/>
        <v>2.3125123477142613</v>
      </c>
      <c r="AZ146" s="173">
        <f t="shared" si="440"/>
        <v>4.217178737534919</v>
      </c>
      <c r="BA146" s="460">
        <f t="shared" si="433"/>
        <v>80.919709768158143</v>
      </c>
      <c r="BB146" s="5">
        <f t="shared" si="434"/>
        <v>0.63960382682648154</v>
      </c>
      <c r="BD146" s="173">
        <f t="shared" si="441"/>
        <v>0.90104620119155687</v>
      </c>
      <c r="BE146" s="173">
        <f t="shared" si="437"/>
        <v>3.7186506319773289</v>
      </c>
      <c r="BG146" s="528">
        <f t="shared" si="347"/>
        <v>9.9049879315171729E-3</v>
      </c>
      <c r="BH146" s="528">
        <f t="shared" si="470"/>
        <v>0.50616785808163178</v>
      </c>
      <c r="BI146" s="528">
        <f t="shared" si="471"/>
        <v>0.14511007028027637</v>
      </c>
      <c r="BJ146" s="528">
        <f t="shared" si="350"/>
        <v>4.4836506365646622E-2</v>
      </c>
      <c r="BK146">
        <f t="shared" si="351"/>
        <v>8.080740624843246E-3</v>
      </c>
      <c r="BL146" s="460">
        <f t="shared" si="427"/>
        <v>153.1908109051196</v>
      </c>
      <c r="BM146" s="528">
        <f t="shared" si="472"/>
        <v>0.56491317999580393</v>
      </c>
      <c r="BN146" s="460">
        <f t="shared" si="353"/>
        <v>564.91317999580394</v>
      </c>
      <c r="BO146" s="528">
        <f t="shared" si="354"/>
        <v>1.512</v>
      </c>
      <c r="BR146" s="460">
        <f t="shared" si="355"/>
        <v>1512</v>
      </c>
      <c r="BS146" s="528">
        <f t="shared" si="356"/>
        <v>2.4356527700452067E-2</v>
      </c>
      <c r="BT146" s="528">
        <f t="shared" si="357"/>
        <v>0.41485087568116163</v>
      </c>
      <c r="BU146" s="528">
        <f t="shared" si="358"/>
        <v>0.70723238641118569</v>
      </c>
      <c r="BV146" s="528"/>
      <c r="BW146" s="528">
        <f t="shared" si="359"/>
        <v>4.0634491262781416E-2</v>
      </c>
      <c r="BX146" s="460">
        <f t="shared" si="360"/>
        <v>1187.0742810555807</v>
      </c>
      <c r="BY146" s="173">
        <f t="shared" si="361"/>
        <v>3.413174444339496</v>
      </c>
      <c r="BZ146" s="5">
        <f t="shared" si="362"/>
        <v>8.64</v>
      </c>
      <c r="CA146" s="173">
        <f t="shared" si="363"/>
        <v>0.71682360857704031</v>
      </c>
      <c r="CB146" s="5">
        <f t="shared" si="364"/>
        <v>71.682360857704026</v>
      </c>
      <c r="CE146" s="562">
        <f t="shared" si="473"/>
        <v>-50</v>
      </c>
      <c r="CF146">
        <f t="shared" si="474"/>
        <v>-50</v>
      </c>
      <c r="CG146" s="173">
        <f t="shared" si="475"/>
        <v>0.53244718047896544</v>
      </c>
      <c r="CI146" s="170">
        <v>36</v>
      </c>
      <c r="CJ146" s="217">
        <f t="shared" si="428"/>
        <v>2.16</v>
      </c>
      <c r="CK146" s="217"/>
      <c r="CL146" s="217">
        <f t="shared" si="368"/>
        <v>8.64</v>
      </c>
      <c r="CM146" s="541">
        <f t="shared" si="369"/>
        <v>18</v>
      </c>
      <c r="CN146" s="443">
        <f t="shared" si="370"/>
        <v>18.8</v>
      </c>
      <c r="CO146" s="443">
        <f t="shared" si="371"/>
        <v>36.799999999999997</v>
      </c>
      <c r="CP146" s="443"/>
      <c r="CQ146" s="217">
        <f t="shared" si="372"/>
        <v>0.51086956521739135</v>
      </c>
      <c r="CR146" s="172">
        <f t="shared" si="429"/>
        <v>30.859076086956527</v>
      </c>
      <c r="CS146" s="172">
        <f t="shared" si="373"/>
        <v>8.64</v>
      </c>
      <c r="CT146" s="217">
        <f t="shared" si="374"/>
        <v>7.7147690217391318</v>
      </c>
      <c r="CU146" s="217">
        <f t="shared" si="375"/>
        <v>4</v>
      </c>
      <c r="CV146" s="217"/>
      <c r="CW146" s="172">
        <f t="shared" si="376"/>
        <v>23.408437427927932</v>
      </c>
      <c r="CX146" s="172">
        <f t="shared" si="377"/>
        <v>4</v>
      </c>
      <c r="CY146" s="217">
        <f t="shared" si="378"/>
        <v>1.8791489361702127</v>
      </c>
      <c r="CZ146" s="217">
        <f t="shared" si="379"/>
        <v>1.2527659574468084</v>
      </c>
      <c r="DA146" s="217">
        <f t="shared" si="380"/>
        <v>1.1994567677682209</v>
      </c>
      <c r="DB146" s="197">
        <f t="shared" si="381"/>
        <v>350</v>
      </c>
      <c r="DC146" s="443">
        <f t="shared" si="382"/>
        <v>350</v>
      </c>
      <c r="DE146" s="217">
        <f t="shared" si="383"/>
        <v>2.18944099378882</v>
      </c>
      <c r="DF146" s="173">
        <f t="shared" si="384"/>
        <v>1.3975155279503106</v>
      </c>
      <c r="DG146" s="173">
        <f t="shared" si="385"/>
        <v>2.1418444504455847</v>
      </c>
      <c r="DH146" s="173"/>
      <c r="DI146" s="173">
        <f t="shared" si="386"/>
        <v>0.85106382978723416</v>
      </c>
      <c r="DJ146" s="545">
        <f t="shared" si="387"/>
        <v>951.74999999999989</v>
      </c>
      <c r="DK146" s="528">
        <f t="shared" si="388"/>
        <v>0.79432624113475192</v>
      </c>
      <c r="DM146" s="173">
        <f t="shared" si="389"/>
        <v>2.1987009151509702</v>
      </c>
      <c r="DN146" s="173">
        <f t="shared" si="390"/>
        <v>1.8791489361702127</v>
      </c>
      <c r="DO146" s="173">
        <f t="shared" si="391"/>
        <v>1.6043078539532438</v>
      </c>
      <c r="DQ146" s="545">
        <f t="shared" si="392"/>
        <v>2160</v>
      </c>
      <c r="DR146" s="460">
        <f t="shared" si="393"/>
        <v>350</v>
      </c>
      <c r="DT146">
        <f t="shared" si="430"/>
        <v>2160</v>
      </c>
      <c r="DU146">
        <f t="shared" si="431"/>
        <v>350</v>
      </c>
      <c r="DW146" s="5">
        <f t="shared" si="394"/>
        <v>2.8571428571428572</v>
      </c>
      <c r="DX146" s="5">
        <f t="shared" si="395"/>
        <v>1.2527659574468084</v>
      </c>
      <c r="DY146" s="5">
        <f t="shared" si="396"/>
        <v>1.6043768996960488</v>
      </c>
      <c r="DZ146" s="5"/>
      <c r="EA146" s="173">
        <f t="shared" si="397"/>
        <v>0.43846808510638291</v>
      </c>
      <c r="EB146" s="173">
        <f t="shared" si="398"/>
        <v>7.4155215210502483</v>
      </c>
      <c r="EC146" s="173">
        <f t="shared" si="399"/>
        <v>2.1104042009959261</v>
      </c>
      <c r="ED146" s="173">
        <f t="shared" si="400"/>
        <v>3.5137920581994537</v>
      </c>
      <c r="EE146" s="460">
        <f t="shared" si="401"/>
        <v>67.649361702127663</v>
      </c>
      <c r="EF146" s="5">
        <f t="shared" si="402"/>
        <v>0.64175075987841945</v>
      </c>
      <c r="EH146" s="173">
        <f t="shared" si="403"/>
        <v>0.71840536832494994</v>
      </c>
      <c r="EI146" s="173">
        <f t="shared" si="404"/>
        <v>3.2519794214972686</v>
      </c>
      <c r="EK146" s="528">
        <f t="shared" si="405"/>
        <v>6.2964965335049047E-3</v>
      </c>
      <c r="EL146" s="528">
        <f t="shared" si="406"/>
        <v>0.4840687659574468</v>
      </c>
      <c r="EM146" s="528">
        <f t="shared" si="407"/>
        <v>4.3749999999999997E-2</v>
      </c>
      <c r="EN146" s="528">
        <f t="shared" si="408"/>
        <v>4.7398399999999993E-2</v>
      </c>
      <c r="EO146">
        <f t="shared" si="409"/>
        <v>8.0999999999999996E-3</v>
      </c>
      <c r="EP146" s="460">
        <f t="shared" si="410"/>
        <v>51.849999999999994</v>
      </c>
      <c r="EQ146" s="460"/>
      <c r="ER146" s="460">
        <f t="shared" si="432"/>
        <v>589.61366249095158</v>
      </c>
      <c r="ES146" s="528">
        <f t="shared" si="411"/>
        <v>1.512</v>
      </c>
      <c r="EV146" s="460">
        <f t="shared" si="412"/>
        <v>1512</v>
      </c>
      <c r="EW146" s="528">
        <f t="shared" si="413"/>
        <v>1.5483188197143208E-2</v>
      </c>
      <c r="EX146" s="528">
        <f t="shared" si="414"/>
        <v>0.31726110473525126</v>
      </c>
      <c r="EY146" s="528">
        <f t="shared" si="415"/>
        <v>0.55468078478049609</v>
      </c>
      <c r="EZ146" s="528"/>
      <c r="FA146" s="528">
        <f t="shared" si="416"/>
        <v>3.089800633770937E-2</v>
      </c>
      <c r="FB146" s="460">
        <f t="shared" si="417"/>
        <v>918.32308405059996</v>
      </c>
      <c r="FC146" s="173">
        <f t="shared" si="418"/>
        <v>3.0199367465415516</v>
      </c>
      <c r="FD146" s="5">
        <f t="shared" si="419"/>
        <v>8.64</v>
      </c>
      <c r="FE146" s="173">
        <f t="shared" si="420"/>
        <v>0.74099887399155118</v>
      </c>
      <c r="FF146" s="5">
        <f t="shared" si="421"/>
        <v>74.099887399155122</v>
      </c>
      <c r="FI146" s="562">
        <f t="shared" si="422"/>
        <v>-50</v>
      </c>
      <c r="FJ146">
        <f t="shared" si="423"/>
        <v>-50</v>
      </c>
      <c r="FL146">
        <f t="shared" si="476"/>
        <v>0.49119914061883374</v>
      </c>
    </row>
    <row r="147" spans="5:168">
      <c r="E147" s="170">
        <v>37</v>
      </c>
      <c r="F147" s="217">
        <f t="shared" si="477"/>
        <v>2.2199999999999998</v>
      </c>
      <c r="G147" s="217"/>
      <c r="H147" s="217">
        <f t="shared" si="442"/>
        <v>8.879999999999999</v>
      </c>
      <c r="I147" s="541">
        <f t="shared" si="443"/>
        <v>17.955963333459273</v>
      </c>
      <c r="J147" s="172">
        <f t="shared" si="444"/>
        <v>19.300890993828162</v>
      </c>
      <c r="K147" s="172">
        <f t="shared" si="445"/>
        <v>37.256854327287435</v>
      </c>
      <c r="L147" s="443"/>
      <c r="M147" s="217">
        <f t="shared" si="446"/>
        <v>0.51848980000080869</v>
      </c>
      <c r="N147" s="172">
        <f t="shared" si="447"/>
        <v>31.242754094969552</v>
      </c>
      <c r="O147" s="172">
        <f t="shared" si="438"/>
        <v>8.879999999999999</v>
      </c>
      <c r="P147" s="217">
        <f t="shared" si="448"/>
        <v>7.810688523742388</v>
      </c>
      <c r="Q147" s="217">
        <f t="shared" si="449"/>
        <v>4</v>
      </c>
      <c r="R147" s="217"/>
      <c r="S147" s="172">
        <f t="shared" si="450"/>
        <v>22.60673846673874</v>
      </c>
      <c r="T147" s="172">
        <f t="shared" si="451"/>
        <v>4</v>
      </c>
      <c r="U147" s="217">
        <f t="shared" si="452"/>
        <v>2.3052471162643364</v>
      </c>
      <c r="V147" s="217">
        <f t="shared" si="453"/>
        <v>1.5406004613311204</v>
      </c>
      <c r="W147" s="217">
        <f t="shared" si="454"/>
        <v>1.4332481025885184</v>
      </c>
      <c r="X147" s="197">
        <f t="shared" si="455"/>
        <v>350</v>
      </c>
      <c r="Y147" s="443">
        <f t="shared" si="328"/>
        <v>315.07489404756603</v>
      </c>
      <c r="AA147" s="217">
        <f t="shared" si="456"/>
        <v>2.2147800032906453</v>
      </c>
      <c r="AB147" s="173">
        <f t="shared" si="457"/>
        <v>1.3770017170702833</v>
      </c>
      <c r="AC147" s="173">
        <f t="shared" si="458"/>
        <v>2.1348291072249022</v>
      </c>
      <c r="AD147" s="173"/>
      <c r="AE147" s="173">
        <f t="shared" si="459"/>
        <v>0.82897727390493603</v>
      </c>
      <c r="AF147" s="545">
        <f t="shared" si="460"/>
        <v>1004.2494845226212</v>
      </c>
      <c r="AG147" s="528">
        <f t="shared" si="461"/>
        <v>0.77371212231127384</v>
      </c>
      <c r="AI147" s="173">
        <f t="shared" si="462"/>
        <v>2.2585282293242619</v>
      </c>
      <c r="AJ147" s="173">
        <f t="shared" si="463"/>
        <v>2.3052471162643364</v>
      </c>
      <c r="AK147" s="173">
        <f t="shared" si="464"/>
        <v>1.9199361355044466</v>
      </c>
      <c r="AM147" s="545">
        <f t="shared" si="465"/>
        <v>2219.9999999999995</v>
      </c>
      <c r="AN147" s="460">
        <f t="shared" si="466"/>
        <v>315.07489404756603</v>
      </c>
      <c r="AP147" s="460">
        <f t="shared" si="467"/>
        <v>2219.9999999999995</v>
      </c>
      <c r="AQ147" s="460">
        <f t="shared" si="468"/>
        <v>315.07489404756603</v>
      </c>
      <c r="AS147" s="5">
        <f t="shared" si="439"/>
        <v>3.1738485639196394</v>
      </c>
      <c r="AT147" s="5">
        <f t="shared" si="469"/>
        <v>1.5406004613311204</v>
      </c>
      <c r="AU147" s="5">
        <f t="shared" si="343"/>
        <v>1.633248102588519</v>
      </c>
      <c r="AV147" s="5"/>
      <c r="AW147" s="173">
        <f t="shared" si="344"/>
        <v>0.4854045271235341</v>
      </c>
      <c r="AX147" s="173">
        <f t="shared" si="435"/>
        <v>10.046158460343465</v>
      </c>
      <c r="AY147" s="173">
        <f t="shared" si="436"/>
        <v>2.3725394597823111</v>
      </c>
      <c r="AZ147" s="173">
        <f t="shared" si="440"/>
        <v>4.2343483135430064</v>
      </c>
      <c r="BA147" s="460">
        <f t="shared" si="433"/>
        <v>85.503325603877158</v>
      </c>
      <c r="BB147" s="5">
        <f t="shared" si="434"/>
        <v>0.6730931521025012</v>
      </c>
      <c r="BD147" s="173">
        <f t="shared" si="441"/>
        <v>0.92727547023556767</v>
      </c>
      <c r="BE147" s="173">
        <f t="shared" si="437"/>
        <v>3.8190015267122788</v>
      </c>
      <c r="BG147" s="528">
        <f t="shared" si="347"/>
        <v>1.0490045531947236E-2</v>
      </c>
      <c r="BH147" s="528">
        <f t="shared" si="470"/>
        <v>0.50738630641961069</v>
      </c>
      <c r="BI147" s="528">
        <f t="shared" si="471"/>
        <v>0.14143683112029151</v>
      </c>
      <c r="BJ147" s="528">
        <f t="shared" si="350"/>
        <v>4.3734701464472961E-2</v>
      </c>
      <c r="BK147">
        <f t="shared" si="351"/>
        <v>8.0801835000566726E-3</v>
      </c>
      <c r="BL147" s="460">
        <f t="shared" si="427"/>
        <v>149.51701462034819</v>
      </c>
      <c r="BM147" s="528">
        <f t="shared" si="472"/>
        <v>0.56585371922156036</v>
      </c>
      <c r="BN147" s="460">
        <f t="shared" si="353"/>
        <v>565.85371922156037</v>
      </c>
      <c r="BO147" s="528">
        <f t="shared" si="354"/>
        <v>1.5539999999999998</v>
      </c>
      <c r="BR147" s="460">
        <f t="shared" si="355"/>
        <v>1553.9999999999998</v>
      </c>
      <c r="BS147" s="528">
        <f t="shared" si="356"/>
        <v>2.5795193931017795E-2</v>
      </c>
      <c r="BT147" s="528">
        <f t="shared" si="357"/>
        <v>0.43754317983092145</v>
      </c>
      <c r="BU147" s="528">
        <f t="shared" si="358"/>
        <v>0.71088314965104649</v>
      </c>
      <c r="BV147" s="528"/>
      <c r="BW147" s="528">
        <f t="shared" si="359"/>
        <v>4.1858993584764428E-2</v>
      </c>
      <c r="BX147" s="460">
        <f t="shared" si="360"/>
        <v>1216.0805169977502</v>
      </c>
      <c r="BY147" s="173">
        <f t="shared" si="361"/>
        <v>3.4812085850341297</v>
      </c>
      <c r="BZ147" s="5">
        <f t="shared" si="362"/>
        <v>8.879999999999999</v>
      </c>
      <c r="CA147" s="173">
        <f t="shared" si="363"/>
        <v>0.71837635769297892</v>
      </c>
      <c r="CB147" s="5">
        <f t="shared" si="364"/>
        <v>71.83763576929789</v>
      </c>
      <c r="CE147" s="562">
        <f t="shared" si="473"/>
        <v>-50</v>
      </c>
      <c r="CF147">
        <f t="shared" si="474"/>
        <v>-50</v>
      </c>
      <c r="CG147" s="173">
        <f t="shared" si="475"/>
        <v>0.53185224586288438</v>
      </c>
      <c r="CI147" s="170">
        <v>37</v>
      </c>
      <c r="CJ147" s="217">
        <f t="shared" si="428"/>
        <v>2.2199999999999998</v>
      </c>
      <c r="CK147" s="217"/>
      <c r="CL147" s="217">
        <f t="shared" si="368"/>
        <v>8.879999999999999</v>
      </c>
      <c r="CM147" s="541">
        <f t="shared" si="369"/>
        <v>18</v>
      </c>
      <c r="CN147" s="443">
        <f t="shared" si="370"/>
        <v>18.8</v>
      </c>
      <c r="CO147" s="443">
        <f t="shared" si="371"/>
        <v>36.799999999999997</v>
      </c>
      <c r="CP147" s="443"/>
      <c r="CQ147" s="217">
        <f t="shared" si="372"/>
        <v>0.51086956521739135</v>
      </c>
      <c r="CR147" s="172">
        <f t="shared" si="429"/>
        <v>30.859076086956527</v>
      </c>
      <c r="CS147" s="172">
        <f t="shared" si="373"/>
        <v>8.879999999999999</v>
      </c>
      <c r="CT147" s="217">
        <f t="shared" si="374"/>
        <v>7.7147690217391318</v>
      </c>
      <c r="CU147" s="217">
        <f t="shared" si="375"/>
        <v>4</v>
      </c>
      <c r="CV147" s="217"/>
      <c r="CW147" s="172">
        <f t="shared" si="376"/>
        <v>22.661862168901685</v>
      </c>
      <c r="CX147" s="172">
        <f t="shared" si="377"/>
        <v>4</v>
      </c>
      <c r="CY147" s="217">
        <f t="shared" si="378"/>
        <v>1.931347517730496</v>
      </c>
      <c r="CZ147" s="217">
        <f t="shared" si="379"/>
        <v>1.2875650118203306</v>
      </c>
      <c r="DA147" s="217">
        <f t="shared" si="380"/>
        <v>1.2327750113173379</v>
      </c>
      <c r="DB147" s="197">
        <f t="shared" si="381"/>
        <v>350</v>
      </c>
      <c r="DC147" s="443">
        <f t="shared" si="382"/>
        <v>350</v>
      </c>
      <c r="DE147" s="217">
        <f t="shared" si="383"/>
        <v>2.18944099378882</v>
      </c>
      <c r="DF147" s="173">
        <f t="shared" si="384"/>
        <v>1.3975155279503106</v>
      </c>
      <c r="DG147" s="173">
        <f t="shared" si="385"/>
        <v>2.1418444504455847</v>
      </c>
      <c r="DH147" s="173"/>
      <c r="DI147" s="173">
        <f t="shared" si="386"/>
        <v>0.85106382978723416</v>
      </c>
      <c r="DJ147" s="545">
        <f t="shared" si="387"/>
        <v>978.18749999999966</v>
      </c>
      <c r="DK147" s="528">
        <f t="shared" si="388"/>
        <v>0.79432624113475192</v>
      </c>
      <c r="DM147" s="173">
        <f t="shared" si="389"/>
        <v>2.2290292570021211</v>
      </c>
      <c r="DN147" s="173">
        <f t="shared" si="390"/>
        <v>1.931347517730496</v>
      </c>
      <c r="DO147" s="173">
        <f t="shared" si="391"/>
        <v>1.6429734699238241</v>
      </c>
      <c r="DQ147" s="545">
        <f t="shared" si="392"/>
        <v>2219.9999999999995</v>
      </c>
      <c r="DR147" s="460">
        <f t="shared" si="393"/>
        <v>350</v>
      </c>
      <c r="DT147">
        <f t="shared" si="430"/>
        <v>2219.9999999999995</v>
      </c>
      <c r="DU147">
        <f t="shared" si="431"/>
        <v>350</v>
      </c>
      <c r="DW147" s="5">
        <f t="shared" si="394"/>
        <v>2.8571428571428572</v>
      </c>
      <c r="DX147" s="5">
        <f t="shared" si="395"/>
        <v>1.2875650118203306</v>
      </c>
      <c r="DY147" s="5">
        <f t="shared" si="396"/>
        <v>1.5695778453225266</v>
      </c>
      <c r="DZ147" s="5"/>
      <c r="EA147" s="173">
        <f t="shared" si="397"/>
        <v>0.45064775413711566</v>
      </c>
      <c r="EB147" s="173">
        <f t="shared" si="398"/>
        <v>7.8332167919118714</v>
      </c>
      <c r="EC147" s="173">
        <f t="shared" si="399"/>
        <v>2.1219801928139095</v>
      </c>
      <c r="ED147" s="173">
        <f t="shared" si="400"/>
        <v>3.6914655558233189</v>
      </c>
      <c r="EE147" s="460">
        <f t="shared" si="401"/>
        <v>71.459858156028332</v>
      </c>
      <c r="EF147" s="5">
        <f t="shared" si="402"/>
        <v>0.64527089196592746</v>
      </c>
      <c r="EH147" s="173">
        <f t="shared" si="403"/>
        <v>0.74854584477984976</v>
      </c>
      <c r="EI147" s="173">
        <f t="shared" si="404"/>
        <v>3.3058659694808856</v>
      </c>
      <c r="EK147" s="528">
        <f t="shared" si="405"/>
        <v>6.8359147571935832E-3</v>
      </c>
      <c r="EL147" s="528">
        <f t="shared" si="406"/>
        <v>0.49751512056737573</v>
      </c>
      <c r="EM147" s="528">
        <f t="shared" si="407"/>
        <v>4.3749999999999997E-2</v>
      </c>
      <c r="EN147" s="528">
        <f t="shared" si="408"/>
        <v>4.7398399999999993E-2</v>
      </c>
      <c r="EO147">
        <f t="shared" si="409"/>
        <v>8.0999999999999996E-3</v>
      </c>
      <c r="EP147" s="460">
        <f t="shared" si="410"/>
        <v>51.849999999999994</v>
      </c>
      <c r="EQ147" s="460"/>
      <c r="ER147" s="460">
        <f t="shared" si="432"/>
        <v>603.59943532456919</v>
      </c>
      <c r="ES147" s="528">
        <f t="shared" si="411"/>
        <v>1.5539999999999998</v>
      </c>
      <c r="EV147" s="460">
        <f t="shared" si="412"/>
        <v>1553.9999999999998</v>
      </c>
      <c r="EW147" s="528">
        <f t="shared" si="413"/>
        <v>1.6809626452115367E-2</v>
      </c>
      <c r="EX147" s="528">
        <f t="shared" si="414"/>
        <v>0.32786249424515385</v>
      </c>
      <c r="EY147" s="528">
        <f t="shared" si="415"/>
        <v>0.59400647572052212</v>
      </c>
      <c r="EZ147" s="528"/>
      <c r="FA147" s="528">
        <f t="shared" si="416"/>
        <v>3.2638403299632801E-2</v>
      </c>
      <c r="FB147" s="460">
        <f t="shared" si="417"/>
        <v>971.31699971742398</v>
      </c>
      <c r="FC147" s="173">
        <f t="shared" si="418"/>
        <v>3.1289164350419933</v>
      </c>
      <c r="FD147" s="5">
        <f t="shared" si="419"/>
        <v>8.879999999999999</v>
      </c>
      <c r="FE147" s="173">
        <f t="shared" si="420"/>
        <v>0.7394505614251905</v>
      </c>
      <c r="FF147" s="5">
        <f t="shared" si="421"/>
        <v>73.94505614251905</v>
      </c>
      <c r="FI147" s="562">
        <f t="shared" si="422"/>
        <v>-50</v>
      </c>
      <c r="FJ147">
        <f t="shared" si="423"/>
        <v>-50</v>
      </c>
      <c r="FL147">
        <f t="shared" si="476"/>
        <v>0.49797462124515479</v>
      </c>
    </row>
    <row r="148" spans="5:168">
      <c r="E148" s="170">
        <v>38</v>
      </c>
      <c r="F148" s="217">
        <f t="shared" si="477"/>
        <v>2.2800000000000002</v>
      </c>
      <c r="G148" s="217"/>
      <c r="H148" s="217">
        <f t="shared" si="442"/>
        <v>9.120000000000001</v>
      </c>
      <c r="I148" s="541">
        <f t="shared" si="443"/>
        <v>17.953713162725212</v>
      </c>
      <c r="J148" s="172">
        <f t="shared" si="444"/>
        <v>19.326485352888593</v>
      </c>
      <c r="K148" s="172">
        <f t="shared" si="445"/>
        <v>37.280198515613804</v>
      </c>
      <c r="L148" s="443"/>
      <c r="M148" s="217">
        <f t="shared" si="446"/>
        <v>0.51861379384122264</v>
      </c>
      <c r="N148" s="172">
        <f t="shared" si="447"/>
        <v>31.246309463706037</v>
      </c>
      <c r="O148" s="172">
        <f t="shared" si="438"/>
        <v>9.120000000000001</v>
      </c>
      <c r="P148" s="217">
        <f t="shared" si="448"/>
        <v>7.8115773659265093</v>
      </c>
      <c r="Q148" s="217">
        <f t="shared" si="449"/>
        <v>4</v>
      </c>
      <c r="R148" s="217"/>
      <c r="S148" s="172">
        <f t="shared" si="450"/>
        <v>21.898720355549283</v>
      </c>
      <c r="T148" s="172">
        <f t="shared" si="451"/>
        <v>4</v>
      </c>
      <c r="U148" s="217">
        <f t="shared" si="452"/>
        <v>2.3681609182295311</v>
      </c>
      <c r="V148" s="217">
        <f t="shared" si="453"/>
        <v>1.582844215076052</v>
      </c>
      <c r="W148" s="217">
        <f t="shared" si="454"/>
        <v>1.4704138129547153</v>
      </c>
      <c r="X148" s="197">
        <f t="shared" si="455"/>
        <v>350</v>
      </c>
      <c r="Y148" s="443">
        <f t="shared" si="328"/>
        <v>307.3841642389832</v>
      </c>
      <c r="AA148" s="217">
        <f t="shared" si="456"/>
        <v>2.2160505237247481</v>
      </c>
      <c r="AB148" s="173">
        <f t="shared" si="457"/>
        <v>1.3759670110283331</v>
      </c>
      <c r="AC148" s="173">
        <f t="shared" si="458"/>
        <v>2.1344486907921194</v>
      </c>
      <c r="AD148" s="173"/>
      <c r="AE148" s="173">
        <f t="shared" si="459"/>
        <v>0.82787944666869273</v>
      </c>
      <c r="AF148" s="545">
        <f t="shared" si="460"/>
        <v>1032.759061044984</v>
      </c>
      <c r="AG148" s="528">
        <f t="shared" si="461"/>
        <v>0.77268748355744654</v>
      </c>
      <c r="AI148" s="173">
        <f t="shared" si="462"/>
        <v>2.2903624844268125</v>
      </c>
      <c r="AJ148" s="173">
        <f t="shared" si="463"/>
        <v>2.3681609182295311</v>
      </c>
      <c r="AK148" s="173">
        <f t="shared" si="464"/>
        <v>1.9665389517749612</v>
      </c>
      <c r="AM148" s="545">
        <f t="shared" si="465"/>
        <v>2280.0000000000005</v>
      </c>
      <c r="AN148" s="460">
        <f t="shared" si="466"/>
        <v>307.3841642389832</v>
      </c>
      <c r="AP148" s="460">
        <f t="shared" si="467"/>
        <v>2280.0000000000005</v>
      </c>
      <c r="AQ148" s="460">
        <f t="shared" si="468"/>
        <v>307.3841642389832</v>
      </c>
      <c r="AS148" s="5">
        <f t="shared" si="439"/>
        <v>3.2532580280307672</v>
      </c>
      <c r="AT148" s="5">
        <f t="shared" si="469"/>
        <v>1.582844215076052</v>
      </c>
      <c r="AU148" s="5">
        <f t="shared" si="343"/>
        <v>1.6704138129547152</v>
      </c>
      <c r="AV148" s="5"/>
      <c r="AW148" s="173">
        <f t="shared" si="344"/>
        <v>0.48654124617166161</v>
      </c>
      <c r="AX148" s="173">
        <f t="shared" si="435"/>
        <v>10.343205647338891</v>
      </c>
      <c r="AY148" s="173">
        <f t="shared" si="436"/>
        <v>2.431905907878217</v>
      </c>
      <c r="AZ148" s="173">
        <f t="shared" si="440"/>
        <v>4.2531273984868534</v>
      </c>
      <c r="BA148" s="460">
        <f t="shared" si="433"/>
        <v>90.222120259334972</v>
      </c>
      <c r="BB148" s="5">
        <f t="shared" si="434"/>
        <v>0.70710414405043476</v>
      </c>
      <c r="BD148" s="173">
        <f t="shared" si="441"/>
        <v>0.95369699428161936</v>
      </c>
      <c r="BE148" s="173">
        <f t="shared" si="437"/>
        <v>3.9188925401100074</v>
      </c>
      <c r="BG148" s="528">
        <f t="shared" si="347"/>
        <v>1.10963630742019E-2</v>
      </c>
      <c r="BH148" s="528">
        <f t="shared" si="470"/>
        <v>0.50882938957555213</v>
      </c>
      <c r="BI148" s="528">
        <f t="shared" si="471"/>
        <v>0.13796717788776802</v>
      </c>
      <c r="BJ148" s="528">
        <f t="shared" si="350"/>
        <v>4.2720656934944777E-2</v>
      </c>
      <c r="BK148">
        <f t="shared" si="351"/>
        <v>8.0791709232263444E-3</v>
      </c>
      <c r="BL148" s="460">
        <f t="shared" si="427"/>
        <v>146.04634881099437</v>
      </c>
      <c r="BM148" s="528">
        <f t="shared" si="472"/>
        <v>0.56713768377369955</v>
      </c>
      <c r="BN148" s="460">
        <f t="shared" si="353"/>
        <v>567.13768377369956</v>
      </c>
      <c r="BO148" s="528">
        <f t="shared" si="354"/>
        <v>1.5960000000000001</v>
      </c>
      <c r="BR148" s="460">
        <f t="shared" si="355"/>
        <v>1596</v>
      </c>
      <c r="BS148" s="528">
        <f t="shared" si="356"/>
        <v>2.7286138707053851E-2</v>
      </c>
      <c r="BT148" s="528">
        <f t="shared" si="357"/>
        <v>0.46073156222789602</v>
      </c>
      <c r="BU148" s="528">
        <f t="shared" si="358"/>
        <v>0.71482832510553929</v>
      </c>
      <c r="BV148" s="528"/>
      <c r="BW148" s="528">
        <f t="shared" si="359"/>
        <v>4.309669019724538E-2</v>
      </c>
      <c r="BX148" s="460">
        <f t="shared" si="360"/>
        <v>1245.9427162377347</v>
      </c>
      <c r="BY148" s="173">
        <f t="shared" si="361"/>
        <v>3.5506354746334279</v>
      </c>
      <c r="BZ148" s="5">
        <f t="shared" si="362"/>
        <v>9.120000000000001</v>
      </c>
      <c r="CA148" s="173">
        <f t="shared" si="363"/>
        <v>0.71977447526276106</v>
      </c>
      <c r="CB148" s="5">
        <f t="shared" si="364"/>
        <v>71.977447526276109</v>
      </c>
      <c r="CE148" s="562">
        <f t="shared" si="473"/>
        <v>-50</v>
      </c>
      <c r="CF148">
        <f t="shared" si="474"/>
        <v>-50</v>
      </c>
      <c r="CG148" s="173">
        <f t="shared" si="475"/>
        <v>0.5196725768321514</v>
      </c>
      <c r="CI148" s="170">
        <v>38</v>
      </c>
      <c r="CJ148" s="217">
        <f t="shared" si="428"/>
        <v>2.2800000000000002</v>
      </c>
      <c r="CK148" s="217"/>
      <c r="CL148" s="217">
        <f t="shared" si="368"/>
        <v>9.120000000000001</v>
      </c>
      <c r="CM148" s="541">
        <f t="shared" si="369"/>
        <v>18</v>
      </c>
      <c r="CN148" s="443">
        <f t="shared" si="370"/>
        <v>18.8</v>
      </c>
      <c r="CO148" s="443">
        <f t="shared" si="371"/>
        <v>36.799999999999997</v>
      </c>
      <c r="CP148" s="443"/>
      <c r="CQ148" s="217">
        <f t="shared" si="372"/>
        <v>0.51086956521739135</v>
      </c>
      <c r="CR148" s="172">
        <f t="shared" si="429"/>
        <v>30.859076086956527</v>
      </c>
      <c r="CS148" s="172">
        <f t="shared" si="373"/>
        <v>9.120000000000001</v>
      </c>
      <c r="CT148" s="217">
        <f t="shared" si="374"/>
        <v>7.7147690217391318</v>
      </c>
      <c r="CU148" s="217">
        <f t="shared" si="375"/>
        <v>4</v>
      </c>
      <c r="CV148" s="217"/>
      <c r="CW148" s="172">
        <f t="shared" si="376"/>
        <v>21.954832654801347</v>
      </c>
      <c r="CX148" s="172">
        <f t="shared" si="377"/>
        <v>4</v>
      </c>
      <c r="CY148" s="217">
        <f t="shared" si="378"/>
        <v>1.9835460992907801</v>
      </c>
      <c r="CZ148" s="217">
        <f t="shared" si="379"/>
        <v>1.3223640661938534</v>
      </c>
      <c r="DA148" s="217">
        <f t="shared" si="380"/>
        <v>1.2660932548664554</v>
      </c>
      <c r="DB148" s="197">
        <f t="shared" si="381"/>
        <v>350</v>
      </c>
      <c r="DC148" s="443">
        <f t="shared" si="382"/>
        <v>350</v>
      </c>
      <c r="DE148" s="217">
        <f t="shared" si="383"/>
        <v>2.18944099378882</v>
      </c>
      <c r="DF148" s="173">
        <f t="shared" si="384"/>
        <v>1.3975155279503106</v>
      </c>
      <c r="DG148" s="173">
        <f t="shared" si="385"/>
        <v>2.1418444504455847</v>
      </c>
      <c r="DH148" s="173"/>
      <c r="DI148" s="173">
        <f t="shared" si="386"/>
        <v>0.85106382978723416</v>
      </c>
      <c r="DJ148" s="545">
        <f t="shared" si="387"/>
        <v>1004.6249999999999</v>
      </c>
      <c r="DK148" s="528">
        <f t="shared" si="388"/>
        <v>0.79432624113475192</v>
      </c>
      <c r="DM148" s="173">
        <f t="shared" si="389"/>
        <v>2.2589504516162244</v>
      </c>
      <c r="DN148" s="173">
        <f t="shared" si="390"/>
        <v>1.9835460992907801</v>
      </c>
      <c r="DO148" s="173">
        <f t="shared" si="391"/>
        <v>1.6816390858944048</v>
      </c>
      <c r="DQ148" s="545">
        <f t="shared" si="392"/>
        <v>2280.0000000000005</v>
      </c>
      <c r="DR148" s="460">
        <f t="shared" si="393"/>
        <v>350</v>
      </c>
      <c r="DT148">
        <f t="shared" si="430"/>
        <v>2280.0000000000005</v>
      </c>
      <c r="DU148">
        <f t="shared" si="431"/>
        <v>350</v>
      </c>
      <c r="DW148" s="5">
        <f t="shared" si="394"/>
        <v>2.8571428571428572</v>
      </c>
      <c r="DX148" s="5">
        <f t="shared" si="395"/>
        <v>1.3223640661938534</v>
      </c>
      <c r="DY148" s="5">
        <f t="shared" si="396"/>
        <v>1.5347787909490038</v>
      </c>
      <c r="DZ148" s="5"/>
      <c r="EA148" s="173">
        <f t="shared" si="397"/>
        <v>0.46282742316784869</v>
      </c>
      <c r="EB148" s="173">
        <f t="shared" si="398"/>
        <v>8.262355768824504</v>
      </c>
      <c r="EC148" s="173">
        <f t="shared" si="399"/>
        <v>2.1310131388427815</v>
      </c>
      <c r="ED148" s="173">
        <f t="shared" si="400"/>
        <v>3.8771960708375861</v>
      </c>
      <c r="EE148" s="460">
        <f t="shared" si="401"/>
        <v>75.374751773049653</v>
      </c>
      <c r="EF148" s="5">
        <f t="shared" si="402"/>
        <v>0.64801771173402378</v>
      </c>
      <c r="EH148" s="173">
        <f t="shared" si="403"/>
        <v>0.77909642716571981</v>
      </c>
      <c r="EI148" s="173">
        <f t="shared" si="404"/>
        <v>3.3573651570198124</v>
      </c>
      <c r="EK148" s="528">
        <f t="shared" si="405"/>
        <v>7.405293162433154E-3</v>
      </c>
      <c r="EL148" s="528">
        <f t="shared" si="406"/>
        <v>0.51096147517730495</v>
      </c>
      <c r="EM148" s="528">
        <f t="shared" si="407"/>
        <v>4.3749999999999997E-2</v>
      </c>
      <c r="EN148" s="528">
        <f t="shared" si="408"/>
        <v>4.7398399999999993E-2</v>
      </c>
      <c r="EO148">
        <f t="shared" si="409"/>
        <v>8.0999999999999996E-3</v>
      </c>
      <c r="EP148" s="460">
        <f t="shared" si="410"/>
        <v>51.849999999999994</v>
      </c>
      <c r="EQ148" s="460"/>
      <c r="ER148" s="460">
        <f t="shared" si="432"/>
        <v>617.61516833973792</v>
      </c>
      <c r="ES148" s="528">
        <f t="shared" si="411"/>
        <v>1.5960000000000001</v>
      </c>
      <c r="EV148" s="460">
        <f t="shared" si="412"/>
        <v>1596</v>
      </c>
      <c r="EW148" s="528">
        <f t="shared" si="413"/>
        <v>1.8209737284671689E-2</v>
      </c>
      <c r="EX148" s="528">
        <f t="shared" si="414"/>
        <v>0.33815702392712005</v>
      </c>
      <c r="EY148" s="528">
        <f t="shared" si="415"/>
        <v>0.6349592597084438</v>
      </c>
      <c r="EZ148" s="528"/>
      <c r="FA148" s="528">
        <f t="shared" si="416"/>
        <v>3.4426482370102103E-2</v>
      </c>
      <c r="FB148" s="460">
        <f t="shared" si="417"/>
        <v>1025.7525032903377</v>
      </c>
      <c r="FC148" s="173">
        <f t="shared" si="418"/>
        <v>3.2393676716300757</v>
      </c>
      <c r="FD148" s="5">
        <f t="shared" si="419"/>
        <v>9.120000000000001</v>
      </c>
      <c r="FE148" s="173">
        <f t="shared" si="420"/>
        <v>0.73790182817638961</v>
      </c>
      <c r="FF148" s="5">
        <f t="shared" si="421"/>
        <v>73.790182817638964</v>
      </c>
      <c r="FI148" s="562">
        <f t="shared" si="422"/>
        <v>-50</v>
      </c>
      <c r="FJ148">
        <f t="shared" si="423"/>
        <v>-50</v>
      </c>
      <c r="FL148">
        <f t="shared" si="476"/>
        <v>0.50465914344617779</v>
      </c>
    </row>
    <row r="149" spans="5:168">
      <c r="E149" s="170">
        <v>39</v>
      </c>
      <c r="F149" s="217">
        <f t="shared" si="477"/>
        <v>2.34</v>
      </c>
      <c r="G149" s="217"/>
      <c r="H149" s="217">
        <f t="shared" si="442"/>
        <v>9.36</v>
      </c>
      <c r="I149" s="541">
        <f t="shared" si="443"/>
        <v>17.951354985221467</v>
      </c>
      <c r="J149" s="172">
        <f t="shared" si="444"/>
        <v>19.35330822496908</v>
      </c>
      <c r="K149" s="172">
        <f t="shared" si="445"/>
        <v>37.304663210190547</v>
      </c>
      <c r="L149" s="443"/>
      <c r="M149" s="217">
        <f t="shared" si="446"/>
        <v>0.51873804564735215</v>
      </c>
      <c r="N149" s="172">
        <f t="shared" si="447"/>
        <v>31.249690482224953</v>
      </c>
      <c r="O149" s="172">
        <f t="shared" si="438"/>
        <v>9.36</v>
      </c>
      <c r="P149" s="217">
        <f t="shared" si="448"/>
        <v>7.8124226205562382</v>
      </c>
      <c r="Q149" s="217">
        <f t="shared" si="449"/>
        <v>4</v>
      </c>
      <c r="R149" s="217"/>
      <c r="S149" s="172">
        <f t="shared" si="450"/>
        <v>21.227161214503397</v>
      </c>
      <c r="T149" s="172">
        <f t="shared" si="451"/>
        <v>4</v>
      </c>
      <c r="U149" s="217">
        <f t="shared" si="452"/>
        <v>2.4311084419165931</v>
      </c>
      <c r="V149" s="217">
        <f t="shared" si="453"/>
        <v>1.6251308788119987</v>
      </c>
      <c r="W149" s="217">
        <f t="shared" si="454"/>
        <v>1.5074064322171321</v>
      </c>
      <c r="X149" s="197">
        <f t="shared" si="455"/>
        <v>350</v>
      </c>
      <c r="Y149" s="443">
        <f t="shared" si="328"/>
        <v>300.07165912005559</v>
      </c>
      <c r="AA149" s="217">
        <f t="shared" si="456"/>
        <v>2.2173795329766466</v>
      </c>
      <c r="AB149" s="173">
        <f t="shared" si="457"/>
        <v>1.3748840294596336</v>
      </c>
      <c r="AC149" s="173">
        <f t="shared" si="458"/>
        <v>2.1340477949981764</v>
      </c>
      <c r="AD149" s="173"/>
      <c r="AE149" s="173">
        <f t="shared" si="459"/>
        <v>0.82673204053854032</v>
      </c>
      <c r="AF149" s="545">
        <f t="shared" si="460"/>
        <v>1061.4079979631476</v>
      </c>
      <c r="AG149" s="528">
        <f t="shared" si="461"/>
        <v>0.77161657116930438</v>
      </c>
      <c r="AI149" s="173">
        <f t="shared" si="462"/>
        <v>2.3219127287244916</v>
      </c>
      <c r="AJ149" s="173">
        <f t="shared" si="463"/>
        <v>2.4311084419165931</v>
      </c>
      <c r="AK149" s="173">
        <f t="shared" si="464"/>
        <v>2.0131667470987109</v>
      </c>
      <c r="AM149" s="545">
        <f t="shared" si="465"/>
        <v>2340</v>
      </c>
      <c r="AN149" s="460">
        <f t="shared" si="466"/>
        <v>300.07165912005559</v>
      </c>
      <c r="AP149" s="460">
        <f t="shared" si="467"/>
        <v>2340</v>
      </c>
      <c r="AQ149" s="460">
        <f t="shared" si="468"/>
        <v>300.07165912005559</v>
      </c>
      <c r="AS149" s="5">
        <f t="shared" si="439"/>
        <v>3.3325373110291308</v>
      </c>
      <c r="AT149" s="5">
        <f t="shared" si="469"/>
        <v>1.6251308788119987</v>
      </c>
      <c r="AU149" s="5">
        <f t="shared" si="343"/>
        <v>1.7074064322171321</v>
      </c>
      <c r="AV149" s="5"/>
      <c r="AW149" s="173">
        <f t="shared" si="344"/>
        <v>0.48765571909235045</v>
      </c>
      <c r="AX149" s="173">
        <f t="shared" si="435"/>
        <v>10.64106001777898</v>
      </c>
      <c r="AY149" s="173">
        <f t="shared" si="436"/>
        <v>2.4911290129645463</v>
      </c>
      <c r="AZ149" s="173">
        <f t="shared" si="440"/>
        <v>4.2715812639168291</v>
      </c>
      <c r="BA149" s="460">
        <f t="shared" si="433"/>
        <v>95.070156410501909</v>
      </c>
      <c r="BB149" s="5">
        <f t="shared" si="434"/>
        <v>0.74188105478709221</v>
      </c>
      <c r="BD149" s="173">
        <f t="shared" si="441"/>
        <v>0.98016765057436239</v>
      </c>
      <c r="BE149" s="173">
        <f t="shared" si="437"/>
        <v>4.0186912540681563</v>
      </c>
      <c r="BG149" s="528">
        <f t="shared" si="347"/>
        <v>1.1720889203436075E-2</v>
      </c>
      <c r="BH149" s="528">
        <f t="shared" si="470"/>
        <v>0.51026256341340948</v>
      </c>
      <c r="BI149" s="528">
        <f t="shared" si="471"/>
        <v>0.13466732184671218</v>
      </c>
      <c r="BJ149" s="528">
        <f t="shared" si="350"/>
        <v>4.1759109271487446E-2</v>
      </c>
      <c r="BK149">
        <f t="shared" si="351"/>
        <v>8.0781097433496596E-3</v>
      </c>
      <c r="BL149" s="460">
        <f t="shared" si="427"/>
        <v>142.74543159006183</v>
      </c>
      <c r="BM149" s="528">
        <f t="shared" si="472"/>
        <v>0.56849038132806973</v>
      </c>
      <c r="BN149" s="460">
        <f t="shared" si="353"/>
        <v>568.4903813280697</v>
      </c>
      <c r="BO149" s="528">
        <f t="shared" si="354"/>
        <v>1.6379999999999999</v>
      </c>
      <c r="BR149" s="460">
        <f t="shared" si="355"/>
        <v>1638</v>
      </c>
      <c r="BS149" s="528">
        <f t="shared" si="356"/>
        <v>2.882185869697396E-2</v>
      </c>
      <c r="BT149" s="528">
        <f t="shared" si="357"/>
        <v>0.48449638186571664</v>
      </c>
      <c r="BU149" s="528">
        <f t="shared" si="358"/>
        <v>0.71869277952173916</v>
      </c>
      <c r="BV149" s="528"/>
      <c r="BW149" s="528">
        <f t="shared" si="359"/>
        <v>4.4337750074079078E-2</v>
      </c>
      <c r="BX149" s="460">
        <f t="shared" si="360"/>
        <v>1276.3487701585088</v>
      </c>
      <c r="BY149" s="173">
        <f t="shared" si="361"/>
        <v>3.6208367636369032</v>
      </c>
      <c r="BZ149" s="5">
        <f t="shared" si="362"/>
        <v>9.36</v>
      </c>
      <c r="CA149" s="173">
        <f t="shared" si="363"/>
        <v>0.72106291531375544</v>
      </c>
      <c r="CB149" s="5">
        <f t="shared" si="364"/>
        <v>72.106291531375547</v>
      </c>
      <c r="CE149" s="562">
        <f t="shared" si="473"/>
        <v>-50</v>
      </c>
      <c r="CF149">
        <f t="shared" si="474"/>
        <v>-50</v>
      </c>
      <c r="CG149" s="173">
        <f t="shared" si="475"/>
        <v>0.50749290780141865</v>
      </c>
      <c r="CI149" s="170">
        <v>39</v>
      </c>
      <c r="CJ149" s="217">
        <f t="shared" si="428"/>
        <v>2.34</v>
      </c>
      <c r="CK149" s="217"/>
      <c r="CL149" s="217">
        <f t="shared" si="368"/>
        <v>9.36</v>
      </c>
      <c r="CM149" s="541">
        <f t="shared" si="369"/>
        <v>18</v>
      </c>
      <c r="CN149" s="443">
        <f t="shared" si="370"/>
        <v>18.8</v>
      </c>
      <c r="CO149" s="443">
        <f t="shared" si="371"/>
        <v>36.799999999999997</v>
      </c>
      <c r="CP149" s="443"/>
      <c r="CQ149" s="217">
        <f t="shared" si="372"/>
        <v>0.51086956521739135</v>
      </c>
      <c r="CR149" s="172">
        <f t="shared" si="429"/>
        <v>30.859076086956527</v>
      </c>
      <c r="CS149" s="172">
        <f t="shared" si="373"/>
        <v>9.36</v>
      </c>
      <c r="CT149" s="217">
        <f t="shared" si="374"/>
        <v>7.7147690217391318</v>
      </c>
      <c r="CU149" s="217">
        <f t="shared" si="375"/>
        <v>4</v>
      </c>
      <c r="CV149" s="217"/>
      <c r="CW149" s="172">
        <f t="shared" si="376"/>
        <v>21.284309649042569</v>
      </c>
      <c r="CX149" s="172">
        <f t="shared" si="377"/>
        <v>4</v>
      </c>
      <c r="CY149" s="217">
        <f t="shared" si="378"/>
        <v>2.0357446808510633</v>
      </c>
      <c r="CZ149" s="217">
        <f t="shared" si="379"/>
        <v>1.3571631205673755</v>
      </c>
      <c r="DA149" s="217">
        <f t="shared" si="380"/>
        <v>1.2994114984155722</v>
      </c>
      <c r="DB149" s="197">
        <f t="shared" si="381"/>
        <v>350</v>
      </c>
      <c r="DC149" s="443">
        <f t="shared" si="382"/>
        <v>350</v>
      </c>
      <c r="DE149" s="217">
        <f t="shared" si="383"/>
        <v>2.18944099378882</v>
      </c>
      <c r="DF149" s="173">
        <f t="shared" si="384"/>
        <v>1.3975155279503106</v>
      </c>
      <c r="DG149" s="173">
        <f t="shared" si="385"/>
        <v>2.1418444504455847</v>
      </c>
      <c r="DH149" s="173"/>
      <c r="DI149" s="173">
        <f t="shared" si="386"/>
        <v>0.85106382978723416</v>
      </c>
      <c r="DJ149" s="545">
        <f t="shared" si="387"/>
        <v>1031.0624999999995</v>
      </c>
      <c r="DK149" s="528">
        <f t="shared" si="388"/>
        <v>0.79432624113475192</v>
      </c>
      <c r="DM149" s="173">
        <f t="shared" si="389"/>
        <v>2.2884804690324225</v>
      </c>
      <c r="DN149" s="173">
        <f t="shared" si="390"/>
        <v>2.0357446808510633</v>
      </c>
      <c r="DO149" s="173">
        <f t="shared" si="391"/>
        <v>1.7203047018649849</v>
      </c>
      <c r="DQ149" s="545">
        <f t="shared" si="392"/>
        <v>2340</v>
      </c>
      <c r="DR149" s="460">
        <f t="shared" si="393"/>
        <v>350</v>
      </c>
      <c r="DT149">
        <f t="shared" si="430"/>
        <v>2340</v>
      </c>
      <c r="DU149">
        <f t="shared" si="431"/>
        <v>350</v>
      </c>
      <c r="DW149" s="5">
        <f t="shared" si="394"/>
        <v>2.8571428571428572</v>
      </c>
      <c r="DX149" s="5">
        <f t="shared" si="395"/>
        <v>1.3571631205673755</v>
      </c>
      <c r="DY149" s="5">
        <f t="shared" si="396"/>
        <v>1.4999797365754817</v>
      </c>
      <c r="DZ149" s="5"/>
      <c r="EA149" s="173">
        <f t="shared" si="397"/>
        <v>0.47500709219858145</v>
      </c>
      <c r="EB149" s="173">
        <f t="shared" si="398"/>
        <v>8.7029384517881354</v>
      </c>
      <c r="EC149" s="173">
        <f t="shared" si="399"/>
        <v>2.1375030390825414</v>
      </c>
      <c r="ED149" s="173">
        <f t="shared" si="400"/>
        <v>4.0715443639900553</v>
      </c>
      <c r="EE149" s="460">
        <f t="shared" si="401"/>
        <v>79.394042553191468</v>
      </c>
      <c r="EF149" s="5">
        <f t="shared" si="402"/>
        <v>0.64999121918270863</v>
      </c>
      <c r="EH149" s="173">
        <f t="shared" si="403"/>
        <v>0.81005168241616232</v>
      </c>
      <c r="EI149" s="173">
        <f t="shared" si="404"/>
        <v>3.4064293885201908</v>
      </c>
      <c r="EK149" s="528">
        <f t="shared" si="405"/>
        <v>8.0054414838601103E-3</v>
      </c>
      <c r="EL149" s="528">
        <f t="shared" si="406"/>
        <v>0.52440782978723377</v>
      </c>
      <c r="EM149" s="528">
        <f t="shared" si="407"/>
        <v>4.3749999999999997E-2</v>
      </c>
      <c r="EN149" s="528">
        <f t="shared" si="408"/>
        <v>4.7398399999999993E-2</v>
      </c>
      <c r="EO149">
        <f t="shared" si="409"/>
        <v>8.0999999999999996E-3</v>
      </c>
      <c r="EP149" s="460">
        <f t="shared" si="410"/>
        <v>51.849999999999994</v>
      </c>
      <c r="EQ149" s="460"/>
      <c r="ER149" s="460">
        <f t="shared" si="432"/>
        <v>631.66167127109372</v>
      </c>
      <c r="ES149" s="528">
        <f t="shared" si="411"/>
        <v>1.6379999999999999</v>
      </c>
      <c r="EV149" s="460">
        <f t="shared" si="412"/>
        <v>1638</v>
      </c>
      <c r="EW149" s="528">
        <f t="shared" si="413"/>
        <v>1.9685511845557651E-2</v>
      </c>
      <c r="EX149" s="528">
        <f t="shared" si="414"/>
        <v>0.34811283536922122</v>
      </c>
      <c r="EY149" s="528">
        <f t="shared" si="415"/>
        <v>0.67756097920025238</v>
      </c>
      <c r="EZ149" s="528"/>
      <c r="FA149" s="528">
        <f t="shared" si="416"/>
        <v>3.626224354911723E-2</v>
      </c>
      <c r="FB149" s="460">
        <f t="shared" si="417"/>
        <v>1081.6215699641486</v>
      </c>
      <c r="FC149" s="173">
        <f t="shared" si="418"/>
        <v>3.3512832412352416</v>
      </c>
      <c r="FD149" s="5">
        <f t="shared" si="419"/>
        <v>9.36</v>
      </c>
      <c r="FE149" s="173">
        <f t="shared" si="420"/>
        <v>0.73635366487911136</v>
      </c>
      <c r="FF149" s="5">
        <f t="shared" si="421"/>
        <v>73.635366487911142</v>
      </c>
      <c r="FI149" s="562">
        <f t="shared" si="422"/>
        <v>-50</v>
      </c>
      <c r="FJ149">
        <f t="shared" si="423"/>
        <v>-50</v>
      </c>
      <c r="FL149">
        <f t="shared" si="476"/>
        <v>0.51125627499660498</v>
      </c>
    </row>
    <row r="150" spans="5:168">
      <c r="E150" s="170">
        <v>40</v>
      </c>
      <c r="F150" s="217">
        <f t="shared" si="477"/>
        <v>2.4000000000000004</v>
      </c>
      <c r="G150" s="217"/>
      <c r="H150" s="217">
        <f t="shared" si="442"/>
        <v>9.6000000000000014</v>
      </c>
      <c r="I150" s="541">
        <f t="shared" si="443"/>
        <v>17.948880833343278</v>
      </c>
      <c r="J150" s="172">
        <f t="shared" si="444"/>
        <v>19.381450236853723</v>
      </c>
      <c r="K150" s="172">
        <f t="shared" si="445"/>
        <v>37.330331070197005</v>
      </c>
      <c r="L150" s="443"/>
      <c r="M150" s="217">
        <f t="shared" si="446"/>
        <v>0.51893203731961512</v>
      </c>
      <c r="N150" s="172">
        <f t="shared" si="447"/>
        <v>31.257068270727938</v>
      </c>
      <c r="O150" s="172">
        <f t="shared" si="438"/>
        <v>9.6000000000000014</v>
      </c>
      <c r="P150" s="217">
        <f t="shared" si="448"/>
        <v>7.8142670676819845</v>
      </c>
      <c r="Q150" s="217">
        <f t="shared" si="449"/>
        <v>4</v>
      </c>
      <c r="R150" s="217"/>
      <c r="S150" s="172">
        <f t="shared" si="450"/>
        <v>20.589322242791848</v>
      </c>
      <c r="T150" s="172">
        <f t="shared" si="451"/>
        <v>4</v>
      </c>
      <c r="U150" s="217">
        <f t="shared" si="452"/>
        <v>2.4944500425967133</v>
      </c>
      <c r="V150" s="217">
        <f t="shared" si="453"/>
        <v>1.667702894074258</v>
      </c>
      <c r="W150" s="217">
        <f t="shared" si="454"/>
        <v>1.5444355373491279</v>
      </c>
      <c r="X150" s="197">
        <f t="shared" si="455"/>
        <v>350</v>
      </c>
      <c r="Y150" s="443">
        <f t="shared" si="328"/>
        <v>293.07134516897264</v>
      </c>
      <c r="AA150" s="217">
        <f t="shared" si="456"/>
        <v>2.2187711625325961</v>
      </c>
      <c r="AB150" s="173">
        <f t="shared" si="457"/>
        <v>1.373749313132584</v>
      </c>
      <c r="AC150" s="173">
        <f t="shared" si="458"/>
        <v>2.1336247523692768</v>
      </c>
      <c r="AD150" s="173"/>
      <c r="AE150" s="173">
        <f t="shared" si="459"/>
        <v>0.82553161938192265</v>
      </c>
      <c r="AF150" s="545">
        <f t="shared" si="460"/>
        <v>1090.2065758230219</v>
      </c>
      <c r="AG150" s="528">
        <f t="shared" si="461"/>
        <v>0.77049617808979454</v>
      </c>
      <c r="AI150" s="173">
        <f t="shared" si="462"/>
        <v>2.3532014810741635</v>
      </c>
      <c r="AJ150" s="173">
        <f t="shared" si="463"/>
        <v>2.4944500425967133</v>
      </c>
      <c r="AK150" s="173">
        <f t="shared" si="464"/>
        <v>2.0600864513062072</v>
      </c>
      <c r="AM150" s="545">
        <f t="shared" si="465"/>
        <v>2400.0000000000005</v>
      </c>
      <c r="AN150" s="460">
        <f t="shared" si="466"/>
        <v>293.07134516897264</v>
      </c>
      <c r="AP150" s="460">
        <f t="shared" si="467"/>
        <v>2400.0000000000005</v>
      </c>
      <c r="AQ150" s="460">
        <f t="shared" si="468"/>
        <v>293.07134516897264</v>
      </c>
      <c r="AS150" s="5">
        <f t="shared" si="439"/>
        <v>3.412138431423386</v>
      </c>
      <c r="AT150" s="5">
        <f t="shared" si="469"/>
        <v>1.667702894074258</v>
      </c>
      <c r="AU150" s="5">
        <f t="shared" si="343"/>
        <v>1.744435537349128</v>
      </c>
      <c r="AV150" s="5"/>
      <c r="AW150" s="173">
        <f t="shared" si="344"/>
        <v>0.48875593050853144</v>
      </c>
      <c r="AX150" s="173">
        <f t="shared" si="435"/>
        <v>10.941433602531356</v>
      </c>
      <c r="AY150" s="173">
        <f t="shared" si="436"/>
        <v>2.550545581840622</v>
      </c>
      <c r="AZ150" s="173">
        <f t="shared" si="440"/>
        <v>4.289840448424914</v>
      </c>
      <c r="BA150" s="460">
        <f t="shared" si="433"/>
        <v>100.0621736444555</v>
      </c>
      <c r="BB150" s="5">
        <f t="shared" si="434"/>
        <v>0.77751278357524112</v>
      </c>
      <c r="BD150" s="173">
        <f t="shared" si="441"/>
        <v>1.0068394025161356</v>
      </c>
      <c r="BE150" s="173">
        <f t="shared" si="437"/>
        <v>4.1189670340243314</v>
      </c>
      <c r="BG150" s="528">
        <f t="shared" si="347"/>
        <v>1.2367452106000393E-2</v>
      </c>
      <c r="BH150" s="528">
        <f t="shared" si="470"/>
        <v>0.51169512792171612</v>
      </c>
      <c r="BI150" s="528">
        <f t="shared" si="471"/>
        <v>0.13150756625263763</v>
      </c>
      <c r="BJ150" s="528">
        <f t="shared" si="350"/>
        <v>4.0841063333681628E-2</v>
      </c>
      <c r="BK150">
        <f t="shared" si="351"/>
        <v>8.0769963750044749E-3</v>
      </c>
      <c r="BL150" s="460">
        <f t="shared" si="427"/>
        <v>139.5845626276421</v>
      </c>
      <c r="BM150" s="528">
        <f t="shared" si="472"/>
        <v>0.56991756195890864</v>
      </c>
      <c r="BN150" s="460">
        <f t="shared" si="353"/>
        <v>569.91756195890866</v>
      </c>
      <c r="BO150" s="528">
        <f t="shared" si="354"/>
        <v>1.6800000000000002</v>
      </c>
      <c r="BR150" s="460">
        <f t="shared" si="355"/>
        <v>1680.0000000000002</v>
      </c>
      <c r="BS150" s="528">
        <f t="shared" si="356"/>
        <v>3.0411767473771462E-2</v>
      </c>
      <c r="BT150" s="528">
        <f t="shared" si="357"/>
        <v>0.50897668282137598</v>
      </c>
      <c r="BU150" s="528">
        <f t="shared" si="358"/>
        <v>0.72250428142993173</v>
      </c>
      <c r="BV150" s="528"/>
      <c r="BW150" s="528">
        <f t="shared" si="359"/>
        <v>4.5589306677213989E-2</v>
      </c>
      <c r="BX150" s="460">
        <f t="shared" si="360"/>
        <v>1307.4820384022933</v>
      </c>
      <c r="BY150" s="173">
        <f t="shared" si="361"/>
        <v>3.6919702443913334</v>
      </c>
      <c r="BZ150" s="5">
        <f t="shared" si="362"/>
        <v>9.6000000000000014</v>
      </c>
      <c r="CA150" s="173">
        <f t="shared" si="363"/>
        <v>0.72224055753140182</v>
      </c>
      <c r="CB150" s="5">
        <f t="shared" si="364"/>
        <v>72.224055753140178</v>
      </c>
      <c r="CE150" s="562">
        <f t="shared" si="473"/>
        <v>-50</v>
      </c>
      <c r="CF150">
        <f t="shared" si="474"/>
        <v>-50</v>
      </c>
      <c r="CG150" s="173">
        <f t="shared" si="475"/>
        <v>0.49531323877068562</v>
      </c>
      <c r="CI150" s="170">
        <v>40</v>
      </c>
      <c r="CJ150" s="217">
        <f t="shared" si="428"/>
        <v>2.4000000000000004</v>
      </c>
      <c r="CK150" s="217"/>
      <c r="CL150" s="217">
        <f t="shared" si="368"/>
        <v>9.6000000000000014</v>
      </c>
      <c r="CM150" s="541">
        <f t="shared" si="369"/>
        <v>18</v>
      </c>
      <c r="CN150" s="443">
        <f t="shared" si="370"/>
        <v>18.8</v>
      </c>
      <c r="CO150" s="443">
        <f t="shared" si="371"/>
        <v>36.799999999999997</v>
      </c>
      <c r="CP150" s="443"/>
      <c r="CQ150" s="217">
        <f t="shared" si="372"/>
        <v>0.51086956521739135</v>
      </c>
      <c r="CR150" s="172">
        <f t="shared" si="429"/>
        <v>30.859076086956527</v>
      </c>
      <c r="CS150" s="172">
        <f t="shared" si="373"/>
        <v>9.6000000000000014</v>
      </c>
      <c r="CT150" s="217">
        <f t="shared" si="374"/>
        <v>7.7147690217391318</v>
      </c>
      <c r="CU150" s="217">
        <f t="shared" si="375"/>
        <v>4</v>
      </c>
      <c r="CV150" s="217"/>
      <c r="CW150" s="172">
        <f t="shared" si="376"/>
        <v>20.647557862137791</v>
      </c>
      <c r="CX150" s="172">
        <f t="shared" si="377"/>
        <v>4</v>
      </c>
      <c r="CY150" s="217">
        <f t="shared" si="378"/>
        <v>2.0879432624113474</v>
      </c>
      <c r="CZ150" s="217">
        <f t="shared" si="379"/>
        <v>1.3919621749408984</v>
      </c>
      <c r="DA150" s="217">
        <f t="shared" si="380"/>
        <v>1.3327297419646897</v>
      </c>
      <c r="DB150" s="197">
        <f t="shared" si="381"/>
        <v>350</v>
      </c>
      <c r="DC150" s="443">
        <f t="shared" si="382"/>
        <v>350</v>
      </c>
      <c r="DE150" s="217">
        <f t="shared" si="383"/>
        <v>2.18944099378882</v>
      </c>
      <c r="DF150" s="173">
        <f t="shared" si="384"/>
        <v>1.3975155279503106</v>
      </c>
      <c r="DG150" s="173">
        <f t="shared" si="385"/>
        <v>2.1418444504455847</v>
      </c>
      <c r="DH150" s="173"/>
      <c r="DI150" s="173">
        <f t="shared" si="386"/>
        <v>0.85106382978723416</v>
      </c>
      <c r="DJ150" s="545">
        <f t="shared" si="387"/>
        <v>1057.5</v>
      </c>
      <c r="DK150" s="528">
        <f t="shared" si="388"/>
        <v>0.79432624113475192</v>
      </c>
      <c r="DM150" s="173">
        <f t="shared" si="389"/>
        <v>2.3176342617912287</v>
      </c>
      <c r="DN150" s="173">
        <f t="shared" si="390"/>
        <v>2.0879432624113474</v>
      </c>
      <c r="DO150" s="173">
        <f t="shared" si="391"/>
        <v>1.7589703178355658</v>
      </c>
      <c r="DQ150" s="545">
        <f t="shared" si="392"/>
        <v>2400.0000000000005</v>
      </c>
      <c r="DR150" s="460">
        <f t="shared" si="393"/>
        <v>350</v>
      </c>
      <c r="DT150">
        <f t="shared" si="430"/>
        <v>2400.0000000000005</v>
      </c>
      <c r="DU150">
        <f t="shared" si="431"/>
        <v>350</v>
      </c>
      <c r="DW150" s="5">
        <f t="shared" si="394"/>
        <v>2.8571428571428572</v>
      </c>
      <c r="DX150" s="5">
        <f t="shared" si="395"/>
        <v>1.3919621749408984</v>
      </c>
      <c r="DY150" s="5">
        <f t="shared" si="396"/>
        <v>1.4651806822019589</v>
      </c>
      <c r="DZ150" s="5"/>
      <c r="EA150" s="173">
        <f t="shared" si="397"/>
        <v>0.48718676122931442</v>
      </c>
      <c r="EB150" s="173">
        <f t="shared" si="398"/>
        <v>9.1549648408027746</v>
      </c>
      <c r="EC150" s="173">
        <f t="shared" si="399"/>
        <v>2.1414498935331894</v>
      </c>
      <c r="ED150" s="173">
        <f t="shared" si="400"/>
        <v>4.2751244698506348</v>
      </c>
      <c r="EE150" s="460">
        <f t="shared" si="401"/>
        <v>83.517730496453922</v>
      </c>
      <c r="EF150" s="5">
        <f t="shared" si="402"/>
        <v>0.65119141431198169</v>
      </c>
      <c r="EH150" s="173">
        <f t="shared" si="403"/>
        <v>0.84140638785149102</v>
      </c>
      <c r="EI150" s="173">
        <f t="shared" si="404"/>
        <v>3.4530086888563796</v>
      </c>
      <c r="EK150" s="528">
        <f t="shared" si="405"/>
        <v>8.6371694561109824E-3</v>
      </c>
      <c r="EL150" s="528">
        <f t="shared" si="406"/>
        <v>0.53785418439716315</v>
      </c>
      <c r="EM150" s="528">
        <f t="shared" si="407"/>
        <v>4.3749999999999997E-2</v>
      </c>
      <c r="EN150" s="528">
        <f t="shared" si="408"/>
        <v>4.7398399999999993E-2</v>
      </c>
      <c r="EO150">
        <f t="shared" si="409"/>
        <v>8.0999999999999996E-3</v>
      </c>
      <c r="EP150" s="460">
        <f t="shared" si="410"/>
        <v>51.849999999999994</v>
      </c>
      <c r="EQ150" s="460"/>
      <c r="ER150" s="460">
        <f t="shared" si="432"/>
        <v>645.73975385327401</v>
      </c>
      <c r="ES150" s="528">
        <f t="shared" si="411"/>
        <v>1.6800000000000002</v>
      </c>
      <c r="EV150" s="460">
        <f t="shared" si="412"/>
        <v>1680.0000000000002</v>
      </c>
      <c r="EW150" s="528">
        <f t="shared" si="413"/>
        <v>2.1238941285518811E-2</v>
      </c>
      <c r="EX150" s="528">
        <f t="shared" si="414"/>
        <v>0.35769807015952959</v>
      </c>
      <c r="EY150" s="528">
        <f t="shared" si="415"/>
        <v>0.72183319104363297</v>
      </c>
      <c r="EZ150" s="528"/>
      <c r="FA150" s="528">
        <f t="shared" si="416"/>
        <v>3.8145686836678232E-2</v>
      </c>
      <c r="FB150" s="460">
        <f t="shared" si="417"/>
        <v>1138.9158893253598</v>
      </c>
      <c r="FC150" s="173">
        <f t="shared" si="418"/>
        <v>3.4646556431786339</v>
      </c>
      <c r="FD150" s="5">
        <f t="shared" si="419"/>
        <v>9.6000000000000014</v>
      </c>
      <c r="FE150" s="173">
        <f t="shared" si="420"/>
        <v>0.7348069679136463</v>
      </c>
      <c r="FF150" s="5">
        <f t="shared" si="421"/>
        <v>73.480696791364636</v>
      </c>
      <c r="FI150" s="562">
        <f t="shared" si="422"/>
        <v>-50</v>
      </c>
      <c r="FJ150">
        <f t="shared" si="423"/>
        <v>-50</v>
      </c>
      <c r="FL150">
        <f t="shared" si="476"/>
        <v>0.51281323877068563</v>
      </c>
    </row>
    <row r="151" spans="5:168">
      <c r="E151" s="170">
        <v>41</v>
      </c>
      <c r="F151" s="217">
        <f t="shared" si="477"/>
        <v>2.46</v>
      </c>
      <c r="G151" s="217"/>
      <c r="H151" s="217">
        <f t="shared" si="442"/>
        <v>9.84</v>
      </c>
      <c r="I151" s="541">
        <f t="shared" si="443"/>
        <v>17.946281936041064</v>
      </c>
      <c r="J151" s="172">
        <f t="shared" si="444"/>
        <v>19.411011154035297</v>
      </c>
      <c r="K151" s="172">
        <f t="shared" si="445"/>
        <v>37.357293090076361</v>
      </c>
      <c r="L151" s="443"/>
      <c r="M151" s="217">
        <f t="shared" si="446"/>
        <v>0.51932951325202048</v>
      </c>
      <c r="N151" s="172">
        <f t="shared" si="447"/>
        <v>31.276480303665984</v>
      </c>
      <c r="O151" s="172">
        <f t="shared" si="438"/>
        <v>9.84</v>
      </c>
      <c r="P151" s="217">
        <f t="shared" si="448"/>
        <v>7.819120075916496</v>
      </c>
      <c r="Q151" s="217">
        <f t="shared" si="449"/>
        <v>4</v>
      </c>
      <c r="R151" s="217"/>
      <c r="S151" s="172">
        <f t="shared" si="450"/>
        <v>19.982731165570119</v>
      </c>
      <c r="T151" s="172">
        <f t="shared" si="451"/>
        <v>4</v>
      </c>
      <c r="U151" s="217">
        <f t="shared" si="452"/>
        <v>2.558925571490104</v>
      </c>
      <c r="V151" s="217">
        <f t="shared" si="453"/>
        <v>1.711056750769804</v>
      </c>
      <c r="W151" s="217">
        <f t="shared" si="454"/>
        <v>1.5819426723423238</v>
      </c>
      <c r="X151" s="197">
        <f t="shared" si="455"/>
        <v>350</v>
      </c>
      <c r="Y151" s="443">
        <f t="shared" si="328"/>
        <v>286.28690671498555</v>
      </c>
      <c r="AA151" s="217">
        <f t="shared" si="456"/>
        <v>2.2202299421095906</v>
      </c>
      <c r="AB151" s="173">
        <f t="shared" si="457"/>
        <v>1.3725590642286767</v>
      </c>
      <c r="AC151" s="173">
        <f t="shared" si="458"/>
        <v>2.1331777122001001</v>
      </c>
      <c r="AD151" s="173"/>
      <c r="AE151" s="173">
        <f t="shared" si="459"/>
        <v>0.8242744220294681</v>
      </c>
      <c r="AF151" s="545">
        <f t="shared" si="460"/>
        <v>1119.1661118498473</v>
      </c>
      <c r="AG151" s="528">
        <f t="shared" si="461"/>
        <v>0.76932279389417035</v>
      </c>
      <c r="AI151" s="173">
        <f t="shared" si="462"/>
        <v>2.3842510913364197</v>
      </c>
      <c r="AJ151" s="173">
        <f t="shared" si="463"/>
        <v>2.558925571490104</v>
      </c>
      <c r="AK151" s="173">
        <f t="shared" si="464"/>
        <v>2.1078461023383483</v>
      </c>
      <c r="AM151" s="545">
        <f t="shared" si="465"/>
        <v>2460</v>
      </c>
      <c r="AN151" s="460">
        <f t="shared" si="466"/>
        <v>286.28690671498555</v>
      </c>
      <c r="AP151" s="460">
        <f t="shared" si="467"/>
        <v>2460</v>
      </c>
      <c r="AQ151" s="460">
        <f t="shared" si="468"/>
        <v>286.28690671498555</v>
      </c>
      <c r="AS151" s="5">
        <f t="shared" si="439"/>
        <v>3.4929994231121273</v>
      </c>
      <c r="AT151" s="5">
        <f t="shared" si="469"/>
        <v>1.711056750769804</v>
      </c>
      <c r="AU151" s="5">
        <f t="shared" si="343"/>
        <v>1.7819426723423233</v>
      </c>
      <c r="AV151" s="5"/>
      <c r="AW151" s="173">
        <f t="shared" si="344"/>
        <v>0.48985314439168121</v>
      </c>
      <c r="AX151" s="173">
        <f t="shared" si="435"/>
        <v>11.247811901311771</v>
      </c>
      <c r="AY151" s="173">
        <f t="shared" si="436"/>
        <v>2.6108556680627939</v>
      </c>
      <c r="AZ151" s="173">
        <f t="shared" si="440"/>
        <v>4.3080941006813438</v>
      </c>
      <c r="BA151" s="460">
        <f t="shared" si="433"/>
        <v>105.22999017234294</v>
      </c>
      <c r="BB151" s="5">
        <f t="shared" si="434"/>
        <v>0.81420374232850301</v>
      </c>
      <c r="BD151" s="173">
        <f t="shared" si="441"/>
        <v>1.0340224714173405</v>
      </c>
      <c r="BE151" s="173">
        <f t="shared" si="437"/>
        <v>4.2208957445786348</v>
      </c>
      <c r="BG151" s="528">
        <f t="shared" si="347"/>
        <v>1.30442701510315E-2</v>
      </c>
      <c r="BH151" s="528">
        <f t="shared" si="470"/>
        <v>0.51313993178037043</v>
      </c>
      <c r="BI151" s="528">
        <f t="shared" si="471"/>
        <v>0.12844463856260546</v>
      </c>
      <c r="BJ151" s="528">
        <f t="shared" si="350"/>
        <v>3.9953265889018395E-2</v>
      </c>
      <c r="BK151">
        <f t="shared" si="351"/>
        <v>8.0758268712184788E-3</v>
      </c>
      <c r="BL151" s="460">
        <f t="shared" si="427"/>
        <v>136.52046543382392</v>
      </c>
      <c r="BM151" s="528">
        <f t="shared" si="472"/>
        <v>0.57143046582561596</v>
      </c>
      <c r="BN151" s="460">
        <f t="shared" si="353"/>
        <v>571.43046582561601</v>
      </c>
      <c r="BO151" s="528">
        <f t="shared" si="354"/>
        <v>1.722</v>
      </c>
      <c r="BR151" s="460">
        <f t="shared" si="355"/>
        <v>1722</v>
      </c>
      <c r="BS151" s="528">
        <f t="shared" si="356"/>
        <v>3.2076074141880739E-2</v>
      </c>
      <c r="BT151" s="528">
        <f t="shared" si="357"/>
        <v>0.53447882659806079</v>
      </c>
      <c r="BU151" s="528">
        <f t="shared" si="358"/>
        <v>0.72630302869591279</v>
      </c>
      <c r="BV151" s="528"/>
      <c r="BW151" s="528">
        <f t="shared" si="359"/>
        <v>4.6865882922132375E-2</v>
      </c>
      <c r="BX151" s="460">
        <f t="shared" si="360"/>
        <v>1339.7238123579866</v>
      </c>
      <c r="BY151" s="173">
        <f t="shared" si="361"/>
        <v>3.7643817456122308</v>
      </c>
      <c r="BZ151" s="5">
        <f t="shared" si="362"/>
        <v>9.84</v>
      </c>
      <c r="CA151" s="173">
        <f t="shared" si="363"/>
        <v>0.72329637494725973</v>
      </c>
      <c r="CB151" s="5">
        <f t="shared" si="364"/>
        <v>72.329637494725972</v>
      </c>
      <c r="CE151" s="562">
        <f t="shared" si="473"/>
        <v>-50</v>
      </c>
      <c r="CF151">
        <f t="shared" si="474"/>
        <v>-50</v>
      </c>
      <c r="CG151" s="173">
        <f t="shared" si="475"/>
        <v>0.48313356973995286</v>
      </c>
      <c r="CI151" s="170">
        <v>41</v>
      </c>
      <c r="CJ151" s="217">
        <f t="shared" si="428"/>
        <v>2.46</v>
      </c>
      <c r="CK151" s="217"/>
      <c r="CL151" s="217">
        <f t="shared" si="368"/>
        <v>9.84</v>
      </c>
      <c r="CM151" s="541">
        <f t="shared" si="369"/>
        <v>18</v>
      </c>
      <c r="CN151" s="443">
        <f t="shared" si="370"/>
        <v>18.8</v>
      </c>
      <c r="CO151" s="443">
        <f t="shared" si="371"/>
        <v>36.799999999999997</v>
      </c>
      <c r="CP151" s="443"/>
      <c r="CQ151" s="217">
        <f t="shared" si="372"/>
        <v>0.51086956521739135</v>
      </c>
      <c r="CR151" s="172">
        <f t="shared" si="429"/>
        <v>30.859076086956527</v>
      </c>
      <c r="CS151" s="172">
        <f t="shared" si="373"/>
        <v>9.84</v>
      </c>
      <c r="CT151" s="217">
        <f t="shared" si="374"/>
        <v>7.7147690217391318</v>
      </c>
      <c r="CU151" s="217">
        <f t="shared" si="375"/>
        <v>4</v>
      </c>
      <c r="CV151" s="217"/>
      <c r="CW151" s="172">
        <f t="shared" si="376"/>
        <v>20.042108884803849</v>
      </c>
      <c r="CX151" s="172">
        <f t="shared" si="377"/>
        <v>4</v>
      </c>
      <c r="CY151" s="217">
        <f t="shared" si="378"/>
        <v>2.1401418439716307</v>
      </c>
      <c r="CZ151" s="217">
        <f t="shared" si="379"/>
        <v>1.4267612293144205</v>
      </c>
      <c r="DA151" s="217">
        <f t="shared" si="380"/>
        <v>1.3660479855138068</v>
      </c>
      <c r="DB151" s="197">
        <f t="shared" si="381"/>
        <v>350</v>
      </c>
      <c r="DC151" s="443">
        <f t="shared" si="382"/>
        <v>350</v>
      </c>
      <c r="DE151" s="217">
        <f t="shared" si="383"/>
        <v>2.18944099378882</v>
      </c>
      <c r="DF151" s="173">
        <f t="shared" si="384"/>
        <v>1.3975155279503106</v>
      </c>
      <c r="DG151" s="173">
        <f t="shared" si="385"/>
        <v>2.1418444504455847</v>
      </c>
      <c r="DH151" s="173"/>
      <c r="DI151" s="173">
        <f t="shared" si="386"/>
        <v>0.85106382978723416</v>
      </c>
      <c r="DJ151" s="545">
        <f t="shared" si="387"/>
        <v>1083.9374999999998</v>
      </c>
      <c r="DK151" s="528">
        <f t="shared" si="388"/>
        <v>0.79432624113475192</v>
      </c>
      <c r="DM151" s="173">
        <f t="shared" si="389"/>
        <v>2.3464258534448272</v>
      </c>
      <c r="DN151" s="173">
        <f t="shared" si="390"/>
        <v>2.1401418439716307</v>
      </c>
      <c r="DO151" s="173">
        <f t="shared" si="391"/>
        <v>1.7976359338061458</v>
      </c>
      <c r="DQ151" s="545">
        <f t="shared" si="392"/>
        <v>2460</v>
      </c>
      <c r="DR151" s="460">
        <f t="shared" si="393"/>
        <v>350</v>
      </c>
      <c r="DT151">
        <f t="shared" si="430"/>
        <v>2460</v>
      </c>
      <c r="DU151">
        <f t="shared" si="431"/>
        <v>350</v>
      </c>
      <c r="DW151" s="5">
        <f t="shared" si="394"/>
        <v>2.8571428571428572</v>
      </c>
      <c r="DX151" s="5">
        <f t="shared" si="395"/>
        <v>1.4267612293144205</v>
      </c>
      <c r="DY151" s="5">
        <f t="shared" si="396"/>
        <v>1.4303816278284367</v>
      </c>
      <c r="DZ151" s="5"/>
      <c r="EA151" s="173">
        <f t="shared" si="397"/>
        <v>0.49936643026004718</v>
      </c>
      <c r="EB151" s="173">
        <f t="shared" si="398"/>
        <v>9.6184349358684127</v>
      </c>
      <c r="EC151" s="173">
        <f t="shared" si="399"/>
        <v>2.1428537021947256</v>
      </c>
      <c r="ED151" s="173">
        <f t="shared" si="400"/>
        <v>4.4886101771750191</v>
      </c>
      <c r="EE151" s="460">
        <f t="shared" si="401"/>
        <v>87.745815602836871</v>
      </c>
      <c r="EF151" s="5">
        <f t="shared" si="402"/>
        <v>0.65161829712184327</v>
      </c>
      <c r="EH151" s="173">
        <f t="shared" si="403"/>
        <v>0.87315551794054502</v>
      </c>
      <c r="EI151" s="173">
        <f t="shared" si="404"/>
        <v>3.4970505185852283</v>
      </c>
      <c r="EK151" s="528">
        <f t="shared" si="405"/>
        <v>9.3012868138222602E-3</v>
      </c>
      <c r="EL151" s="528">
        <f t="shared" si="406"/>
        <v>0.55130053900709208</v>
      </c>
      <c r="EM151" s="528">
        <f t="shared" si="407"/>
        <v>4.3749999999999997E-2</v>
      </c>
      <c r="EN151" s="528">
        <f t="shared" si="408"/>
        <v>4.7398399999999993E-2</v>
      </c>
      <c r="EO151">
        <f t="shared" si="409"/>
        <v>8.0999999999999996E-3</v>
      </c>
      <c r="EP151" s="460">
        <f t="shared" si="410"/>
        <v>51.849999999999994</v>
      </c>
      <c r="EQ151" s="460"/>
      <c r="ER151" s="460">
        <f t="shared" si="432"/>
        <v>659.85022582091426</v>
      </c>
      <c r="ES151" s="528">
        <f t="shared" si="411"/>
        <v>1.722</v>
      </c>
      <c r="EV151" s="460">
        <f t="shared" si="412"/>
        <v>1722</v>
      </c>
      <c r="EW151" s="528">
        <f t="shared" si="413"/>
        <v>2.2872016755300643E-2</v>
      </c>
      <c r="EX151" s="528">
        <f t="shared" si="414"/>
        <v>0.3668808698861164</v>
      </c>
      <c r="EY151" s="528">
        <f t="shared" si="415"/>
        <v>0.76779717739819886</v>
      </c>
      <c r="EZ151" s="528"/>
      <c r="FA151" s="528">
        <f t="shared" si="416"/>
        <v>4.0076812232785052E-2</v>
      </c>
      <c r="FB151" s="460">
        <f t="shared" si="417"/>
        <v>1197.626876272401</v>
      </c>
      <c r="FC151" s="173">
        <f t="shared" si="418"/>
        <v>3.5794771020933149</v>
      </c>
      <c r="FD151" s="5">
        <f t="shared" si="419"/>
        <v>9.84</v>
      </c>
      <c r="FE151" s="173">
        <f t="shared" si="420"/>
        <v>0.73326255003371565</v>
      </c>
      <c r="FF151" s="5">
        <f t="shared" si="421"/>
        <v>73.326255003371571</v>
      </c>
      <c r="FI151" s="562">
        <f t="shared" si="422"/>
        <v>-50</v>
      </c>
      <c r="FJ151">
        <f t="shared" si="423"/>
        <v>-50</v>
      </c>
      <c r="FL151">
        <f t="shared" si="476"/>
        <v>0.50063356973995288</v>
      </c>
    </row>
    <row r="152" spans="5:168">
      <c r="E152" s="170">
        <v>42</v>
      </c>
      <c r="F152" s="217">
        <f t="shared" si="477"/>
        <v>2.52</v>
      </c>
      <c r="G152" s="217"/>
      <c r="H152" s="217">
        <f t="shared" si="442"/>
        <v>10.08</v>
      </c>
      <c r="I152" s="541">
        <f t="shared" si="443"/>
        <v>17.943632358191731</v>
      </c>
      <c r="J152" s="172">
        <f t="shared" si="444"/>
        <v>19.441148532416339</v>
      </c>
      <c r="K152" s="172">
        <f t="shared" si="445"/>
        <v>37.38478089060807</v>
      </c>
      <c r="L152" s="443"/>
      <c r="M152" s="217">
        <f t="shared" si="446"/>
        <v>0.51973412397097063</v>
      </c>
      <c r="N152" s="172">
        <f t="shared" si="447"/>
        <v>31.296226637808665</v>
      </c>
      <c r="O152" s="172">
        <f t="shared" si="438"/>
        <v>10.08</v>
      </c>
      <c r="P152" s="217">
        <f t="shared" si="448"/>
        <v>7.8240566594521663</v>
      </c>
      <c r="Q152" s="217">
        <f t="shared" si="449"/>
        <v>4</v>
      </c>
      <c r="R152" s="217"/>
      <c r="S152" s="172">
        <f t="shared" si="450"/>
        <v>19.405240283005597</v>
      </c>
      <c r="T152" s="172">
        <f t="shared" si="451"/>
        <v>4</v>
      </c>
      <c r="U152" s="217">
        <f t="shared" si="452"/>
        <v>2.6235467954084664</v>
      </c>
      <c r="V152" s="217">
        <f t="shared" si="453"/>
        <v>1.754525556277851</v>
      </c>
      <c r="W152" s="217">
        <f t="shared" si="454"/>
        <v>1.6193776562329794</v>
      </c>
      <c r="X152" s="197">
        <f t="shared" si="455"/>
        <v>350</v>
      </c>
      <c r="Y152" s="443">
        <f t="shared" si="328"/>
        <v>279.80612247679039</v>
      </c>
      <c r="AA152" s="217">
        <f t="shared" si="456"/>
        <v>2.2217139955544201</v>
      </c>
      <c r="AB152" s="173">
        <f t="shared" si="457"/>
        <v>1.3713473719003269</v>
      </c>
      <c r="AC152" s="173">
        <f t="shared" si="458"/>
        <v>2.1327191542424098</v>
      </c>
      <c r="AD152" s="173"/>
      <c r="AE152" s="173">
        <f t="shared" si="459"/>
        <v>0.82299664411911999</v>
      </c>
      <c r="AF152" s="545">
        <f t="shared" si="460"/>
        <v>1148.2428351958399</v>
      </c>
      <c r="AG152" s="528">
        <f t="shared" si="461"/>
        <v>0.76813020117784547</v>
      </c>
      <c r="AI152" s="173">
        <f t="shared" si="462"/>
        <v>2.4150247534393725</v>
      </c>
      <c r="AJ152" s="173">
        <f t="shared" si="463"/>
        <v>2.6235467954084664</v>
      </c>
      <c r="AK152" s="173">
        <f t="shared" si="464"/>
        <v>2.1557136756112096</v>
      </c>
      <c r="AM152" s="545">
        <f t="shared" si="465"/>
        <v>2520</v>
      </c>
      <c r="AN152" s="460">
        <f t="shared" si="466"/>
        <v>279.80612247679039</v>
      </c>
      <c r="AP152" s="460">
        <f t="shared" si="467"/>
        <v>2520</v>
      </c>
      <c r="AQ152" s="460">
        <f t="shared" si="468"/>
        <v>279.80612247679039</v>
      </c>
      <c r="AS152" s="5">
        <f t="shared" si="439"/>
        <v>3.5739032125108303</v>
      </c>
      <c r="AT152" s="5">
        <f t="shared" si="469"/>
        <v>1.754525556277851</v>
      </c>
      <c r="AU152" s="5">
        <f t="shared" si="343"/>
        <v>1.8193776562329793</v>
      </c>
      <c r="AV152" s="5"/>
      <c r="AW152" s="173">
        <f t="shared" si="344"/>
        <v>0.49092699268853918</v>
      </c>
      <c r="AX152" s="173">
        <f t="shared" si="435"/>
        <v>11.555429531952681</v>
      </c>
      <c r="AY152" s="173">
        <f t="shared" si="436"/>
        <v>2.6711537139218677</v>
      </c>
      <c r="AZ152" s="173">
        <f t="shared" si="440"/>
        <v>4.3260069503775034</v>
      </c>
      <c r="BA152" s="460">
        <f t="shared" si="433"/>
        <v>110.53511004550461</v>
      </c>
      <c r="BB152" s="5">
        <f t="shared" si="434"/>
        <v>0.85171006668446614</v>
      </c>
      <c r="BD152" s="173">
        <f t="shared" si="441"/>
        <v>1.0612962835759647</v>
      </c>
      <c r="BE152" s="173">
        <f t="shared" si="437"/>
        <v>4.3229301069847335</v>
      </c>
      <c r="BG152" s="528">
        <f t="shared" si="347"/>
        <v>1.3741467578692284E-2</v>
      </c>
      <c r="BH152" s="528">
        <f t="shared" si="470"/>
        <v>0.5145672476484906</v>
      </c>
      <c r="BI152" s="528">
        <f t="shared" si="471"/>
        <v>0.12551845483236734</v>
      </c>
      <c r="BJ152" s="528">
        <f t="shared" si="350"/>
        <v>3.910631483656999E-2</v>
      </c>
      <c r="BK152">
        <f t="shared" si="351"/>
        <v>8.0746345611862787E-3</v>
      </c>
      <c r="BL152" s="460">
        <f t="shared" si="427"/>
        <v>133.59308939355364</v>
      </c>
      <c r="BM152" s="528">
        <f t="shared" si="472"/>
        <v>0.57299604274487748</v>
      </c>
      <c r="BN152" s="460">
        <f t="shared" si="353"/>
        <v>572.99604274487751</v>
      </c>
      <c r="BO152" s="528">
        <f t="shared" si="354"/>
        <v>1.7639999999999998</v>
      </c>
      <c r="BR152" s="460">
        <f t="shared" si="355"/>
        <v>1763.9999999999998</v>
      </c>
      <c r="BS152" s="528">
        <f t="shared" si="356"/>
        <v>3.3790494045964632E-2</v>
      </c>
      <c r="BT152" s="528">
        <f t="shared" si="357"/>
        <v>0.56063174129625115</v>
      </c>
      <c r="BU152" s="528">
        <f t="shared" si="358"/>
        <v>0.73002053142780565</v>
      </c>
      <c r="BV152" s="528"/>
      <c r="BW152" s="528">
        <f t="shared" si="359"/>
        <v>4.8147623049802836E-2</v>
      </c>
      <c r="BX152" s="460">
        <f t="shared" si="360"/>
        <v>1372.5903898198244</v>
      </c>
      <c r="BY152" s="173">
        <f t="shared" si="361"/>
        <v>3.8375985092771305</v>
      </c>
      <c r="BZ152" s="5">
        <f t="shared" si="362"/>
        <v>10.08</v>
      </c>
      <c r="CA152" s="173">
        <f t="shared" si="363"/>
        <v>0.72426288150796414</v>
      </c>
      <c r="CB152" s="5">
        <f t="shared" si="364"/>
        <v>72.42628815079641</v>
      </c>
      <c r="CE152" s="562">
        <f t="shared" si="473"/>
        <v>-50</v>
      </c>
      <c r="CF152">
        <f t="shared" si="474"/>
        <v>-50</v>
      </c>
      <c r="CG152" s="173">
        <f t="shared" si="475"/>
        <v>0.47165357902376459</v>
      </c>
      <c r="CI152" s="170">
        <v>42</v>
      </c>
      <c r="CJ152" s="217">
        <f t="shared" si="428"/>
        <v>2.52</v>
      </c>
      <c r="CK152" s="217"/>
      <c r="CL152" s="217">
        <f t="shared" si="368"/>
        <v>10.08</v>
      </c>
      <c r="CM152" s="541">
        <f t="shared" si="369"/>
        <v>18</v>
      </c>
      <c r="CN152" s="443">
        <f t="shared" si="370"/>
        <v>18.8</v>
      </c>
      <c r="CO152" s="443">
        <f t="shared" si="371"/>
        <v>36.799999999999997</v>
      </c>
      <c r="CP152" s="443"/>
      <c r="CQ152" s="217">
        <f t="shared" si="372"/>
        <v>0.51086956521739135</v>
      </c>
      <c r="CR152" s="172">
        <f t="shared" si="429"/>
        <v>30.859076086956527</v>
      </c>
      <c r="CS152" s="172">
        <f t="shared" si="373"/>
        <v>10.08</v>
      </c>
      <c r="CT152" s="217">
        <f t="shared" si="374"/>
        <v>7.7147690217391318</v>
      </c>
      <c r="CU152" s="217">
        <f t="shared" si="375"/>
        <v>4</v>
      </c>
      <c r="CV152" s="217"/>
      <c r="CW152" s="172">
        <f t="shared" si="376"/>
        <v>19.465729416321771</v>
      </c>
      <c r="CX152" s="172">
        <f t="shared" si="377"/>
        <v>4</v>
      </c>
      <c r="CY152" s="217">
        <f t="shared" si="378"/>
        <v>2.1923404255319148</v>
      </c>
      <c r="CZ152" s="217">
        <f t="shared" si="379"/>
        <v>1.4615602836879431</v>
      </c>
      <c r="DA152" s="217">
        <f t="shared" si="380"/>
        <v>1.3993662290629243</v>
      </c>
      <c r="DB152" s="197">
        <f t="shared" si="381"/>
        <v>350</v>
      </c>
      <c r="DC152" s="443">
        <f t="shared" si="382"/>
        <v>349.53711517688362</v>
      </c>
      <c r="DE152" s="217">
        <f t="shared" si="383"/>
        <v>2.18944099378882</v>
      </c>
      <c r="DF152" s="173">
        <f t="shared" si="384"/>
        <v>1.3975155279503106</v>
      </c>
      <c r="DG152" s="173">
        <f t="shared" si="385"/>
        <v>2.1418444504455847</v>
      </c>
      <c r="DH152" s="173"/>
      <c r="DI152" s="173">
        <f t="shared" si="386"/>
        <v>0.85106382978723416</v>
      </c>
      <c r="DJ152" s="545">
        <f t="shared" si="387"/>
        <v>1110.3749999999998</v>
      </c>
      <c r="DK152" s="528">
        <f t="shared" si="388"/>
        <v>0.79432624113475192</v>
      </c>
      <c r="DM152" s="173">
        <f t="shared" si="389"/>
        <v>2.3748684174075834</v>
      </c>
      <c r="DN152" s="173">
        <f t="shared" si="390"/>
        <v>2.1923404255319148</v>
      </c>
      <c r="DO152" s="173">
        <f t="shared" si="391"/>
        <v>1.8363015497767268</v>
      </c>
      <c r="DQ152" s="545">
        <f t="shared" si="392"/>
        <v>2520</v>
      </c>
      <c r="DR152" s="460">
        <f t="shared" si="393"/>
        <v>349.53711517688362</v>
      </c>
      <c r="DT152">
        <f t="shared" si="430"/>
        <v>2520</v>
      </c>
      <c r="DU152">
        <f t="shared" si="431"/>
        <v>349.53711517688362</v>
      </c>
      <c r="DW152" s="5">
        <f t="shared" si="394"/>
        <v>2.8609265127508676</v>
      </c>
      <c r="DX152" s="5">
        <f t="shared" si="395"/>
        <v>1.4615602836879431</v>
      </c>
      <c r="DY152" s="5">
        <f t="shared" si="396"/>
        <v>1.3993662290629245</v>
      </c>
      <c r="DZ152" s="5"/>
      <c r="EA152" s="173">
        <f t="shared" si="397"/>
        <v>0.51086956521739124</v>
      </c>
      <c r="EB152" s="173">
        <f t="shared" si="398"/>
        <v>10.08</v>
      </c>
      <c r="EC152" s="173">
        <f t="shared" si="399"/>
        <v>2.1446808510638298</v>
      </c>
      <c r="ED152" s="173">
        <f t="shared" si="400"/>
        <v>4.7</v>
      </c>
      <c r="EE152" s="460">
        <f t="shared" si="401"/>
        <v>92.078297872340428</v>
      </c>
      <c r="EF152" s="5">
        <f t="shared" si="402"/>
        <v>0.65303757356269809</v>
      </c>
      <c r="EH152" s="173">
        <f t="shared" si="403"/>
        <v>0.90469539562509549</v>
      </c>
      <c r="EI152" s="173">
        <f t="shared" si="404"/>
        <v>3.5409492247706411</v>
      </c>
      <c r="EK152" s="528">
        <f t="shared" si="405"/>
        <v>9.9853798581560262E-3</v>
      </c>
      <c r="EL152" s="528">
        <f t="shared" si="406"/>
        <v>0.56399999999999995</v>
      </c>
      <c r="EM152" s="528">
        <f t="shared" si="407"/>
        <v>4.3692139397110454E-2</v>
      </c>
      <c r="EN152" s="528">
        <f t="shared" si="408"/>
        <v>4.733571428571428E-2</v>
      </c>
      <c r="EO152">
        <f t="shared" si="409"/>
        <v>8.0999999999999996E-3</v>
      </c>
      <c r="EP152" s="460">
        <f t="shared" si="410"/>
        <v>51.792139397110454</v>
      </c>
      <c r="EQ152" s="460"/>
      <c r="ER152" s="460">
        <f t="shared" si="432"/>
        <v>673.11323354098079</v>
      </c>
      <c r="ES152" s="528">
        <f t="shared" si="411"/>
        <v>1.7639999999999998</v>
      </c>
      <c r="EV152" s="460">
        <f t="shared" si="412"/>
        <v>1763.9999999999998</v>
      </c>
      <c r="EW152" s="528">
        <f t="shared" si="413"/>
        <v>2.4554212765957442E-2</v>
      </c>
      <c r="EX152" s="528">
        <f t="shared" si="414"/>
        <v>0.37614964237211412</v>
      </c>
      <c r="EY152" s="528">
        <f t="shared" si="415"/>
        <v>0.81278041177063198</v>
      </c>
      <c r="EZ152" s="528"/>
      <c r="FA152" s="528">
        <f t="shared" si="416"/>
        <v>4.1999999999999996E-2</v>
      </c>
      <c r="FB152" s="460">
        <f t="shared" si="417"/>
        <v>1255.4842669087036</v>
      </c>
      <c r="FC152" s="173">
        <f t="shared" si="418"/>
        <v>3.6925975004496836</v>
      </c>
      <c r="FD152" s="5">
        <f t="shared" si="419"/>
        <v>10.08</v>
      </c>
      <c r="FE152" s="173">
        <f t="shared" si="420"/>
        <v>0.73188808426811869</v>
      </c>
      <c r="FF152" s="5">
        <f t="shared" si="421"/>
        <v>73.188808426811875</v>
      </c>
      <c r="FI152" s="562">
        <f t="shared" si="422"/>
        <v>-50</v>
      </c>
      <c r="FJ152">
        <f t="shared" si="423"/>
        <v>-50</v>
      </c>
      <c r="FL152">
        <f t="shared" si="476"/>
        <v>0.48913043478260876</v>
      </c>
    </row>
    <row r="153" spans="5:168">
      <c r="E153" s="170">
        <v>43</v>
      </c>
      <c r="F153" s="217">
        <f t="shared" si="477"/>
        <v>2.58</v>
      </c>
      <c r="G153" s="217"/>
      <c r="H153" s="217">
        <f t="shared" si="442"/>
        <v>10.32</v>
      </c>
      <c r="I153" s="541">
        <f t="shared" si="443"/>
        <v>17.94233995892634</v>
      </c>
      <c r="J153" s="172">
        <f t="shared" si="444"/>
        <v>19.455848808420779</v>
      </c>
      <c r="K153" s="172">
        <f t="shared" si="445"/>
        <v>37.398188767347122</v>
      </c>
      <c r="L153" s="443"/>
      <c r="M153" s="217">
        <f t="shared" si="446"/>
        <v>0.51994124519016283</v>
      </c>
      <c r="N153" s="172">
        <f t="shared" si="447"/>
        <v>31.306443590944983</v>
      </c>
      <c r="O153" s="172">
        <f t="shared" si="438"/>
        <v>10.32</v>
      </c>
      <c r="P153" s="217">
        <f t="shared" si="448"/>
        <v>7.8266108977362459</v>
      </c>
      <c r="Q153" s="217">
        <f t="shared" si="449"/>
        <v>4</v>
      </c>
      <c r="R153" s="217"/>
      <c r="S153" s="172">
        <f t="shared" si="450"/>
        <v>18.856290307712698</v>
      </c>
      <c r="T153" s="172">
        <f t="shared" si="451"/>
        <v>4</v>
      </c>
      <c r="U153" s="217">
        <f t="shared" si="452"/>
        <v>2.6871710745302413</v>
      </c>
      <c r="V153" s="217">
        <f t="shared" si="453"/>
        <v>1.7972044319849396</v>
      </c>
      <c r="W153" s="217">
        <f t="shared" si="454"/>
        <v>1.6573963547869641</v>
      </c>
      <c r="X153" s="197">
        <f t="shared" si="455"/>
        <v>350</v>
      </c>
      <c r="Y153" s="443">
        <f t="shared" si="328"/>
        <v>273.62769789235898</v>
      </c>
      <c r="AA153" s="217">
        <f t="shared" si="456"/>
        <v>2.2224367200151121</v>
      </c>
      <c r="AB153" s="173">
        <f t="shared" si="457"/>
        <v>1.3707569843284608</v>
      </c>
      <c r="AC153" s="173">
        <f t="shared" si="458"/>
        <v>2.1324944593321256</v>
      </c>
      <c r="AD153" s="173"/>
      <c r="AE153" s="173">
        <f t="shared" si="459"/>
        <v>0.82237481168516102</v>
      </c>
      <c r="AF153" s="545">
        <f t="shared" si="460"/>
        <v>1176.4708576341936</v>
      </c>
      <c r="AG153" s="528">
        <f t="shared" si="461"/>
        <v>0.76754982423948359</v>
      </c>
      <c r="AI153" s="173">
        <f t="shared" si="462"/>
        <v>2.4445296052937895</v>
      </c>
      <c r="AJ153" s="173">
        <f t="shared" si="463"/>
        <v>2.6871710745302413</v>
      </c>
      <c r="AK153" s="173">
        <f t="shared" si="464"/>
        <v>2.2028427712569689</v>
      </c>
      <c r="AM153" s="545">
        <f t="shared" si="465"/>
        <v>2580</v>
      </c>
      <c r="AN153" s="460">
        <f t="shared" si="466"/>
        <v>273.62769789235898</v>
      </c>
      <c r="AP153" s="460">
        <f t="shared" si="467"/>
        <v>2580</v>
      </c>
      <c r="AQ153" s="460">
        <f t="shared" si="468"/>
        <v>273.62769789235898</v>
      </c>
      <c r="AS153" s="5">
        <f t="shared" si="439"/>
        <v>3.6546007867719044</v>
      </c>
      <c r="AT153" s="5">
        <f t="shared" si="469"/>
        <v>1.7972044319849396</v>
      </c>
      <c r="AU153" s="5">
        <f t="shared" si="343"/>
        <v>1.8573963547869647</v>
      </c>
      <c r="AV153" s="5"/>
      <c r="AW153" s="173">
        <f t="shared" si="344"/>
        <v>0.49176491136598366</v>
      </c>
      <c r="AX153" s="173">
        <f t="shared" si="435"/>
        <v>11.85501039116811</v>
      </c>
      <c r="AY153" s="173">
        <f t="shared" si="436"/>
        <v>2.7314292584772843</v>
      </c>
      <c r="AZ153" s="173">
        <f t="shared" si="440"/>
        <v>4.3402223778539426</v>
      </c>
      <c r="BA153" s="460">
        <f t="shared" si="433"/>
        <v>115.91968586302862</v>
      </c>
      <c r="BB153" s="5">
        <f t="shared" si="434"/>
        <v>0.8902745510192499</v>
      </c>
      <c r="BD153" s="173">
        <f t="shared" si="441"/>
        <v>1.0879613252990108</v>
      </c>
      <c r="BE153" s="173">
        <f t="shared" si="437"/>
        <v>4.4241210638967958</v>
      </c>
      <c r="BG153" s="528">
        <f t="shared" si="347"/>
        <v>1.4440650113225836E-2</v>
      </c>
      <c r="BH153" s="528">
        <f t="shared" si="470"/>
        <v>0.51559323931077783</v>
      </c>
      <c r="BI153" s="528">
        <f t="shared" si="471"/>
        <v>0.12273802944407741</v>
      </c>
      <c r="BJ153" s="528">
        <f t="shared" si="350"/>
        <v>3.8270240846566689E-2</v>
      </c>
      <c r="BK153">
        <f t="shared" si="351"/>
        <v>8.0740529815168521E-3</v>
      </c>
      <c r="BL153" s="460">
        <f t="shared" si="427"/>
        <v>130.81208242559427</v>
      </c>
      <c r="BM153" s="528">
        <f t="shared" si="472"/>
        <v>0.57417315041727457</v>
      </c>
      <c r="BN153" s="460">
        <f t="shared" si="353"/>
        <v>574.17315041727454</v>
      </c>
      <c r="BO153" s="528">
        <f t="shared" si="354"/>
        <v>1.8059999999999998</v>
      </c>
      <c r="BR153" s="460">
        <f t="shared" si="355"/>
        <v>1805.9999999999998</v>
      </c>
      <c r="BS153" s="528">
        <f t="shared" si="356"/>
        <v>3.5509795360391401E-2</v>
      </c>
      <c r="BT153" s="528">
        <f t="shared" si="357"/>
        <v>0.58718541564045945</v>
      </c>
      <c r="BU153" s="528">
        <f t="shared" si="358"/>
        <v>0.73300752965839433</v>
      </c>
      <c r="BV153" s="528"/>
      <c r="BW153" s="528">
        <f t="shared" si="359"/>
        <v>4.9395876629867129E-2</v>
      </c>
      <c r="BX153" s="460">
        <f t="shared" si="360"/>
        <v>1405.0986172891126</v>
      </c>
      <c r="BY153" s="173">
        <f t="shared" si="361"/>
        <v>3.9102148299852768</v>
      </c>
      <c r="BZ153" s="5">
        <f t="shared" si="362"/>
        <v>10.32</v>
      </c>
      <c r="CA153" s="173">
        <f t="shared" si="363"/>
        <v>0.72521744213264827</v>
      </c>
      <c r="CB153" s="5">
        <f t="shared" si="364"/>
        <v>72.521744213264824</v>
      </c>
      <c r="CE153" s="562">
        <f t="shared" si="473"/>
        <v>-50</v>
      </c>
      <c r="CF153">
        <f t="shared" si="474"/>
        <v>-50</v>
      </c>
      <c r="CG153" s="173">
        <f t="shared" si="475"/>
        <v>0.4720600175297841</v>
      </c>
      <c r="CI153" s="170">
        <v>43</v>
      </c>
      <c r="CJ153" s="217">
        <f t="shared" si="428"/>
        <v>2.58</v>
      </c>
      <c r="CK153" s="217"/>
      <c r="CL153" s="217">
        <f t="shared" si="368"/>
        <v>10.32</v>
      </c>
      <c r="CM153" s="541">
        <f t="shared" si="369"/>
        <v>18</v>
      </c>
      <c r="CN153" s="443">
        <f t="shared" si="370"/>
        <v>18.8</v>
      </c>
      <c r="CO153" s="443">
        <f t="shared" si="371"/>
        <v>36.799999999999997</v>
      </c>
      <c r="CP153" s="443"/>
      <c r="CQ153" s="217">
        <f t="shared" si="372"/>
        <v>0.51086956521739135</v>
      </c>
      <c r="CR153" s="172">
        <f t="shared" si="429"/>
        <v>30.859076086956527</v>
      </c>
      <c r="CS153" s="172">
        <f t="shared" si="373"/>
        <v>10.32</v>
      </c>
      <c r="CT153" s="217">
        <f t="shared" si="374"/>
        <v>7.7147690217391318</v>
      </c>
      <c r="CU153" s="217">
        <f t="shared" si="375"/>
        <v>4</v>
      </c>
      <c r="CV153" s="217"/>
      <c r="CW153" s="172">
        <f t="shared" si="376"/>
        <v>18.916393926130741</v>
      </c>
      <c r="CX153" s="172">
        <f t="shared" si="377"/>
        <v>4</v>
      </c>
      <c r="CY153" s="217">
        <f t="shared" si="378"/>
        <v>2.2445390070921984</v>
      </c>
      <c r="CZ153" s="217">
        <f t="shared" si="379"/>
        <v>1.4963593380614657</v>
      </c>
      <c r="DA153" s="217">
        <f t="shared" si="380"/>
        <v>1.4326844726120416</v>
      </c>
      <c r="DB153" s="197">
        <f t="shared" si="381"/>
        <v>350</v>
      </c>
      <c r="DC153" s="443">
        <f t="shared" si="382"/>
        <v>341.40834505649099</v>
      </c>
      <c r="DE153" s="217">
        <f t="shared" si="383"/>
        <v>2.18944099378882</v>
      </c>
      <c r="DF153" s="173">
        <f t="shared" si="384"/>
        <v>1.3975155279503106</v>
      </c>
      <c r="DG153" s="173">
        <f t="shared" si="385"/>
        <v>2.1418444504455847</v>
      </c>
      <c r="DH153" s="173"/>
      <c r="DI153" s="173">
        <f t="shared" si="386"/>
        <v>0.85106382978723416</v>
      </c>
      <c r="DJ153" s="545">
        <f t="shared" si="387"/>
        <v>1136.8124999999998</v>
      </c>
      <c r="DK153" s="528">
        <f t="shared" si="388"/>
        <v>0.79432624113475192</v>
      </c>
      <c r="DM153" s="173">
        <f t="shared" si="389"/>
        <v>2.4029743474048395</v>
      </c>
      <c r="DN153" s="173">
        <f t="shared" si="390"/>
        <v>2.2445390070921984</v>
      </c>
      <c r="DO153" s="173">
        <f t="shared" si="391"/>
        <v>1.8749671657473073</v>
      </c>
      <c r="DQ153" s="545">
        <f t="shared" si="392"/>
        <v>2580</v>
      </c>
      <c r="DR153" s="460">
        <f t="shared" si="393"/>
        <v>341.40834505649099</v>
      </c>
      <c r="DT153">
        <f t="shared" si="430"/>
        <v>2580</v>
      </c>
      <c r="DU153">
        <f t="shared" si="431"/>
        <v>341.40834505649099</v>
      </c>
      <c r="DW153" s="5">
        <f t="shared" si="394"/>
        <v>2.9290438106735071</v>
      </c>
      <c r="DX153" s="5">
        <f t="shared" si="395"/>
        <v>1.4963593380614657</v>
      </c>
      <c r="DY153" s="5">
        <f t="shared" si="396"/>
        <v>1.4326844726120413</v>
      </c>
      <c r="DZ153" s="5"/>
      <c r="EA153" s="173">
        <f t="shared" si="397"/>
        <v>0.51086956521739135</v>
      </c>
      <c r="EB153" s="173">
        <f t="shared" si="398"/>
        <v>10.319999999999999</v>
      </c>
      <c r="EC153" s="173">
        <f t="shared" si="399"/>
        <v>2.1957446808510634</v>
      </c>
      <c r="ED153" s="173">
        <f t="shared" si="400"/>
        <v>4.7</v>
      </c>
      <c r="EE153" s="460">
        <f t="shared" si="401"/>
        <v>96.515177304964539</v>
      </c>
      <c r="EF153" s="5">
        <f t="shared" si="402"/>
        <v>0.68450480358130861</v>
      </c>
      <c r="EH153" s="173">
        <f t="shared" si="403"/>
        <v>0.92623576218759784</v>
      </c>
      <c r="EI153" s="173">
        <f t="shared" si="404"/>
        <v>3.6252575396461322</v>
      </c>
      <c r="EK153" s="528">
        <f t="shared" si="405"/>
        <v>1.0466534783293931E-2</v>
      </c>
      <c r="EL153" s="528">
        <f t="shared" si="406"/>
        <v>0.56399999999999995</v>
      </c>
      <c r="EM153" s="528">
        <f t="shared" si="407"/>
        <v>4.2676043132061373E-2</v>
      </c>
      <c r="EN153" s="528">
        <f t="shared" si="408"/>
        <v>4.623488372093023E-2</v>
      </c>
      <c r="EO153">
        <f t="shared" si="409"/>
        <v>8.0999999999999996E-3</v>
      </c>
      <c r="EP153" s="460">
        <f t="shared" si="410"/>
        <v>50.776043132061368</v>
      </c>
      <c r="EQ153" s="460"/>
      <c r="ER153" s="460">
        <f t="shared" si="432"/>
        <v>671.47746163628551</v>
      </c>
      <c r="ES153" s="528">
        <f t="shared" si="411"/>
        <v>1.8059999999999998</v>
      </c>
      <c r="EV153" s="460">
        <f t="shared" si="412"/>
        <v>1805.9999999999998</v>
      </c>
      <c r="EW153" s="528">
        <f t="shared" si="413"/>
        <v>2.5737380614657208E-2</v>
      </c>
      <c r="EX153" s="528">
        <f t="shared" si="414"/>
        <v>0.3942747668628338</v>
      </c>
      <c r="EY153" s="528">
        <f t="shared" si="415"/>
        <v>0.81278041177063132</v>
      </c>
      <c r="EZ153" s="528"/>
      <c r="FA153" s="528">
        <f t="shared" si="416"/>
        <v>4.2999999999999997E-2</v>
      </c>
      <c r="FB153" s="460">
        <f t="shared" si="417"/>
        <v>1275.7925592481222</v>
      </c>
      <c r="FC153" s="173">
        <f t="shared" si="418"/>
        <v>3.7532700208844076</v>
      </c>
      <c r="FD153" s="5">
        <f t="shared" si="419"/>
        <v>10.32</v>
      </c>
      <c r="FE153" s="173">
        <f t="shared" si="420"/>
        <v>0.73330505168204396</v>
      </c>
      <c r="FF153" s="5">
        <f t="shared" si="421"/>
        <v>73.330505168204397</v>
      </c>
      <c r="FI153" s="562">
        <f t="shared" si="422"/>
        <v>-50</v>
      </c>
      <c r="FJ153">
        <f t="shared" si="423"/>
        <v>-50</v>
      </c>
      <c r="FL153">
        <f t="shared" si="476"/>
        <v>0.48913043478260865</v>
      </c>
    </row>
    <row r="154" spans="5:168">
      <c r="E154" s="170">
        <v>44</v>
      </c>
      <c r="F154" s="217">
        <f t="shared" si="477"/>
        <v>2.64</v>
      </c>
      <c r="G154" s="217"/>
      <c r="H154" s="217">
        <f t="shared" si="442"/>
        <v>10.56</v>
      </c>
      <c r="I154" s="541">
        <f t="shared" si="443"/>
        <v>17.941047478056447</v>
      </c>
      <c r="J154" s="172">
        <f t="shared" si="444"/>
        <v>19.470550012628081</v>
      </c>
      <c r="K154" s="172">
        <f t="shared" si="445"/>
        <v>37.411597490684528</v>
      </c>
      <c r="L154" s="443"/>
      <c r="M154" s="217">
        <f t="shared" si="446"/>
        <v>0.52014821877566975</v>
      </c>
      <c r="N154" s="172">
        <f t="shared" si="447"/>
        <v>31.316649716431261</v>
      </c>
      <c r="O154" s="172">
        <f t="shared" si="438"/>
        <v>10.56</v>
      </c>
      <c r="P154" s="217">
        <f t="shared" si="448"/>
        <v>7.8291624291078152</v>
      </c>
      <c r="Q154" s="217">
        <f t="shared" si="449"/>
        <v>4</v>
      </c>
      <c r="R154" s="217"/>
      <c r="S154" s="172">
        <f t="shared" si="450"/>
        <v>18.332539824257335</v>
      </c>
      <c r="T154" s="172">
        <f t="shared" si="451"/>
        <v>4</v>
      </c>
      <c r="U154" s="217">
        <f t="shared" si="452"/>
        <v>2.7508494323644106</v>
      </c>
      <c r="V154" s="217">
        <f t="shared" si="453"/>
        <v>1.8399256358218457</v>
      </c>
      <c r="W154" s="217">
        <f t="shared" si="454"/>
        <v>1.6953908937838631</v>
      </c>
      <c r="X154" s="197">
        <f t="shared" si="455"/>
        <v>350</v>
      </c>
      <c r="Y154" s="443">
        <f t="shared" si="328"/>
        <v>267.71492912959576</v>
      </c>
      <c r="AA154" s="217">
        <f t="shared" si="456"/>
        <v>2.22315873018364</v>
      </c>
      <c r="AB154" s="173">
        <f t="shared" si="457"/>
        <v>1.3701669826944336</v>
      </c>
      <c r="AC154" s="173">
        <f t="shared" si="458"/>
        <v>2.1322690825705544</v>
      </c>
      <c r="AD154" s="173"/>
      <c r="AE154" s="173">
        <f t="shared" si="459"/>
        <v>0.82175387904413733</v>
      </c>
      <c r="AF154" s="545">
        <f t="shared" si="460"/>
        <v>1204.7402820313621</v>
      </c>
      <c r="AG154" s="528">
        <f t="shared" si="461"/>
        <v>0.76697028710786164</v>
      </c>
      <c r="AI154" s="173">
        <f t="shared" si="462"/>
        <v>2.473725069253764</v>
      </c>
      <c r="AJ154" s="173">
        <f t="shared" si="463"/>
        <v>2.7508494323644106</v>
      </c>
      <c r="AK154" s="173">
        <f t="shared" si="464"/>
        <v>2.2500119252082054</v>
      </c>
      <c r="AM154" s="545">
        <f t="shared" si="465"/>
        <v>2640</v>
      </c>
      <c r="AN154" s="460">
        <f t="shared" si="466"/>
        <v>267.71492912959576</v>
      </c>
      <c r="AP154" s="460">
        <f t="shared" si="467"/>
        <v>2640</v>
      </c>
      <c r="AQ154" s="460">
        <f t="shared" si="468"/>
        <v>267.71492912959576</v>
      </c>
      <c r="AS154" s="5">
        <f t="shared" si="439"/>
        <v>3.7353165296057087</v>
      </c>
      <c r="AT154" s="5">
        <f t="shared" si="469"/>
        <v>1.8399256358218457</v>
      </c>
      <c r="AU154" s="5">
        <f t="shared" si="343"/>
        <v>1.8953908937838631</v>
      </c>
      <c r="AV154" s="5"/>
      <c r="AW154" s="173">
        <f t="shared" si="344"/>
        <v>0.49257556119777191</v>
      </c>
      <c r="AX154" s="173">
        <f t="shared" si="435"/>
        <v>12.15507045718298</v>
      </c>
      <c r="AY154" s="173">
        <f t="shared" si="436"/>
        <v>2.7916964588938775</v>
      </c>
      <c r="AZ154" s="173">
        <f t="shared" si="440"/>
        <v>4.3540086238455329</v>
      </c>
      <c r="BA154" s="460">
        <f t="shared" si="433"/>
        <v>121.43509196424182</v>
      </c>
      <c r="BB154" s="5">
        <f t="shared" si="434"/>
        <v>0.92968038157741262</v>
      </c>
      <c r="BD154" s="173">
        <f t="shared" si="441"/>
        <v>1.1146605297725731</v>
      </c>
      <c r="BE154" s="173">
        <f t="shared" si="437"/>
        <v>4.5253468726811672</v>
      </c>
      <c r="BG154" s="528">
        <f t="shared" si="347"/>
        <v>1.5158110778921053E-2</v>
      </c>
      <c r="BH154" s="528">
        <f t="shared" si="470"/>
        <v>0.51659111871149099</v>
      </c>
      <c r="BI154" s="528">
        <f t="shared" si="471"/>
        <v>0.12007715635246485</v>
      </c>
      <c r="BJ154" s="528">
        <f t="shared" si="350"/>
        <v>3.7470121091792298E-2</v>
      </c>
      <c r="BK154">
        <f t="shared" si="351"/>
        <v>8.0734713651254009E-3</v>
      </c>
      <c r="BL154" s="460">
        <f t="shared" si="427"/>
        <v>128.15062771759025</v>
      </c>
      <c r="BM154" s="528">
        <f t="shared" si="472"/>
        <v>0.57538432576215792</v>
      </c>
      <c r="BN154" s="460">
        <f t="shared" si="353"/>
        <v>575.38432576215791</v>
      </c>
      <c r="BO154" s="528">
        <f t="shared" si="354"/>
        <v>1.8479999999999999</v>
      </c>
      <c r="BR154" s="460">
        <f t="shared" si="355"/>
        <v>1847.9999999999998</v>
      </c>
      <c r="BS154" s="528">
        <f t="shared" si="356"/>
        <v>3.7274042898986198E-2</v>
      </c>
      <c r="BT154" s="528">
        <f t="shared" si="357"/>
        <v>0.61436292954255656</v>
      </c>
      <c r="BU154" s="528">
        <f t="shared" si="358"/>
        <v>0.73589953748321879</v>
      </c>
      <c r="BV154" s="528"/>
      <c r="BW154" s="528">
        <f t="shared" si="359"/>
        <v>5.0646126904929083E-2</v>
      </c>
      <c r="BX154" s="460">
        <f t="shared" si="360"/>
        <v>1438.1826368296904</v>
      </c>
      <c r="BY154" s="173">
        <f t="shared" si="361"/>
        <v>3.9835526151294851</v>
      </c>
      <c r="BZ154" s="5">
        <f t="shared" si="362"/>
        <v>10.56</v>
      </c>
      <c r="CA154" s="173">
        <f t="shared" si="363"/>
        <v>0.72609494251181506</v>
      </c>
      <c r="CB154" s="5">
        <f t="shared" si="364"/>
        <v>72.609494251181502</v>
      </c>
      <c r="CE154" s="562">
        <f t="shared" si="473"/>
        <v>-50</v>
      </c>
      <c r="CF154">
        <f t="shared" si="474"/>
        <v>-50</v>
      </c>
      <c r="CG154" s="173">
        <f t="shared" si="475"/>
        <v>0.4724479815582574</v>
      </c>
      <c r="CI154" s="170">
        <v>44</v>
      </c>
      <c r="CJ154" s="217">
        <f t="shared" si="428"/>
        <v>2.64</v>
      </c>
      <c r="CK154" s="217"/>
      <c r="CL154" s="217">
        <f t="shared" si="368"/>
        <v>10.56</v>
      </c>
      <c r="CM154" s="541">
        <f t="shared" si="369"/>
        <v>18</v>
      </c>
      <c r="CN154" s="443">
        <f t="shared" si="370"/>
        <v>18.8</v>
      </c>
      <c r="CO154" s="443">
        <f t="shared" si="371"/>
        <v>36.799999999999997</v>
      </c>
      <c r="CP154" s="443"/>
      <c r="CQ154" s="217">
        <f t="shared" si="372"/>
        <v>0.51086956521739135</v>
      </c>
      <c r="CR154" s="172">
        <f t="shared" si="429"/>
        <v>30.859076086956527</v>
      </c>
      <c r="CS154" s="172">
        <f t="shared" si="373"/>
        <v>10.56</v>
      </c>
      <c r="CT154" s="217">
        <f t="shared" si="374"/>
        <v>7.7147690217391318</v>
      </c>
      <c r="CU154" s="217">
        <f t="shared" si="375"/>
        <v>4</v>
      </c>
      <c r="CV154" s="217"/>
      <c r="CW154" s="172">
        <f t="shared" si="376"/>
        <v>18.392261043368173</v>
      </c>
      <c r="CX154" s="172">
        <f t="shared" si="377"/>
        <v>4</v>
      </c>
      <c r="CY154" s="217">
        <f t="shared" si="378"/>
        <v>2.2967375886524821</v>
      </c>
      <c r="CZ154" s="217">
        <f t="shared" si="379"/>
        <v>1.5311583924349881</v>
      </c>
      <c r="DA154" s="217">
        <f t="shared" si="380"/>
        <v>1.4660027161611588</v>
      </c>
      <c r="DB154" s="197">
        <f t="shared" si="381"/>
        <v>350</v>
      </c>
      <c r="DC154" s="443">
        <f t="shared" si="382"/>
        <v>333.64906448702533</v>
      </c>
      <c r="DE154" s="217">
        <f t="shared" si="383"/>
        <v>2.18944099378882</v>
      </c>
      <c r="DF154" s="173">
        <f t="shared" si="384"/>
        <v>1.3975155279503106</v>
      </c>
      <c r="DG154" s="173">
        <f t="shared" si="385"/>
        <v>2.1418444504455847</v>
      </c>
      <c r="DH154" s="173"/>
      <c r="DI154" s="173">
        <f t="shared" si="386"/>
        <v>0.85106382978723416</v>
      </c>
      <c r="DJ154" s="545">
        <f t="shared" si="387"/>
        <v>1163.2499999999998</v>
      </c>
      <c r="DK154" s="528">
        <f t="shared" si="388"/>
        <v>0.79432624113475192</v>
      </c>
      <c r="DM154" s="173">
        <f t="shared" si="389"/>
        <v>2.4307553205889376</v>
      </c>
      <c r="DN154" s="173">
        <f t="shared" si="390"/>
        <v>2.2967375886524821</v>
      </c>
      <c r="DO154" s="173">
        <f t="shared" si="391"/>
        <v>1.9136327817178878</v>
      </c>
      <c r="DQ154" s="545">
        <f t="shared" si="392"/>
        <v>2640</v>
      </c>
      <c r="DR154" s="460">
        <f t="shared" si="393"/>
        <v>333.64906448702533</v>
      </c>
      <c r="DT154">
        <f t="shared" si="430"/>
        <v>2640</v>
      </c>
      <c r="DU154">
        <f t="shared" si="431"/>
        <v>333.64906448702533</v>
      </c>
      <c r="DW154" s="5">
        <f t="shared" si="394"/>
        <v>2.9971611085961465</v>
      </c>
      <c r="DX154" s="5">
        <f t="shared" si="395"/>
        <v>1.5311583924349881</v>
      </c>
      <c r="DY154" s="5">
        <f t="shared" si="396"/>
        <v>1.4660027161611584</v>
      </c>
      <c r="DZ154" s="5"/>
      <c r="EA154" s="173">
        <f t="shared" si="397"/>
        <v>0.51086956521739135</v>
      </c>
      <c r="EB154" s="173">
        <f t="shared" si="398"/>
        <v>10.560000000000002</v>
      </c>
      <c r="EC154" s="173">
        <f t="shared" si="399"/>
        <v>2.2468085106382976</v>
      </c>
      <c r="ED154" s="173">
        <f t="shared" si="400"/>
        <v>4.700000000000002</v>
      </c>
      <c r="EE154" s="460">
        <f t="shared" si="401"/>
        <v>101.0564539007092</v>
      </c>
      <c r="EF154" s="5">
        <f t="shared" si="402"/>
        <v>0.71671243901212178</v>
      </c>
      <c r="EH154" s="173">
        <f t="shared" si="403"/>
        <v>0.9477761287501002</v>
      </c>
      <c r="EI154" s="173">
        <f t="shared" si="404"/>
        <v>3.7095658545216237</v>
      </c>
      <c r="EK154" s="528">
        <f t="shared" si="405"/>
        <v>1.0959011000788024E-2</v>
      </c>
      <c r="EL154" s="528">
        <f t="shared" si="406"/>
        <v>0.56400000000000006</v>
      </c>
      <c r="EM154" s="528">
        <f t="shared" si="407"/>
        <v>4.1706133060878163E-2</v>
      </c>
      <c r="EN154" s="528">
        <f t="shared" si="408"/>
        <v>4.518409090909091E-2</v>
      </c>
      <c r="EO154">
        <f t="shared" si="409"/>
        <v>8.0999999999999996E-3</v>
      </c>
      <c r="EP154" s="460">
        <f t="shared" si="410"/>
        <v>49.806133060878167</v>
      </c>
      <c r="EQ154" s="460"/>
      <c r="ER154" s="460">
        <f t="shared" si="432"/>
        <v>669.94923497075706</v>
      </c>
      <c r="ES154" s="528">
        <f t="shared" si="411"/>
        <v>1.8479999999999999</v>
      </c>
      <c r="EV154" s="460">
        <f t="shared" si="412"/>
        <v>1847.9999999999998</v>
      </c>
      <c r="EW154" s="528">
        <f t="shared" si="413"/>
        <v>2.6948387706855797E-2</v>
      </c>
      <c r="EX154" s="528">
        <f t="shared" si="414"/>
        <v>0.41282636487098234</v>
      </c>
      <c r="EY154" s="528">
        <f t="shared" si="415"/>
        <v>0.81278041177063221</v>
      </c>
      <c r="EZ154" s="528"/>
      <c r="FA154" s="528">
        <f t="shared" si="416"/>
        <v>4.4000000000000011E-2</v>
      </c>
      <c r="FB154" s="460">
        <f t="shared" si="417"/>
        <v>1296.5551643484705</v>
      </c>
      <c r="FC154" s="173">
        <f t="shared" si="418"/>
        <v>3.8145043993192274</v>
      </c>
      <c r="FD154" s="5">
        <f t="shared" si="419"/>
        <v>10.56</v>
      </c>
      <c r="FE154" s="173">
        <f t="shared" si="420"/>
        <v>0.73463402331283978</v>
      </c>
      <c r="FF154" s="5">
        <f t="shared" si="421"/>
        <v>73.463402331283973</v>
      </c>
      <c r="FI154" s="562">
        <f t="shared" si="422"/>
        <v>-50</v>
      </c>
      <c r="FJ154">
        <f t="shared" si="423"/>
        <v>-50</v>
      </c>
      <c r="FL154">
        <f t="shared" si="476"/>
        <v>0.48913043478260865</v>
      </c>
    </row>
    <row r="155" spans="5:168">
      <c r="E155" s="170">
        <v>45</v>
      </c>
      <c r="F155" s="217">
        <f t="shared" si="477"/>
        <v>2.7</v>
      </c>
      <c r="G155" s="217"/>
      <c r="H155" s="217">
        <f t="shared" si="442"/>
        <v>10.8</v>
      </c>
      <c r="I155" s="541">
        <f t="shared" si="443"/>
        <v>17.939754921210039</v>
      </c>
      <c r="J155" s="172">
        <f t="shared" si="444"/>
        <v>19.485252081023255</v>
      </c>
      <c r="K155" s="172">
        <f t="shared" si="445"/>
        <v>37.425007002233293</v>
      </c>
      <c r="L155" s="443"/>
      <c r="M155" s="217">
        <f t="shared" si="446"/>
        <v>0.52035504480955053</v>
      </c>
      <c r="N155" s="172">
        <f t="shared" si="447"/>
        <v>31.326845030786401</v>
      </c>
      <c r="O155" s="172">
        <f t="shared" si="438"/>
        <v>10.8</v>
      </c>
      <c r="P155" s="217">
        <f t="shared" si="448"/>
        <v>7.8317112576966004</v>
      </c>
      <c r="Q155" s="217">
        <f t="shared" si="449"/>
        <v>4</v>
      </c>
      <c r="R155" s="217"/>
      <c r="S155" s="172">
        <f t="shared" si="450"/>
        <v>17.832311360682191</v>
      </c>
      <c r="T155" s="172">
        <f t="shared" si="451"/>
        <v>4</v>
      </c>
      <c r="U155" s="217">
        <f t="shared" si="452"/>
        <v>2.814581880599504</v>
      </c>
      <c r="V155" s="217">
        <f t="shared" si="453"/>
        <v>1.8826891847481226</v>
      </c>
      <c r="W155" s="217">
        <f t="shared" si="454"/>
        <v>1.7333613353705393</v>
      </c>
      <c r="X155" s="197">
        <f t="shared" si="455"/>
        <v>350</v>
      </c>
      <c r="Y155" s="443">
        <f t="shared" si="328"/>
        <v>262.05103803733306</v>
      </c>
      <c r="AA155" s="217">
        <f t="shared" si="456"/>
        <v>2.2238800235939991</v>
      </c>
      <c r="AB155" s="173">
        <f t="shared" si="457"/>
        <v>1.3695773691898043</v>
      </c>
      <c r="AC155" s="173">
        <f t="shared" si="458"/>
        <v>2.1320430264753405</v>
      </c>
      <c r="AD155" s="173"/>
      <c r="AE155" s="173">
        <f t="shared" si="459"/>
        <v>0.82113384694583702</v>
      </c>
      <c r="AF155" s="545">
        <f t="shared" si="460"/>
        <v>1233.0511082522528</v>
      </c>
      <c r="AG155" s="528">
        <f t="shared" si="461"/>
        <v>0.76639159048278127</v>
      </c>
      <c r="AI155" s="173">
        <f t="shared" si="462"/>
        <v>2.5026219731171753</v>
      </c>
      <c r="AJ155" s="173">
        <f t="shared" si="463"/>
        <v>2.814581880599504</v>
      </c>
      <c r="AK155" s="173">
        <f t="shared" si="464"/>
        <v>2.2972211461230891</v>
      </c>
      <c r="AM155" s="545">
        <f t="shared" si="465"/>
        <v>2700</v>
      </c>
      <c r="AN155" s="460">
        <f t="shared" si="466"/>
        <v>262.05103803733306</v>
      </c>
      <c r="AP155" s="460">
        <f t="shared" si="467"/>
        <v>2700</v>
      </c>
      <c r="AQ155" s="460">
        <f t="shared" si="468"/>
        <v>262.05103803733306</v>
      </c>
      <c r="AS155" s="5">
        <f t="shared" si="439"/>
        <v>3.8160505201186616</v>
      </c>
      <c r="AT155" s="5">
        <f t="shared" si="469"/>
        <v>1.8826891847481226</v>
      </c>
      <c r="AU155" s="5">
        <f t="shared" si="343"/>
        <v>1.933361335370539</v>
      </c>
      <c r="AV155" s="5"/>
      <c r="AW155" s="173">
        <f t="shared" si="344"/>
        <v>0.49336065516490585</v>
      </c>
      <c r="AX155" s="173">
        <f t="shared" si="435"/>
        <v>12.455607368142557</v>
      </c>
      <c r="AY155" s="173">
        <f t="shared" si="436"/>
        <v>2.8519558399433196</v>
      </c>
      <c r="AZ155" s="173">
        <f t="shared" si="440"/>
        <v>4.3673913858322937</v>
      </c>
      <c r="BA155" s="460">
        <f t="shared" si="433"/>
        <v>127.08151997049826</v>
      </c>
      <c r="BB155" s="5">
        <f t="shared" si="434"/>
        <v>0.96992696359316832</v>
      </c>
      <c r="BD155" s="173">
        <f t="shared" si="441"/>
        <v>1.1413938185265471</v>
      </c>
      <c r="BE155" s="173">
        <f t="shared" si="437"/>
        <v>4.626608039409839</v>
      </c>
      <c r="BG155" s="528">
        <f t="shared" si="347"/>
        <v>1.5893914157441468E-2</v>
      </c>
      <c r="BH155" s="528">
        <f t="shared" si="470"/>
        <v>0.51756265755550024</v>
      </c>
      <c r="BI155" s="528">
        <f t="shared" si="471"/>
        <v>0.11752828498096111</v>
      </c>
      <c r="BJ155" s="528">
        <f t="shared" si="350"/>
        <v>3.6703684653358777E-2</v>
      </c>
      <c r="BK155">
        <f t="shared" si="351"/>
        <v>8.0728897145445171E-3</v>
      </c>
      <c r="BL155" s="460">
        <f t="shared" si="427"/>
        <v>125.60117469550563</v>
      </c>
      <c r="BM155" s="528">
        <f t="shared" si="472"/>
        <v>0.57662919221270259</v>
      </c>
      <c r="BN155" s="460">
        <f t="shared" si="353"/>
        <v>576.62919221270261</v>
      </c>
      <c r="BO155" s="528">
        <f t="shared" si="354"/>
        <v>1.89</v>
      </c>
      <c r="BR155" s="460">
        <f t="shared" si="355"/>
        <v>1890</v>
      </c>
      <c r="BS155" s="528">
        <f t="shared" si="356"/>
        <v>3.9083395469118369E-2</v>
      </c>
      <c r="BT155" s="528">
        <f t="shared" si="357"/>
        <v>0.64216505850995265</v>
      </c>
      <c r="BU155" s="528">
        <f t="shared" si="358"/>
        <v>0.73870227066289773</v>
      </c>
      <c r="BV155" s="528"/>
      <c r="BW155" s="528">
        <f t="shared" si="359"/>
        <v>5.1898364033927329E-2</v>
      </c>
      <c r="BX155" s="460">
        <f t="shared" si="360"/>
        <v>1471.8490886758959</v>
      </c>
      <c r="BY155" s="173">
        <f t="shared" si="361"/>
        <v>4.0576105197377021</v>
      </c>
      <c r="BZ155" s="5">
        <f t="shared" si="362"/>
        <v>10.8</v>
      </c>
      <c r="CA155" s="173">
        <f t="shared" si="363"/>
        <v>0.72690019607477663</v>
      </c>
      <c r="CB155" s="5">
        <f t="shared" si="364"/>
        <v>72.690019607477666</v>
      </c>
      <c r="CE155" s="562">
        <f t="shared" si="473"/>
        <v>-50</v>
      </c>
      <c r="CF155">
        <f t="shared" si="474"/>
        <v>-50</v>
      </c>
      <c r="CG155" s="173">
        <f t="shared" si="475"/>
        <v>0.47281870274102072</v>
      </c>
      <c r="CI155" s="170">
        <v>45</v>
      </c>
      <c r="CJ155" s="217">
        <f t="shared" si="428"/>
        <v>2.7</v>
      </c>
      <c r="CK155" s="217"/>
      <c r="CL155" s="217">
        <f t="shared" si="368"/>
        <v>10.8</v>
      </c>
      <c r="CM155" s="541">
        <f t="shared" si="369"/>
        <v>18</v>
      </c>
      <c r="CN155" s="443">
        <f t="shared" si="370"/>
        <v>18.8</v>
      </c>
      <c r="CO155" s="443">
        <f t="shared" si="371"/>
        <v>36.799999999999997</v>
      </c>
      <c r="CP155" s="443"/>
      <c r="CQ155" s="217">
        <f t="shared" si="372"/>
        <v>0.51086956521739135</v>
      </c>
      <c r="CR155" s="172">
        <f t="shared" si="429"/>
        <v>30.859076086956527</v>
      </c>
      <c r="CS155" s="172">
        <f t="shared" si="373"/>
        <v>10.8</v>
      </c>
      <c r="CT155" s="217">
        <f t="shared" si="374"/>
        <v>7.7147690217391318</v>
      </c>
      <c r="CU155" s="217">
        <f t="shared" si="375"/>
        <v>4</v>
      </c>
      <c r="CV155" s="217"/>
      <c r="CW155" s="172">
        <f t="shared" si="376"/>
        <v>17.891653094452721</v>
      </c>
      <c r="CX155" s="172">
        <f t="shared" si="377"/>
        <v>4</v>
      </c>
      <c r="CY155" s="217">
        <f t="shared" si="378"/>
        <v>2.3489361702127658</v>
      </c>
      <c r="CZ155" s="217">
        <f t="shared" si="379"/>
        <v>1.5659574468085107</v>
      </c>
      <c r="DA155" s="217">
        <f t="shared" si="380"/>
        <v>1.4993209597102759</v>
      </c>
      <c r="DB155" s="197">
        <f t="shared" si="381"/>
        <v>350</v>
      </c>
      <c r="DC155" s="443">
        <f t="shared" si="382"/>
        <v>326.23464083175804</v>
      </c>
      <c r="DE155" s="217">
        <f t="shared" si="383"/>
        <v>2.18944099378882</v>
      </c>
      <c r="DF155" s="173">
        <f t="shared" si="384"/>
        <v>1.3975155279503106</v>
      </c>
      <c r="DG155" s="173">
        <f t="shared" si="385"/>
        <v>2.1418444504455847</v>
      </c>
      <c r="DH155" s="173"/>
      <c r="DI155" s="173">
        <f t="shared" si="386"/>
        <v>0.85106382978723416</v>
      </c>
      <c r="DJ155" s="545">
        <f t="shared" si="387"/>
        <v>1189.6874999999998</v>
      </c>
      <c r="DK155" s="528">
        <f t="shared" si="388"/>
        <v>0.79432624113475192</v>
      </c>
      <c r="DM155" s="173">
        <f t="shared" si="389"/>
        <v>2.4582223542342834</v>
      </c>
      <c r="DN155" s="173">
        <f t="shared" si="390"/>
        <v>2.3489361702127658</v>
      </c>
      <c r="DO155" s="173">
        <f t="shared" si="391"/>
        <v>1.9522983976884682</v>
      </c>
      <c r="DQ155" s="545">
        <f t="shared" si="392"/>
        <v>2700</v>
      </c>
      <c r="DR155" s="460">
        <f t="shared" si="393"/>
        <v>326.23464083175804</v>
      </c>
      <c r="DT155">
        <f t="shared" si="430"/>
        <v>2700</v>
      </c>
      <c r="DU155">
        <f t="shared" si="431"/>
        <v>326.23464083175804</v>
      </c>
      <c r="DW155" s="5">
        <f t="shared" si="394"/>
        <v>3.0652784065187868</v>
      </c>
      <c r="DX155" s="5">
        <f t="shared" si="395"/>
        <v>1.5659574468085107</v>
      </c>
      <c r="DY155" s="5">
        <f t="shared" si="396"/>
        <v>1.4993209597102761</v>
      </c>
      <c r="DZ155" s="5"/>
      <c r="EA155" s="173">
        <f t="shared" si="397"/>
        <v>0.51086956521739135</v>
      </c>
      <c r="EB155" s="173">
        <f t="shared" si="398"/>
        <v>10.799999999999999</v>
      </c>
      <c r="EC155" s="173">
        <f t="shared" si="399"/>
        <v>2.2978723404255317</v>
      </c>
      <c r="ED155" s="173">
        <f t="shared" si="400"/>
        <v>4.7</v>
      </c>
      <c r="EE155" s="460">
        <f t="shared" si="401"/>
        <v>105.70212765957447</v>
      </c>
      <c r="EF155" s="5">
        <f t="shared" si="402"/>
        <v>0.74966047985513806</v>
      </c>
      <c r="EH155" s="173">
        <f t="shared" si="403"/>
        <v>0.96931649531260244</v>
      </c>
      <c r="EI155" s="173">
        <f t="shared" si="404"/>
        <v>3.7938741693971147</v>
      </c>
      <c r="EK155" s="528">
        <f t="shared" si="405"/>
        <v>1.1462808510638299E-2</v>
      </c>
      <c r="EL155" s="528">
        <f t="shared" si="406"/>
        <v>0.56399999999999995</v>
      </c>
      <c r="EM155" s="528">
        <f t="shared" si="407"/>
        <v>4.0779330103969759E-2</v>
      </c>
      <c r="EN155" s="528">
        <f t="shared" si="408"/>
        <v>4.4179999999999997E-2</v>
      </c>
      <c r="EO155">
        <f t="shared" si="409"/>
        <v>8.0999999999999996E-3</v>
      </c>
      <c r="EP155" s="460">
        <f t="shared" si="410"/>
        <v>48.879330103969764</v>
      </c>
      <c r="EQ155" s="460"/>
      <c r="ER155" s="460">
        <f t="shared" si="432"/>
        <v>668.52213861460791</v>
      </c>
      <c r="ES155" s="528">
        <f t="shared" si="411"/>
        <v>1.89</v>
      </c>
      <c r="EV155" s="460">
        <f t="shared" si="412"/>
        <v>1890</v>
      </c>
      <c r="EW155" s="528">
        <f t="shared" si="413"/>
        <v>2.8187234042553192E-2</v>
      </c>
      <c r="EX155" s="528">
        <f t="shared" si="414"/>
        <v>0.43180443639655941</v>
      </c>
      <c r="EY155" s="528">
        <f t="shared" si="415"/>
        <v>0.81278041177063143</v>
      </c>
      <c r="EZ155" s="528"/>
      <c r="FA155" s="528">
        <f t="shared" si="416"/>
        <v>4.4999999999999998E-2</v>
      </c>
      <c r="FB155" s="460">
        <f t="shared" si="417"/>
        <v>1317.772082209744</v>
      </c>
      <c r="FC155" s="173">
        <f t="shared" si="418"/>
        <v>3.8762942208243518</v>
      </c>
      <c r="FD155" s="5">
        <f t="shared" si="419"/>
        <v>10.8</v>
      </c>
      <c r="FE155" s="173">
        <f t="shared" si="420"/>
        <v>0.735880586577214</v>
      </c>
      <c r="FF155" s="5">
        <f t="shared" si="421"/>
        <v>73.588058657721405</v>
      </c>
      <c r="FI155" s="562">
        <f t="shared" si="422"/>
        <v>-50</v>
      </c>
      <c r="FJ155">
        <f t="shared" si="423"/>
        <v>-50</v>
      </c>
      <c r="FL155">
        <f t="shared" si="476"/>
        <v>0.48913043478260865</v>
      </c>
    </row>
    <row r="156" spans="5:168" s="76" customFormat="1">
      <c r="E156" s="189">
        <v>46</v>
      </c>
      <c r="F156" s="329">
        <f t="shared" si="477"/>
        <v>2.7600000000000002</v>
      </c>
      <c r="G156" s="329"/>
      <c r="H156" s="329">
        <f t="shared" si="442"/>
        <v>11.040000000000001</v>
      </c>
      <c r="I156" s="541">
        <f t="shared" si="443"/>
        <v>17.938462293509204</v>
      </c>
      <c r="J156" s="172">
        <f t="shared" si="444"/>
        <v>19.499954955345558</v>
      </c>
      <c r="K156" s="172">
        <f t="shared" si="445"/>
        <v>37.438417248854762</v>
      </c>
      <c r="L156" s="535"/>
      <c r="M156" s="217">
        <f t="shared" si="446"/>
        <v>0.52056172338065843</v>
      </c>
      <c r="N156" s="172">
        <f t="shared" si="447"/>
        <v>31.337029550068962</v>
      </c>
      <c r="O156" s="172">
        <f t="shared" si="438"/>
        <v>11.040000000000001</v>
      </c>
      <c r="P156" s="329">
        <f t="shared" si="448"/>
        <v>7.8342573875172405</v>
      </c>
      <c r="Q156" s="329">
        <f t="shared" si="449"/>
        <v>4</v>
      </c>
      <c r="R156" s="329"/>
      <c r="S156" s="172">
        <f t="shared" si="450"/>
        <v>17.354073330111714</v>
      </c>
      <c r="T156" s="172">
        <f t="shared" si="451"/>
        <v>4</v>
      </c>
      <c r="U156" s="217">
        <f t="shared" si="452"/>
        <v>2.8783684309287541</v>
      </c>
      <c r="V156" s="329">
        <f t="shared" si="453"/>
        <v>1.9254950957330965</v>
      </c>
      <c r="W156" s="329">
        <f t="shared" si="454"/>
        <v>1.7713077414918039</v>
      </c>
      <c r="X156" s="537">
        <f t="shared" si="455"/>
        <v>350</v>
      </c>
      <c r="Y156" s="443">
        <f t="shared" si="328"/>
        <v>256.62063023751739</v>
      </c>
      <c r="AA156" s="329">
        <f t="shared" si="456"/>
        <v>2.2246005980743813</v>
      </c>
      <c r="AB156" s="538">
        <f t="shared" si="457"/>
        <v>1.3689881457687456</v>
      </c>
      <c r="AC156" s="538">
        <f t="shared" si="458"/>
        <v>2.1318162934837228</v>
      </c>
      <c r="AD156" s="538"/>
      <c r="AE156" s="538">
        <f t="shared" si="459"/>
        <v>0.82051471588727398</v>
      </c>
      <c r="AF156" s="545">
        <f t="shared" si="460"/>
        <v>1261.4033361739155</v>
      </c>
      <c r="AG156" s="579">
        <f t="shared" si="461"/>
        <v>0.76581373482812243</v>
      </c>
      <c r="AI156" s="538">
        <f t="shared" si="462"/>
        <v>2.5312305420005501</v>
      </c>
      <c r="AJ156" s="538">
        <f t="shared" si="463"/>
        <v>2.8783684309287541</v>
      </c>
      <c r="AK156" s="538">
        <f t="shared" si="464"/>
        <v>2.3444704426632743</v>
      </c>
      <c r="AM156" s="563">
        <f t="shared" si="465"/>
        <v>2760.0000000000005</v>
      </c>
      <c r="AN156" s="564">
        <f t="shared" si="466"/>
        <v>256.62063023751739</v>
      </c>
      <c r="AP156" s="76">
        <f t="shared" si="467"/>
        <v>2760.0000000000005</v>
      </c>
      <c r="AQ156" s="76">
        <f t="shared" si="468"/>
        <v>256.62063023751739</v>
      </c>
      <c r="AS156" s="534">
        <f t="shared" si="439"/>
        <v>3.8968028372249011</v>
      </c>
      <c r="AT156" s="5">
        <f t="shared" si="469"/>
        <v>1.9254950957330965</v>
      </c>
      <c r="AU156" s="5">
        <f t="shared" si="343"/>
        <v>1.9713077414918045</v>
      </c>
      <c r="AV156" s="5"/>
      <c r="AW156" s="173">
        <f t="shared" si="344"/>
        <v>0.49412176498627614</v>
      </c>
      <c r="AX156" s="173">
        <f t="shared" si="435"/>
        <v>12.756618956992043</v>
      </c>
      <c r="AY156" s="173">
        <f t="shared" si="436"/>
        <v>2.9122078831149198</v>
      </c>
      <c r="AZ156" s="173">
        <f t="shared" si="440"/>
        <v>4.3803943499210174</v>
      </c>
      <c r="BA156" s="460">
        <f t="shared" si="433"/>
        <v>132.85916160558367</v>
      </c>
      <c r="BB156" s="5">
        <f t="shared" si="434"/>
        <v>1.0110137047971433</v>
      </c>
      <c r="BD156" s="173">
        <f t="shared" si="441"/>
        <v>1.1681611199712332</v>
      </c>
      <c r="BE156" s="173">
        <f t="shared" si="437"/>
        <v>4.7279050286738595</v>
      </c>
      <c r="BG156" s="528">
        <f t="shared" si="347"/>
        <v>1.664812490699184E-2</v>
      </c>
      <c r="BH156" s="528">
        <f t="shared" si="470"/>
        <v>0.51850948143130948</v>
      </c>
      <c r="BI156" s="528">
        <f t="shared" si="471"/>
        <v>0.11508448748130683</v>
      </c>
      <c r="BJ156" s="528">
        <f t="shared" si="350"/>
        <v>3.59688479157831E-2</v>
      </c>
      <c r="BK156">
        <f t="shared" si="351"/>
        <v>8.0723080320791417E-3</v>
      </c>
      <c r="BL156" s="460">
        <f t="shared" si="427"/>
        <v>123.15679551338597</v>
      </c>
      <c r="BM156" s="528">
        <f t="shared" si="472"/>
        <v>0.57790741535990819</v>
      </c>
      <c r="BN156" s="460">
        <f t="shared" si="353"/>
        <v>577.90741535990821</v>
      </c>
      <c r="BO156" s="528">
        <f t="shared" si="354"/>
        <v>1.9319999999999999</v>
      </c>
      <c r="BR156" s="460">
        <f t="shared" si="355"/>
        <v>1932</v>
      </c>
      <c r="BS156" s="528">
        <f t="shared" si="356"/>
        <v>4.0938012066373375E-2</v>
      </c>
      <c r="BT156" s="528">
        <f t="shared" si="357"/>
        <v>0.67059257880478707</v>
      </c>
      <c r="BU156" s="528">
        <f t="shared" si="358"/>
        <v>0.7414209942577491</v>
      </c>
      <c r="BV156" s="528"/>
      <c r="BW156" s="528">
        <f t="shared" si="359"/>
        <v>5.3152578987466843E-2</v>
      </c>
      <c r="BX156" s="460">
        <f t="shared" si="360"/>
        <v>1506.1041641163763</v>
      </c>
      <c r="BY156" s="173">
        <f t="shared" si="361"/>
        <v>4.1323874138838468</v>
      </c>
      <c r="BZ156" s="5">
        <f t="shared" si="362"/>
        <v>11.040000000000001</v>
      </c>
      <c r="CA156" s="173">
        <f t="shared" si="363"/>
        <v>0.72763762872925264</v>
      </c>
      <c r="CB156" s="5">
        <f t="shared" si="364"/>
        <v>72.76376287292527</v>
      </c>
      <c r="CE156" s="562">
        <f t="shared" si="473"/>
        <v>-50</v>
      </c>
      <c r="CF156">
        <f t="shared" si="474"/>
        <v>-50</v>
      </c>
      <c r="CG156" s="173">
        <f t="shared" si="475"/>
        <v>0.47317330561149007</v>
      </c>
      <c r="CH156"/>
      <c r="CI156" s="189">
        <v>46</v>
      </c>
      <c r="CJ156" s="329">
        <f t="shared" si="428"/>
        <v>2.7600000000000002</v>
      </c>
      <c r="CK156" s="329"/>
      <c r="CL156" s="329">
        <f t="shared" si="368"/>
        <v>11.040000000000001</v>
      </c>
      <c r="CM156" s="541">
        <f t="shared" si="369"/>
        <v>18</v>
      </c>
      <c r="CN156" s="443">
        <f t="shared" si="370"/>
        <v>18.8</v>
      </c>
      <c r="CO156" s="535">
        <f t="shared" si="371"/>
        <v>36.799999999999997</v>
      </c>
      <c r="CP156" s="535"/>
      <c r="CQ156" s="329">
        <f t="shared" si="372"/>
        <v>0.51086956521739135</v>
      </c>
      <c r="CR156" s="172">
        <f t="shared" si="429"/>
        <v>30.859076086956527</v>
      </c>
      <c r="CS156" s="172">
        <f t="shared" si="373"/>
        <v>11.040000000000001</v>
      </c>
      <c r="CT156" s="329">
        <f t="shared" si="374"/>
        <v>7.7147690217391318</v>
      </c>
      <c r="CU156" s="329">
        <f t="shared" si="375"/>
        <v>4</v>
      </c>
      <c r="CV156" s="329"/>
      <c r="CW156" s="172">
        <f t="shared" si="376"/>
        <v>17.413038309659687</v>
      </c>
      <c r="CX156" s="172">
        <f t="shared" si="377"/>
        <v>4</v>
      </c>
      <c r="CY156" s="217">
        <f t="shared" si="378"/>
        <v>2.4011347517730495</v>
      </c>
      <c r="CZ156" s="329">
        <f t="shared" si="379"/>
        <v>1.6007565011820331</v>
      </c>
      <c r="DA156" s="329">
        <f t="shared" si="380"/>
        <v>1.5326392032593932</v>
      </c>
      <c r="DB156" s="537">
        <f t="shared" si="381"/>
        <v>350</v>
      </c>
      <c r="DC156" s="535">
        <f t="shared" si="382"/>
        <v>319.14258342237201</v>
      </c>
      <c r="DE156" s="329">
        <f t="shared" si="383"/>
        <v>2.18944099378882</v>
      </c>
      <c r="DF156" s="538">
        <f t="shared" si="384"/>
        <v>1.3975155279503106</v>
      </c>
      <c r="DG156" s="538">
        <f t="shared" si="385"/>
        <v>2.1418444504455847</v>
      </c>
      <c r="DH156" s="538"/>
      <c r="DI156" s="538">
        <f t="shared" si="386"/>
        <v>0.85106382978723416</v>
      </c>
      <c r="DJ156" s="545">
        <f t="shared" si="387"/>
        <v>1216.1249999999998</v>
      </c>
      <c r="DK156" s="579">
        <f t="shared" si="388"/>
        <v>0.79432624113475192</v>
      </c>
      <c r="DM156" s="538">
        <f t="shared" si="389"/>
        <v>2.4853858567922322</v>
      </c>
      <c r="DN156" s="538">
        <f t="shared" si="390"/>
        <v>2.4011347517730495</v>
      </c>
      <c r="DO156" s="538">
        <f t="shared" si="391"/>
        <v>1.990964013659049</v>
      </c>
      <c r="DQ156" s="563">
        <f t="shared" si="392"/>
        <v>2760.0000000000005</v>
      </c>
      <c r="DR156" s="564">
        <f t="shared" si="393"/>
        <v>319.14258342237201</v>
      </c>
      <c r="DT156">
        <f t="shared" si="430"/>
        <v>2760.0000000000005</v>
      </c>
      <c r="DU156">
        <f t="shared" si="431"/>
        <v>319.14258342237201</v>
      </c>
      <c r="DW156" s="534">
        <f t="shared" si="394"/>
        <v>3.1333957044414262</v>
      </c>
      <c r="DX156" s="5">
        <f t="shared" si="395"/>
        <v>1.6007565011820331</v>
      </c>
      <c r="DY156" s="5">
        <f t="shared" si="396"/>
        <v>1.5326392032593932</v>
      </c>
      <c r="DZ156" s="5"/>
      <c r="EA156" s="173">
        <f t="shared" si="397"/>
        <v>0.51086956521739135</v>
      </c>
      <c r="EB156" s="173">
        <f t="shared" si="398"/>
        <v>11.040000000000001</v>
      </c>
      <c r="EC156" s="173">
        <f t="shared" si="399"/>
        <v>2.3489361702127654</v>
      </c>
      <c r="ED156" s="173">
        <f t="shared" si="400"/>
        <v>4.700000000000002</v>
      </c>
      <c r="EE156" s="460">
        <f t="shared" si="401"/>
        <v>110.45219858156027</v>
      </c>
      <c r="EF156" s="5">
        <f t="shared" si="402"/>
        <v>0.78334892611035645</v>
      </c>
      <c r="EH156" s="173">
        <f t="shared" si="403"/>
        <v>0.99085686187510469</v>
      </c>
      <c r="EI156" s="173">
        <f t="shared" si="404"/>
        <v>3.8781824842726063</v>
      </c>
      <c r="EK156" s="528">
        <f t="shared" si="405"/>
        <v>1.1977927312844758E-2</v>
      </c>
      <c r="EL156" s="528">
        <f t="shared" si="406"/>
        <v>0.56400000000000006</v>
      </c>
      <c r="EM156" s="528">
        <f t="shared" si="407"/>
        <v>3.9892822927796501E-2</v>
      </c>
      <c r="EN156" s="528">
        <f t="shared" si="408"/>
        <v>4.3219565217391301E-2</v>
      </c>
      <c r="EO156">
        <f t="shared" si="409"/>
        <v>8.0999999999999996E-3</v>
      </c>
      <c r="EP156" s="460">
        <f t="shared" si="410"/>
        <v>47.992822927796496</v>
      </c>
      <c r="EQ156" s="460"/>
      <c r="ER156" s="460">
        <f t="shared" si="432"/>
        <v>667.19031545803261</v>
      </c>
      <c r="ES156" s="528">
        <f t="shared" si="411"/>
        <v>1.9319999999999999</v>
      </c>
      <c r="EV156" s="460">
        <f t="shared" si="412"/>
        <v>1932</v>
      </c>
      <c r="EW156" s="528">
        <f t="shared" si="413"/>
        <v>2.9453919621749407E-2</v>
      </c>
      <c r="EX156" s="528">
        <f t="shared" si="414"/>
        <v>0.45120898143956528</v>
      </c>
      <c r="EY156" s="528">
        <f t="shared" si="415"/>
        <v>0.81278041177063109</v>
      </c>
      <c r="EZ156" s="528"/>
      <c r="FA156" s="528">
        <f t="shared" si="416"/>
        <v>4.5999999999999999E-2</v>
      </c>
      <c r="FB156" s="460">
        <f t="shared" si="417"/>
        <v>1339.4433128319458</v>
      </c>
      <c r="FC156" s="173">
        <f t="shared" si="418"/>
        <v>3.9386336282899785</v>
      </c>
      <c r="FD156" s="5">
        <f t="shared" si="419"/>
        <v>11.040000000000001</v>
      </c>
      <c r="FE156" s="173">
        <f t="shared" si="420"/>
        <v>0.73704987210241091</v>
      </c>
      <c r="FF156" s="5">
        <f t="shared" si="421"/>
        <v>73.704987210241086</v>
      </c>
      <c r="FI156" s="562">
        <f t="shared" si="422"/>
        <v>-50</v>
      </c>
      <c r="FJ156">
        <f t="shared" si="423"/>
        <v>-50</v>
      </c>
      <c r="FL156">
        <f t="shared" si="476"/>
        <v>0.48913043478260865</v>
      </c>
    </row>
    <row r="157" spans="5:168">
      <c r="E157" s="170">
        <v>47</v>
      </c>
      <c r="F157" s="217">
        <f t="shared" si="477"/>
        <v>2.82</v>
      </c>
      <c r="G157" s="217"/>
      <c r="H157" s="217">
        <f t="shared" si="442"/>
        <v>11.28</v>
      </c>
      <c r="I157" s="541">
        <f t="shared" si="443"/>
        <v>17.937169599625729</v>
      </c>
      <c r="J157" s="172">
        <f t="shared" si="444"/>
        <v>19.514658582456143</v>
      </c>
      <c r="K157" s="172">
        <f t="shared" si="445"/>
        <v>37.451828182081869</v>
      </c>
      <c r="L157" s="443"/>
      <c r="M157" s="217">
        <f t="shared" si="446"/>
        <v>0.52076825458386988</v>
      </c>
      <c r="N157" s="172">
        <f t="shared" si="447"/>
        <v>31.347203289926014</v>
      </c>
      <c r="O157" s="172">
        <f t="shared" si="438"/>
        <v>11.28</v>
      </c>
      <c r="P157" s="217">
        <f t="shared" si="448"/>
        <v>7.8368008224815036</v>
      </c>
      <c r="Q157" s="217">
        <f t="shared" si="449"/>
        <v>4</v>
      </c>
      <c r="R157" s="217"/>
      <c r="S157" s="172">
        <f t="shared" si="450"/>
        <v>16.896424510850103</v>
      </c>
      <c r="T157" s="172">
        <f t="shared" si="451"/>
        <v>4</v>
      </c>
      <c r="U157" s="217">
        <f t="shared" si="452"/>
        <v>2.9422090950499489</v>
      </c>
      <c r="V157" s="217">
        <f t="shared" si="453"/>
        <v>1.968343385755581</v>
      </c>
      <c r="W157" s="217">
        <f t="shared" si="454"/>
        <v>1.8092301738929863</v>
      </c>
      <c r="X157" s="197">
        <f t="shared" si="455"/>
        <v>350</v>
      </c>
      <c r="Y157" s="443">
        <f t="shared" si="328"/>
        <v>251.40955534920479</v>
      </c>
      <c r="AA157" s="217">
        <f t="shared" si="456"/>
        <v>2.225320451714714</v>
      </c>
      <c r="AB157" s="173">
        <f t="shared" si="457"/>
        <v>1.3683993141741957</v>
      </c>
      <c r="AC157" s="173">
        <f t="shared" si="458"/>
        <v>2.1315888859609582</v>
      </c>
      <c r="AD157" s="173"/>
      <c r="AE157" s="173">
        <f t="shared" si="459"/>
        <v>0.81989648614114874</v>
      </c>
      <c r="AF157" s="545">
        <f t="shared" si="460"/>
        <v>1289.7969656842101</v>
      </c>
      <c r="AG157" s="528">
        <f t="shared" si="461"/>
        <v>0.76523672039840562</v>
      </c>
      <c r="AI157" s="173">
        <f t="shared" si="462"/>
        <v>2.5595604440933641</v>
      </c>
      <c r="AJ157" s="173">
        <f t="shared" si="463"/>
        <v>2.9422090950499489</v>
      </c>
      <c r="AK157" s="173">
        <f t="shared" si="464"/>
        <v>2.3917598234937891</v>
      </c>
      <c r="AM157" s="545">
        <f t="shared" si="465"/>
        <v>2820</v>
      </c>
      <c r="AN157" s="460">
        <f t="shared" si="466"/>
        <v>251.40955534920479</v>
      </c>
      <c r="AP157">
        <f t="shared" si="467"/>
        <v>2820</v>
      </c>
      <c r="AQ157">
        <f t="shared" si="468"/>
        <v>251.40955534920479</v>
      </c>
      <c r="AS157" s="5">
        <f t="shared" si="439"/>
        <v>3.9775735596485671</v>
      </c>
      <c r="AT157" s="5">
        <f t="shared" si="469"/>
        <v>1.968343385755581</v>
      </c>
      <c r="AU157" s="5">
        <f t="shared" si="343"/>
        <v>2.0092301738929859</v>
      </c>
      <c r="AV157" s="5"/>
      <c r="AW157" s="173">
        <f t="shared" si="344"/>
        <v>0.49486033538735891</v>
      </c>
      <c r="AX157" s="173">
        <f t="shared" si="435"/>
        <v>13.058103231799661</v>
      </c>
      <c r="AY157" s="173">
        <f t="shared" si="436"/>
        <v>2.9724530309875874</v>
      </c>
      <c r="AZ157" s="173">
        <f t="shared" si="440"/>
        <v>4.3930393838590449</v>
      </c>
      <c r="BA157" s="460">
        <f t="shared" si="433"/>
        <v>138.76820869576844</v>
      </c>
      <c r="BB157" s="5">
        <f t="shared" si="434"/>
        <v>1.0529400154073443</v>
      </c>
      <c r="BD157" s="173">
        <f t="shared" si="441"/>
        <v>1.1949623686968007</v>
      </c>
      <c r="BE157" s="173">
        <f t="shared" si="437"/>
        <v>4.82923826771344</v>
      </c>
      <c r="BG157" s="528">
        <f t="shared" si="347"/>
        <v>1.7420807763737917E-2</v>
      </c>
      <c r="BH157" s="528">
        <f t="shared" si="470"/>
        <v>0.51943308456989778</v>
      </c>
      <c r="BI157" s="528">
        <f t="shared" si="471"/>
        <v>0.11273939583162945</v>
      </c>
      <c r="BJ157" s="528">
        <f t="shared" si="350"/>
        <v>3.5263695646249968E-2</v>
      </c>
      <c r="BK157">
        <f t="shared" si="351"/>
        <v>8.0717263198315774E-3</v>
      </c>
      <c r="BL157" s="460">
        <f t="shared" si="427"/>
        <v>120.81112215146103</v>
      </c>
      <c r="BM157" s="528">
        <f t="shared" si="472"/>
        <v>0.57921869880304533</v>
      </c>
      <c r="BN157" s="460">
        <f t="shared" si="353"/>
        <v>579.2186988030453</v>
      </c>
      <c r="BO157" s="528">
        <f t="shared" si="354"/>
        <v>1.9739999999999998</v>
      </c>
      <c r="BR157" s="460">
        <f t="shared" si="355"/>
        <v>1973.9999999999998</v>
      </c>
      <c r="BS157" s="528">
        <f t="shared" si="356"/>
        <v>4.2838051878044056E-2</v>
      </c>
      <c r="BT157" s="528">
        <f t="shared" si="357"/>
        <v>0.69964626739043712</v>
      </c>
      <c r="BU157" s="528">
        <f t="shared" si="358"/>
        <v>0.74406056612136751</v>
      </c>
      <c r="BV157" s="528"/>
      <c r="BW157" s="528">
        <f t="shared" si="359"/>
        <v>5.4408763465831921E-2</v>
      </c>
      <c r="BX157" s="460">
        <f t="shared" si="360"/>
        <v>1540.9536488556805</v>
      </c>
      <c r="BY157" s="173">
        <f t="shared" si="361"/>
        <v>4.2078823589870273</v>
      </c>
      <c r="BZ157" s="5">
        <f t="shared" si="362"/>
        <v>11.28</v>
      </c>
      <c r="CA157" s="173">
        <f t="shared" si="363"/>
        <v>0.72831131710234398</v>
      </c>
      <c r="CB157" s="5">
        <f t="shared" si="364"/>
        <v>72.831131710234402</v>
      </c>
      <c r="CE157" s="562">
        <f t="shared" si="473"/>
        <v>-50</v>
      </c>
      <c r="CF157">
        <f t="shared" si="474"/>
        <v>-50</v>
      </c>
      <c r="CG157" s="173">
        <f t="shared" si="475"/>
        <v>0.4735128189981096</v>
      </c>
      <c r="CI157" s="170">
        <v>47</v>
      </c>
      <c r="CJ157" s="217">
        <f t="shared" si="428"/>
        <v>2.82</v>
      </c>
      <c r="CK157" s="217"/>
      <c r="CL157" s="217">
        <f t="shared" si="368"/>
        <v>11.28</v>
      </c>
      <c r="CM157" s="541">
        <f t="shared" si="369"/>
        <v>18</v>
      </c>
      <c r="CN157" s="443">
        <f t="shared" si="370"/>
        <v>18.8</v>
      </c>
      <c r="CO157" s="443">
        <f t="shared" si="371"/>
        <v>36.799999999999997</v>
      </c>
      <c r="CP157" s="443"/>
      <c r="CQ157" s="217">
        <f t="shared" si="372"/>
        <v>0.51086956521739135</v>
      </c>
      <c r="CR157" s="172">
        <f t="shared" si="429"/>
        <v>30.859076086956527</v>
      </c>
      <c r="CS157" s="172">
        <f t="shared" si="373"/>
        <v>11.28</v>
      </c>
      <c r="CT157" s="217">
        <f t="shared" si="374"/>
        <v>7.7147690217391318</v>
      </c>
      <c r="CU157" s="217">
        <f t="shared" si="375"/>
        <v>4</v>
      </c>
      <c r="CV157" s="217"/>
      <c r="CW157" s="172">
        <f t="shared" si="376"/>
        <v>16.955015301178758</v>
      </c>
      <c r="CX157" s="172">
        <f t="shared" si="377"/>
        <v>4</v>
      </c>
      <c r="CY157" s="217">
        <f t="shared" si="378"/>
        <v>2.4533333333333327</v>
      </c>
      <c r="CZ157" s="217">
        <f t="shared" si="379"/>
        <v>1.6355555555555552</v>
      </c>
      <c r="DA157" s="217">
        <f t="shared" si="380"/>
        <v>1.5659574468085102</v>
      </c>
      <c r="DB157" s="197">
        <f t="shared" si="381"/>
        <v>350</v>
      </c>
      <c r="DC157" s="443">
        <f t="shared" si="382"/>
        <v>312.3523156899812</v>
      </c>
      <c r="DE157" s="217">
        <f t="shared" si="383"/>
        <v>2.18944099378882</v>
      </c>
      <c r="DF157" s="173">
        <f t="shared" si="384"/>
        <v>1.3975155279503106</v>
      </c>
      <c r="DG157" s="173">
        <f t="shared" si="385"/>
        <v>2.1418444504455847</v>
      </c>
      <c r="DH157" s="173"/>
      <c r="DI157" s="173">
        <f t="shared" si="386"/>
        <v>0.85106382978723416</v>
      </c>
      <c r="DJ157" s="545">
        <f t="shared" si="387"/>
        <v>1242.5624999999995</v>
      </c>
      <c r="DK157" s="528">
        <f t="shared" si="388"/>
        <v>0.79432624113475192</v>
      </c>
      <c r="DM157" s="173">
        <f t="shared" si="389"/>
        <v>2.5122556739767892</v>
      </c>
      <c r="DN157" s="173">
        <f t="shared" si="390"/>
        <v>2.4533333333333327</v>
      </c>
      <c r="DO157" s="173">
        <f t="shared" si="391"/>
        <v>2.0296296296296292</v>
      </c>
      <c r="DQ157" s="545">
        <f t="shared" si="392"/>
        <v>2820</v>
      </c>
      <c r="DR157" s="460">
        <f t="shared" si="393"/>
        <v>312.3523156899812</v>
      </c>
      <c r="DT157">
        <f t="shared" si="430"/>
        <v>2820</v>
      </c>
      <c r="DU157">
        <f t="shared" si="431"/>
        <v>312.3523156899812</v>
      </c>
      <c r="DW157" s="5">
        <f t="shared" si="394"/>
        <v>3.2015130023640652</v>
      </c>
      <c r="DX157" s="5">
        <f t="shared" si="395"/>
        <v>1.6355555555555552</v>
      </c>
      <c r="DY157" s="5">
        <f t="shared" si="396"/>
        <v>1.56595744680851</v>
      </c>
      <c r="DZ157" s="5"/>
      <c r="EA157" s="173">
        <f t="shared" si="397"/>
        <v>0.51086956521739135</v>
      </c>
      <c r="EB157" s="173">
        <f t="shared" si="398"/>
        <v>11.279999999999998</v>
      </c>
      <c r="EC157" s="173">
        <f t="shared" si="399"/>
        <v>2.399999999999999</v>
      </c>
      <c r="ED157" s="173">
        <f t="shared" si="400"/>
        <v>4.7000000000000011</v>
      </c>
      <c r="EE157" s="460">
        <f t="shared" si="401"/>
        <v>115.30666666666664</v>
      </c>
      <c r="EF157" s="5">
        <f t="shared" si="402"/>
        <v>0.81777777777777727</v>
      </c>
      <c r="EH157" s="173">
        <f t="shared" si="403"/>
        <v>1.0123972284376068</v>
      </c>
      <c r="EI157" s="173">
        <f t="shared" si="404"/>
        <v>3.9624907991480969</v>
      </c>
      <c r="EK157" s="528">
        <f t="shared" si="405"/>
        <v>1.2504367407407404E-2</v>
      </c>
      <c r="EL157" s="528">
        <f t="shared" si="406"/>
        <v>0.56400000000000006</v>
      </c>
      <c r="EM157" s="528">
        <f t="shared" si="407"/>
        <v>3.9044039461247647E-2</v>
      </c>
      <c r="EN157" s="528">
        <f t="shared" si="408"/>
        <v>4.2300000000000004E-2</v>
      </c>
      <c r="EO157">
        <f t="shared" si="409"/>
        <v>8.0999999999999996E-3</v>
      </c>
      <c r="EP157" s="460">
        <f t="shared" si="410"/>
        <v>47.144039461247651</v>
      </c>
      <c r="EQ157" s="460"/>
      <c r="ER157" s="460">
        <f t="shared" si="432"/>
        <v>665.94840686865518</v>
      </c>
      <c r="ES157" s="528">
        <f t="shared" si="411"/>
        <v>1.9739999999999998</v>
      </c>
      <c r="EV157" s="460">
        <f t="shared" si="412"/>
        <v>1973.9999999999998</v>
      </c>
      <c r="EW157" s="528">
        <f t="shared" si="413"/>
        <v>3.0748444444444436E-2</v>
      </c>
      <c r="EX157" s="528">
        <f t="shared" si="414"/>
        <v>0.47103999999999968</v>
      </c>
      <c r="EY157" s="528">
        <f t="shared" si="415"/>
        <v>0.81278041177063176</v>
      </c>
      <c r="EZ157" s="528"/>
      <c r="FA157" s="528">
        <f t="shared" si="416"/>
        <v>4.7E-2</v>
      </c>
      <c r="FB157" s="460">
        <f t="shared" si="417"/>
        <v>1361.5688562150758</v>
      </c>
      <c r="FC157" s="173">
        <f t="shared" si="418"/>
        <v>4.0015172630837306</v>
      </c>
      <c r="FD157" s="5">
        <f t="shared" si="419"/>
        <v>11.28</v>
      </c>
      <c r="FE157" s="173">
        <f t="shared" si="420"/>
        <v>0.73814659930723103</v>
      </c>
      <c r="FF157" s="5">
        <f t="shared" si="421"/>
        <v>73.81465993072311</v>
      </c>
      <c r="FI157" s="562">
        <f t="shared" si="422"/>
        <v>-50</v>
      </c>
      <c r="FJ157">
        <f t="shared" si="423"/>
        <v>-50</v>
      </c>
      <c r="FL157">
        <f t="shared" si="476"/>
        <v>0.48913043478260865</v>
      </c>
    </row>
    <row r="158" spans="5:168">
      <c r="E158" s="170">
        <v>48</v>
      </c>
      <c r="F158" s="217">
        <f t="shared" si="477"/>
        <v>2.88</v>
      </c>
      <c r="G158" s="217"/>
      <c r="H158" s="217">
        <f t="shared" si="442"/>
        <v>11.52</v>
      </c>
      <c r="I158" s="541">
        <f t="shared" si="443"/>
        <v>17.935876843829533</v>
      </c>
      <c r="J158" s="172">
        <f t="shared" si="444"/>
        <v>19.52936291378731</v>
      </c>
      <c r="K158" s="172">
        <f t="shared" si="445"/>
        <v>37.465239757616843</v>
      </c>
      <c r="L158" s="443"/>
      <c r="M158" s="217">
        <f t="shared" si="446"/>
        <v>0.52097463851941184</v>
      </c>
      <c r="N158" s="172">
        <f t="shared" si="447"/>
        <v>31.357366265635562</v>
      </c>
      <c r="O158" s="172">
        <f t="shared" si="438"/>
        <v>11.52</v>
      </c>
      <c r="P158" s="217">
        <f t="shared" si="448"/>
        <v>7.8393415664088906</v>
      </c>
      <c r="Q158" s="217">
        <f t="shared" si="449"/>
        <v>4</v>
      </c>
      <c r="R158" s="217"/>
      <c r="S158" s="172">
        <f t="shared" si="450"/>
        <v>16.458080466439444</v>
      </c>
      <c r="T158" s="172">
        <f t="shared" si="451"/>
        <v>4</v>
      </c>
      <c r="U158" s="217">
        <f t="shared" si="452"/>
        <v>3.0061038846653099</v>
      </c>
      <c r="V158" s="217">
        <f t="shared" si="453"/>
        <v>2.0112340718036301</v>
      </c>
      <c r="W158" s="217">
        <f t="shared" si="454"/>
        <v>1.8471286941222635</v>
      </c>
      <c r="X158" s="197">
        <f t="shared" si="455"/>
        <v>350</v>
      </c>
      <c r="Y158" s="443">
        <f t="shared" si="328"/>
        <v>246.40478381972719</v>
      </c>
      <c r="AA158" s="217">
        <f t="shared" si="456"/>
        <v>2.2260395828383981</v>
      </c>
      <c r="AB158" s="173">
        <f t="shared" si="457"/>
        <v>1.3678108759606462</v>
      </c>
      <c r="AC158" s="173">
        <f t="shared" si="458"/>
        <v>2.1313608062076828</v>
      </c>
      <c r="AD158" s="173"/>
      <c r="AE158" s="173">
        <f t="shared" si="459"/>
        <v>0.81927915778063332</v>
      </c>
      <c r="AF158" s="545">
        <f t="shared" si="460"/>
        <v>1318.2319966806429</v>
      </c>
      <c r="AG158" s="528">
        <f t="shared" si="461"/>
        <v>0.76466054726192456</v>
      </c>
      <c r="AI158" s="173">
        <f t="shared" si="462"/>
        <v>2.5876208320465661</v>
      </c>
      <c r="AJ158" s="173">
        <f t="shared" si="463"/>
        <v>3.0061038846653099</v>
      </c>
      <c r="AK158" s="173">
        <f t="shared" si="464"/>
        <v>2.4390892972829454</v>
      </c>
      <c r="AM158" s="545">
        <f t="shared" si="465"/>
        <v>2880</v>
      </c>
      <c r="AN158" s="460">
        <f t="shared" si="466"/>
        <v>246.40478381972719</v>
      </c>
      <c r="AP158">
        <f t="shared" si="467"/>
        <v>2880</v>
      </c>
      <c r="AQ158">
        <f t="shared" si="468"/>
        <v>246.40478381972719</v>
      </c>
      <c r="AS158" s="5">
        <f t="shared" si="439"/>
        <v>4.0583627659258941</v>
      </c>
      <c r="AT158" s="5">
        <f t="shared" si="469"/>
        <v>2.0112340718036301</v>
      </c>
      <c r="AU158" s="5">
        <f t="shared" si="343"/>
        <v>2.0471286941222639</v>
      </c>
      <c r="AV158" s="5"/>
      <c r="AW158" s="173">
        <f t="shared" si="344"/>
        <v>0.49557769667364315</v>
      </c>
      <c r="AX158" s="173">
        <f t="shared" si="435"/>
        <v>13.360058358417648</v>
      </c>
      <c r="AY158" s="173">
        <f t="shared" si="436"/>
        <v>3.0326916910823694</v>
      </c>
      <c r="AZ158" s="173">
        <f t="shared" si="440"/>
        <v>4.4053467082403737</v>
      </c>
      <c r="BA158" s="460">
        <f t="shared" si="433"/>
        <v>144.80885316986135</v>
      </c>
      <c r="BB158" s="5">
        <f t="shared" si="434"/>
        <v>1.095705308120174</v>
      </c>
      <c r="BD158" s="173">
        <f t="shared" si="441"/>
        <v>1.221797504856732</v>
      </c>
      <c r="BE158" s="173">
        <f t="shared" si="437"/>
        <v>4.9306081500642271</v>
      </c>
      <c r="BG158" s="528">
        <f t="shared" si="347"/>
        <v>1.8212027543064457E-2</v>
      </c>
      <c r="BH158" s="528">
        <f t="shared" si="470"/>
        <v>0.52033484285008158</v>
      </c>
      <c r="BI158" s="528">
        <f t="shared" si="471"/>
        <v>0.11048714640802666</v>
      </c>
      <c r="BJ158" s="528">
        <f t="shared" si="350"/>
        <v>3.4586464322035042E-2</v>
      </c>
      <c r="BK158">
        <f t="shared" si="351"/>
        <v>8.0711445797232891E-3</v>
      </c>
      <c r="BL158" s="460">
        <f t="shared" si="427"/>
        <v>118.55829098774994</v>
      </c>
      <c r="BM158" s="528">
        <f t="shared" si="472"/>
        <v>0.58056278049469467</v>
      </c>
      <c r="BN158" s="460">
        <f t="shared" si="353"/>
        <v>580.56278049469472</v>
      </c>
      <c r="BO158" s="528">
        <f t="shared" si="354"/>
        <v>2.016</v>
      </c>
      <c r="BR158" s="460">
        <f t="shared" si="355"/>
        <v>2016</v>
      </c>
      <c r="BS158" s="528">
        <f t="shared" si="356"/>
        <v>4.4783674286224082E-2</v>
      </c>
      <c r="BT158" s="528">
        <f t="shared" si="357"/>
        <v>0.72932690188439331</v>
      </c>
      <c r="BU158" s="528">
        <f t="shared" si="358"/>
        <v>0.74662547546110924</v>
      </c>
      <c r="BV158" s="528"/>
      <c r="BW158" s="528">
        <f t="shared" si="359"/>
        <v>5.5666909826740198E-2</v>
      </c>
      <c r="BX158" s="460">
        <f t="shared" si="360"/>
        <v>1576.402961458467</v>
      </c>
      <c r="BY158" s="173">
        <f t="shared" si="361"/>
        <v>4.2840945871613982</v>
      </c>
      <c r="BZ158" s="5">
        <f t="shared" si="362"/>
        <v>11.52</v>
      </c>
      <c r="CA158" s="173">
        <f t="shared" si="363"/>
        <v>0.72892502233936118</v>
      </c>
      <c r="CB158" s="5">
        <f t="shared" si="364"/>
        <v>72.892502233936113</v>
      </c>
      <c r="CE158" s="562">
        <f t="shared" si="473"/>
        <v>-50</v>
      </c>
      <c r="CF158">
        <f t="shared" si="474"/>
        <v>-50</v>
      </c>
      <c r="CG158" s="173">
        <f t="shared" si="475"/>
        <v>0.47383818599361999</v>
      </c>
      <c r="CI158" s="170">
        <v>48</v>
      </c>
      <c r="CJ158" s="217">
        <f t="shared" si="428"/>
        <v>2.88</v>
      </c>
      <c r="CK158" s="217"/>
      <c r="CL158" s="217">
        <f t="shared" si="368"/>
        <v>11.52</v>
      </c>
      <c r="CM158" s="541">
        <f t="shared" si="369"/>
        <v>18</v>
      </c>
      <c r="CN158" s="443">
        <f t="shared" si="370"/>
        <v>18.8</v>
      </c>
      <c r="CO158" s="443">
        <f t="shared" si="371"/>
        <v>36.799999999999997</v>
      </c>
      <c r="CP158" s="443"/>
      <c r="CQ158" s="217">
        <f t="shared" si="372"/>
        <v>0.51086956521739135</v>
      </c>
      <c r="CR158" s="172">
        <f t="shared" si="429"/>
        <v>30.859076086956527</v>
      </c>
      <c r="CS158" s="172">
        <f t="shared" si="373"/>
        <v>11.52</v>
      </c>
      <c r="CT158" s="217">
        <f t="shared" si="374"/>
        <v>7.7147690217391318</v>
      </c>
      <c r="CU158" s="217">
        <f t="shared" si="375"/>
        <v>4</v>
      </c>
      <c r="CV158" s="217"/>
      <c r="CW158" s="172">
        <f t="shared" si="376"/>
        <v>16.516299481395752</v>
      </c>
      <c r="CX158" s="172">
        <f t="shared" si="377"/>
        <v>4</v>
      </c>
      <c r="CY158" s="217">
        <f t="shared" si="378"/>
        <v>2.5055319148936164</v>
      </c>
      <c r="CZ158" s="217">
        <f t="shared" si="379"/>
        <v>1.6703546099290776</v>
      </c>
      <c r="DA158" s="217">
        <f t="shared" si="380"/>
        <v>1.5992756903576275</v>
      </c>
      <c r="DB158" s="197">
        <f t="shared" si="381"/>
        <v>350</v>
      </c>
      <c r="DC158" s="443">
        <f t="shared" si="382"/>
        <v>305.84497577977322</v>
      </c>
      <c r="DE158" s="217">
        <f t="shared" si="383"/>
        <v>2.18944099378882</v>
      </c>
      <c r="DF158" s="173">
        <f t="shared" si="384"/>
        <v>1.3975155279503106</v>
      </c>
      <c r="DG158" s="173">
        <f t="shared" si="385"/>
        <v>2.1418444504455847</v>
      </c>
      <c r="DH158" s="173"/>
      <c r="DI158" s="173">
        <f t="shared" si="386"/>
        <v>0.85106382978723416</v>
      </c>
      <c r="DJ158" s="545">
        <f t="shared" si="387"/>
        <v>1268.9999999999998</v>
      </c>
      <c r="DK158" s="528">
        <f t="shared" si="388"/>
        <v>0.79432624113475192</v>
      </c>
      <c r="DM158" s="173">
        <f t="shared" si="389"/>
        <v>2.5388411304597787</v>
      </c>
      <c r="DN158" s="173">
        <f t="shared" si="390"/>
        <v>2.5055319148936164</v>
      </c>
      <c r="DO158" s="173">
        <f t="shared" si="391"/>
        <v>2.0682952456002095</v>
      </c>
      <c r="DQ158" s="545">
        <f t="shared" si="392"/>
        <v>2880</v>
      </c>
      <c r="DR158" s="460">
        <f t="shared" si="393"/>
        <v>305.84497577977322</v>
      </c>
      <c r="DT158">
        <f t="shared" si="430"/>
        <v>2880</v>
      </c>
      <c r="DU158">
        <f t="shared" si="431"/>
        <v>305.84497577977322</v>
      </c>
      <c r="DW158" s="5">
        <f t="shared" si="394"/>
        <v>3.2696303002867051</v>
      </c>
      <c r="DX158" s="5">
        <f t="shared" si="395"/>
        <v>1.6703546099290776</v>
      </c>
      <c r="DY158" s="5">
        <f t="shared" si="396"/>
        <v>1.5992756903576275</v>
      </c>
      <c r="DZ158" s="5"/>
      <c r="EA158" s="173">
        <f t="shared" si="397"/>
        <v>0.51086956521739135</v>
      </c>
      <c r="EB158" s="173">
        <f t="shared" si="398"/>
        <v>11.519999999999996</v>
      </c>
      <c r="EC158" s="173">
        <f t="shared" si="399"/>
        <v>2.4510638297872331</v>
      </c>
      <c r="ED158" s="173">
        <f t="shared" si="400"/>
        <v>4.7</v>
      </c>
      <c r="EE158" s="460">
        <f t="shared" si="401"/>
        <v>120.26553191489357</v>
      </c>
      <c r="EF158" s="5">
        <f t="shared" si="402"/>
        <v>0.85294703485740131</v>
      </c>
      <c r="EH158" s="173">
        <f t="shared" si="403"/>
        <v>1.0339375950001091</v>
      </c>
      <c r="EI158" s="173">
        <f t="shared" si="404"/>
        <v>4.0467991140235888</v>
      </c>
      <c r="EK158" s="528">
        <f t="shared" si="405"/>
        <v>1.3042128794326235E-2</v>
      </c>
      <c r="EL158" s="528">
        <f t="shared" si="406"/>
        <v>0.56399999999999995</v>
      </c>
      <c r="EM158" s="528">
        <f t="shared" si="407"/>
        <v>3.8230621972471651E-2</v>
      </c>
      <c r="EN158" s="528">
        <f t="shared" si="408"/>
        <v>4.1418749999999997E-2</v>
      </c>
      <c r="EO158">
        <f t="shared" si="409"/>
        <v>8.0999999999999996E-3</v>
      </c>
      <c r="EP158" s="460">
        <f t="shared" si="410"/>
        <v>46.330621972471647</v>
      </c>
      <c r="EQ158" s="460"/>
      <c r="ER158" s="460">
        <f t="shared" si="432"/>
        <v>664.79150076679775</v>
      </c>
      <c r="ES158" s="528">
        <f t="shared" si="411"/>
        <v>2.016</v>
      </c>
      <c r="EV158" s="460">
        <f t="shared" si="412"/>
        <v>2016</v>
      </c>
      <c r="EW158" s="528">
        <f t="shared" si="413"/>
        <v>3.2070808510638281E-2</v>
      </c>
      <c r="EX158" s="528">
        <f t="shared" si="414"/>
        <v>0.49129749207786311</v>
      </c>
      <c r="EY158" s="528">
        <f t="shared" si="415"/>
        <v>0.81278041177063143</v>
      </c>
      <c r="EZ158" s="528"/>
      <c r="FA158" s="528">
        <f t="shared" si="416"/>
        <v>4.7999999999999987E-2</v>
      </c>
      <c r="FB158" s="460">
        <f t="shared" si="417"/>
        <v>1384.1487123591328</v>
      </c>
      <c r="FC158" s="173">
        <f t="shared" si="418"/>
        <v>4.0649402131259311</v>
      </c>
      <c r="FD158" s="5">
        <f t="shared" si="419"/>
        <v>11.52</v>
      </c>
      <c r="FE158" s="173">
        <f t="shared" si="420"/>
        <v>0.73917511664867586</v>
      </c>
      <c r="FF158" s="5">
        <f t="shared" si="421"/>
        <v>73.91751166486759</v>
      </c>
      <c r="FI158" s="562">
        <f t="shared" si="422"/>
        <v>-50</v>
      </c>
      <c r="FJ158">
        <f t="shared" si="423"/>
        <v>-50</v>
      </c>
      <c r="FL158">
        <f t="shared" si="476"/>
        <v>0.48913043478260865</v>
      </c>
    </row>
    <row r="159" spans="5:168">
      <c r="E159" s="170">
        <v>49</v>
      </c>
      <c r="F159" s="217">
        <f t="shared" si="477"/>
        <v>2.94</v>
      </c>
      <c r="G159" s="217"/>
      <c r="H159" s="217">
        <f t="shared" si="442"/>
        <v>11.76</v>
      </c>
      <c r="I159" s="541">
        <f t="shared" si="443"/>
        <v>17.93458403003094</v>
      </c>
      <c r="J159" s="172">
        <f t="shared" si="444"/>
        <v>19.54406790486134</v>
      </c>
      <c r="K159" s="172">
        <f t="shared" si="445"/>
        <v>37.478651934892284</v>
      </c>
      <c r="L159" s="443"/>
      <c r="M159" s="217">
        <f t="shared" si="446"/>
        <v>0.52118087529227597</v>
      </c>
      <c r="N159" s="172">
        <f t="shared" si="447"/>
        <v>31.367518492143756</v>
      </c>
      <c r="O159" s="172">
        <f t="shared" si="438"/>
        <v>11.76</v>
      </c>
      <c r="P159" s="217">
        <f t="shared" si="448"/>
        <v>7.8418796230359389</v>
      </c>
      <c r="Q159" s="217">
        <f t="shared" si="449"/>
        <v>4</v>
      </c>
      <c r="R159" s="217"/>
      <c r="S159" s="172">
        <f t="shared" si="450"/>
        <v>16.037861628541567</v>
      </c>
      <c r="T159" s="172">
        <f t="shared" si="451"/>
        <v>4</v>
      </c>
      <c r="U159" s="217">
        <f t="shared" si="452"/>
        <v>3.0700528114813768</v>
      </c>
      <c r="V159" s="217">
        <f t="shared" si="453"/>
        <v>2.0541671708743259</v>
      </c>
      <c r="W159" s="217">
        <f t="shared" si="454"/>
        <v>1.8850033635327721</v>
      </c>
      <c r="X159" s="197">
        <f t="shared" si="455"/>
        <v>350</v>
      </c>
      <c r="Y159" s="443">
        <f t="shared" si="328"/>
        <v>241.59429810572948</v>
      </c>
      <c r="AA159" s="217">
        <f t="shared" si="456"/>
        <v>2.2267579899776062</v>
      </c>
      <c r="AB159" s="173">
        <f t="shared" si="457"/>
        <v>1.3672228325140408</v>
      </c>
      <c r="AC159" s="173">
        <f t="shared" si="458"/>
        <v>2.1311320564663183</v>
      </c>
      <c r="AD159" s="173"/>
      <c r="AE159" s="173">
        <f t="shared" si="459"/>
        <v>0.81866273070102291</v>
      </c>
      <c r="AF159" s="545">
        <f t="shared" si="460"/>
        <v>1346.7084290693513</v>
      </c>
      <c r="AG159" s="528">
        <f t="shared" si="461"/>
        <v>0.76408521532095486</v>
      </c>
      <c r="AI159" s="173">
        <f t="shared" si="462"/>
        <v>2.6154203804936347</v>
      </c>
      <c r="AJ159" s="173">
        <f t="shared" si="463"/>
        <v>3.0700528114813768</v>
      </c>
      <c r="AK159" s="173">
        <f t="shared" si="464"/>
        <v>2.4864588727022543</v>
      </c>
      <c r="AM159" s="545">
        <f t="shared" si="465"/>
        <v>2940</v>
      </c>
      <c r="AN159" s="460">
        <f t="shared" si="466"/>
        <v>241.59429810572948</v>
      </c>
      <c r="AP159">
        <f t="shared" si="467"/>
        <v>2940</v>
      </c>
      <c r="AQ159">
        <f t="shared" si="468"/>
        <v>241.59429810572948</v>
      </c>
      <c r="AS159" s="5">
        <f t="shared" si="439"/>
        <v>4.1391705344070981</v>
      </c>
      <c r="AT159" s="5">
        <f t="shared" si="469"/>
        <v>2.0541671708743259</v>
      </c>
      <c r="AU159" s="5">
        <f t="shared" si="343"/>
        <v>2.0850033635327723</v>
      </c>
      <c r="AV159" s="5"/>
      <c r="AW159" s="173">
        <f t="shared" si="344"/>
        <v>0.49627507583921482</v>
      </c>
      <c r="AX159" s="173">
        <f t="shared" si="435"/>
        <v>13.662482645163291</v>
      </c>
      <c r="AY159" s="173">
        <f t="shared" si="436"/>
        <v>3.0929242392661238</v>
      </c>
      <c r="AZ159" s="173">
        <f t="shared" si="440"/>
        <v>4.4173350487256249</v>
      </c>
      <c r="BA159" s="460">
        <f t="shared" si="433"/>
        <v>150.98128705926294</v>
      </c>
      <c r="BB159" s="5">
        <f t="shared" si="434"/>
        <v>1.1393089981014695</v>
      </c>
      <c r="BD159" s="173">
        <f t="shared" si="441"/>
        <v>1.2486664736237314</v>
      </c>
      <c r="BE159" s="173">
        <f t="shared" si="437"/>
        <v>5.0320150387845919</v>
      </c>
      <c r="BG159" s="528">
        <f t="shared" si="347"/>
        <v>1.9021849140693482E-2</v>
      </c>
      <c r="BH159" s="528">
        <f t="shared" si="470"/>
        <v>0.5212160252887309</v>
      </c>
      <c r="BI159" s="528">
        <f t="shared" si="471"/>
        <v>0.10832233101383876</v>
      </c>
      <c r="BJ159" s="528">
        <f t="shared" si="350"/>
        <v>3.3935527400491834E-2</v>
      </c>
      <c r="BK159">
        <f t="shared" si="351"/>
        <v>8.0705628135139228E-3</v>
      </c>
      <c r="BL159" s="460">
        <f t="shared" si="427"/>
        <v>116.39289382735268</v>
      </c>
      <c r="BM159" s="528">
        <f t="shared" si="472"/>
        <v>0.58193942951314703</v>
      </c>
      <c r="BN159" s="460">
        <f t="shared" si="353"/>
        <v>581.93942951314705</v>
      </c>
      <c r="BO159" s="528">
        <f t="shared" si="354"/>
        <v>2.0579999999999998</v>
      </c>
      <c r="BR159" s="460">
        <f t="shared" si="355"/>
        <v>2058</v>
      </c>
      <c r="BS159" s="528">
        <f t="shared" si="356"/>
        <v>4.6775038870557742E-2</v>
      </c>
      <c r="BT159" s="528">
        <f t="shared" si="357"/>
        <v>0.75963526051662889</v>
      </c>
      <c r="BU159" s="528">
        <f t="shared" si="358"/>
        <v>0.74911987710502603</v>
      </c>
      <c r="BV159" s="528"/>
      <c r="BW159" s="528">
        <f t="shared" si="359"/>
        <v>5.6927011021513721E-2</v>
      </c>
      <c r="BX159" s="460">
        <f t="shared" si="360"/>
        <v>1612.4571875137262</v>
      </c>
      <c r="BY159" s="173">
        <f t="shared" si="361"/>
        <v>4.3610234831709951</v>
      </c>
      <c r="BZ159" s="5">
        <f t="shared" si="362"/>
        <v>11.76</v>
      </c>
      <c r="CA159" s="173">
        <f t="shared" si="363"/>
        <v>0.72948222005113139</v>
      </c>
      <c r="CB159" s="5">
        <f t="shared" si="364"/>
        <v>72.948222005113138</v>
      </c>
      <c r="CE159" s="562">
        <f t="shared" si="473"/>
        <v>-50</v>
      </c>
      <c r="CF159">
        <f t="shared" si="474"/>
        <v>-50</v>
      </c>
      <c r="CG159" s="173">
        <f t="shared" si="475"/>
        <v>0.47415027270359944</v>
      </c>
      <c r="CI159" s="170">
        <v>49</v>
      </c>
      <c r="CJ159" s="217">
        <f t="shared" si="428"/>
        <v>2.94</v>
      </c>
      <c r="CK159" s="217"/>
      <c r="CL159" s="217">
        <f t="shared" si="368"/>
        <v>11.76</v>
      </c>
      <c r="CM159" s="541">
        <f t="shared" si="369"/>
        <v>18</v>
      </c>
      <c r="CN159" s="443">
        <f t="shared" si="370"/>
        <v>18.8</v>
      </c>
      <c r="CO159" s="443">
        <f t="shared" si="371"/>
        <v>36.799999999999997</v>
      </c>
      <c r="CP159" s="443"/>
      <c r="CQ159" s="217">
        <f t="shared" si="372"/>
        <v>0.51086956521739135</v>
      </c>
      <c r="CR159" s="172">
        <f t="shared" si="429"/>
        <v>30.859076086956527</v>
      </c>
      <c r="CS159" s="172">
        <f t="shared" si="373"/>
        <v>11.76</v>
      </c>
      <c r="CT159" s="217">
        <f t="shared" si="374"/>
        <v>7.7147690217391318</v>
      </c>
      <c r="CU159" s="217">
        <f t="shared" si="375"/>
        <v>4</v>
      </c>
      <c r="CV159" s="217"/>
      <c r="CW159" s="172">
        <f t="shared" si="376"/>
        <v>16.095711144223024</v>
      </c>
      <c r="CX159" s="172">
        <f t="shared" si="377"/>
        <v>4</v>
      </c>
      <c r="CY159" s="217">
        <f t="shared" si="378"/>
        <v>2.5577304964539005</v>
      </c>
      <c r="CZ159" s="217">
        <f t="shared" si="379"/>
        <v>1.7051536643026002</v>
      </c>
      <c r="DA159" s="217">
        <f t="shared" si="380"/>
        <v>1.632593933906745</v>
      </c>
      <c r="DB159" s="197">
        <f t="shared" si="381"/>
        <v>350</v>
      </c>
      <c r="DC159" s="443">
        <f t="shared" si="382"/>
        <v>299.60324158018597</v>
      </c>
      <c r="DE159" s="217">
        <f t="shared" si="383"/>
        <v>2.18944099378882</v>
      </c>
      <c r="DF159" s="173">
        <f t="shared" si="384"/>
        <v>1.3975155279503106</v>
      </c>
      <c r="DG159" s="173">
        <f t="shared" si="385"/>
        <v>2.1418444504455847</v>
      </c>
      <c r="DH159" s="173"/>
      <c r="DI159" s="173">
        <f t="shared" si="386"/>
        <v>0.85106382978723416</v>
      </c>
      <c r="DJ159" s="545">
        <f t="shared" si="387"/>
        <v>1295.4374999999998</v>
      </c>
      <c r="DK159" s="528">
        <f t="shared" si="388"/>
        <v>0.79432624113475192</v>
      </c>
      <c r="DM159" s="173">
        <f t="shared" si="389"/>
        <v>2.565151067676132</v>
      </c>
      <c r="DN159" s="173">
        <f t="shared" si="390"/>
        <v>2.5577304964539005</v>
      </c>
      <c r="DO159" s="173">
        <f t="shared" si="391"/>
        <v>2.1069608615707902</v>
      </c>
      <c r="DQ159" s="545">
        <f t="shared" si="392"/>
        <v>2940</v>
      </c>
      <c r="DR159" s="460">
        <f t="shared" si="393"/>
        <v>299.60324158018597</v>
      </c>
      <c r="DT159">
        <f t="shared" si="430"/>
        <v>2940</v>
      </c>
      <c r="DU159">
        <f t="shared" si="431"/>
        <v>299.60324158018597</v>
      </c>
      <c r="DW159" s="5">
        <f t="shared" si="394"/>
        <v>3.3377475982093454</v>
      </c>
      <c r="DX159" s="5">
        <f t="shared" si="395"/>
        <v>1.7051536643026002</v>
      </c>
      <c r="DY159" s="5">
        <f t="shared" si="396"/>
        <v>1.6325939339067452</v>
      </c>
      <c r="DZ159" s="5"/>
      <c r="EA159" s="173">
        <f t="shared" si="397"/>
        <v>0.51086956521739124</v>
      </c>
      <c r="EB159" s="173">
        <f t="shared" si="398"/>
        <v>11.76</v>
      </c>
      <c r="EC159" s="173">
        <f t="shared" si="399"/>
        <v>2.5021276595744681</v>
      </c>
      <c r="ED159" s="173">
        <f t="shared" si="400"/>
        <v>4.7</v>
      </c>
      <c r="EE159" s="460">
        <f t="shared" si="401"/>
        <v>125.32879432624111</v>
      </c>
      <c r="EF159" s="5">
        <f t="shared" si="402"/>
        <v>0.88885669734922779</v>
      </c>
      <c r="EH159" s="173">
        <f t="shared" si="403"/>
        <v>1.0554779615626113</v>
      </c>
      <c r="EI159" s="173">
        <f t="shared" si="404"/>
        <v>4.1311074288990808</v>
      </c>
      <c r="EK159" s="528">
        <f t="shared" si="405"/>
        <v>1.3591211473601254E-2</v>
      </c>
      <c r="EL159" s="528">
        <f t="shared" si="406"/>
        <v>0.56399999999999995</v>
      </c>
      <c r="EM159" s="528">
        <f t="shared" si="407"/>
        <v>3.745040519752324E-2</v>
      </c>
      <c r="EN159" s="528">
        <f t="shared" si="408"/>
        <v>4.05734693877551E-2</v>
      </c>
      <c r="EO159">
        <f t="shared" si="409"/>
        <v>8.0999999999999996E-3</v>
      </c>
      <c r="EP159" s="460">
        <f t="shared" si="410"/>
        <v>45.550405197523233</v>
      </c>
      <c r="EQ159" s="460"/>
      <c r="ER159" s="460">
        <f t="shared" si="432"/>
        <v>663.71508605887936</v>
      </c>
      <c r="ES159" s="528">
        <f t="shared" si="411"/>
        <v>2.0579999999999998</v>
      </c>
      <c r="EV159" s="460">
        <f t="shared" si="412"/>
        <v>2058</v>
      </c>
      <c r="EW159" s="528">
        <f t="shared" si="413"/>
        <v>3.3421011820330956E-2</v>
      </c>
      <c r="EX159" s="528">
        <f t="shared" si="414"/>
        <v>0.51198145767315517</v>
      </c>
      <c r="EY159" s="528">
        <f t="shared" si="415"/>
        <v>0.81278041177063287</v>
      </c>
      <c r="EZ159" s="528"/>
      <c r="FA159" s="528">
        <f t="shared" si="416"/>
        <v>4.9000000000000002E-2</v>
      </c>
      <c r="FB159" s="460">
        <f t="shared" si="417"/>
        <v>1407.182881264119</v>
      </c>
      <c r="FC159" s="173">
        <f t="shared" si="418"/>
        <v>4.1288979673229989</v>
      </c>
      <c r="FD159" s="5">
        <f t="shared" si="419"/>
        <v>11.76</v>
      </c>
      <c r="FE159" s="173">
        <f t="shared" si="420"/>
        <v>0.74013943724640541</v>
      </c>
      <c r="FF159" s="5">
        <f t="shared" si="421"/>
        <v>74.013943724640541</v>
      </c>
      <c r="FI159" s="562">
        <f t="shared" si="422"/>
        <v>-50</v>
      </c>
      <c r="FJ159">
        <f t="shared" si="423"/>
        <v>-50</v>
      </c>
      <c r="FL159">
        <f t="shared" si="476"/>
        <v>0.48913043478260876</v>
      </c>
    </row>
    <row r="160" spans="5:168">
      <c r="E160" s="170">
        <v>50</v>
      </c>
      <c r="F160" s="217">
        <f t="shared" si="477"/>
        <v>3</v>
      </c>
      <c r="G160" s="217"/>
      <c r="H160" s="217">
        <f t="shared" si="442"/>
        <v>12</v>
      </c>
      <c r="I160" s="541">
        <f t="shared" si="443"/>
        <v>17.933291161817785</v>
      </c>
      <c r="J160" s="172">
        <f t="shared" si="444"/>
        <v>19.558773514868822</v>
      </c>
      <c r="K160" s="172">
        <f t="shared" si="445"/>
        <v>37.49206467668661</v>
      </c>
      <c r="L160" s="443"/>
      <c r="M160" s="217">
        <f t="shared" si="446"/>
        <v>0.52138696501170301</v>
      </c>
      <c r="N160" s="172">
        <f t="shared" si="447"/>
        <v>31.377659984097363</v>
      </c>
      <c r="O160" s="172">
        <f t="shared" si="438"/>
        <v>12</v>
      </c>
      <c r="P160" s="217">
        <f t="shared" si="448"/>
        <v>7.8444149960243408</v>
      </c>
      <c r="Q160" s="217">
        <f t="shared" si="449"/>
        <v>4</v>
      </c>
      <c r="R160" s="217"/>
      <c r="S160" s="172">
        <f t="shared" si="450"/>
        <v>15.63468280984886</v>
      </c>
      <c r="T160" s="172">
        <f t="shared" si="451"/>
        <v>4</v>
      </c>
      <c r="U160" s="217">
        <f t="shared" si="452"/>
        <v>3.1340558872089175</v>
      </c>
      <c r="V160" s="217">
        <f t="shared" si="453"/>
        <v>2.0971426999735869</v>
      </c>
      <c r="W160" s="217">
        <f t="shared" si="454"/>
        <v>1.9228542432845515</v>
      </c>
      <c r="X160" s="197">
        <f t="shared" si="455"/>
        <v>350</v>
      </c>
      <c r="Y160" s="443">
        <f t="shared" si="328"/>
        <v>236.96699629074348</v>
      </c>
      <c r="AA160" s="217">
        <f t="shared" si="456"/>
        <v>2.2274756718516446</v>
      </c>
      <c r="AB160" s="173">
        <f t="shared" si="457"/>
        <v>1.3666351850692213</v>
      </c>
      <c r="AC160" s="173">
        <f t="shared" si="458"/>
        <v>2.1309026389267123</v>
      </c>
      <c r="AD160" s="173"/>
      <c r="AE160" s="173">
        <f t="shared" si="459"/>
        <v>0.81804720463870617</v>
      </c>
      <c r="AF160" s="545">
        <f t="shared" si="460"/>
        <v>1375.2262627642135</v>
      </c>
      <c r="AG160" s="528">
        <f t="shared" si="461"/>
        <v>0.76351072432945932</v>
      </c>
      <c r="AI160" s="173">
        <f t="shared" si="462"/>
        <v>2.6429673201366479</v>
      </c>
      <c r="AJ160" s="173">
        <f t="shared" si="463"/>
        <v>3.1340558872089175</v>
      </c>
      <c r="AK160" s="173">
        <f t="shared" si="464"/>
        <v>2.5338685584263585</v>
      </c>
      <c r="AM160" s="545">
        <f t="shared" si="465"/>
        <v>3000</v>
      </c>
      <c r="AN160" s="460">
        <f t="shared" si="466"/>
        <v>236.96699629074348</v>
      </c>
      <c r="AP160">
        <f t="shared" si="467"/>
        <v>3000</v>
      </c>
      <c r="AQ160">
        <f t="shared" si="468"/>
        <v>236.96699629074348</v>
      </c>
      <c r="AS160" s="5">
        <f t="shared" si="439"/>
        <v>4.2199969432581375</v>
      </c>
      <c r="AT160" s="5">
        <f t="shared" si="469"/>
        <v>2.0971426999735869</v>
      </c>
      <c r="AU160" s="5">
        <f t="shared" si="343"/>
        <v>2.1228542432845505</v>
      </c>
      <c r="AV160" s="5"/>
      <c r="AW160" s="173">
        <f t="shared" si="344"/>
        <v>0.49695360640580077</v>
      </c>
      <c r="AX160" s="173">
        <f t="shared" si="435"/>
        <v>13.965374529250758</v>
      </c>
      <c r="AY160" s="173">
        <f t="shared" si="436"/>
        <v>3.1531510227662287</v>
      </c>
      <c r="AZ160" s="173">
        <f t="shared" si="440"/>
        <v>4.4290217716876343</v>
      </c>
      <c r="BA160" s="460">
        <f t="shared" si="433"/>
        <v>157.28570249801905</v>
      </c>
      <c r="BB160" s="5">
        <f t="shared" si="434"/>
        <v>1.1837505029775974</v>
      </c>
      <c r="BD160" s="173">
        <f t="shared" si="441"/>
        <v>1.2755692247083543</v>
      </c>
      <c r="BE160" s="173">
        <f t="shared" si="437"/>
        <v>5.1334592693190997</v>
      </c>
      <c r="BG160" s="528">
        <f t="shared" si="347"/>
        <v>1.9850337533681477E-2</v>
      </c>
      <c r="BH160" s="528">
        <f t="shared" si="470"/>
        <v>0.52207780421785277</v>
      </c>
      <c r="BI160" s="528">
        <f t="shared" si="471"/>
        <v>0.10623995350558245</v>
      </c>
      <c r="BJ160" s="528">
        <f t="shared" si="350"/>
        <v>3.3309382272575454E-2</v>
      </c>
      <c r="BK160">
        <f t="shared" si="351"/>
        <v>8.0699810228180031E-3</v>
      </c>
      <c r="BL160" s="460">
        <f t="shared" si="427"/>
        <v>114.30993452840045</v>
      </c>
      <c r="BM160" s="528">
        <f t="shared" si="472"/>
        <v>0.58334844320517887</v>
      </c>
      <c r="BN160" s="460">
        <f t="shared" si="353"/>
        <v>583.34844320517891</v>
      </c>
      <c r="BO160" s="528">
        <f t="shared" si="354"/>
        <v>2.0999999999999996</v>
      </c>
      <c r="BR160" s="460">
        <f t="shared" si="355"/>
        <v>2099.9999999999995</v>
      </c>
      <c r="BS160" s="528">
        <f t="shared" si="356"/>
        <v>4.8812305410692161E-2</v>
      </c>
      <c r="BT160" s="528">
        <f t="shared" si="357"/>
        <v>0.79057212209274541</v>
      </c>
      <c r="BU160" s="528">
        <f t="shared" si="358"/>
        <v>0.75154762202194514</v>
      </c>
      <c r="BV160" s="528"/>
      <c r="BW160" s="528">
        <f t="shared" si="359"/>
        <v>5.8189060538544821E-2</v>
      </c>
      <c r="BX160" s="460">
        <f t="shared" si="360"/>
        <v>1649.1211100639275</v>
      </c>
      <c r="BY160" s="173">
        <f t="shared" si="361"/>
        <v>4.4386685686164364</v>
      </c>
      <c r="BZ160" s="5">
        <f t="shared" si="362"/>
        <v>12</v>
      </c>
      <c r="CA160" s="173">
        <f t="shared" si="363"/>
        <v>0.7299861269123441</v>
      </c>
      <c r="CB160" s="5">
        <f t="shared" si="364"/>
        <v>72.998612691234413</v>
      </c>
      <c r="CE160" s="562">
        <f t="shared" si="473"/>
        <v>-50</v>
      </c>
      <c r="CF160">
        <f t="shared" si="474"/>
        <v>-50</v>
      </c>
      <c r="CG160" s="173">
        <f t="shared" si="475"/>
        <v>0.47444987594517951</v>
      </c>
      <c r="CI160" s="170">
        <v>50</v>
      </c>
      <c r="CJ160" s="217">
        <f t="shared" si="428"/>
        <v>3</v>
      </c>
      <c r="CK160" s="217"/>
      <c r="CL160" s="217">
        <f t="shared" si="368"/>
        <v>12</v>
      </c>
      <c r="CM160" s="541">
        <f t="shared" si="369"/>
        <v>18</v>
      </c>
      <c r="CN160" s="443">
        <f t="shared" si="370"/>
        <v>18.8</v>
      </c>
      <c r="CO160" s="443">
        <f t="shared" si="371"/>
        <v>36.799999999999997</v>
      </c>
      <c r="CP160" s="443"/>
      <c r="CQ160" s="217">
        <f t="shared" si="372"/>
        <v>0.51086956521739135</v>
      </c>
      <c r="CR160" s="172">
        <f t="shared" si="429"/>
        <v>30.859076086956527</v>
      </c>
      <c r="CS160" s="172">
        <f t="shared" si="373"/>
        <v>12</v>
      </c>
      <c r="CT160" s="217">
        <f t="shared" si="374"/>
        <v>7.7147690217391318</v>
      </c>
      <c r="CU160" s="217">
        <f t="shared" si="375"/>
        <v>4</v>
      </c>
      <c r="CV160" s="217"/>
      <c r="CW160" s="172">
        <f t="shared" si="376"/>
        <v>15.692164976651151</v>
      </c>
      <c r="CX160" s="172">
        <f t="shared" si="377"/>
        <v>4</v>
      </c>
      <c r="CY160" s="217">
        <f t="shared" si="378"/>
        <v>2.6099290780141842</v>
      </c>
      <c r="CZ160" s="217">
        <f t="shared" si="379"/>
        <v>1.7399527186761228</v>
      </c>
      <c r="DA160" s="217">
        <f t="shared" si="380"/>
        <v>1.6659121774558621</v>
      </c>
      <c r="DB160" s="197">
        <f t="shared" si="381"/>
        <v>350</v>
      </c>
      <c r="DC160" s="443">
        <f t="shared" si="382"/>
        <v>293.6111767485823</v>
      </c>
      <c r="DE160" s="217">
        <f t="shared" si="383"/>
        <v>2.18944099378882</v>
      </c>
      <c r="DF160" s="173">
        <f t="shared" si="384"/>
        <v>1.3975155279503106</v>
      </c>
      <c r="DG160" s="173">
        <f t="shared" si="385"/>
        <v>2.1418444504455847</v>
      </c>
      <c r="DH160" s="173"/>
      <c r="DI160" s="173">
        <f t="shared" si="386"/>
        <v>0.85106382978723416</v>
      </c>
      <c r="DJ160" s="545">
        <f t="shared" si="387"/>
        <v>1321.8749999999998</v>
      </c>
      <c r="DK160" s="528">
        <f t="shared" si="388"/>
        <v>0.79432624113475192</v>
      </c>
      <c r="DM160" s="173">
        <f t="shared" si="389"/>
        <v>2.5911938781738648</v>
      </c>
      <c r="DN160" s="173">
        <f t="shared" si="390"/>
        <v>2.6099290780141842</v>
      </c>
      <c r="DO160" s="173">
        <f t="shared" si="391"/>
        <v>2.1456264775413709</v>
      </c>
      <c r="DQ160" s="545">
        <f t="shared" si="392"/>
        <v>3000</v>
      </c>
      <c r="DR160" s="460">
        <f t="shared" si="393"/>
        <v>293.6111767485823</v>
      </c>
      <c r="DT160">
        <f t="shared" si="430"/>
        <v>3000</v>
      </c>
      <c r="DU160">
        <f t="shared" si="431"/>
        <v>293.6111767485823</v>
      </c>
      <c r="DW160" s="5">
        <f t="shared" si="394"/>
        <v>3.4058648961319844</v>
      </c>
      <c r="DX160" s="5">
        <f t="shared" si="395"/>
        <v>1.7399527186761228</v>
      </c>
      <c r="DY160" s="5">
        <f t="shared" si="396"/>
        <v>1.6659121774558616</v>
      </c>
      <c r="DZ160" s="5"/>
      <c r="EA160" s="173">
        <f t="shared" si="397"/>
        <v>0.51086956521739135</v>
      </c>
      <c r="EB160" s="173">
        <f t="shared" si="398"/>
        <v>12.000000000000002</v>
      </c>
      <c r="EC160" s="173">
        <f t="shared" si="399"/>
        <v>2.5531914893617018</v>
      </c>
      <c r="ED160" s="173">
        <f t="shared" si="400"/>
        <v>4.7000000000000011</v>
      </c>
      <c r="EE160" s="460">
        <f t="shared" si="401"/>
        <v>130.49645390070921</v>
      </c>
      <c r="EF160" s="5">
        <f t="shared" si="402"/>
        <v>0.92550676525325615</v>
      </c>
      <c r="EH160" s="173">
        <f t="shared" si="403"/>
        <v>1.0770183281251138</v>
      </c>
      <c r="EI160" s="173">
        <f t="shared" si="404"/>
        <v>4.2154157437745718</v>
      </c>
      <c r="EK160" s="528">
        <f t="shared" si="405"/>
        <v>1.4151615445232465E-2</v>
      </c>
      <c r="EL160" s="528">
        <f t="shared" si="406"/>
        <v>0.56400000000000006</v>
      </c>
      <c r="EM160" s="528">
        <f t="shared" si="407"/>
        <v>3.6701397093572785E-2</v>
      </c>
      <c r="EN160" s="528">
        <f t="shared" si="408"/>
        <v>3.9762000000000006E-2</v>
      </c>
      <c r="EO160">
        <f t="shared" si="409"/>
        <v>8.0999999999999996E-3</v>
      </c>
      <c r="EP160" s="460">
        <f t="shared" si="410"/>
        <v>44.801397093572781</v>
      </c>
      <c r="EQ160" s="460"/>
      <c r="ER160" s="460">
        <f t="shared" si="432"/>
        <v>662.71501253880524</v>
      </c>
      <c r="ES160" s="528">
        <f t="shared" si="411"/>
        <v>2.0999999999999996</v>
      </c>
      <c r="EV160" s="460">
        <f t="shared" si="412"/>
        <v>2099.9999999999995</v>
      </c>
      <c r="EW160" s="528">
        <f t="shared" si="413"/>
        <v>3.4799054373522452E-2</v>
      </c>
      <c r="EX160" s="528">
        <f t="shared" si="414"/>
        <v>0.53309189678587576</v>
      </c>
      <c r="EY160" s="528">
        <f t="shared" si="415"/>
        <v>0.81278041177063287</v>
      </c>
      <c r="EZ160" s="528"/>
      <c r="FA160" s="528">
        <f t="shared" si="416"/>
        <v>5.000000000000001E-2</v>
      </c>
      <c r="FB160" s="460">
        <f t="shared" si="417"/>
        <v>1430.6713629300311</v>
      </c>
      <c r="FC160" s="173">
        <f t="shared" si="418"/>
        <v>4.1933863754688359</v>
      </c>
      <c r="FD160" s="5">
        <f t="shared" si="419"/>
        <v>12</v>
      </c>
      <c r="FE160" s="173">
        <f t="shared" si="420"/>
        <v>0.74104327049088714</v>
      </c>
      <c r="FF160" s="5">
        <f t="shared" si="421"/>
        <v>74.10432704908871</v>
      </c>
      <c r="FI160" s="562">
        <f t="shared" si="422"/>
        <v>-50</v>
      </c>
      <c r="FJ160">
        <f t="shared" si="423"/>
        <v>-50</v>
      </c>
      <c r="FL160">
        <f t="shared" si="476"/>
        <v>0.48913043478260865</v>
      </c>
    </row>
    <row r="161" spans="5:168">
      <c r="E161" s="170">
        <v>51</v>
      </c>
      <c r="F161" s="217">
        <f t="shared" si="477"/>
        <v>3.06</v>
      </c>
      <c r="G161" s="217"/>
      <c r="H161" s="217">
        <f t="shared" si="442"/>
        <v>12.24</v>
      </c>
      <c r="I161" s="541">
        <f t="shared" si="443"/>
        <v>17.931998242487957</v>
      </c>
      <c r="J161" s="172">
        <f t="shared" si="444"/>
        <v>19.573479706298123</v>
      </c>
      <c r="K161" s="172">
        <f t="shared" si="445"/>
        <v>37.50547794878608</v>
      </c>
      <c r="L161" s="443"/>
      <c r="M161" s="217">
        <f t="shared" si="446"/>
        <v>0.52159290779073175</v>
      </c>
      <c r="N161" s="172">
        <f t="shared" si="447"/>
        <v>31.387790755872395</v>
      </c>
      <c r="O161" s="172">
        <f t="shared" si="438"/>
        <v>12.24</v>
      </c>
      <c r="P161" s="217">
        <f t="shared" si="448"/>
        <v>7.8469476889680987</v>
      </c>
      <c r="Q161" s="217">
        <f t="shared" si="449"/>
        <v>4</v>
      </c>
      <c r="R161" s="217"/>
      <c r="S161" s="172">
        <f t="shared" si="450"/>
        <v>15.247543950745742</v>
      </c>
      <c r="T161" s="172">
        <f t="shared" si="451"/>
        <v>4</v>
      </c>
      <c r="U161" s="217">
        <f t="shared" si="452"/>
        <v>3.1981131235628433</v>
      </c>
      <c r="V161" s="217">
        <f t="shared" si="453"/>
        <v>2.1401606761160097</v>
      </c>
      <c r="W161" s="217">
        <f t="shared" si="454"/>
        <v>1.9606813943463262</v>
      </c>
      <c r="X161" s="197">
        <f t="shared" si="455"/>
        <v>350</v>
      </c>
      <c r="Y161" s="443">
        <f t="shared" si="328"/>
        <v>232.51260651207804</v>
      </c>
      <c r="AA161" s="217">
        <f t="shared" si="456"/>
        <v>2.2281926273479331</v>
      </c>
      <c r="AB161" s="173">
        <f t="shared" si="457"/>
        <v>1.3660479347252528</v>
      </c>
      <c r="AC161" s="173">
        <f t="shared" si="458"/>
        <v>2.1306725557310751</v>
      </c>
      <c r="AD161" s="173"/>
      <c r="AE161" s="173">
        <f t="shared" si="459"/>
        <v>0.81743257918783407</v>
      </c>
      <c r="AF161" s="545">
        <f t="shared" si="460"/>
        <v>1403.7854976860683</v>
      </c>
      <c r="AG161" s="528">
        <f t="shared" si="461"/>
        <v>0.76293707390864518</v>
      </c>
      <c r="AI161" s="173">
        <f t="shared" si="462"/>
        <v>2.6702694687738435</v>
      </c>
      <c r="AJ161" s="173">
        <f t="shared" si="463"/>
        <v>3.1981131235628433</v>
      </c>
      <c r="AK161" s="173">
        <f t="shared" si="464"/>
        <v>2.5813183631329704</v>
      </c>
      <c r="AM161" s="545">
        <f t="shared" si="465"/>
        <v>3060</v>
      </c>
      <c r="AN161" s="460">
        <f t="shared" si="466"/>
        <v>232.51260651207804</v>
      </c>
      <c r="AP161">
        <f t="shared" si="467"/>
        <v>3060</v>
      </c>
      <c r="AQ161">
        <f t="shared" si="468"/>
        <v>232.51260651207804</v>
      </c>
      <c r="AS161" s="5">
        <f t="shared" si="439"/>
        <v>4.3008420704623358</v>
      </c>
      <c r="AT161" s="5">
        <f t="shared" si="469"/>
        <v>2.1401606761160097</v>
      </c>
      <c r="AU161" s="5">
        <f t="shared" si="343"/>
        <v>2.1606813943463261</v>
      </c>
      <c r="AV161" s="5"/>
      <c r="AW161" s="173">
        <f t="shared" si="344"/>
        <v>0.4976143371583846</v>
      </c>
      <c r="AX161" s="173">
        <f t="shared" si="435"/>
        <v>14.268732564744553</v>
      </c>
      <c r="AY161" s="173">
        <f t="shared" si="436"/>
        <v>3.2133723628471764</v>
      </c>
      <c r="AZ161" s="173">
        <f t="shared" si="440"/>
        <v>4.4404230053506426</v>
      </c>
      <c r="BA161" s="460">
        <f t="shared" si="433"/>
        <v>163.72229172287473</v>
      </c>
      <c r="BB161" s="5">
        <f t="shared" si="434"/>
        <v>1.2290292428265792</v>
      </c>
      <c r="BD161" s="173">
        <f t="shared" si="441"/>
        <v>1.302505711932074</v>
      </c>
      <c r="BE161" s="173">
        <f t="shared" si="437"/>
        <v>5.2349411520450921</v>
      </c>
      <c r="BG161" s="528">
        <f t="shared" si="347"/>
        <v>2.0697557781311281E-2</v>
      </c>
      <c r="BH161" s="528">
        <f t="shared" si="470"/>
        <v>0.52292126432034736</v>
      </c>
      <c r="BI161" s="528">
        <f t="shared" si="471"/>
        <v>0.10423539128327193</v>
      </c>
      <c r="BJ161" s="528">
        <f t="shared" si="350"/>
        <v>3.2706638679612453E-2</v>
      </c>
      <c r="BK161">
        <f t="shared" si="351"/>
        <v>8.0693992091195807E-3</v>
      </c>
      <c r="BL161" s="460">
        <f t="shared" si="427"/>
        <v>112.3047904923915</v>
      </c>
      <c r="BM161" s="528">
        <f t="shared" si="472"/>
        <v>0.58478964465073802</v>
      </c>
      <c r="BN161" s="460">
        <f t="shared" si="353"/>
        <v>584.78964465073807</v>
      </c>
      <c r="BO161" s="528">
        <f t="shared" si="354"/>
        <v>2.1419999999999999</v>
      </c>
      <c r="BR161" s="460">
        <f t="shared" si="355"/>
        <v>2142</v>
      </c>
      <c r="BS161" s="528">
        <f t="shared" si="356"/>
        <v>5.0895633888470362E-2</v>
      </c>
      <c r="BT161" s="528">
        <f t="shared" si="357"/>
        <v>0.82213826596125583</v>
      </c>
      <c r="BU161" s="528">
        <f t="shared" si="358"/>
        <v>0.75391228456337278</v>
      </c>
      <c r="BV161" s="528"/>
      <c r="BW161" s="528">
        <f t="shared" si="359"/>
        <v>5.9453052353102318E-2</v>
      </c>
      <c r="BX161" s="460">
        <f t="shared" si="360"/>
        <v>1686.3992367662013</v>
      </c>
      <c r="BY161" s="173">
        <f t="shared" si="361"/>
        <v>4.5170294880398645</v>
      </c>
      <c r="BZ161" s="5">
        <f t="shared" si="362"/>
        <v>12.24</v>
      </c>
      <c r="CA161" s="173">
        <f t="shared" si="363"/>
        <v>0.73043972433993487</v>
      </c>
      <c r="CB161" s="5">
        <f t="shared" si="364"/>
        <v>73.043972433993488</v>
      </c>
      <c r="CE161" s="562">
        <f t="shared" si="473"/>
        <v>-50</v>
      </c>
      <c r="CF161">
        <f t="shared" si="474"/>
        <v>-50</v>
      </c>
      <c r="CG161" s="173">
        <f t="shared" si="475"/>
        <v>0.47473773004003095</v>
      </c>
      <c r="CI161" s="170">
        <v>51</v>
      </c>
      <c r="CJ161" s="217">
        <f t="shared" si="428"/>
        <v>3.06</v>
      </c>
      <c r="CK161" s="217"/>
      <c r="CL161" s="217">
        <f t="shared" si="368"/>
        <v>12.24</v>
      </c>
      <c r="CM161" s="541">
        <f t="shared" si="369"/>
        <v>18</v>
      </c>
      <c r="CN161" s="443">
        <f t="shared" si="370"/>
        <v>18.8</v>
      </c>
      <c r="CO161" s="443">
        <f t="shared" si="371"/>
        <v>36.799999999999997</v>
      </c>
      <c r="CP161" s="443"/>
      <c r="CQ161" s="217">
        <f t="shared" si="372"/>
        <v>0.51086956521739135</v>
      </c>
      <c r="CR161" s="172">
        <f t="shared" si="429"/>
        <v>30.859076086956527</v>
      </c>
      <c r="CS161" s="172">
        <f t="shared" si="373"/>
        <v>12.24</v>
      </c>
      <c r="CT161" s="217">
        <f t="shared" si="374"/>
        <v>7.7147690217391318</v>
      </c>
      <c r="CU161" s="217">
        <f t="shared" si="375"/>
        <v>4</v>
      </c>
      <c r="CV161" s="217"/>
      <c r="CW161" s="172">
        <f t="shared" si="376"/>
        <v>15.304660804216645</v>
      </c>
      <c r="CX161" s="172">
        <f t="shared" si="377"/>
        <v>4</v>
      </c>
      <c r="CY161" s="217">
        <f t="shared" si="378"/>
        <v>2.6621276595744678</v>
      </c>
      <c r="CZ161" s="217">
        <f t="shared" si="379"/>
        <v>1.7747517730496452</v>
      </c>
      <c r="DA161" s="217">
        <f t="shared" si="380"/>
        <v>1.6992304210049793</v>
      </c>
      <c r="DB161" s="197">
        <f t="shared" si="381"/>
        <v>350</v>
      </c>
      <c r="DC161" s="443">
        <f t="shared" si="382"/>
        <v>287.85409485155128</v>
      </c>
      <c r="DE161" s="217">
        <f t="shared" si="383"/>
        <v>2.18944099378882</v>
      </c>
      <c r="DF161" s="173">
        <f t="shared" si="384"/>
        <v>1.3975155279503106</v>
      </c>
      <c r="DG161" s="173">
        <f t="shared" si="385"/>
        <v>2.1418444504455847</v>
      </c>
      <c r="DH161" s="173"/>
      <c r="DI161" s="173">
        <f t="shared" si="386"/>
        <v>0.85106382978723416</v>
      </c>
      <c r="DJ161" s="545">
        <f t="shared" si="387"/>
        <v>1348.3124999999998</v>
      </c>
      <c r="DK161" s="528">
        <f t="shared" si="388"/>
        <v>0.79432624113475192</v>
      </c>
      <c r="DM161" s="173">
        <f t="shared" si="389"/>
        <v>2.6169775368870534</v>
      </c>
      <c r="DN161" s="173">
        <f t="shared" si="390"/>
        <v>2.6621276595744678</v>
      </c>
      <c r="DO161" s="173">
        <f t="shared" si="391"/>
        <v>2.1842920935119512</v>
      </c>
      <c r="DQ161" s="545">
        <f t="shared" si="392"/>
        <v>3060</v>
      </c>
      <c r="DR161" s="460">
        <f t="shared" si="393"/>
        <v>287.85409485155128</v>
      </c>
      <c r="DT161">
        <f t="shared" si="430"/>
        <v>3060</v>
      </c>
      <c r="DU161">
        <f t="shared" si="431"/>
        <v>287.85409485155128</v>
      </c>
      <c r="DW161" s="5">
        <f t="shared" si="394"/>
        <v>3.4739821940546238</v>
      </c>
      <c r="DX161" s="5">
        <f t="shared" si="395"/>
        <v>1.7747517730496452</v>
      </c>
      <c r="DY161" s="5">
        <f t="shared" si="396"/>
        <v>1.6992304210049787</v>
      </c>
      <c r="DZ161" s="5"/>
      <c r="EA161" s="173">
        <f t="shared" si="397"/>
        <v>0.51086956521739146</v>
      </c>
      <c r="EB161" s="173">
        <f t="shared" si="398"/>
        <v>12.240000000000002</v>
      </c>
      <c r="EC161" s="173">
        <f t="shared" si="399"/>
        <v>2.604255319148935</v>
      </c>
      <c r="ED161" s="173">
        <f t="shared" si="400"/>
        <v>4.7000000000000028</v>
      </c>
      <c r="EE161" s="460">
        <f t="shared" si="401"/>
        <v>135.76851063829784</v>
      </c>
      <c r="EF161" s="5">
        <f t="shared" si="402"/>
        <v>0.96289723856948783</v>
      </c>
      <c r="EH161" s="173">
        <f t="shared" si="403"/>
        <v>1.0985586946876162</v>
      </c>
      <c r="EI161" s="173">
        <f t="shared" si="404"/>
        <v>4.2997240586500629</v>
      </c>
      <c r="EK161" s="528">
        <f t="shared" si="405"/>
        <v>1.4723340709219863E-2</v>
      </c>
      <c r="EL161" s="528">
        <f t="shared" si="406"/>
        <v>0.56400000000000006</v>
      </c>
      <c r="EM161" s="528">
        <f t="shared" si="407"/>
        <v>3.598176185644391E-2</v>
      </c>
      <c r="EN161" s="528">
        <f t="shared" si="408"/>
        <v>3.8982352941176475E-2</v>
      </c>
      <c r="EO161">
        <f t="shared" si="409"/>
        <v>8.0999999999999996E-3</v>
      </c>
      <c r="EP161" s="460">
        <f t="shared" si="410"/>
        <v>44.081761856443912</v>
      </c>
      <c r="EQ161" s="460"/>
      <c r="ER161" s="460">
        <f t="shared" si="432"/>
        <v>661.78745550684027</v>
      </c>
      <c r="ES161" s="528">
        <f t="shared" si="411"/>
        <v>2.1419999999999999</v>
      </c>
      <c r="EV161" s="460">
        <f t="shared" si="412"/>
        <v>2142</v>
      </c>
      <c r="EW161" s="528">
        <f t="shared" si="413"/>
        <v>3.6204936170212781E-2</v>
      </c>
      <c r="EX161" s="528">
        <f t="shared" si="414"/>
        <v>0.5546288094160251</v>
      </c>
      <c r="EY161" s="528">
        <f t="shared" si="415"/>
        <v>0.81278041177063254</v>
      </c>
      <c r="EZ161" s="528"/>
      <c r="FA161" s="528">
        <f t="shared" si="416"/>
        <v>5.1000000000000011E-2</v>
      </c>
      <c r="FB161" s="460">
        <f t="shared" si="417"/>
        <v>1454.6141573568702</v>
      </c>
      <c r="FC161" s="173">
        <f t="shared" si="418"/>
        <v>4.2584016128637101</v>
      </c>
      <c r="FD161" s="5">
        <f t="shared" si="419"/>
        <v>12.24</v>
      </c>
      <c r="FE161" s="173">
        <f t="shared" si="420"/>
        <v>0.74189005015228515</v>
      </c>
      <c r="FF161" s="5">
        <f t="shared" si="421"/>
        <v>74.189005015228517</v>
      </c>
      <c r="FI161" s="562">
        <f t="shared" si="422"/>
        <v>-50</v>
      </c>
      <c r="FJ161">
        <f t="shared" si="423"/>
        <v>-50</v>
      </c>
      <c r="FL161">
        <f t="shared" si="476"/>
        <v>0.48913043478260854</v>
      </c>
    </row>
    <row r="162" spans="5:168">
      <c r="E162" s="170">
        <v>52</v>
      </c>
      <c r="F162" s="217">
        <f t="shared" si="477"/>
        <v>3.12</v>
      </c>
      <c r="G162" s="217"/>
      <c r="H162" s="217">
        <f t="shared" si="442"/>
        <v>12.48</v>
      </c>
      <c r="I162" s="541">
        <f t="shared" si="443"/>
        <v>17.930705275078136</v>
      </c>
      <c r="J162" s="172">
        <f t="shared" si="444"/>
        <v>19.588186444608866</v>
      </c>
      <c r="K162" s="172">
        <f t="shared" si="445"/>
        <v>37.518891719687005</v>
      </c>
      <c r="L162" s="443"/>
      <c r="M162" s="217">
        <f t="shared" si="446"/>
        <v>0.52179870374580073</v>
      </c>
      <c r="N162" s="172">
        <f t="shared" si="447"/>
        <v>31.397910821599343</v>
      </c>
      <c r="O162" s="172">
        <f t="shared" si="438"/>
        <v>12.48</v>
      </c>
      <c r="P162" s="217">
        <f t="shared" si="448"/>
        <v>7.8494777053998357</v>
      </c>
      <c r="Q162" s="217">
        <f t="shared" si="449"/>
        <v>4</v>
      </c>
      <c r="R162" s="217"/>
      <c r="S162" s="172">
        <f t="shared" si="450"/>
        <v>14.875521933639289</v>
      </c>
      <c r="T162" s="172">
        <f t="shared" si="451"/>
        <v>4</v>
      </c>
      <c r="U162" s="217">
        <f t="shared" si="452"/>
        <v>3.262224532262131</v>
      </c>
      <c r="V162" s="217">
        <f t="shared" si="453"/>
        <v>2.183221116324717</v>
      </c>
      <c r="W162" s="217">
        <f t="shared" si="454"/>
        <v>1.9984848774971546</v>
      </c>
      <c r="X162" s="197">
        <f t="shared" si="455"/>
        <v>350</v>
      </c>
      <c r="Y162" s="443">
        <f t="shared" si="328"/>
        <v>228.22161080866272</v>
      </c>
      <c r="AA162" s="217">
        <f t="shared" si="456"/>
        <v>2.228908855505249</v>
      </c>
      <c r="AB162" s="173">
        <f t="shared" si="457"/>
        <v>1.3654610824589315</v>
      </c>
      <c r="AC162" s="173">
        <f t="shared" si="458"/>
        <v>2.1304418089783468</v>
      </c>
      <c r="AD162" s="173"/>
      <c r="AE162" s="173">
        <f t="shared" si="459"/>
        <v>0.81681885381500352</v>
      </c>
      <c r="AF162" s="545">
        <f t="shared" si="460"/>
        <v>1432.3861337620228</v>
      </c>
      <c r="AG162" s="528">
        <f t="shared" si="461"/>
        <v>0.76236426356067</v>
      </c>
      <c r="AI162" s="173">
        <f t="shared" si="462"/>
        <v>2.6973342595973491</v>
      </c>
      <c r="AJ162" s="173">
        <f t="shared" si="463"/>
        <v>3.262224532262131</v>
      </c>
      <c r="AK162" s="173">
        <f t="shared" si="464"/>
        <v>2.6288082955028127</v>
      </c>
      <c r="AM162" s="545">
        <f t="shared" si="465"/>
        <v>3120</v>
      </c>
      <c r="AN162" s="460">
        <f t="shared" si="466"/>
        <v>228.22161080866272</v>
      </c>
      <c r="AP162">
        <f t="shared" si="467"/>
        <v>3120</v>
      </c>
      <c r="AQ162">
        <f t="shared" si="468"/>
        <v>228.22161080866272</v>
      </c>
      <c r="AS162" s="5">
        <f t="shared" si="439"/>
        <v>4.3817059938218721</v>
      </c>
      <c r="AT162" s="5">
        <f t="shared" si="469"/>
        <v>2.183221116324717</v>
      </c>
      <c r="AU162" s="5">
        <f t="shared" si="343"/>
        <v>2.198484877497155</v>
      </c>
      <c r="AV162" s="5"/>
      <c r="AW162" s="173">
        <f t="shared" si="344"/>
        <v>0.49825823991911372</v>
      </c>
      <c r="AX162" s="173">
        <f t="shared" si="435"/>
        <v>14.572555411839222</v>
      </c>
      <c r="AY162" s="173">
        <f t="shared" si="436"/>
        <v>3.273588557192495</v>
      </c>
      <c r="AZ162" s="173">
        <f t="shared" si="440"/>
        <v>4.4515537482013263</v>
      </c>
      <c r="BA162" s="460">
        <f t="shared" si="433"/>
        <v>170.29124707332792</v>
      </c>
      <c r="BB162" s="5">
        <f t="shared" si="434"/>
        <v>1.2751446401692517</v>
      </c>
      <c r="BD162" s="173">
        <f t="shared" si="441"/>
        <v>1.3294758928477421</v>
      </c>
      <c r="BE162" s="173">
        <f t="shared" si="437"/>
        <v>5.3364609745425735</v>
      </c>
      <c r="BG162" s="528">
        <f t="shared" si="347"/>
        <v>2.1563575025892272E-2</v>
      </c>
      <c r="BH162" s="528">
        <f t="shared" si="470"/>
        <v>0.5237474106710277</v>
      </c>
      <c r="BI162" s="528">
        <f t="shared" si="471"/>
        <v>0.10230436102034295</v>
      </c>
      <c r="BJ162" s="528">
        <f t="shared" si="350"/>
        <v>3.2126008405365038E-2</v>
      </c>
      <c r="BK162">
        <f t="shared" si="351"/>
        <v>8.0688173737851615E-3</v>
      </c>
      <c r="BL162" s="460">
        <f t="shared" si="427"/>
        <v>110.3731783941281</v>
      </c>
      <c r="BM162" s="528">
        <f t="shared" si="472"/>
        <v>0.58626288040819885</v>
      </c>
      <c r="BN162" s="460">
        <f t="shared" si="353"/>
        <v>586.26288040819884</v>
      </c>
      <c r="BO162" s="528">
        <f t="shared" si="354"/>
        <v>2.1839999999999997</v>
      </c>
      <c r="BR162" s="460">
        <f t="shared" si="355"/>
        <v>2183.9999999999995</v>
      </c>
      <c r="BS162" s="528">
        <f t="shared" si="356"/>
        <v>5.3025184489899034E-2</v>
      </c>
      <c r="BT162" s="528">
        <f t="shared" si="357"/>
        <v>0.85433447198447621</v>
      </c>
      <c r="BU162" s="528">
        <f t="shared" si="358"/>
        <v>0.75621718683020012</v>
      </c>
      <c r="BV162" s="528"/>
      <c r="BW162" s="528">
        <f t="shared" si="359"/>
        <v>6.0718980882663434E-2</v>
      </c>
      <c r="BX162" s="460">
        <f t="shared" si="360"/>
        <v>1724.2958241872388</v>
      </c>
      <c r="BY162" s="173">
        <f t="shared" si="361"/>
        <v>4.5961059966836517</v>
      </c>
      <c r="BZ162" s="5">
        <f t="shared" si="362"/>
        <v>12.48</v>
      </c>
      <c r="CA162" s="173">
        <f t="shared" si="363"/>
        <v>0.73084577961882757</v>
      </c>
      <c r="CB162" s="5">
        <f t="shared" si="364"/>
        <v>73.084577961882758</v>
      </c>
      <c r="CE162" s="562">
        <f t="shared" si="473"/>
        <v>-50</v>
      </c>
      <c r="CF162">
        <f t="shared" si="474"/>
        <v>-50</v>
      </c>
      <c r="CG162" s="173">
        <f t="shared" si="475"/>
        <v>0.47501451282354229</v>
      </c>
      <c r="CI162" s="170">
        <v>52</v>
      </c>
      <c r="CJ162" s="217">
        <f t="shared" si="428"/>
        <v>3.12</v>
      </c>
      <c r="CK162" s="217"/>
      <c r="CL162" s="217">
        <f t="shared" si="368"/>
        <v>12.48</v>
      </c>
      <c r="CM162" s="541">
        <f t="shared" si="369"/>
        <v>18</v>
      </c>
      <c r="CN162" s="443">
        <f t="shared" si="370"/>
        <v>18.8</v>
      </c>
      <c r="CO162" s="443">
        <f t="shared" si="371"/>
        <v>36.799999999999997</v>
      </c>
      <c r="CP162" s="443"/>
      <c r="CQ162" s="217">
        <f t="shared" si="372"/>
        <v>0.51086956521739135</v>
      </c>
      <c r="CR162" s="172">
        <f t="shared" si="429"/>
        <v>30.859076086956527</v>
      </c>
      <c r="CS162" s="172">
        <f t="shared" si="373"/>
        <v>12.48</v>
      </c>
      <c r="CT162" s="217">
        <f t="shared" si="374"/>
        <v>7.7147690217391318</v>
      </c>
      <c r="CU162" s="217">
        <f t="shared" si="375"/>
        <v>4</v>
      </c>
      <c r="CV162" s="217"/>
      <c r="CW162" s="172">
        <f t="shared" si="376"/>
        <v>14.932275404281075</v>
      </c>
      <c r="CX162" s="172">
        <f t="shared" si="377"/>
        <v>4</v>
      </c>
      <c r="CY162" s="217">
        <f t="shared" si="378"/>
        <v>2.7143262411347515</v>
      </c>
      <c r="CZ162" s="217">
        <f t="shared" si="379"/>
        <v>1.8095508274231678</v>
      </c>
      <c r="DA162" s="217">
        <f t="shared" si="380"/>
        <v>1.7325486645540966</v>
      </c>
      <c r="DB162" s="197">
        <f t="shared" si="381"/>
        <v>350</v>
      </c>
      <c r="DC162" s="443">
        <f t="shared" si="382"/>
        <v>282.3184391813291</v>
      </c>
      <c r="DE162" s="217">
        <f t="shared" si="383"/>
        <v>2.18944099378882</v>
      </c>
      <c r="DF162" s="173">
        <f t="shared" si="384"/>
        <v>1.3975155279503106</v>
      </c>
      <c r="DG162" s="173">
        <f t="shared" si="385"/>
        <v>2.1418444504455847</v>
      </c>
      <c r="DH162" s="173"/>
      <c r="DI162" s="173">
        <f t="shared" si="386"/>
        <v>0.85106382978723416</v>
      </c>
      <c r="DJ162" s="545">
        <f t="shared" si="387"/>
        <v>1374.7499999999998</v>
      </c>
      <c r="DK162" s="528">
        <f t="shared" si="388"/>
        <v>0.79432624113475192</v>
      </c>
      <c r="DM162" s="173">
        <f t="shared" si="389"/>
        <v>2.6425096296621406</v>
      </c>
      <c r="DN162" s="173">
        <f t="shared" si="390"/>
        <v>2.7143262411347515</v>
      </c>
      <c r="DO162" s="173">
        <f t="shared" si="391"/>
        <v>2.2229577094825319</v>
      </c>
      <c r="DQ162" s="545">
        <f t="shared" si="392"/>
        <v>3120</v>
      </c>
      <c r="DR162" s="460">
        <f t="shared" si="393"/>
        <v>282.3184391813291</v>
      </c>
      <c r="DT162">
        <f t="shared" si="430"/>
        <v>3120</v>
      </c>
      <c r="DU162">
        <f t="shared" si="431"/>
        <v>282.3184391813291</v>
      </c>
      <c r="DW162" s="5">
        <f t="shared" si="394"/>
        <v>3.5420994919772646</v>
      </c>
      <c r="DX162" s="5">
        <f t="shared" si="395"/>
        <v>1.8095508274231678</v>
      </c>
      <c r="DY162" s="5">
        <f t="shared" si="396"/>
        <v>1.7325486645540968</v>
      </c>
      <c r="DZ162" s="5"/>
      <c r="EA162" s="173">
        <f t="shared" si="397"/>
        <v>0.51086956521739124</v>
      </c>
      <c r="EB162" s="173">
        <f t="shared" si="398"/>
        <v>12.479999999999999</v>
      </c>
      <c r="EC162" s="173">
        <f t="shared" si="399"/>
        <v>2.6553191489361705</v>
      </c>
      <c r="ED162" s="173">
        <f t="shared" si="400"/>
        <v>4.6999999999999993</v>
      </c>
      <c r="EE162" s="460">
        <f t="shared" si="401"/>
        <v>141.14496453900711</v>
      </c>
      <c r="EF162" s="5">
        <f t="shared" si="402"/>
        <v>1.0010281172979225</v>
      </c>
      <c r="EH162" s="173">
        <f t="shared" si="403"/>
        <v>1.1200990612501183</v>
      </c>
      <c r="EI162" s="173">
        <f t="shared" si="404"/>
        <v>4.3840323735255557</v>
      </c>
      <c r="EK162" s="528">
        <f t="shared" si="405"/>
        <v>1.5306387265563432E-2</v>
      </c>
      <c r="EL162" s="528">
        <f t="shared" si="406"/>
        <v>0.56399999999999995</v>
      </c>
      <c r="EM162" s="528">
        <f t="shared" si="407"/>
        <v>3.5289804897666137E-2</v>
      </c>
      <c r="EN162" s="528">
        <f t="shared" si="408"/>
        <v>3.8232692307692308E-2</v>
      </c>
      <c r="EO162">
        <f t="shared" si="409"/>
        <v>8.0999999999999996E-3</v>
      </c>
      <c r="EP162" s="460">
        <f t="shared" si="410"/>
        <v>43.389804897666139</v>
      </c>
      <c r="EQ162" s="460"/>
      <c r="ER162" s="460">
        <f t="shared" si="432"/>
        <v>660.92888447092184</v>
      </c>
      <c r="ES162" s="528">
        <f t="shared" si="411"/>
        <v>2.1839999999999997</v>
      </c>
      <c r="EV162" s="460">
        <f t="shared" si="412"/>
        <v>2183.9999999999995</v>
      </c>
      <c r="EW162" s="528">
        <f t="shared" si="413"/>
        <v>3.7638657210401882E-2</v>
      </c>
      <c r="EX162" s="528">
        <f t="shared" si="414"/>
        <v>0.57659219556360353</v>
      </c>
      <c r="EY162" s="528">
        <f t="shared" si="415"/>
        <v>0.81278041177063254</v>
      </c>
      <c r="EZ162" s="528"/>
      <c r="FA162" s="528">
        <f t="shared" si="416"/>
        <v>5.2000000000000005E-2</v>
      </c>
      <c r="FB162" s="460">
        <f t="shared" si="417"/>
        <v>1479.0112645446382</v>
      </c>
      <c r="FC162" s="173">
        <f t="shared" si="418"/>
        <v>4.3239401490155593</v>
      </c>
      <c r="FD162" s="5">
        <f t="shared" si="419"/>
        <v>12.48</v>
      </c>
      <c r="FE162" s="173">
        <f t="shared" si="420"/>
        <v>0.74268295943264995</v>
      </c>
      <c r="FF162" s="5">
        <f t="shared" si="421"/>
        <v>74.268295943264988</v>
      </c>
      <c r="FI162" s="562">
        <f t="shared" si="422"/>
        <v>-50</v>
      </c>
      <c r="FJ162">
        <f t="shared" si="423"/>
        <v>-50</v>
      </c>
      <c r="FL162">
        <f t="shared" si="476"/>
        <v>0.48913043478260876</v>
      </c>
    </row>
    <row r="163" spans="5:168">
      <c r="E163" s="170">
        <v>53</v>
      </c>
      <c r="F163" s="217">
        <f t="shared" si="477"/>
        <v>3.18</v>
      </c>
      <c r="G163" s="217"/>
      <c r="H163" s="217">
        <f t="shared" si="442"/>
        <v>12.72</v>
      </c>
      <c r="I163" s="541">
        <f t="shared" si="443"/>
        <v>17.929412262389139</v>
      </c>
      <c r="J163" s="172">
        <f t="shared" si="444"/>
        <v>19.602893697943461</v>
      </c>
      <c r="K163" s="172">
        <f t="shared" si="445"/>
        <v>37.5323059603326</v>
      </c>
      <c r="L163" s="443"/>
      <c r="M163" s="217">
        <f t="shared" si="446"/>
        <v>0.5220043529963958</v>
      </c>
      <c r="N163" s="172">
        <f t="shared" si="447"/>
        <v>31.40802019518539</v>
      </c>
      <c r="O163" s="172">
        <f t="shared" si="438"/>
        <v>12.72</v>
      </c>
      <c r="P163" s="217">
        <f t="shared" si="448"/>
        <v>7.8520050487963475</v>
      </c>
      <c r="Q163" s="217">
        <f t="shared" si="449"/>
        <v>4</v>
      </c>
      <c r="R163" s="217"/>
      <c r="S163" s="172">
        <f t="shared" si="450"/>
        <v>14.517763323946189</v>
      </c>
      <c r="T163" s="172">
        <f t="shared" si="451"/>
        <v>4</v>
      </c>
      <c r="U163" s="217">
        <f t="shared" si="452"/>
        <v>3.3263901250297616</v>
      </c>
      <c r="V163" s="217">
        <f t="shared" si="453"/>
        <v>2.2263240376312337</v>
      </c>
      <c r="W163" s="217">
        <f t="shared" si="454"/>
        <v>2.0362647533279636</v>
      </c>
      <c r="X163" s="197">
        <f t="shared" si="455"/>
        <v>350</v>
      </c>
      <c r="Y163" s="443">
        <f t="shared" si="328"/>
        <v>224.08517720160768</v>
      </c>
      <c r="AA163" s="217">
        <f t="shared" si="456"/>
        <v>2.229624355498919</v>
      </c>
      <c r="AB163" s="173">
        <f t="shared" si="457"/>
        <v>1.3648746291367149</v>
      </c>
      <c r="AC163" s="173">
        <f t="shared" si="458"/>
        <v>2.1302104007280418</v>
      </c>
      <c r="AD163" s="173"/>
      <c r="AE163" s="173">
        <f t="shared" si="459"/>
        <v>0.81620602787223007</v>
      </c>
      <c r="AF163" s="545">
        <f t="shared" si="460"/>
        <v>1461.0281709248482</v>
      </c>
      <c r="AG163" s="528">
        <f t="shared" si="461"/>
        <v>0.76179229268074822</v>
      </c>
      <c r="AI163" s="173">
        <f t="shared" si="462"/>
        <v>2.7241687670488242</v>
      </c>
      <c r="AJ163" s="173">
        <f t="shared" si="463"/>
        <v>3.3263901250297616</v>
      </c>
      <c r="AK163" s="173">
        <f t="shared" si="464"/>
        <v>2.6763383642195766</v>
      </c>
      <c r="AM163" s="545">
        <f t="shared" si="465"/>
        <v>3180</v>
      </c>
      <c r="AN163" s="460">
        <f t="shared" si="466"/>
        <v>224.08517720160768</v>
      </c>
      <c r="AP163">
        <f t="shared" si="467"/>
        <v>3180</v>
      </c>
      <c r="AQ163">
        <f t="shared" si="468"/>
        <v>224.08517720160768</v>
      </c>
      <c r="AS163" s="5">
        <f t="shared" si="439"/>
        <v>4.462588790959197</v>
      </c>
      <c r="AT163" s="5">
        <f t="shared" si="469"/>
        <v>2.2263240376312337</v>
      </c>
      <c r="AU163" s="5">
        <f t="shared" si="343"/>
        <v>2.2362647533279634</v>
      </c>
      <c r="AV163" s="5"/>
      <c r="AW163" s="173">
        <f t="shared" si="344"/>
        <v>0.49888621648079373</v>
      </c>
      <c r="AX163" s="173">
        <f t="shared" si="435"/>
        <v>14.876841827298017</v>
      </c>
      <c r="AY163" s="173">
        <f t="shared" si="436"/>
        <v>3.3337998820291794</v>
      </c>
      <c r="AZ163" s="173">
        <f t="shared" si="440"/>
        <v>4.4624279662050235</v>
      </c>
      <c r="BA163" s="460">
        <f t="shared" si="433"/>
        <v>176.9927609916831</v>
      </c>
      <c r="BB163" s="5">
        <f t="shared" si="434"/>
        <v>1.322096119960473</v>
      </c>
      <c r="BD163" s="173">
        <f t="shared" si="441"/>
        <v>1.3564797284014103</v>
      </c>
      <c r="BE163" s="173">
        <f t="shared" si="437"/>
        <v>5.4380190036218758</v>
      </c>
      <c r="BG163" s="528">
        <f t="shared" si="347"/>
        <v>2.2448454493480357E-2</v>
      </c>
      <c r="BH163" s="528">
        <f t="shared" si="470"/>
        <v>0.52455717590836071</v>
      </c>
      <c r="BI163" s="528">
        <f t="shared" si="471"/>
        <v>0.10044288809845368</v>
      </c>
      <c r="BJ163" s="528">
        <f t="shared" si="350"/>
        <v>3.1566296082530941E-2</v>
      </c>
      <c r="BK163">
        <f t="shared" si="351"/>
        <v>8.0682355180751123E-3</v>
      </c>
      <c r="BL163" s="460">
        <f t="shared" si="427"/>
        <v>108.51112361652881</v>
      </c>
      <c r="BM163" s="528">
        <f t="shared" si="472"/>
        <v>0.58776801850480365</v>
      </c>
      <c r="BN163" s="460">
        <f t="shared" si="353"/>
        <v>587.76801850480365</v>
      </c>
      <c r="BO163" s="528">
        <f t="shared" si="354"/>
        <v>2.226</v>
      </c>
      <c r="BR163" s="460">
        <f t="shared" si="355"/>
        <v>2226</v>
      </c>
      <c r="BS163" s="528">
        <f t="shared" si="356"/>
        <v>5.5201117606918912E-2</v>
      </c>
      <c r="BT163" s="528">
        <f t="shared" si="357"/>
        <v>0.88716152051257979</v>
      </c>
      <c r="BU163" s="528">
        <f t="shared" si="358"/>
        <v>0.75846542051163224</v>
      </c>
      <c r="BV163" s="528"/>
      <c r="BW163" s="528">
        <f t="shared" si="359"/>
        <v>6.1986840947075079E-2</v>
      </c>
      <c r="BX163" s="460">
        <f t="shared" si="360"/>
        <v>1762.8148995782062</v>
      </c>
      <c r="BY163" s="173">
        <f t="shared" si="361"/>
        <v>4.675897949679106</v>
      </c>
      <c r="BZ163" s="5">
        <f t="shared" si="362"/>
        <v>12.72</v>
      </c>
      <c r="CA163" s="173">
        <f t="shared" si="363"/>
        <v>0.73120686479048014</v>
      </c>
      <c r="CB163" s="5">
        <f t="shared" si="364"/>
        <v>73.120686479048018</v>
      </c>
      <c r="CE163" s="562">
        <f t="shared" si="473"/>
        <v>-50</v>
      </c>
      <c r="CF163">
        <f t="shared" si="474"/>
        <v>-50</v>
      </c>
      <c r="CG163" s="173">
        <f t="shared" si="475"/>
        <v>0.47528085097371314</v>
      </c>
      <c r="CI163" s="170">
        <v>53</v>
      </c>
      <c r="CJ163" s="217">
        <f t="shared" si="428"/>
        <v>3.18</v>
      </c>
      <c r="CK163" s="217"/>
      <c r="CL163" s="217">
        <f t="shared" si="368"/>
        <v>12.72</v>
      </c>
      <c r="CM163" s="541">
        <f t="shared" si="369"/>
        <v>18</v>
      </c>
      <c r="CN163" s="443">
        <f t="shared" si="370"/>
        <v>18.8</v>
      </c>
      <c r="CO163" s="443">
        <f t="shared" si="371"/>
        <v>36.799999999999997</v>
      </c>
      <c r="CP163" s="443"/>
      <c r="CQ163" s="217">
        <f t="shared" si="372"/>
        <v>0.51086956521739135</v>
      </c>
      <c r="CR163" s="172">
        <f t="shared" si="429"/>
        <v>30.859076086956527</v>
      </c>
      <c r="CS163" s="172">
        <f t="shared" si="373"/>
        <v>12.72</v>
      </c>
      <c r="CT163" s="217">
        <f t="shared" si="374"/>
        <v>7.7147690217391318</v>
      </c>
      <c r="CU163" s="217">
        <f t="shared" si="375"/>
        <v>4</v>
      </c>
      <c r="CV163" s="217"/>
      <c r="CW163" s="172">
        <f t="shared" si="376"/>
        <v>14.574155246089468</v>
      </c>
      <c r="CX163" s="172">
        <f t="shared" si="377"/>
        <v>4</v>
      </c>
      <c r="CY163" s="217">
        <f t="shared" si="378"/>
        <v>2.7665248226950352</v>
      </c>
      <c r="CZ163" s="217">
        <f t="shared" si="379"/>
        <v>1.8443498817966903</v>
      </c>
      <c r="DA163" s="217">
        <f t="shared" si="380"/>
        <v>1.7658669081032139</v>
      </c>
      <c r="DB163" s="197">
        <f t="shared" si="381"/>
        <v>350</v>
      </c>
      <c r="DC163" s="443">
        <f t="shared" si="382"/>
        <v>276.99167617790783</v>
      </c>
      <c r="DE163" s="217">
        <f t="shared" si="383"/>
        <v>2.18944099378882</v>
      </c>
      <c r="DF163" s="173">
        <f t="shared" si="384"/>
        <v>1.3975155279503106</v>
      </c>
      <c r="DG163" s="173">
        <f t="shared" si="385"/>
        <v>2.1418444504455847</v>
      </c>
      <c r="DH163" s="173"/>
      <c r="DI163" s="173">
        <f t="shared" si="386"/>
        <v>0.85106382978723416</v>
      </c>
      <c r="DJ163" s="545">
        <f t="shared" si="387"/>
        <v>1401.1874999999998</v>
      </c>
      <c r="DK163" s="528">
        <f t="shared" si="388"/>
        <v>0.79432624113475192</v>
      </c>
      <c r="DM163" s="173">
        <f t="shared" si="389"/>
        <v>2.667797379326784</v>
      </c>
      <c r="DN163" s="173">
        <f t="shared" si="390"/>
        <v>2.7665248226950352</v>
      </c>
      <c r="DO163" s="173">
        <f t="shared" si="391"/>
        <v>2.2616233254531122</v>
      </c>
      <c r="DQ163" s="545">
        <f t="shared" si="392"/>
        <v>3180</v>
      </c>
      <c r="DR163" s="460">
        <f t="shared" si="393"/>
        <v>276.99167617790783</v>
      </c>
      <c r="DT163">
        <f t="shared" si="430"/>
        <v>3180</v>
      </c>
      <c r="DU163">
        <f t="shared" si="431"/>
        <v>276.99167617790783</v>
      </c>
      <c r="DW163" s="5">
        <f t="shared" si="394"/>
        <v>3.6102167898999036</v>
      </c>
      <c r="DX163" s="5">
        <f t="shared" si="395"/>
        <v>1.8443498817966903</v>
      </c>
      <c r="DY163" s="5">
        <f t="shared" si="396"/>
        <v>1.7658669081032132</v>
      </c>
      <c r="DZ163" s="5"/>
      <c r="EA163" s="173">
        <f t="shared" si="397"/>
        <v>0.51086956521739146</v>
      </c>
      <c r="EB163" s="173">
        <f t="shared" si="398"/>
        <v>12.720000000000002</v>
      </c>
      <c r="EC163" s="173">
        <f t="shared" si="399"/>
        <v>2.7063829787234033</v>
      </c>
      <c r="ED163" s="173">
        <f t="shared" si="400"/>
        <v>4.7000000000000028</v>
      </c>
      <c r="EE163" s="460">
        <f t="shared" si="401"/>
        <v>146.62581560283689</v>
      </c>
      <c r="EF163" s="5">
        <f t="shared" si="402"/>
        <v>1.0398994014385587</v>
      </c>
      <c r="EH163" s="173">
        <f t="shared" si="403"/>
        <v>1.1416394278126207</v>
      </c>
      <c r="EI163" s="173">
        <f t="shared" si="404"/>
        <v>4.4683406884010459</v>
      </c>
      <c r="EK163" s="528">
        <f t="shared" si="405"/>
        <v>1.5900755114263202E-2</v>
      </c>
      <c r="EL163" s="528">
        <f t="shared" si="406"/>
        <v>0.56400000000000006</v>
      </c>
      <c r="EM163" s="528">
        <f t="shared" si="407"/>
        <v>3.4623959522238477E-2</v>
      </c>
      <c r="EN163" s="528">
        <f t="shared" si="408"/>
        <v>3.7511320754716984E-2</v>
      </c>
      <c r="EO163">
        <f t="shared" si="409"/>
        <v>8.0999999999999996E-3</v>
      </c>
      <c r="EP163" s="460">
        <f t="shared" si="410"/>
        <v>42.723959522238481</v>
      </c>
      <c r="EQ163" s="460"/>
      <c r="ER163" s="460">
        <f t="shared" si="432"/>
        <v>660.1360353912188</v>
      </c>
      <c r="ES163" s="528">
        <f t="shared" si="411"/>
        <v>2.226</v>
      </c>
      <c r="EV163" s="460">
        <f t="shared" si="412"/>
        <v>2226</v>
      </c>
      <c r="EW163" s="528">
        <f t="shared" si="413"/>
        <v>3.9100217494089838E-2</v>
      </c>
      <c r="EX163" s="528">
        <f t="shared" si="414"/>
        <v>0.59898205522860992</v>
      </c>
      <c r="EY163" s="528">
        <f t="shared" si="415"/>
        <v>0.81278041177063176</v>
      </c>
      <c r="EZ163" s="528"/>
      <c r="FA163" s="528">
        <f t="shared" si="416"/>
        <v>5.3000000000000012E-2</v>
      </c>
      <c r="FB163" s="460">
        <f t="shared" si="417"/>
        <v>1503.8626844933317</v>
      </c>
      <c r="FC163" s="173">
        <f t="shared" si="418"/>
        <v>4.3899987198845505</v>
      </c>
      <c r="FD163" s="5">
        <f t="shared" si="419"/>
        <v>12.72</v>
      </c>
      <c r="FE163" s="173">
        <f t="shared" si="420"/>
        <v>0.74342495334130732</v>
      </c>
      <c r="FF163" s="5">
        <f t="shared" si="421"/>
        <v>74.342495334130732</v>
      </c>
      <c r="FI163" s="562">
        <f t="shared" si="422"/>
        <v>-50</v>
      </c>
      <c r="FJ163">
        <f t="shared" si="423"/>
        <v>-50</v>
      </c>
      <c r="FL163">
        <f t="shared" si="476"/>
        <v>0.48913043478260854</v>
      </c>
    </row>
    <row r="164" spans="5:168">
      <c r="E164" s="170">
        <v>54</v>
      </c>
      <c r="F164" s="217">
        <f t="shared" si="477"/>
        <v>3.24</v>
      </c>
      <c r="G164" s="217"/>
      <c r="H164" s="217">
        <f t="shared" si="442"/>
        <v>12.96</v>
      </c>
      <c r="I164" s="541">
        <f t="shared" si="443"/>
        <v>17.928119207008372</v>
      </c>
      <c r="J164" s="172">
        <f t="shared" si="444"/>
        <v>19.617601436871595</v>
      </c>
      <c r="K164" s="172">
        <f t="shared" si="445"/>
        <v>37.545720643879967</v>
      </c>
      <c r="L164" s="443"/>
      <c r="M164" s="217">
        <f t="shared" si="446"/>
        <v>0.52220985566474021</v>
      </c>
      <c r="N164" s="172">
        <f t="shared" si="447"/>
        <v>31.41811889033422</v>
      </c>
      <c r="O164" s="172">
        <f t="shared" si="438"/>
        <v>12.96</v>
      </c>
      <c r="P164" s="217">
        <f t="shared" si="448"/>
        <v>7.8545297225835551</v>
      </c>
      <c r="Q164" s="217">
        <f t="shared" si="449"/>
        <v>4</v>
      </c>
      <c r="R164" s="217"/>
      <c r="S164" s="172">
        <f t="shared" si="450"/>
        <v>14.17347791761385</v>
      </c>
      <c r="T164" s="172">
        <f t="shared" si="451"/>
        <v>4</v>
      </c>
      <c r="U164" s="217">
        <f t="shared" si="452"/>
        <v>3.3906099135926593</v>
      </c>
      <c r="V164" s="217">
        <f t="shared" si="453"/>
        <v>2.2694694570753757</v>
      </c>
      <c r="W164" s="217">
        <f t="shared" si="454"/>
        <v>2.0740210822429823</v>
      </c>
      <c r="X164" s="197">
        <f t="shared" si="455"/>
        <v>350</v>
      </c>
      <c r="Y164" s="443">
        <f t="shared" si="328"/>
        <v>220.09509898749036</v>
      </c>
      <c r="AA164" s="217">
        <f t="shared" si="456"/>
        <v>2.2303391266277095</v>
      </c>
      <c r="AB164" s="173">
        <f t="shared" si="457"/>
        <v>1.3642885755252943</v>
      </c>
      <c r="AC164" s="173">
        <f t="shared" si="458"/>
        <v>2.129978333003673</v>
      </c>
      <c r="AD164" s="173"/>
      <c r="AE164" s="173">
        <f t="shared" si="459"/>
        <v>0.81559410060843351</v>
      </c>
      <c r="AF164" s="545">
        <f t="shared" si="460"/>
        <v>1489.7116091124367</v>
      </c>
      <c r="AG164" s="528">
        <f t="shared" si="461"/>
        <v>0.76122116056787137</v>
      </c>
      <c r="AI164" s="173">
        <f t="shared" si="462"/>
        <v>2.7507797304856076</v>
      </c>
      <c r="AJ164" s="173">
        <f t="shared" si="463"/>
        <v>3.3906099135926593</v>
      </c>
      <c r="AK164" s="173">
        <f t="shared" si="464"/>
        <v>2.7239085779698708</v>
      </c>
      <c r="AM164" s="545">
        <f t="shared" si="465"/>
        <v>3240</v>
      </c>
      <c r="AN164" s="460">
        <f t="shared" si="466"/>
        <v>220.09509898749036</v>
      </c>
      <c r="AP164">
        <f t="shared" si="467"/>
        <v>3240</v>
      </c>
      <c r="AQ164">
        <f t="shared" si="468"/>
        <v>220.09509898749036</v>
      </c>
      <c r="AS164" s="5">
        <f t="shared" si="439"/>
        <v>4.5434905393183582</v>
      </c>
      <c r="AT164" s="5">
        <f t="shared" si="469"/>
        <v>2.2694694570753757</v>
      </c>
      <c r="AU164" s="5">
        <f t="shared" si="343"/>
        <v>2.2740210822429825</v>
      </c>
      <c r="AV164" s="5"/>
      <c r="AW164" s="173">
        <f t="shared" si="344"/>
        <v>0.49949910480409082</v>
      </c>
      <c r="AX164" s="173">
        <f t="shared" si="435"/>
        <v>15.181590655906888</v>
      </c>
      <c r="AY164" s="173">
        <f t="shared" si="436"/>
        <v>3.3940065940265001</v>
      </c>
      <c r="AZ164" s="173">
        <f t="shared" si="440"/>
        <v>4.4730586801530388</v>
      </c>
      <c r="BA164" s="460">
        <f t="shared" si="433"/>
        <v>183.82702602310547</v>
      </c>
      <c r="BB164" s="5">
        <f t="shared" si="434"/>
        <v>1.3698831095803712</v>
      </c>
      <c r="BD164" s="173">
        <f t="shared" si="441"/>
        <v>1.3835171826303503</v>
      </c>
      <c r="BE164" s="173">
        <f t="shared" si="437"/>
        <v>5.5396154871387013</v>
      </c>
      <c r="BG164" s="528">
        <f t="shared" si="347"/>
        <v>2.3352261494527748E-2</v>
      </c>
      <c r="BH164" s="528">
        <f t="shared" si="470"/>
        <v>0.52535142664462353</v>
      </c>
      <c r="BI164" s="528">
        <f t="shared" si="471"/>
        <v>9.8647279288150869E-2</v>
      </c>
      <c r="BJ164" s="528">
        <f t="shared" si="350"/>
        <v>3.1026390975599196E-2</v>
      </c>
      <c r="BK164">
        <f t="shared" si="351"/>
        <v>8.0676536431537674E-3</v>
      </c>
      <c r="BL164" s="460">
        <f t="shared" si="427"/>
        <v>106.71493293130463</v>
      </c>
      <c r="BM164" s="528">
        <f t="shared" si="472"/>
        <v>0.58930494664191957</v>
      </c>
      <c r="BN164" s="460">
        <f t="shared" si="353"/>
        <v>589.30494664191951</v>
      </c>
      <c r="BO164" s="528">
        <f t="shared" si="354"/>
        <v>2.2679999999999998</v>
      </c>
      <c r="BR164" s="460">
        <f t="shared" si="355"/>
        <v>2268</v>
      </c>
      <c r="BS164" s="528">
        <f t="shared" si="356"/>
        <v>5.7423593839002661E-2</v>
      </c>
      <c r="BT164" s="528">
        <f t="shared" si="357"/>
        <v>0.92062019236040848</v>
      </c>
      <c r="BU164" s="528">
        <f t="shared" si="358"/>
        <v>0.76065986649663897</v>
      </c>
      <c r="BV164" s="528"/>
      <c r="BW164" s="528">
        <f t="shared" si="359"/>
        <v>6.3256627732945367E-2</v>
      </c>
      <c r="BX164" s="460">
        <f t="shared" si="360"/>
        <v>1801.9602804289955</v>
      </c>
      <c r="BY164" s="173">
        <f t="shared" si="361"/>
        <v>4.7564052924750513</v>
      </c>
      <c r="BZ164" s="5">
        <f t="shared" si="362"/>
        <v>12.96</v>
      </c>
      <c r="CA164" s="173">
        <f t="shared" si="363"/>
        <v>0.73152537357590774</v>
      </c>
      <c r="CB164" s="5">
        <f t="shared" si="364"/>
        <v>73.152537357590774</v>
      </c>
      <c r="CE164" s="562">
        <f t="shared" si="473"/>
        <v>-50</v>
      </c>
      <c r="CF164">
        <f t="shared" si="474"/>
        <v>-50</v>
      </c>
      <c r="CG164" s="173">
        <f t="shared" si="475"/>
        <v>0.47553732474795218</v>
      </c>
      <c r="CI164" s="170">
        <v>54</v>
      </c>
      <c r="CJ164" s="217">
        <f t="shared" si="428"/>
        <v>3.24</v>
      </c>
      <c r="CK164" s="217"/>
      <c r="CL164" s="217">
        <f t="shared" si="368"/>
        <v>12.96</v>
      </c>
      <c r="CM164" s="541">
        <f t="shared" si="369"/>
        <v>18</v>
      </c>
      <c r="CN164" s="443">
        <f t="shared" si="370"/>
        <v>18.8</v>
      </c>
      <c r="CO164" s="443">
        <f t="shared" si="371"/>
        <v>36.799999999999997</v>
      </c>
      <c r="CP164" s="443"/>
      <c r="CQ164" s="217">
        <f t="shared" si="372"/>
        <v>0.51086956521739135</v>
      </c>
      <c r="CR164" s="172">
        <f t="shared" si="429"/>
        <v>30.859076086956527</v>
      </c>
      <c r="CS164" s="172">
        <f t="shared" si="373"/>
        <v>12.96</v>
      </c>
      <c r="CT164" s="217">
        <f t="shared" si="374"/>
        <v>7.7147690217391318</v>
      </c>
      <c r="CU164" s="217">
        <f t="shared" si="375"/>
        <v>4</v>
      </c>
      <c r="CV164" s="217"/>
      <c r="CW164" s="172">
        <f t="shared" si="376"/>
        <v>14.229510037469526</v>
      </c>
      <c r="CX164" s="172">
        <f t="shared" si="377"/>
        <v>4</v>
      </c>
      <c r="CY164" s="217">
        <f t="shared" si="378"/>
        <v>2.8187234042553189</v>
      </c>
      <c r="CZ164" s="217">
        <f t="shared" si="379"/>
        <v>1.8791489361702127</v>
      </c>
      <c r="DA164" s="217">
        <f t="shared" si="380"/>
        <v>1.7991851516523314</v>
      </c>
      <c r="DB164" s="197">
        <f t="shared" si="381"/>
        <v>350</v>
      </c>
      <c r="DC164" s="443">
        <f t="shared" si="382"/>
        <v>271.86220069313168</v>
      </c>
      <c r="DE164" s="217">
        <f t="shared" si="383"/>
        <v>2.18944099378882</v>
      </c>
      <c r="DF164" s="173">
        <f t="shared" si="384"/>
        <v>1.3975155279503106</v>
      </c>
      <c r="DG164" s="173">
        <f t="shared" si="385"/>
        <v>2.1418444504455847</v>
      </c>
      <c r="DH164" s="173"/>
      <c r="DI164" s="173">
        <f t="shared" si="386"/>
        <v>0.85106382978723416</v>
      </c>
      <c r="DJ164" s="545">
        <f t="shared" si="387"/>
        <v>1427.6249999999998</v>
      </c>
      <c r="DK164" s="528">
        <f t="shared" si="388"/>
        <v>0.79432624113475192</v>
      </c>
      <c r="DM164" s="173">
        <f t="shared" si="389"/>
        <v>2.6928476695551447</v>
      </c>
      <c r="DN164" s="173">
        <f t="shared" si="390"/>
        <v>2.8187234042553189</v>
      </c>
      <c r="DO164" s="173">
        <f t="shared" si="391"/>
        <v>2.3002889414236929</v>
      </c>
      <c r="DQ164" s="545">
        <f t="shared" si="392"/>
        <v>3240</v>
      </c>
      <c r="DR164" s="460">
        <f t="shared" si="393"/>
        <v>271.86220069313168</v>
      </c>
      <c r="DT164">
        <f t="shared" si="430"/>
        <v>3240</v>
      </c>
      <c r="DU164">
        <f t="shared" si="431"/>
        <v>271.86220069313168</v>
      </c>
      <c r="DW164" s="5">
        <f t="shared" si="394"/>
        <v>3.6783340878225443</v>
      </c>
      <c r="DX164" s="5">
        <f t="shared" si="395"/>
        <v>1.8791489361702127</v>
      </c>
      <c r="DY164" s="5">
        <f t="shared" si="396"/>
        <v>1.7991851516523316</v>
      </c>
      <c r="DZ164" s="5"/>
      <c r="EA164" s="173">
        <f t="shared" si="397"/>
        <v>0.51086956521739124</v>
      </c>
      <c r="EB164" s="173">
        <f t="shared" si="398"/>
        <v>12.959999999999997</v>
      </c>
      <c r="EC164" s="173">
        <f t="shared" si="399"/>
        <v>2.7574468085106383</v>
      </c>
      <c r="ED164" s="173">
        <f t="shared" si="400"/>
        <v>4.6999999999999993</v>
      </c>
      <c r="EE164" s="460">
        <f t="shared" si="401"/>
        <v>152.21106382978724</v>
      </c>
      <c r="EF164" s="5">
        <f t="shared" si="402"/>
        <v>1.079511090991399</v>
      </c>
      <c r="EH164" s="173">
        <f t="shared" si="403"/>
        <v>1.1631797943751228</v>
      </c>
      <c r="EI164" s="173">
        <f t="shared" si="404"/>
        <v>4.5526490032765388</v>
      </c>
      <c r="EK164" s="528">
        <f t="shared" si="405"/>
        <v>1.6506444255319143E-2</v>
      </c>
      <c r="EL164" s="528">
        <f t="shared" si="406"/>
        <v>0.56399999999999995</v>
      </c>
      <c r="EM164" s="528">
        <f t="shared" si="407"/>
        <v>3.3982775086641458E-2</v>
      </c>
      <c r="EN164" s="528">
        <f t="shared" si="408"/>
        <v>3.6816666666666664E-2</v>
      </c>
      <c r="EO164">
        <f t="shared" si="409"/>
        <v>8.0999999999999996E-3</v>
      </c>
      <c r="EP164" s="460">
        <f t="shared" si="410"/>
        <v>42.082775086641462</v>
      </c>
      <c r="EQ164" s="460"/>
      <c r="ER164" s="460">
        <f t="shared" si="432"/>
        <v>659.40588600862714</v>
      </c>
      <c r="ES164" s="528">
        <f t="shared" si="411"/>
        <v>2.2679999999999998</v>
      </c>
      <c r="EV164" s="460">
        <f t="shared" si="412"/>
        <v>2268</v>
      </c>
      <c r="EW164" s="528">
        <f t="shared" si="413"/>
        <v>4.0589617021276586E-2</v>
      </c>
      <c r="EX164" s="528">
        <f t="shared" si="414"/>
        <v>0.62179838841104584</v>
      </c>
      <c r="EY164" s="528">
        <f t="shared" si="415"/>
        <v>0.81278041177063109</v>
      </c>
      <c r="EZ164" s="528"/>
      <c r="FA164" s="528">
        <f t="shared" si="416"/>
        <v>5.3999999999999999E-2</v>
      </c>
      <c r="FB164" s="460">
        <f t="shared" si="417"/>
        <v>1529.1684172029536</v>
      </c>
      <c r="FC164" s="173">
        <f t="shared" si="418"/>
        <v>4.4565743032115801</v>
      </c>
      <c r="FD164" s="5">
        <f t="shared" si="419"/>
        <v>12.96</v>
      </c>
      <c r="FE164" s="173">
        <f t="shared" si="420"/>
        <v>0.74411877872046295</v>
      </c>
      <c r="FF164" s="5">
        <f t="shared" si="421"/>
        <v>74.41187787204629</v>
      </c>
      <c r="FI164" s="562">
        <f t="shared" si="422"/>
        <v>-50</v>
      </c>
      <c r="FJ164">
        <f t="shared" si="423"/>
        <v>-50</v>
      </c>
      <c r="FL164">
        <f t="shared" si="476"/>
        <v>0.48913043478260876</v>
      </c>
    </row>
    <row r="165" spans="5:168">
      <c r="E165" s="170">
        <v>55</v>
      </c>
      <c r="F165" s="217">
        <f t="shared" si="477"/>
        <v>3.3000000000000003</v>
      </c>
      <c r="G165" s="217"/>
      <c r="H165" s="217">
        <f t="shared" si="442"/>
        <v>13.200000000000001</v>
      </c>
      <c r="I165" s="541">
        <f t="shared" si="443"/>
        <v>17.926826111329802</v>
      </c>
      <c r="J165" s="172">
        <f t="shared" si="444"/>
        <v>19.632309634163377</v>
      </c>
      <c r="K165" s="172">
        <f t="shared" si="445"/>
        <v>37.55913574549318</v>
      </c>
      <c r="L165" s="443"/>
      <c r="M165" s="217">
        <f t="shared" si="446"/>
        <v>0.52241521187551576</v>
      </c>
      <c r="N165" s="172">
        <f t="shared" si="447"/>
        <v>31.428206920563426</v>
      </c>
      <c r="O165" s="172">
        <f t="shared" si="438"/>
        <v>13.200000000000001</v>
      </c>
      <c r="P165" s="217">
        <f t="shared" si="448"/>
        <v>7.8570517301408564</v>
      </c>
      <c r="Q165" s="217">
        <f t="shared" si="449"/>
        <v>4</v>
      </c>
      <c r="R165" s="217"/>
      <c r="S165" s="172">
        <f t="shared" si="450"/>
        <v>13.841932992526003</v>
      </c>
      <c r="T165" s="172">
        <f t="shared" si="451"/>
        <v>4</v>
      </c>
      <c r="U165" s="217">
        <f t="shared" si="452"/>
        <v>3.4548839096816484</v>
      </c>
      <c r="V165" s="217">
        <f t="shared" si="453"/>
        <v>2.3126573917051516</v>
      </c>
      <c r="W165" s="217">
        <f t="shared" si="454"/>
        <v>2.1117539244610906</v>
      </c>
      <c r="X165" s="197">
        <f t="shared" si="455"/>
        <v>350</v>
      </c>
      <c r="Y165" s="443">
        <f t="shared" si="328"/>
        <v>216.24374036629294</v>
      </c>
      <c r="AA165" s="217">
        <f t="shared" si="456"/>
        <v>2.2310531683021799</v>
      </c>
      <c r="AB165" s="173">
        <f t="shared" si="457"/>
        <v>1.3637029223009738</v>
      </c>
      <c r="AC165" s="173">
        <f t="shared" si="458"/>
        <v>2.1297456077957704</v>
      </c>
      <c r="AD165" s="173"/>
      <c r="AE165" s="173">
        <f t="shared" si="459"/>
        <v>0.81498307117963487</v>
      </c>
      <c r="AF165" s="545">
        <f t="shared" si="460"/>
        <v>1518.4364482673234</v>
      </c>
      <c r="AG165" s="528">
        <f t="shared" si="461"/>
        <v>0.760650866434326</v>
      </c>
      <c r="AI165" s="173">
        <f t="shared" si="462"/>
        <v>2.7771735758796541</v>
      </c>
      <c r="AJ165" s="173">
        <f t="shared" si="463"/>
        <v>3.4548839096816484</v>
      </c>
      <c r="AK165" s="173">
        <f t="shared" si="464"/>
        <v>2.7715189454431961</v>
      </c>
      <c r="AM165" s="545">
        <f t="shared" si="465"/>
        <v>3300.0000000000005</v>
      </c>
      <c r="AN165" s="460">
        <f t="shared" si="466"/>
        <v>216.24374036629294</v>
      </c>
      <c r="AP165">
        <f t="shared" si="467"/>
        <v>3300.0000000000005</v>
      </c>
      <c r="AQ165">
        <f t="shared" si="468"/>
        <v>216.24374036629294</v>
      </c>
      <c r="AS165" s="5">
        <f t="shared" si="439"/>
        <v>4.6244113161662428</v>
      </c>
      <c r="AT165" s="5">
        <f t="shared" si="469"/>
        <v>2.3126573917051516</v>
      </c>
      <c r="AU165" s="5">
        <f t="shared" si="343"/>
        <v>2.3117539244610912</v>
      </c>
      <c r="AV165" s="5"/>
      <c r="AW165" s="173">
        <f t="shared" si="344"/>
        <v>0.50009768456807702</v>
      </c>
      <c r="AX165" s="173">
        <f t="shared" si="435"/>
        <v>15.48680082282031</v>
      </c>
      <c r="AY165" s="173">
        <f t="shared" si="436"/>
        <v>3.4542089319967015</v>
      </c>
      <c r="AZ165" s="173">
        <f t="shared" si="440"/>
        <v>4.4834580442903844</v>
      </c>
      <c r="BA165" s="460">
        <f t="shared" si="433"/>
        <v>190.794234815675</v>
      </c>
      <c r="BB165" s="5">
        <f t="shared" si="434"/>
        <v>1.4185050388256191</v>
      </c>
      <c r="BD165" s="173">
        <f t="shared" si="441"/>
        <v>1.4105882223928352</v>
      </c>
      <c r="BE165" s="173">
        <f t="shared" si="437"/>
        <v>5.6412506556221587</v>
      </c>
      <c r="BG165" s="528">
        <f t="shared" si="347"/>
        <v>2.4275061424471219E-2</v>
      </c>
      <c r="BH165" s="528">
        <f t="shared" si="470"/>
        <v>0.52613096920719116</v>
      </c>
      <c r="BI165" s="528">
        <f t="shared" si="471"/>
        <v>9.6914098280252062E-2</v>
      </c>
      <c r="BJ165" s="528">
        <f t="shared" si="350"/>
        <v>3.0505259621193929E-2</v>
      </c>
      <c r="BK165">
        <f t="shared" si="351"/>
        <v>8.0670717500984108E-3</v>
      </c>
      <c r="BL165" s="460">
        <f t="shared" si="427"/>
        <v>104.98117003035047</v>
      </c>
      <c r="BM165" s="528">
        <f t="shared" si="472"/>
        <v>0.59087357058896961</v>
      </c>
      <c r="BN165" s="460">
        <f t="shared" si="353"/>
        <v>590.87357058896964</v>
      </c>
      <c r="BO165" s="528">
        <f t="shared" si="354"/>
        <v>2.31</v>
      </c>
      <c r="BR165" s="460">
        <f t="shared" si="355"/>
        <v>2310</v>
      </c>
      <c r="BS165" s="528">
        <f t="shared" si="356"/>
        <v>5.9692773994601364E-2</v>
      </c>
      <c r="BT165" s="528">
        <f t="shared" si="357"/>
        <v>0.95471126878672308</v>
      </c>
      <c r="BU165" s="528">
        <f t="shared" si="358"/>
        <v>0.76280321251826821</v>
      </c>
      <c r="BV165" s="528"/>
      <c r="BW165" s="528">
        <f t="shared" si="359"/>
        <v>6.4528336761751293E-2</v>
      </c>
      <c r="BX165" s="460">
        <f t="shared" si="360"/>
        <v>1841.7355920613438</v>
      </c>
      <c r="BY165" s="173">
        <f t="shared" si="361"/>
        <v>4.8376280523445496</v>
      </c>
      <c r="BZ165" s="5">
        <f t="shared" si="362"/>
        <v>13.200000000000001</v>
      </c>
      <c r="CA165" s="173">
        <f t="shared" si="363"/>
        <v>0.73180353656778341</v>
      </c>
      <c r="CB165" s="5">
        <f t="shared" si="364"/>
        <v>73.180353656778337</v>
      </c>
      <c r="CE165" s="562">
        <f t="shared" si="473"/>
        <v>-50</v>
      </c>
      <c r="CF165">
        <f t="shared" si="474"/>
        <v>-50</v>
      </c>
      <c r="CG165" s="173">
        <f t="shared" si="475"/>
        <v>0.47578447220312764</v>
      </c>
      <c r="CI165" s="170">
        <v>55</v>
      </c>
      <c r="CJ165" s="217">
        <f t="shared" si="428"/>
        <v>3.3000000000000003</v>
      </c>
      <c r="CK165" s="217"/>
      <c r="CL165" s="217">
        <f t="shared" si="368"/>
        <v>13.200000000000001</v>
      </c>
      <c r="CM165" s="541">
        <f t="shared" si="369"/>
        <v>18</v>
      </c>
      <c r="CN165" s="443">
        <f t="shared" si="370"/>
        <v>18.8</v>
      </c>
      <c r="CO165" s="443">
        <f t="shared" si="371"/>
        <v>36.799999999999997</v>
      </c>
      <c r="CP165" s="443"/>
      <c r="CQ165" s="217">
        <f t="shared" si="372"/>
        <v>0.51086956521739135</v>
      </c>
      <c r="CR165" s="172">
        <f t="shared" si="429"/>
        <v>30.859076086956527</v>
      </c>
      <c r="CS165" s="172">
        <f t="shared" si="373"/>
        <v>13.200000000000001</v>
      </c>
      <c r="CT165" s="217">
        <f t="shared" si="374"/>
        <v>7.7147690217391318</v>
      </c>
      <c r="CU165" s="217">
        <f t="shared" si="375"/>
        <v>4</v>
      </c>
      <c r="CV165" s="217"/>
      <c r="CW165" s="172">
        <f t="shared" si="376"/>
        <v>13.897606975507799</v>
      </c>
      <c r="CX165" s="172">
        <f t="shared" si="377"/>
        <v>4</v>
      </c>
      <c r="CY165" s="217">
        <f t="shared" si="378"/>
        <v>2.8709219858156025</v>
      </c>
      <c r="CZ165" s="217">
        <f t="shared" si="379"/>
        <v>1.9139479905437353</v>
      </c>
      <c r="DA165" s="217">
        <f t="shared" si="380"/>
        <v>1.8325033952014484</v>
      </c>
      <c r="DB165" s="197">
        <f t="shared" si="381"/>
        <v>350</v>
      </c>
      <c r="DC165" s="443">
        <f t="shared" si="382"/>
        <v>266.91925158962022</v>
      </c>
      <c r="DE165" s="217">
        <f t="shared" si="383"/>
        <v>2.18944099378882</v>
      </c>
      <c r="DF165" s="173">
        <f t="shared" si="384"/>
        <v>1.3975155279503106</v>
      </c>
      <c r="DG165" s="173">
        <f t="shared" si="385"/>
        <v>2.1418444504455847</v>
      </c>
      <c r="DH165" s="173"/>
      <c r="DI165" s="173">
        <f t="shared" si="386"/>
        <v>0.85106382978723416</v>
      </c>
      <c r="DJ165" s="545">
        <f t="shared" si="387"/>
        <v>1454.0624999999998</v>
      </c>
      <c r="DK165" s="528">
        <f t="shared" si="388"/>
        <v>0.79432624113475192</v>
      </c>
      <c r="DM165" s="173">
        <f t="shared" si="389"/>
        <v>2.7176670667530796</v>
      </c>
      <c r="DN165" s="173">
        <f t="shared" si="390"/>
        <v>2.8709219858156025</v>
      </c>
      <c r="DO165" s="173">
        <f t="shared" si="391"/>
        <v>2.3389545573942732</v>
      </c>
      <c r="DQ165" s="545">
        <f t="shared" si="392"/>
        <v>3300.0000000000005</v>
      </c>
      <c r="DR165" s="460">
        <f t="shared" si="393"/>
        <v>266.91925158962022</v>
      </c>
      <c r="DT165">
        <f t="shared" si="430"/>
        <v>3300.0000000000005</v>
      </c>
      <c r="DU165">
        <f t="shared" si="431"/>
        <v>266.91925158962022</v>
      </c>
      <c r="DW165" s="5">
        <f t="shared" si="394"/>
        <v>3.7464513857451838</v>
      </c>
      <c r="DX165" s="5">
        <f t="shared" si="395"/>
        <v>1.9139479905437353</v>
      </c>
      <c r="DY165" s="5">
        <f t="shared" si="396"/>
        <v>1.8325033952014484</v>
      </c>
      <c r="DZ165" s="5"/>
      <c r="EA165" s="173">
        <f t="shared" si="397"/>
        <v>0.51086956521739135</v>
      </c>
      <c r="EB165" s="173">
        <f t="shared" si="398"/>
        <v>13.199999999999996</v>
      </c>
      <c r="EC165" s="173">
        <f t="shared" si="399"/>
        <v>2.808510638297872</v>
      </c>
      <c r="ED165" s="173">
        <f t="shared" si="400"/>
        <v>4.6999999999999993</v>
      </c>
      <c r="EE165" s="460">
        <f t="shared" si="401"/>
        <v>157.90070921985816</v>
      </c>
      <c r="EF165" s="5">
        <f t="shared" si="402"/>
        <v>1.1198631859564407</v>
      </c>
      <c r="EH165" s="173">
        <f t="shared" si="403"/>
        <v>1.1847201609376252</v>
      </c>
      <c r="EI165" s="173">
        <f t="shared" si="404"/>
        <v>4.6369573181520289</v>
      </c>
      <c r="EK165" s="528">
        <f t="shared" si="405"/>
        <v>1.7123454688731287E-2</v>
      </c>
      <c r="EL165" s="528">
        <f t="shared" si="406"/>
        <v>0.56399999999999995</v>
      </c>
      <c r="EM165" s="528">
        <f t="shared" si="407"/>
        <v>3.3364906448702526E-2</v>
      </c>
      <c r="EN165" s="528">
        <f t="shared" si="408"/>
        <v>3.6147272727272722E-2</v>
      </c>
      <c r="EO165">
        <f t="shared" si="409"/>
        <v>8.0999999999999996E-3</v>
      </c>
      <c r="EP165" s="460">
        <f t="shared" si="410"/>
        <v>41.464906448702529</v>
      </c>
      <c r="EQ165" s="460"/>
      <c r="ER165" s="460">
        <f t="shared" si="432"/>
        <v>658.73563386470641</v>
      </c>
      <c r="ES165" s="528">
        <f t="shared" si="411"/>
        <v>2.31</v>
      </c>
      <c r="EV165" s="460">
        <f t="shared" si="412"/>
        <v>2310</v>
      </c>
      <c r="EW165" s="528">
        <f t="shared" si="413"/>
        <v>4.2106855791962182E-2</v>
      </c>
      <c r="EX165" s="528">
        <f t="shared" si="414"/>
        <v>0.64504119511090963</v>
      </c>
      <c r="EY165" s="528">
        <f t="shared" si="415"/>
        <v>0.81278041177063109</v>
      </c>
      <c r="EZ165" s="528"/>
      <c r="FA165" s="528">
        <f t="shared" si="416"/>
        <v>5.4999999999999986E-2</v>
      </c>
      <c r="FB165" s="460">
        <f t="shared" si="417"/>
        <v>1554.9284626735027</v>
      </c>
      <c r="FC165" s="173">
        <f t="shared" si="418"/>
        <v>4.5236640965382096</v>
      </c>
      <c r="FD165" s="5">
        <f t="shared" si="419"/>
        <v>13.200000000000001</v>
      </c>
      <c r="FE165" s="173">
        <f t="shared" si="420"/>
        <v>0.74476699220327847</v>
      </c>
      <c r="FF165" s="5">
        <f t="shared" si="421"/>
        <v>74.476699220327845</v>
      </c>
      <c r="FI165" s="562">
        <f t="shared" si="422"/>
        <v>-50</v>
      </c>
      <c r="FJ165">
        <f t="shared" si="423"/>
        <v>-50</v>
      </c>
      <c r="FL165">
        <f t="shared" si="476"/>
        <v>0.48913043478260865</v>
      </c>
    </row>
    <row r="166" spans="5:168">
      <c r="E166" s="170">
        <v>56</v>
      </c>
      <c r="F166" s="217">
        <f t="shared" si="477"/>
        <v>3.3600000000000003</v>
      </c>
      <c r="G166" s="217"/>
      <c r="H166" s="217">
        <f t="shared" si="442"/>
        <v>13.440000000000001</v>
      </c>
      <c r="I166" s="541">
        <f t="shared" si="443"/>
        <v>17.925532977571685</v>
      </c>
      <c r="J166" s="172">
        <f t="shared" si="444"/>
        <v>19.647018264587462</v>
      </c>
      <c r="K166" s="172">
        <f t="shared" si="445"/>
        <v>37.57255124215915</v>
      </c>
      <c r="L166" s="443"/>
      <c r="M166" s="217">
        <f t="shared" si="446"/>
        <v>0.52262042175561896</v>
      </c>
      <c r="N166" s="172">
        <f t="shared" si="447"/>
        <v>31.438284299220218</v>
      </c>
      <c r="O166" s="172">
        <f t="shared" si="438"/>
        <v>13.440000000000001</v>
      </c>
      <c r="P166" s="217">
        <f t="shared" si="448"/>
        <v>7.8595710748050545</v>
      </c>
      <c r="Q166" s="217">
        <f t="shared" si="449"/>
        <v>4</v>
      </c>
      <c r="R166" s="217"/>
      <c r="S166" s="172">
        <f t="shared" si="450"/>
        <v>13.522448175806936</v>
      </c>
      <c r="T166" s="172">
        <f t="shared" si="451"/>
        <v>4</v>
      </c>
      <c r="U166" s="217">
        <f t="shared" si="452"/>
        <v>3.5192121250313981</v>
      </c>
      <c r="V166" s="217">
        <f t="shared" si="453"/>
        <v>2.3558878585766667</v>
      </c>
      <c r="W166" s="217">
        <f t="shared" si="454"/>
        <v>2.1494633400170815</v>
      </c>
      <c r="X166" s="197">
        <f t="shared" si="455"/>
        <v>350</v>
      </c>
      <c r="Y166" s="443">
        <f t="shared" si="328"/>
        <v>212.5239876459938</v>
      </c>
      <c r="AA166" s="217">
        <f t="shared" si="456"/>
        <v>2.2317664800343247</v>
      </c>
      <c r="AB166" s="173">
        <f t="shared" si="457"/>
        <v>1.3631176700580236</v>
      </c>
      <c r="AC166" s="173">
        <f t="shared" si="458"/>
        <v>2.1295122270645899</v>
      </c>
      <c r="AD166" s="173"/>
      <c r="AE166" s="173">
        <f t="shared" si="459"/>
        <v>0.81437293865802607</v>
      </c>
      <c r="AF166" s="545">
        <f t="shared" si="460"/>
        <v>1547.2026883362623</v>
      </c>
      <c r="AG166" s="528">
        <f t="shared" si="461"/>
        <v>0.7600814094141578</v>
      </c>
      <c r="AI166" s="173">
        <f t="shared" si="462"/>
        <v>2.80335643574537</v>
      </c>
      <c r="AJ166" s="173">
        <f t="shared" si="463"/>
        <v>3.5192121250313981</v>
      </c>
      <c r="AK166" s="173">
        <f t="shared" si="464"/>
        <v>2.8191694753318997</v>
      </c>
      <c r="AM166" s="545">
        <f t="shared" si="465"/>
        <v>3360.0000000000005</v>
      </c>
      <c r="AN166" s="460">
        <f t="shared" si="466"/>
        <v>212.5239876459938</v>
      </c>
      <c r="AP166">
        <f t="shared" si="467"/>
        <v>3360.0000000000005</v>
      </c>
      <c r="AQ166">
        <f t="shared" si="468"/>
        <v>212.5239876459938</v>
      </c>
      <c r="AS166" s="5">
        <f t="shared" si="439"/>
        <v>4.7053511985937488</v>
      </c>
      <c r="AT166" s="5">
        <f t="shared" si="469"/>
        <v>2.3558878585766667</v>
      </c>
      <c r="AU166" s="5">
        <f t="shared" si="343"/>
        <v>2.3494633400170821</v>
      </c>
      <c r="AV166" s="5"/>
      <c r="AW166" s="173">
        <f t="shared" si="344"/>
        <v>0.50068268215149425</v>
      </c>
      <c r="AX166" s="173">
        <f t="shared" si="435"/>
        <v>15.792471326692093</v>
      </c>
      <c r="AY166" s="173">
        <f t="shared" si="436"/>
        <v>3.5144071184212358</v>
      </c>
      <c r="AZ166" s="173">
        <f t="shared" si="440"/>
        <v>4.4936374172228764</v>
      </c>
      <c r="BA166" s="460">
        <f t="shared" si="433"/>
        <v>197.89458012044003</v>
      </c>
      <c r="BB166" s="5">
        <f t="shared" si="434"/>
        <v>1.4679613399007558</v>
      </c>
      <c r="BD166" s="173">
        <f t="shared" si="441"/>
        <v>1.4376928171258367</v>
      </c>
      <c r="BE166" s="173">
        <f t="shared" si="437"/>
        <v>5.7429247237378203</v>
      </c>
      <c r="BG166" s="528">
        <f t="shared" si="347"/>
        <v>2.5216919764265735E-2</v>
      </c>
      <c r="BH166" s="528">
        <f t="shared" si="470"/>
        <v>0.52689655479098696</v>
      </c>
      <c r="BI166" s="528">
        <f t="shared" si="471"/>
        <v>9.5240143726832469E-2</v>
      </c>
      <c r="BJ166" s="528">
        <f t="shared" si="350"/>
        <v>3.0001939223294912E-2</v>
      </c>
      <c r="BK166">
        <f t="shared" si="351"/>
        <v>8.0664898399072579E-3</v>
      </c>
      <c r="BL166" s="460">
        <f t="shared" si="427"/>
        <v>103.30663356673972</v>
      </c>
      <c r="BM166" s="528">
        <f t="shared" si="472"/>
        <v>0.59247381274347455</v>
      </c>
      <c r="BN166" s="460">
        <f t="shared" si="353"/>
        <v>592.47381274347458</v>
      </c>
      <c r="BO166" s="528">
        <f t="shared" si="354"/>
        <v>2.3519999999999999</v>
      </c>
      <c r="BR166" s="460">
        <f t="shared" si="355"/>
        <v>2352</v>
      </c>
      <c r="BS166" s="528">
        <f t="shared" si="356"/>
        <v>6.200881909245673E-2</v>
      </c>
      <c r="BT166" s="528">
        <f t="shared" si="357"/>
        <v>0.9894355314755735</v>
      </c>
      <c r="BU166" s="528">
        <f t="shared" si="358"/>
        <v>0.76489796905690366</v>
      </c>
      <c r="BV166" s="528"/>
      <c r="BW166" s="528">
        <f t="shared" si="359"/>
        <v>6.5801963861217047E-2</v>
      </c>
      <c r="BX166" s="460">
        <f t="shared" si="360"/>
        <v>1882.1442834861509</v>
      </c>
      <c r="BY166" s="173">
        <f t="shared" si="361"/>
        <v>4.9195663308314375</v>
      </c>
      <c r="BZ166" s="5">
        <f t="shared" si="362"/>
        <v>13.440000000000001</v>
      </c>
      <c r="CA166" s="173">
        <f t="shared" si="363"/>
        <v>0.73204343489475832</v>
      </c>
      <c r="CB166" s="5">
        <f t="shared" si="364"/>
        <v>73.204343489475832</v>
      </c>
      <c r="CE166" s="562">
        <f t="shared" si="473"/>
        <v>-50</v>
      </c>
      <c r="CF166">
        <f t="shared" si="474"/>
        <v>-50</v>
      </c>
      <c r="CG166" s="173">
        <f t="shared" si="475"/>
        <v>0.4760227929634756</v>
      </c>
      <c r="CI166" s="170">
        <v>56</v>
      </c>
      <c r="CJ166" s="217">
        <f t="shared" si="428"/>
        <v>3.3600000000000003</v>
      </c>
      <c r="CK166" s="217"/>
      <c r="CL166" s="217">
        <f t="shared" si="368"/>
        <v>13.440000000000001</v>
      </c>
      <c r="CM166" s="541">
        <f t="shared" si="369"/>
        <v>18</v>
      </c>
      <c r="CN166" s="443">
        <f t="shared" si="370"/>
        <v>18.8</v>
      </c>
      <c r="CO166" s="443">
        <f t="shared" si="371"/>
        <v>36.799999999999997</v>
      </c>
      <c r="CP166" s="443"/>
      <c r="CQ166" s="217">
        <f t="shared" si="372"/>
        <v>0.51086956521739135</v>
      </c>
      <c r="CR166" s="172">
        <f t="shared" si="429"/>
        <v>30.859076086956527</v>
      </c>
      <c r="CS166" s="172">
        <f t="shared" si="373"/>
        <v>13.440000000000001</v>
      </c>
      <c r="CT166" s="217">
        <f t="shared" si="374"/>
        <v>7.7147690217391318</v>
      </c>
      <c r="CU166" s="217">
        <f t="shared" si="375"/>
        <v>4</v>
      </c>
      <c r="CV166" s="217"/>
      <c r="CW166" s="172">
        <f t="shared" si="376"/>
        <v>13.577765613205372</v>
      </c>
      <c r="CX166" s="172">
        <f t="shared" si="377"/>
        <v>4</v>
      </c>
      <c r="CY166" s="217">
        <f t="shared" si="378"/>
        <v>2.9231205673758862</v>
      </c>
      <c r="CZ166" s="217">
        <f t="shared" si="379"/>
        <v>1.9487470449172575</v>
      </c>
      <c r="DA166" s="217">
        <f t="shared" si="380"/>
        <v>1.8658216387505657</v>
      </c>
      <c r="DB166" s="197">
        <f t="shared" si="381"/>
        <v>350</v>
      </c>
      <c r="DC166" s="443">
        <f t="shared" si="382"/>
        <v>262.15283638266271</v>
      </c>
      <c r="DE166" s="217">
        <f t="shared" si="383"/>
        <v>2.18944099378882</v>
      </c>
      <c r="DF166" s="173">
        <f t="shared" si="384"/>
        <v>1.3975155279503106</v>
      </c>
      <c r="DG166" s="173">
        <f t="shared" si="385"/>
        <v>2.1418444504455847</v>
      </c>
      <c r="DH166" s="173"/>
      <c r="DI166" s="173">
        <f t="shared" si="386"/>
        <v>0.85106382978723416</v>
      </c>
      <c r="DJ166" s="545">
        <f t="shared" si="387"/>
        <v>1480.4999999999998</v>
      </c>
      <c r="DK166" s="528">
        <f t="shared" si="388"/>
        <v>0.79432624113475192</v>
      </c>
      <c r="DM166" s="173">
        <f t="shared" si="389"/>
        <v>2.7422618401604177</v>
      </c>
      <c r="DN166" s="173">
        <f t="shared" si="390"/>
        <v>2.9231205673758862</v>
      </c>
      <c r="DO166" s="173">
        <f t="shared" si="391"/>
        <v>2.3776201733648539</v>
      </c>
      <c r="DQ166" s="545">
        <f t="shared" si="392"/>
        <v>3360.0000000000005</v>
      </c>
      <c r="DR166" s="460">
        <f t="shared" si="393"/>
        <v>262.15283638266271</v>
      </c>
      <c r="DT166">
        <f t="shared" si="430"/>
        <v>3360.0000000000005</v>
      </c>
      <c r="DU166">
        <f t="shared" si="431"/>
        <v>262.15283638266271</v>
      </c>
      <c r="DW166" s="5">
        <f t="shared" si="394"/>
        <v>3.8145686836678232</v>
      </c>
      <c r="DX166" s="5">
        <f t="shared" si="395"/>
        <v>1.9487470449172575</v>
      </c>
      <c r="DY166" s="5">
        <f t="shared" si="396"/>
        <v>1.8658216387505657</v>
      </c>
      <c r="DZ166" s="5"/>
      <c r="EA166" s="173">
        <f t="shared" si="397"/>
        <v>0.51086956521739124</v>
      </c>
      <c r="EB166" s="173">
        <f t="shared" si="398"/>
        <v>13.44</v>
      </c>
      <c r="EC166" s="173">
        <f t="shared" si="399"/>
        <v>2.8595744680851065</v>
      </c>
      <c r="ED166" s="173">
        <f t="shared" si="400"/>
        <v>4.6999999999999993</v>
      </c>
      <c r="EE166" s="460">
        <f t="shared" si="401"/>
        <v>163.69475177304966</v>
      </c>
      <c r="EF166" s="5">
        <f t="shared" si="402"/>
        <v>1.1609556863336852</v>
      </c>
      <c r="EH166" s="173">
        <f t="shared" si="403"/>
        <v>1.2062605275001272</v>
      </c>
      <c r="EI166" s="173">
        <f t="shared" si="404"/>
        <v>4.7212656330275209</v>
      </c>
      <c r="EK166" s="528">
        <f t="shared" si="405"/>
        <v>1.77517864144996E-2</v>
      </c>
      <c r="EL166" s="528">
        <f t="shared" si="406"/>
        <v>0.56399999999999995</v>
      </c>
      <c r="EM166" s="528">
        <f t="shared" si="407"/>
        <v>3.2769104547832835E-2</v>
      </c>
      <c r="EN166" s="528">
        <f t="shared" si="408"/>
        <v>3.5501785714285715E-2</v>
      </c>
      <c r="EO166">
        <f t="shared" si="409"/>
        <v>8.0999999999999996E-3</v>
      </c>
      <c r="EP166" s="460">
        <f t="shared" si="410"/>
        <v>40.869104547832841</v>
      </c>
      <c r="EQ166" s="460"/>
      <c r="ER166" s="460">
        <f t="shared" si="432"/>
        <v>658.1226766766182</v>
      </c>
      <c r="ES166" s="528">
        <f t="shared" si="411"/>
        <v>2.3519999999999999</v>
      </c>
      <c r="EV166" s="460">
        <f t="shared" si="412"/>
        <v>2352</v>
      </c>
      <c r="EW166" s="528">
        <f t="shared" si="413"/>
        <v>4.3651933806146556E-2</v>
      </c>
      <c r="EX166" s="528">
        <f t="shared" si="414"/>
        <v>0.66871047532820271</v>
      </c>
      <c r="EY166" s="528">
        <f t="shared" si="415"/>
        <v>0.81278041177063254</v>
      </c>
      <c r="EZ166" s="528"/>
      <c r="FA166" s="528">
        <f t="shared" si="416"/>
        <v>5.6000000000000001E-2</v>
      </c>
      <c r="FB166" s="460">
        <f t="shared" si="417"/>
        <v>1581.1428209049818</v>
      </c>
      <c r="FC166" s="173">
        <f t="shared" si="418"/>
        <v>4.5912654975815999</v>
      </c>
      <c r="FD166" s="5">
        <f t="shared" si="419"/>
        <v>13.440000000000001</v>
      </c>
      <c r="FE166" s="173">
        <f t="shared" si="420"/>
        <v>0.74537197634867103</v>
      </c>
      <c r="FF166" s="5">
        <f t="shared" si="421"/>
        <v>74.537197634867098</v>
      </c>
      <c r="FI166" s="562">
        <f t="shared" si="422"/>
        <v>-50</v>
      </c>
      <c r="FJ166">
        <f t="shared" si="423"/>
        <v>-50</v>
      </c>
      <c r="FL166">
        <f t="shared" si="476"/>
        <v>0.48913043478260876</v>
      </c>
    </row>
    <row r="167" spans="5:168">
      <c r="E167" s="170">
        <v>57</v>
      </c>
      <c r="F167" s="217">
        <f t="shared" si="477"/>
        <v>3.42</v>
      </c>
      <c r="G167" s="217"/>
      <c r="H167" s="217">
        <f t="shared" si="442"/>
        <v>13.68</v>
      </c>
      <c r="I167" s="541">
        <f t="shared" si="443"/>
        <v>17.9242398077924</v>
      </c>
      <c r="J167" s="172">
        <f t="shared" si="444"/>
        <v>19.661727304731013</v>
      </c>
      <c r="K167" s="172">
        <f t="shared" si="445"/>
        <v>37.585967112523413</v>
      </c>
      <c r="L167" s="443"/>
      <c r="M167" s="217">
        <f t="shared" si="446"/>
        <v>0.5228254854339407</v>
      </c>
      <c r="N167" s="172">
        <f t="shared" si="447"/>
        <v>31.448351039495311</v>
      </c>
      <c r="O167" s="172">
        <f t="shared" si="438"/>
        <v>13.68</v>
      </c>
      <c r="P167" s="217">
        <f t="shared" si="448"/>
        <v>7.8620877598738277</v>
      </c>
      <c r="Q167" s="217">
        <f t="shared" si="449"/>
        <v>4</v>
      </c>
      <c r="R167" s="217"/>
      <c r="S167" s="172">
        <f t="shared" si="450"/>
        <v>13.214390851387776</v>
      </c>
      <c r="T167" s="172">
        <f t="shared" si="451"/>
        <v>4</v>
      </c>
      <c r="U167" s="217">
        <f t="shared" si="452"/>
        <v>3.5835945713803827</v>
      </c>
      <c r="V167" s="217">
        <f t="shared" si="453"/>
        <v>2.3991608747540507</v>
      </c>
      <c r="W167" s="217">
        <f t="shared" si="454"/>
        <v>2.1871493887628666</v>
      </c>
      <c r="X167" s="197">
        <f t="shared" si="455"/>
        <v>350</v>
      </c>
      <c r="Y167" s="443">
        <f t="shared" si="328"/>
        <v>208.92920536772999</v>
      </c>
      <c r="AA167" s="217">
        <f t="shared" si="456"/>
        <v>2.2324790614283332</v>
      </c>
      <c r="AB167" s="173">
        <f t="shared" si="457"/>
        <v>1.3625328193161259</v>
      </c>
      <c r="AC167" s="173">
        <f t="shared" si="458"/>
        <v>2.129278192742516</v>
      </c>
      <c r="AD167" s="173"/>
      <c r="AE167" s="173">
        <f t="shared" si="459"/>
        <v>0.8137637020400581</v>
      </c>
      <c r="AF167" s="545">
        <f t="shared" si="460"/>
        <v>1576.0103292698448</v>
      </c>
      <c r="AG167" s="528">
        <f t="shared" si="461"/>
        <v>0.75951278857072102</v>
      </c>
      <c r="AI167" s="173">
        <f t="shared" si="462"/>
        <v>2.8293341674697801</v>
      </c>
      <c r="AJ167" s="173">
        <f t="shared" si="463"/>
        <v>3.5835945713803827</v>
      </c>
      <c r="AK167" s="173">
        <f t="shared" si="464"/>
        <v>2.8668601763311479</v>
      </c>
      <c r="AM167" s="545">
        <f t="shared" si="465"/>
        <v>3420</v>
      </c>
      <c r="AN167" s="460">
        <f t="shared" si="466"/>
        <v>208.92920536772999</v>
      </c>
      <c r="AP167">
        <f t="shared" si="467"/>
        <v>3420</v>
      </c>
      <c r="AQ167">
        <f t="shared" si="468"/>
        <v>208.92920536772999</v>
      </c>
      <c r="AS167" s="5">
        <f t="shared" si="439"/>
        <v>4.7863102635169179</v>
      </c>
      <c r="AT167" s="5">
        <f t="shared" si="469"/>
        <v>2.3991608747540507</v>
      </c>
      <c r="AU167" s="5">
        <f t="shared" si="343"/>
        <v>2.3871493887628672</v>
      </c>
      <c r="AV167" s="5"/>
      <c r="AW167" s="173">
        <f t="shared" si="344"/>
        <v>0.50125477511171179</v>
      </c>
      <c r="AX167" s="173">
        <f t="shared" si="435"/>
        <v>16.098601233498858</v>
      </c>
      <c r="AY167" s="173">
        <f t="shared" si="436"/>
        <v>3.5746013608231157</v>
      </c>
      <c r="AZ167" s="173">
        <f t="shared" si="440"/>
        <v>4.5036074259737502</v>
      </c>
      <c r="BA167" s="460">
        <f t="shared" si="433"/>
        <v>205.12825479147131</v>
      </c>
      <c r="BB167" s="5">
        <f t="shared" si="434"/>
        <v>1.5182514474095496</v>
      </c>
      <c r="BD167" s="173">
        <f t="shared" si="441"/>
        <v>1.4648309386273475</v>
      </c>
      <c r="BE167" s="173">
        <f t="shared" si="437"/>
        <v>5.8446378916050667</v>
      </c>
      <c r="BG167" s="528">
        <f t="shared" si="347"/>
        <v>2.617790208087048E-2</v>
      </c>
      <c r="BH167" s="528">
        <f t="shared" si="470"/>
        <v>0.52764888409136712</v>
      </c>
      <c r="BI167" s="528">
        <f t="shared" si="471"/>
        <v>9.3622429496567475E-2</v>
      </c>
      <c r="BJ167" s="528">
        <f t="shared" si="350"/>
        <v>2.9515531714520628E-2</v>
      </c>
      <c r="BK167">
        <f t="shared" si="351"/>
        <v>8.06590791350658E-3</v>
      </c>
      <c r="BL167" s="460">
        <f t="shared" si="427"/>
        <v>101.68833741007404</v>
      </c>
      <c r="BM167" s="528">
        <f t="shared" si="472"/>
        <v>0.59410561083766733</v>
      </c>
      <c r="BN167" s="460">
        <f t="shared" si="353"/>
        <v>594.10561083766731</v>
      </c>
      <c r="BO167" s="528">
        <f t="shared" si="354"/>
        <v>2.3939999999999997</v>
      </c>
      <c r="BR167" s="460">
        <f t="shared" si="355"/>
        <v>2393.9999999999995</v>
      </c>
      <c r="BS167" s="528">
        <f t="shared" si="356"/>
        <v>6.4371890362796266E-2</v>
      </c>
      <c r="BT167" s="528">
        <f t="shared" si="357"/>
        <v>1.0247937625195715</v>
      </c>
      <c r="BU167" s="528">
        <f t="shared" si="358"/>
        <v>0.76694648369946294</v>
      </c>
      <c r="BV167" s="528"/>
      <c r="BW167" s="528">
        <f t="shared" si="359"/>
        <v>6.7077505139578567E-2</v>
      </c>
      <c r="BX167" s="460">
        <f t="shared" si="360"/>
        <v>1923.1896417214093</v>
      </c>
      <c r="BY167" s="173">
        <f t="shared" si="361"/>
        <v>5.0022202970182406</v>
      </c>
      <c r="BZ167" s="5">
        <f t="shared" si="362"/>
        <v>13.68</v>
      </c>
      <c r="CA167" s="173">
        <f t="shared" si="363"/>
        <v>0.7322470125343391</v>
      </c>
      <c r="CB167" s="5">
        <f t="shared" si="364"/>
        <v>73.224701253433906</v>
      </c>
      <c r="CE167" s="562">
        <f t="shared" si="473"/>
        <v>-50</v>
      </c>
      <c r="CF167">
        <f t="shared" si="474"/>
        <v>-50</v>
      </c>
      <c r="CG167" s="173">
        <f t="shared" si="475"/>
        <v>0.47625275159188135</v>
      </c>
      <c r="CI167" s="170">
        <v>57</v>
      </c>
      <c r="CJ167" s="217">
        <f t="shared" si="428"/>
        <v>3.42</v>
      </c>
      <c r="CK167" s="217"/>
      <c r="CL167" s="217">
        <f t="shared" si="368"/>
        <v>13.68</v>
      </c>
      <c r="CM167" s="541">
        <f t="shared" si="369"/>
        <v>18</v>
      </c>
      <c r="CN167" s="443">
        <f t="shared" si="370"/>
        <v>18.8</v>
      </c>
      <c r="CO167" s="443">
        <f t="shared" si="371"/>
        <v>36.799999999999997</v>
      </c>
      <c r="CP167" s="443"/>
      <c r="CQ167" s="217">
        <f t="shared" si="372"/>
        <v>0.51086956521739135</v>
      </c>
      <c r="CR167" s="172">
        <f t="shared" si="429"/>
        <v>30.859076086956527</v>
      </c>
      <c r="CS167" s="172">
        <f t="shared" si="373"/>
        <v>13.68</v>
      </c>
      <c r="CT167" s="217">
        <f t="shared" si="374"/>
        <v>7.7147690217391318</v>
      </c>
      <c r="CU167" s="217">
        <f t="shared" si="375"/>
        <v>4</v>
      </c>
      <c r="CV167" s="217"/>
      <c r="CW167" s="172">
        <f t="shared" si="376"/>
        <v>13.269353266465975</v>
      </c>
      <c r="CX167" s="172">
        <f t="shared" si="377"/>
        <v>4</v>
      </c>
      <c r="CY167" s="217">
        <f t="shared" si="378"/>
        <v>2.9753191489361699</v>
      </c>
      <c r="CZ167" s="217">
        <f t="shared" si="379"/>
        <v>1.9835460992907803</v>
      </c>
      <c r="DA167" s="217">
        <f t="shared" si="380"/>
        <v>1.899139882299683</v>
      </c>
      <c r="DB167" s="197">
        <f t="shared" si="381"/>
        <v>350</v>
      </c>
      <c r="DC167" s="443">
        <f t="shared" si="382"/>
        <v>257.55366381454581</v>
      </c>
      <c r="DE167" s="217">
        <f t="shared" si="383"/>
        <v>2.18944099378882</v>
      </c>
      <c r="DF167" s="173">
        <f t="shared" si="384"/>
        <v>1.3975155279503106</v>
      </c>
      <c r="DG167" s="173">
        <f t="shared" si="385"/>
        <v>2.1418444504455847</v>
      </c>
      <c r="DH167" s="173"/>
      <c r="DI167" s="173">
        <f t="shared" si="386"/>
        <v>0.85106382978723416</v>
      </c>
      <c r="DJ167" s="545">
        <f t="shared" si="387"/>
        <v>1506.9374999999995</v>
      </c>
      <c r="DK167" s="528">
        <f t="shared" si="388"/>
        <v>0.79432624113475192</v>
      </c>
      <c r="DM167" s="173">
        <f t="shared" si="389"/>
        <v>2.7666379803446843</v>
      </c>
      <c r="DN167" s="173">
        <f t="shared" si="390"/>
        <v>2.9753191489361699</v>
      </c>
      <c r="DO167" s="173">
        <f t="shared" si="391"/>
        <v>2.4162857893354346</v>
      </c>
      <c r="DQ167" s="545">
        <f t="shared" si="392"/>
        <v>3420</v>
      </c>
      <c r="DR167" s="460">
        <f t="shared" si="393"/>
        <v>257.55366381454581</v>
      </c>
      <c r="DT167">
        <f t="shared" si="430"/>
        <v>3420</v>
      </c>
      <c r="DU167">
        <f t="shared" si="431"/>
        <v>257.55366381454581</v>
      </c>
      <c r="DW167" s="5">
        <f t="shared" si="394"/>
        <v>3.8826859815904631</v>
      </c>
      <c r="DX167" s="5">
        <f t="shared" si="395"/>
        <v>1.9835460992907803</v>
      </c>
      <c r="DY167" s="5">
        <f t="shared" si="396"/>
        <v>1.8991398822996828</v>
      </c>
      <c r="DZ167" s="5"/>
      <c r="EA167" s="173">
        <f t="shared" si="397"/>
        <v>0.51086956521739135</v>
      </c>
      <c r="EB167" s="173">
        <f t="shared" si="398"/>
        <v>13.679999999999998</v>
      </c>
      <c r="EC167" s="173">
        <f t="shared" si="399"/>
        <v>2.9106382978723397</v>
      </c>
      <c r="ED167" s="173">
        <f t="shared" si="400"/>
        <v>4.7</v>
      </c>
      <c r="EE167" s="460">
        <f t="shared" si="401"/>
        <v>169.59319148936171</v>
      </c>
      <c r="EF167" s="5">
        <f t="shared" si="402"/>
        <v>1.2027885921231323</v>
      </c>
      <c r="EH167" s="173">
        <f t="shared" si="403"/>
        <v>1.2278008940626297</v>
      </c>
      <c r="EI167" s="173">
        <f t="shared" si="404"/>
        <v>4.805573947903012</v>
      </c>
      <c r="EK167" s="528">
        <f t="shared" si="405"/>
        <v>1.8391439432624113E-2</v>
      </c>
      <c r="EL167" s="528">
        <f t="shared" si="406"/>
        <v>0.56399999999999983</v>
      </c>
      <c r="EM167" s="528">
        <f t="shared" si="407"/>
        <v>3.2194207976818226E-2</v>
      </c>
      <c r="EN167" s="528">
        <f t="shared" si="408"/>
        <v>3.4878947368421051E-2</v>
      </c>
      <c r="EO167">
        <f t="shared" si="409"/>
        <v>8.0999999999999996E-3</v>
      </c>
      <c r="EP167" s="460">
        <f t="shared" si="410"/>
        <v>40.294207976818221</v>
      </c>
      <c r="EQ167" s="460"/>
      <c r="ER167" s="460">
        <f t="shared" si="432"/>
        <v>657.56459477786325</v>
      </c>
      <c r="ES167" s="528">
        <f t="shared" si="411"/>
        <v>2.3939999999999997</v>
      </c>
      <c r="EV167" s="460">
        <f t="shared" si="412"/>
        <v>2393.9999999999995</v>
      </c>
      <c r="EW167" s="528">
        <f t="shared" si="413"/>
        <v>4.5224851063829785E-2</v>
      </c>
      <c r="EX167" s="528">
        <f t="shared" si="414"/>
        <v>0.69280622906292422</v>
      </c>
      <c r="EY167" s="528">
        <f t="shared" si="415"/>
        <v>0.81278041177063065</v>
      </c>
      <c r="EZ167" s="528"/>
      <c r="FA167" s="528">
        <f t="shared" si="416"/>
        <v>5.6999999999999995E-2</v>
      </c>
      <c r="FB167" s="460">
        <f t="shared" si="417"/>
        <v>1607.8114918973845</v>
      </c>
      <c r="FC167" s="173">
        <f t="shared" si="418"/>
        <v>4.6593760866752483</v>
      </c>
      <c r="FD167" s="5">
        <f t="shared" si="419"/>
        <v>13.68</v>
      </c>
      <c r="FE167" s="173">
        <f t="shared" si="420"/>
        <v>0.74593595416473357</v>
      </c>
      <c r="FF167" s="5">
        <f t="shared" si="421"/>
        <v>74.593595416473363</v>
      </c>
      <c r="FI167" s="562">
        <f t="shared" si="422"/>
        <v>-50</v>
      </c>
      <c r="FJ167">
        <f t="shared" si="423"/>
        <v>-50</v>
      </c>
      <c r="FL167">
        <f t="shared" si="476"/>
        <v>0.48913043478260865</v>
      </c>
    </row>
    <row r="168" spans="5:168">
      <c r="E168" s="170">
        <v>58</v>
      </c>
      <c r="F168" s="217">
        <f t="shared" si="477"/>
        <v>3.4799999999999995</v>
      </c>
      <c r="G168" s="217"/>
      <c r="H168" s="217">
        <f t="shared" si="442"/>
        <v>13.919999999999998</v>
      </c>
      <c r="I168" s="541">
        <f t="shared" si="443"/>
        <v>17.922946603904595</v>
      </c>
      <c r="J168" s="172">
        <f t="shared" si="444"/>
        <v>19.676436732838745</v>
      </c>
      <c r="K168" s="172">
        <f t="shared" si="445"/>
        <v>37.599383336743344</v>
      </c>
      <c r="L168" s="443"/>
      <c r="M168" s="217">
        <f t="shared" si="446"/>
        <v>0.52303040304116966</v>
      </c>
      <c r="N168" s="172">
        <f t="shared" si="447"/>
        <v>31.458407154435271</v>
      </c>
      <c r="O168" s="172">
        <f t="shared" si="438"/>
        <v>13.919999999999998</v>
      </c>
      <c r="P168" s="217">
        <f t="shared" si="448"/>
        <v>7.8646017886088178</v>
      </c>
      <c r="Q168" s="217">
        <f t="shared" si="449"/>
        <v>4</v>
      </c>
      <c r="R168" s="217"/>
      <c r="S168" s="172">
        <f t="shared" si="450"/>
        <v>12.917172042630479</v>
      </c>
      <c r="T168" s="172">
        <f t="shared" si="451"/>
        <v>4</v>
      </c>
      <c r="U168" s="217">
        <f t="shared" si="452"/>
        <v>3.6480312604708591</v>
      </c>
      <c r="V168" s="217">
        <f t="shared" si="453"/>
        <v>2.4424764573093931</v>
      </c>
      <c r="W168" s="217">
        <f t="shared" si="454"/>
        <v>2.2248121303686186</v>
      </c>
      <c r="X168" s="197">
        <f t="shared" si="455"/>
        <v>350</v>
      </c>
      <c r="Y168" s="443">
        <f t="shared" si="328"/>
        <v>205.45319678220679</v>
      </c>
      <c r="AA168" s="217">
        <f t="shared" si="456"/>
        <v>2.233190912172331</v>
      </c>
      <c r="AB168" s="173">
        <f t="shared" si="457"/>
        <v>1.3619483705270323</v>
      </c>
      <c r="AC168" s="173">
        <f t="shared" si="458"/>
        <v>2.1290435067362181</v>
      </c>
      <c r="AD168" s="173"/>
      <c r="AE168" s="173">
        <f t="shared" si="459"/>
        <v>0.8131553602536683</v>
      </c>
      <c r="AF168" s="545">
        <f t="shared" si="460"/>
        <v>1604.8593710221594</v>
      </c>
      <c r="AG168" s="528">
        <f t="shared" si="461"/>
        <v>0.75894500290342393</v>
      </c>
      <c r="AI168" s="173">
        <f t="shared" si="462"/>
        <v>2.855112370198722</v>
      </c>
      <c r="AJ168" s="173">
        <f t="shared" si="463"/>
        <v>3.6480312604708591</v>
      </c>
      <c r="AK168" s="173">
        <f t="shared" si="464"/>
        <v>2.9145910571389075</v>
      </c>
      <c r="AM168" s="545">
        <f t="shared" si="465"/>
        <v>3479.9999999999995</v>
      </c>
      <c r="AN168" s="460">
        <f t="shared" si="466"/>
        <v>205.45319678220679</v>
      </c>
      <c r="AP168">
        <f t="shared" si="467"/>
        <v>3479.9999999999995</v>
      </c>
      <c r="AQ168">
        <f t="shared" si="468"/>
        <v>205.45319678220679</v>
      </c>
      <c r="AS168" s="5">
        <f t="shared" si="439"/>
        <v>4.8672885876780123</v>
      </c>
      <c r="AT168" s="5">
        <f t="shared" si="469"/>
        <v>2.4424764573093931</v>
      </c>
      <c r="AU168" s="5">
        <f t="shared" si="343"/>
        <v>2.4248121303686192</v>
      </c>
      <c r="AV168" s="5"/>
      <c r="AW168" s="173">
        <f t="shared" si="344"/>
        <v>0.50181459621949398</v>
      </c>
      <c r="AX168" s="173">
        <f t="shared" si="435"/>
        <v>16.405189670976192</v>
      </c>
      <c r="AY168" s="173">
        <f t="shared" si="436"/>
        <v>3.6347918530031667</v>
      </c>
      <c r="AZ168" s="173">
        <f t="shared" si="440"/>
        <v>4.5133780239497803</v>
      </c>
      <c r="BA168" s="460">
        <f t="shared" si="433"/>
        <v>212.49545178591717</v>
      </c>
      <c r="BB168" s="5">
        <f t="shared" si="434"/>
        <v>1.5693747983463948</v>
      </c>
      <c r="BD168" s="173">
        <f t="shared" si="441"/>
        <v>1.4920025608604508</v>
      </c>
      <c r="BE168" s="173">
        <f t="shared" si="437"/>
        <v>5.9463903459853356</v>
      </c>
      <c r="BG168" s="528">
        <f t="shared" si="347"/>
        <v>2.7158074027692547E-2</v>
      </c>
      <c r="BH168" s="528">
        <f t="shared" si="470"/>
        <v>0.52838861147755889</v>
      </c>
      <c r="BI168" s="528">
        <f t="shared" si="471"/>
        <v>9.2058166888224879E-2</v>
      </c>
      <c r="BJ168" s="528">
        <f t="shared" si="350"/>
        <v>2.9045198406404724E-2</v>
      </c>
      <c r="BK168">
        <f t="shared" si="351"/>
        <v>8.0653259717570671E-3</v>
      </c>
      <c r="BL168" s="460">
        <f t="shared" si="427"/>
        <v>100.12349285998194</v>
      </c>
      <c r="BM168" s="528">
        <f t="shared" si="472"/>
        <v>0.59576891677474475</v>
      </c>
      <c r="BN168" s="460">
        <f t="shared" si="353"/>
        <v>595.76891677474475</v>
      </c>
      <c r="BO168" s="528">
        <f t="shared" si="354"/>
        <v>2.4359999999999995</v>
      </c>
      <c r="BR168" s="460">
        <f t="shared" si="355"/>
        <v>2435.9999999999995</v>
      </c>
      <c r="BS168" s="528">
        <f t="shared" si="356"/>
        <v>6.6782149248424294E-2</v>
      </c>
      <c r="BT168" s="528">
        <f t="shared" si="357"/>
        <v>1.0607867444048278</v>
      </c>
      <c r="BU168" s="528">
        <f t="shared" si="358"/>
        <v>0.76895095412641923</v>
      </c>
      <c r="BV168" s="528"/>
      <c r="BW168" s="528">
        <f t="shared" si="359"/>
        <v>6.835495696240082E-2</v>
      </c>
      <c r="BX168" s="460">
        <f t="shared" si="360"/>
        <v>1964.874804742072</v>
      </c>
      <c r="BY168" s="173">
        <f t="shared" si="361"/>
        <v>5.0855901815137097</v>
      </c>
      <c r="BZ168" s="5">
        <f t="shared" si="362"/>
        <v>13.919999999999998</v>
      </c>
      <c r="CA168" s="173">
        <f t="shared" si="363"/>
        <v>0.73241608742777464</v>
      </c>
      <c r="CB168" s="5">
        <f t="shared" si="364"/>
        <v>73.241608742777458</v>
      </c>
      <c r="CE168" s="562">
        <f t="shared" si="473"/>
        <v>-50</v>
      </c>
      <c r="CF168">
        <f t="shared" si="474"/>
        <v>-50</v>
      </c>
      <c r="CG168" s="173">
        <f t="shared" si="475"/>
        <v>0.47647478061241111</v>
      </c>
      <c r="CI168" s="170">
        <v>58</v>
      </c>
      <c r="CJ168" s="217">
        <f t="shared" si="428"/>
        <v>3.4799999999999995</v>
      </c>
      <c r="CK168" s="217"/>
      <c r="CL168" s="217">
        <f t="shared" si="368"/>
        <v>13.919999999999998</v>
      </c>
      <c r="CM168" s="541">
        <f t="shared" si="369"/>
        <v>18</v>
      </c>
      <c r="CN168" s="443">
        <f t="shared" si="370"/>
        <v>18.8</v>
      </c>
      <c r="CO168" s="443">
        <f t="shared" si="371"/>
        <v>36.799999999999997</v>
      </c>
      <c r="CP168" s="443"/>
      <c r="CQ168" s="217">
        <f t="shared" si="372"/>
        <v>0.51086956521739135</v>
      </c>
      <c r="CR168" s="172">
        <f t="shared" si="429"/>
        <v>30.859076086956527</v>
      </c>
      <c r="CS168" s="172">
        <f t="shared" si="373"/>
        <v>13.919999999999998</v>
      </c>
      <c r="CT168" s="217">
        <f t="shared" si="374"/>
        <v>7.7147690217391318</v>
      </c>
      <c r="CU168" s="217">
        <f t="shared" si="375"/>
        <v>4</v>
      </c>
      <c r="CV168" s="217"/>
      <c r="CW168" s="172">
        <f t="shared" si="376"/>
        <v>12.971780896203677</v>
      </c>
      <c r="CX168" s="172">
        <f t="shared" si="377"/>
        <v>4</v>
      </c>
      <c r="CY168" s="217">
        <f t="shared" si="378"/>
        <v>3.0275177304964531</v>
      </c>
      <c r="CZ168" s="217">
        <f t="shared" si="379"/>
        <v>2.0183451536643022</v>
      </c>
      <c r="DA168" s="217">
        <f t="shared" si="380"/>
        <v>1.9324581258488001</v>
      </c>
      <c r="DB168" s="197">
        <f t="shared" si="381"/>
        <v>350</v>
      </c>
      <c r="DC168" s="443">
        <f t="shared" si="382"/>
        <v>253.11308340395027</v>
      </c>
      <c r="DE168" s="217">
        <f t="shared" si="383"/>
        <v>2.18944099378882</v>
      </c>
      <c r="DF168" s="173">
        <f t="shared" si="384"/>
        <v>1.3975155279503106</v>
      </c>
      <c r="DG168" s="173">
        <f t="shared" si="385"/>
        <v>2.1418444504455847</v>
      </c>
      <c r="DH168" s="173"/>
      <c r="DI168" s="173">
        <f t="shared" si="386"/>
        <v>0.85106382978723416</v>
      </c>
      <c r="DJ168" s="545">
        <f t="shared" si="387"/>
        <v>1533.3749999999995</v>
      </c>
      <c r="DK168" s="528">
        <f t="shared" si="388"/>
        <v>0.79432624113475192</v>
      </c>
      <c r="DM168" s="173">
        <f t="shared" si="389"/>
        <v>2.7908012162408538</v>
      </c>
      <c r="DN168" s="173">
        <f t="shared" si="390"/>
        <v>3.0275177304964531</v>
      </c>
      <c r="DO168" s="173">
        <f t="shared" si="391"/>
        <v>2.4549514053060149</v>
      </c>
      <c r="DQ168" s="545">
        <f t="shared" si="392"/>
        <v>3479.9999999999995</v>
      </c>
      <c r="DR168" s="460">
        <f t="shared" si="393"/>
        <v>253.11308340395027</v>
      </c>
      <c r="DT168">
        <f t="shared" si="430"/>
        <v>3479.9999999999995</v>
      </c>
      <c r="DU168">
        <f t="shared" si="431"/>
        <v>253.11308340395027</v>
      </c>
      <c r="DW168" s="5">
        <f t="shared" si="394"/>
        <v>3.9508032795131021</v>
      </c>
      <c r="DX168" s="5">
        <f t="shared" si="395"/>
        <v>2.0183451536643022</v>
      </c>
      <c r="DY168" s="5">
        <f t="shared" si="396"/>
        <v>1.9324581258487998</v>
      </c>
      <c r="DZ168" s="5"/>
      <c r="EA168" s="173">
        <f t="shared" si="397"/>
        <v>0.51086956521739135</v>
      </c>
      <c r="EB168" s="173">
        <f t="shared" si="398"/>
        <v>13.919999999999996</v>
      </c>
      <c r="EC168" s="173">
        <f t="shared" si="399"/>
        <v>2.9617021276595734</v>
      </c>
      <c r="ED168" s="173">
        <f t="shared" si="400"/>
        <v>4.7</v>
      </c>
      <c r="EE168" s="460">
        <f t="shared" si="401"/>
        <v>175.59602836879426</v>
      </c>
      <c r="EF168" s="5">
        <f t="shared" si="402"/>
        <v>1.2453619033247816</v>
      </c>
      <c r="EH168" s="173">
        <f t="shared" si="403"/>
        <v>1.2493412606251317</v>
      </c>
      <c r="EI168" s="173">
        <f t="shared" si="404"/>
        <v>4.889882262778503</v>
      </c>
      <c r="EK168" s="528">
        <f t="shared" si="405"/>
        <v>1.9042413743104798E-2</v>
      </c>
      <c r="EL168" s="528">
        <f t="shared" si="406"/>
        <v>0.56399999999999995</v>
      </c>
      <c r="EM168" s="528">
        <f t="shared" si="407"/>
        <v>3.1639135425493785E-2</v>
      </c>
      <c r="EN168" s="528">
        <f t="shared" si="408"/>
        <v>3.4277586206896561E-2</v>
      </c>
      <c r="EO168">
        <f t="shared" si="409"/>
        <v>8.0999999999999996E-3</v>
      </c>
      <c r="EP168" s="460">
        <f t="shared" si="410"/>
        <v>39.739135425493785</v>
      </c>
      <c r="EQ168" s="460"/>
      <c r="ER168" s="460">
        <f t="shared" si="432"/>
        <v>657.05913537549509</v>
      </c>
      <c r="ES168" s="528">
        <f t="shared" si="411"/>
        <v>2.4359999999999995</v>
      </c>
      <c r="EV168" s="460">
        <f t="shared" si="412"/>
        <v>2435.9999999999995</v>
      </c>
      <c r="EW168" s="528">
        <f t="shared" si="413"/>
        <v>4.6825607565011799E-2</v>
      </c>
      <c r="EX168" s="528">
        <f t="shared" si="414"/>
        <v>0.71732845631507436</v>
      </c>
      <c r="EY168" s="528">
        <f t="shared" si="415"/>
        <v>0.81278041177063109</v>
      </c>
      <c r="EZ168" s="528"/>
      <c r="FA168" s="528">
        <f t="shared" si="416"/>
        <v>5.7999999999999996E-2</v>
      </c>
      <c r="FB168" s="460">
        <f t="shared" si="417"/>
        <v>1634.9344756507171</v>
      </c>
      <c r="FC168" s="173">
        <f t="shared" si="418"/>
        <v>4.7279936110262115</v>
      </c>
      <c r="FD168" s="5">
        <f t="shared" si="419"/>
        <v>13.919999999999998</v>
      </c>
      <c r="FE168" s="173">
        <f t="shared" si="420"/>
        <v>0.74646100220505029</v>
      </c>
      <c r="FF168" s="5">
        <f t="shared" si="421"/>
        <v>74.646100220505033</v>
      </c>
      <c r="FI168" s="562">
        <f t="shared" si="422"/>
        <v>-50</v>
      </c>
      <c r="FJ168">
        <f t="shared" si="423"/>
        <v>-50</v>
      </c>
      <c r="FL168">
        <f t="shared" si="476"/>
        <v>0.48913043478260865</v>
      </c>
    </row>
    <row r="169" spans="5:168">
      <c r="E169" s="170">
        <v>59</v>
      </c>
      <c r="F169" s="217">
        <f t="shared" si="477"/>
        <v>3.54</v>
      </c>
      <c r="G169" s="217"/>
      <c r="H169" s="217">
        <f t="shared" si="442"/>
        <v>14.16</v>
      </c>
      <c r="I169" s="541">
        <f t="shared" si="443"/>
        <v>17.921653367687867</v>
      </c>
      <c r="J169" s="172">
        <f t="shared" si="444"/>
        <v>19.691146528668817</v>
      </c>
      <c r="K169" s="172">
        <f t="shared" si="445"/>
        <v>37.612799896356684</v>
      </c>
      <c r="L169" s="443"/>
      <c r="M169" s="217">
        <f t="shared" si="446"/>
        <v>0.523235174709618</v>
      </c>
      <c r="N169" s="172">
        <f t="shared" si="447"/>
        <v>31.468452656953783</v>
      </c>
      <c r="O169" s="172">
        <f t="shared" si="438"/>
        <v>14.16</v>
      </c>
      <c r="P169" s="217">
        <f t="shared" si="448"/>
        <v>7.8671131642384458</v>
      </c>
      <c r="Q169" s="217">
        <f t="shared" si="449"/>
        <v>4</v>
      </c>
      <c r="R169" s="217"/>
      <c r="S169" s="172">
        <f t="shared" si="450"/>
        <v>12.630242713646723</v>
      </c>
      <c r="T169" s="172">
        <f t="shared" si="451"/>
        <v>4</v>
      </c>
      <c r="U169" s="217">
        <f t="shared" si="452"/>
        <v>3.7125222040488208</v>
      </c>
      <c r="V169" s="217">
        <f t="shared" si="453"/>
        <v>2.4858346233226714</v>
      </c>
      <c r="W169" s="217">
        <f t="shared" si="454"/>
        <v>2.2624516243238575</v>
      </c>
      <c r="X169" s="197">
        <f t="shared" si="455"/>
        <v>350</v>
      </c>
      <c r="Y169" s="443">
        <f t="shared" si="328"/>
        <v>202.09016818208795</v>
      </c>
      <c r="AA169" s="217">
        <f t="shared" si="456"/>
        <v>2.2339020320309815</v>
      </c>
      <c r="AB169" s="173">
        <f t="shared" si="457"/>
        <v>1.361364324080524</v>
      </c>
      <c r="AC169" s="173">
        <f t="shared" si="458"/>
        <v>2.128808170928576</v>
      </c>
      <c r="AD169" s="173"/>
      <c r="AE169" s="173">
        <f t="shared" si="459"/>
        <v>0.81254791216474953</v>
      </c>
      <c r="AF169" s="545">
        <f t="shared" si="460"/>
        <v>1633.7498135504907</v>
      </c>
      <c r="AG169" s="528">
        <f t="shared" si="461"/>
        <v>0.75837805135376624</v>
      </c>
      <c r="AI169" s="173">
        <f t="shared" si="462"/>
        <v>2.8806964004156308</v>
      </c>
      <c r="AJ169" s="173">
        <f t="shared" si="463"/>
        <v>3.7125222040488208</v>
      </c>
      <c r="AK169" s="173">
        <f t="shared" si="464"/>
        <v>2.9623621264559166</v>
      </c>
      <c r="AM169" s="545">
        <f t="shared" si="465"/>
        <v>3540</v>
      </c>
      <c r="AN169" s="460">
        <f t="shared" si="466"/>
        <v>202.09016818208795</v>
      </c>
      <c r="AP169">
        <f t="shared" si="467"/>
        <v>3540</v>
      </c>
      <c r="AQ169">
        <f t="shared" si="468"/>
        <v>202.09016818208795</v>
      </c>
      <c r="AS169" s="5">
        <f t="shared" si="439"/>
        <v>4.9482862476465295</v>
      </c>
      <c r="AT169" s="5">
        <f t="shared" si="469"/>
        <v>2.4858346233226714</v>
      </c>
      <c r="AU169" s="5">
        <f t="shared" si="343"/>
        <v>2.4624516243238581</v>
      </c>
      <c r="AV169" s="5"/>
      <c r="AW169" s="173">
        <f t="shared" si="344"/>
        <v>0.5023627371001359</v>
      </c>
      <c r="AX169" s="173">
        <f t="shared" si="435"/>
        <v>16.712235823597481</v>
      </c>
      <c r="AY169" s="173">
        <f t="shared" si="436"/>
        <v>3.6949787761556521</v>
      </c>
      <c r="AZ169" s="173">
        <f t="shared" si="440"/>
        <v>4.5229585434818942</v>
      </c>
      <c r="BA169" s="460">
        <f t="shared" si="433"/>
        <v>219.99636416405642</v>
      </c>
      <c r="BB169" s="5">
        <f t="shared" si="434"/>
        <v>1.6213308320877458</v>
      </c>
      <c r="BD169" s="173">
        <f t="shared" si="441"/>
        <v>1.5192076597766369</v>
      </c>
      <c r="BE169" s="173">
        <f t="shared" si="437"/>
        <v>6.048182261355775</v>
      </c>
      <c r="BG169" s="528">
        <f t="shared" si="347"/>
        <v>2.8157501344992866E-2</v>
      </c>
      <c r="BH169" s="528">
        <f t="shared" si="470"/>
        <v>0.52911634875893865</v>
      </c>
      <c r="BI169" s="528">
        <f t="shared" si="471"/>
        <v>9.0544748579428097E-2</v>
      </c>
      <c r="BJ169" s="528">
        <f t="shared" si="350"/>
        <v>2.8590155161622482E-2</v>
      </c>
      <c r="BK169">
        <f t="shared" si="351"/>
        <v>8.0647440154595403E-3</v>
      </c>
      <c r="BL169" s="460">
        <f t="shared" si="427"/>
        <v>98.609492594887627</v>
      </c>
      <c r="BM169" s="528">
        <f t="shared" si="472"/>
        <v>0.59746369558000434</v>
      </c>
      <c r="BN169" s="460">
        <f t="shared" si="353"/>
        <v>597.46369558000436</v>
      </c>
      <c r="BO169" s="528">
        <f t="shared" si="354"/>
        <v>2.4779999999999998</v>
      </c>
      <c r="BR169" s="460">
        <f t="shared" si="355"/>
        <v>2477.9999999999995</v>
      </c>
      <c r="BS169" s="528">
        <f t="shared" si="356"/>
        <v>6.9239757405720165E-2</v>
      </c>
      <c r="BT169" s="528">
        <f t="shared" si="357"/>
        <v>1.0974152599973597</v>
      </c>
      <c r="BU169" s="528">
        <f t="shared" si="358"/>
        <v>0.77091343987709526</v>
      </c>
      <c r="BV169" s="528"/>
      <c r="BW169" s="528">
        <f t="shared" si="359"/>
        <v>6.9634315931656185E-2</v>
      </c>
      <c r="BX169" s="460">
        <f t="shared" si="360"/>
        <v>2007.2027732118313</v>
      </c>
      <c r="BY169" s="173">
        <f t="shared" si="361"/>
        <v>5.1696762710722721</v>
      </c>
      <c r="BZ169" s="5">
        <f t="shared" si="362"/>
        <v>14.16</v>
      </c>
      <c r="CA169" s="173">
        <f t="shared" si="363"/>
        <v>0.73255236153080716</v>
      </c>
      <c r="CB169" s="5">
        <f t="shared" si="364"/>
        <v>73.255236153080716</v>
      </c>
      <c r="CE169" s="562">
        <f t="shared" si="473"/>
        <v>-50</v>
      </c>
      <c r="CF169">
        <f t="shared" si="474"/>
        <v>-50</v>
      </c>
      <c r="CG169" s="173">
        <f t="shared" si="475"/>
        <v>0.47668928322546533</v>
      </c>
      <c r="CI169" s="170">
        <v>59</v>
      </c>
      <c r="CJ169" s="217">
        <f t="shared" si="428"/>
        <v>3.54</v>
      </c>
      <c r="CK169" s="217"/>
      <c r="CL169" s="217">
        <f t="shared" si="368"/>
        <v>14.16</v>
      </c>
      <c r="CM169" s="541">
        <f t="shared" si="369"/>
        <v>18</v>
      </c>
      <c r="CN169" s="443">
        <f t="shared" si="370"/>
        <v>18.8</v>
      </c>
      <c r="CO169" s="443">
        <f t="shared" si="371"/>
        <v>36.799999999999997</v>
      </c>
      <c r="CP169" s="443"/>
      <c r="CQ169" s="217">
        <f t="shared" si="372"/>
        <v>0.51086956521739135</v>
      </c>
      <c r="CR169" s="172">
        <f t="shared" si="429"/>
        <v>30.859076086956527</v>
      </c>
      <c r="CS169" s="172">
        <f t="shared" si="373"/>
        <v>14.16</v>
      </c>
      <c r="CT169" s="217">
        <f t="shared" si="374"/>
        <v>7.7147690217391318</v>
      </c>
      <c r="CU169" s="217">
        <f t="shared" si="375"/>
        <v>4</v>
      </c>
      <c r="CV169" s="217"/>
      <c r="CW169" s="172">
        <f t="shared" si="376"/>
        <v>12.68449940919966</v>
      </c>
      <c r="CX169" s="172">
        <f t="shared" si="377"/>
        <v>4</v>
      </c>
      <c r="CY169" s="217">
        <f t="shared" si="378"/>
        <v>3.0797163120567372</v>
      </c>
      <c r="CZ169" s="217">
        <f t="shared" si="379"/>
        <v>2.0531442080378248</v>
      </c>
      <c r="DA169" s="217">
        <f t="shared" si="380"/>
        <v>1.9657763693979171</v>
      </c>
      <c r="DB169" s="197">
        <f t="shared" si="381"/>
        <v>350</v>
      </c>
      <c r="DC169" s="443">
        <f t="shared" si="382"/>
        <v>248.82303114286637</v>
      </c>
      <c r="DE169" s="217">
        <f t="shared" si="383"/>
        <v>2.18944099378882</v>
      </c>
      <c r="DF169" s="173">
        <f t="shared" si="384"/>
        <v>1.3975155279503106</v>
      </c>
      <c r="DG169" s="173">
        <f t="shared" si="385"/>
        <v>2.1418444504455847</v>
      </c>
      <c r="DH169" s="173"/>
      <c r="DI169" s="173">
        <f t="shared" si="386"/>
        <v>0.85106382978723416</v>
      </c>
      <c r="DJ169" s="545">
        <f t="shared" si="387"/>
        <v>1559.8124999999998</v>
      </c>
      <c r="DK169" s="528">
        <f t="shared" si="388"/>
        <v>0.79432624113475192</v>
      </c>
      <c r="DM169" s="173">
        <f t="shared" si="389"/>
        <v>2.814757030874449</v>
      </c>
      <c r="DN169" s="173">
        <f t="shared" si="390"/>
        <v>3.0797163120567372</v>
      </c>
      <c r="DO169" s="173">
        <f t="shared" si="391"/>
        <v>2.4936170212765951</v>
      </c>
      <c r="DQ169" s="545">
        <f t="shared" si="392"/>
        <v>3540</v>
      </c>
      <c r="DR169" s="460">
        <f t="shared" si="393"/>
        <v>248.82303114286637</v>
      </c>
      <c r="DT169">
        <f t="shared" si="430"/>
        <v>3540</v>
      </c>
      <c r="DU169">
        <f t="shared" si="431"/>
        <v>248.82303114286637</v>
      </c>
      <c r="DW169" s="5">
        <f t="shared" si="394"/>
        <v>4.0189205774357415</v>
      </c>
      <c r="DX169" s="5">
        <f t="shared" si="395"/>
        <v>2.0531442080378248</v>
      </c>
      <c r="DY169" s="5">
        <f t="shared" si="396"/>
        <v>1.9657763693979167</v>
      </c>
      <c r="DZ169" s="5"/>
      <c r="EA169" s="173">
        <f t="shared" si="397"/>
        <v>0.51086956521739135</v>
      </c>
      <c r="EB169" s="173">
        <f t="shared" si="398"/>
        <v>14.159999999999998</v>
      </c>
      <c r="EC169" s="173">
        <f t="shared" si="399"/>
        <v>3.012765957446808</v>
      </c>
      <c r="ED169" s="173">
        <f t="shared" si="400"/>
        <v>4.7</v>
      </c>
      <c r="EE169" s="460">
        <f t="shared" si="401"/>
        <v>181.70326241134748</v>
      </c>
      <c r="EF169" s="5">
        <f t="shared" si="402"/>
        <v>1.288675619938634</v>
      </c>
      <c r="EH169" s="173">
        <f t="shared" si="403"/>
        <v>1.2708816271876342</v>
      </c>
      <c r="EI169" s="173">
        <f t="shared" si="404"/>
        <v>4.974190577653995</v>
      </c>
      <c r="EK169" s="528">
        <f t="shared" si="405"/>
        <v>1.9704709345941682E-2</v>
      </c>
      <c r="EL169" s="528">
        <f t="shared" si="406"/>
        <v>0.56400000000000006</v>
      </c>
      <c r="EM169" s="528">
        <f t="shared" si="407"/>
        <v>3.1102878892858295E-2</v>
      </c>
      <c r="EN169" s="528">
        <f t="shared" si="408"/>
        <v>3.3696610169491527E-2</v>
      </c>
      <c r="EO169">
        <f t="shared" si="409"/>
        <v>8.0999999999999996E-3</v>
      </c>
      <c r="EP169" s="460">
        <f t="shared" si="410"/>
        <v>39.202878892858301</v>
      </c>
      <c r="EQ169" s="460"/>
      <c r="ER169" s="460">
        <f t="shared" si="432"/>
        <v>656.60419840829161</v>
      </c>
      <c r="ES169" s="528">
        <f t="shared" si="411"/>
        <v>2.4779999999999998</v>
      </c>
      <c r="EV169" s="460">
        <f t="shared" si="412"/>
        <v>2477.9999999999995</v>
      </c>
      <c r="EW169" s="528">
        <f t="shared" si="413"/>
        <v>4.8454203309692669E-2</v>
      </c>
      <c r="EX169" s="528">
        <f t="shared" si="414"/>
        <v>0.74227715708465347</v>
      </c>
      <c r="EY169" s="528">
        <f t="shared" si="415"/>
        <v>0.81278041177063176</v>
      </c>
      <c r="EZ169" s="528"/>
      <c r="FA169" s="528">
        <f t="shared" si="416"/>
        <v>5.9000000000000004E-2</v>
      </c>
      <c r="FB169" s="460">
        <f t="shared" si="417"/>
        <v>1662.5117721649779</v>
      </c>
      <c r="FC169" s="173">
        <f t="shared" si="418"/>
        <v>4.7971159705732695</v>
      </c>
      <c r="FD169" s="5">
        <f t="shared" si="419"/>
        <v>14.16</v>
      </c>
      <c r="FE169" s="173">
        <f t="shared" si="420"/>
        <v>0.74694906239853509</v>
      </c>
      <c r="FF169" s="5">
        <f t="shared" si="421"/>
        <v>74.694906239853509</v>
      </c>
      <c r="FI169" s="562">
        <f t="shared" si="422"/>
        <v>-50</v>
      </c>
      <c r="FJ169">
        <f t="shared" si="423"/>
        <v>-50</v>
      </c>
      <c r="FL169">
        <f t="shared" si="476"/>
        <v>0.48913043478260865</v>
      </c>
    </row>
    <row r="170" spans="5:168">
      <c r="E170" s="170">
        <v>60</v>
      </c>
      <c r="F170" s="217">
        <f t="shared" si="477"/>
        <v>3.5999999999999996</v>
      </c>
      <c r="G170" s="217"/>
      <c r="H170" s="217">
        <f t="shared" si="442"/>
        <v>14.399999999999999</v>
      </c>
      <c r="I170" s="541">
        <f t="shared" si="443"/>
        <v>17.920360100800131</v>
      </c>
      <c r="J170" s="172">
        <f t="shared" si="444"/>
        <v>19.705856673363449</v>
      </c>
      <c r="K170" s="172">
        <f t="shared" si="445"/>
        <v>37.626216774163581</v>
      </c>
      <c r="L170" s="443"/>
      <c r="M170" s="217">
        <f t="shared" si="446"/>
        <v>0.52343980057306272</v>
      </c>
      <c r="N170" s="172">
        <f t="shared" si="447"/>
        <v>31.478487559841575</v>
      </c>
      <c r="O170" s="172">
        <f t="shared" si="438"/>
        <v>14.399999999999999</v>
      </c>
      <c r="P170" s="217">
        <f t="shared" si="448"/>
        <v>7.8696218899603938</v>
      </c>
      <c r="Q170" s="217">
        <f t="shared" si="449"/>
        <v>4</v>
      </c>
      <c r="R170" s="217"/>
      <c r="S170" s="172">
        <f t="shared" si="450"/>
        <v>12.353090440463738</v>
      </c>
      <c r="T170" s="172">
        <f t="shared" si="451"/>
        <v>4</v>
      </c>
      <c r="U170" s="217">
        <f t="shared" si="452"/>
        <v>3.7770674138639704</v>
      </c>
      <c r="V170" s="217">
        <f t="shared" si="453"/>
        <v>2.5292353898816979</v>
      </c>
      <c r="W170" s="217">
        <f t="shared" si="454"/>
        <v>2.3000679299384901</v>
      </c>
      <c r="X170" s="197">
        <f t="shared" si="455"/>
        <v>350</v>
      </c>
      <c r="Y170" s="443">
        <f t="shared" si="328"/>
        <v>198.83469665849324</v>
      </c>
      <c r="AA170" s="217">
        <f t="shared" si="456"/>
        <v>2.2346124208388503</v>
      </c>
      <c r="AB170" s="173">
        <f t="shared" si="457"/>
        <v>1.3607806803097633</v>
      </c>
      <c r="AC170" s="173">
        <f t="shared" si="458"/>
        <v>2.1285721871804162</v>
      </c>
      <c r="AD170" s="173"/>
      <c r="AE170" s="173">
        <f t="shared" si="459"/>
        <v>0.81194135658295541</v>
      </c>
      <c r="AF170" s="545">
        <f t="shared" si="460"/>
        <v>1662.6816568150405</v>
      </c>
      <c r="AG170" s="528">
        <f t="shared" si="461"/>
        <v>0.75781193281075843</v>
      </c>
      <c r="AI170" s="173">
        <f t="shared" si="462"/>
        <v>2.9060913863344342</v>
      </c>
      <c r="AJ170" s="173">
        <f t="shared" si="463"/>
        <v>3.7770674138639704</v>
      </c>
      <c r="AK170" s="173">
        <f t="shared" si="464"/>
        <v>3.0101733929856569</v>
      </c>
      <c r="AM170" s="545">
        <f t="shared" si="465"/>
        <v>3599.9999999999995</v>
      </c>
      <c r="AN170" s="460">
        <f t="shared" si="466"/>
        <v>198.83469665849324</v>
      </c>
      <c r="AP170">
        <f t="shared" si="467"/>
        <v>3599.9999999999995</v>
      </c>
      <c r="AQ170">
        <f t="shared" si="468"/>
        <v>198.83469665849324</v>
      </c>
      <c r="AS170" s="5">
        <f t="shared" si="439"/>
        <v>5.0293033198201877</v>
      </c>
      <c r="AT170" s="5">
        <f t="shared" si="469"/>
        <v>2.5292353898816979</v>
      </c>
      <c r="AU170" s="5">
        <f t="shared" ref="AU170:AU233" si="478">AS170-AT170</f>
        <v>2.5000679299384898</v>
      </c>
      <c r="AV170" s="5"/>
      <c r="AW170" s="173">
        <f t="shared" ref="AW170:AW233" si="479">AT170/AS170</f>
        <v>0.50289975152505328</v>
      </c>
      <c r="AX170" s="173">
        <f t="shared" si="435"/>
        <v>17.019738928034815</v>
      </c>
      <c r="AY170" s="173">
        <f t="shared" si="436"/>
        <v>3.7551622998768082</v>
      </c>
      <c r="AZ170" s="173">
        <f t="shared" si="440"/>
        <v>4.532357743523673</v>
      </c>
      <c r="BA170" s="460">
        <f t="shared" si="433"/>
        <v>227.63118508935278</v>
      </c>
      <c r="BB170" s="5">
        <f t="shared" si="434"/>
        <v>1.6741189903835894</v>
      </c>
      <c r="BD170" s="173">
        <f t="shared" si="441"/>
        <v>1.5464462131562022</v>
      </c>
      <c r="BE170" s="173">
        <f t="shared" si="437"/>
        <v>6.1500138008810303</v>
      </c>
      <c r="BG170" s="528">
        <f t="shared" ref="BG170:BG210" si="480">Rdson*BD170^2</f>
        <v>2.9176249860258924E-2</v>
      </c>
      <c r="BH170" s="528">
        <f t="shared" si="470"/>
        <v>0.52983266858975808</v>
      </c>
      <c r="BI170" s="528">
        <f t="shared" si="471"/>
        <v>8.9079734116338988E-2</v>
      </c>
      <c r="BJ170" s="528">
        <f t="shared" ref="BJ170:BJ210" si="481">0.5*(Coss+Csw)*K170^2*AN170*1000</f>
        <v>2.8149668029705668E-2</v>
      </c>
      <c r="BK170">
        <f t="shared" ref="BK170:BK210" si="482">I170*IQ</f>
        <v>8.0641620453600592E-3</v>
      </c>
      <c r="BL170" s="460">
        <f t="shared" si="427"/>
        <v>97.143896161699047</v>
      </c>
      <c r="BM170" s="528">
        <f t="shared" si="472"/>
        <v>0.59918992445402242</v>
      </c>
      <c r="BN170" s="460">
        <f t="shared" si="353"/>
        <v>599.18992445402239</v>
      </c>
      <c r="BO170" s="528">
        <f t="shared" ref="BO170:BO210" si="483">Vfwd2*F170</f>
        <v>2.5199999999999996</v>
      </c>
      <c r="BR170" s="460">
        <f t="shared" ref="BR170:BR210" si="484">SUM(BO170:BQ170)*1000</f>
        <v>2519.9999999999995</v>
      </c>
      <c r="BS170" s="528">
        <f t="shared" ref="BS170:BS210" si="485">Rdcr_pri*BD170^2</f>
        <v>7.1744876705554739E-2</v>
      </c>
      <c r="BT170" s="528">
        <f t="shared" ref="BT170:BT210" si="486">Rdcr_sec*BE170^2</f>
        <v>1.134680092530814</v>
      </c>
      <c r="BU170" s="528">
        <f t="shared" ref="BU170:BU210" si="487">AJ170^2.5*AN170^2.5*k_core</f>
        <v>0.77283587302508172</v>
      </c>
      <c r="BV170" s="528"/>
      <c r="BW170" s="528">
        <f t="shared" ref="BW170:BW210" si="488">0.5*Lleak*0.000000001*AJ170^2*AN170*1000</f>
        <v>7.0915578866811727E-2</v>
      </c>
      <c r="BX170" s="460">
        <f t="shared" ref="BX170:BX210" si="489">SUM(BS170:BW170)*1000</f>
        <v>2050.1764211282621</v>
      </c>
      <c r="BY170" s="173">
        <f t="shared" ref="BY170:BY210" si="490">SUM(BG170:BK170,BO170:BQ170,BS170:BW170)</f>
        <v>5.2544789037696837</v>
      </c>
      <c r="BZ170" s="5">
        <f t="shared" ref="BZ170:BZ210" si="491">MIN(H170,O170)</f>
        <v>14.399999999999999</v>
      </c>
      <c r="CA170" s="173">
        <f t="shared" ref="CA170:CA210" si="492">BZ170/(BZ170+BY170)</f>
        <v>0.73265742991731586</v>
      </c>
      <c r="CB170" s="5">
        <f t="shared" ref="CB170:CB210" si="493">CA170*100</f>
        <v>73.265742991731585</v>
      </c>
      <c r="CE170" s="562">
        <f t="shared" si="473"/>
        <v>-50</v>
      </c>
      <c r="CF170">
        <f t="shared" si="474"/>
        <v>-50</v>
      </c>
      <c r="CG170" s="173">
        <f t="shared" si="475"/>
        <v>0.47689663575141783</v>
      </c>
      <c r="CI170" s="170">
        <v>60</v>
      </c>
      <c r="CJ170" s="217">
        <f t="shared" si="428"/>
        <v>3.5999999999999996</v>
      </c>
      <c r="CK170" s="217"/>
      <c r="CL170" s="217">
        <f t="shared" si="368"/>
        <v>14.399999999999999</v>
      </c>
      <c r="CM170" s="541">
        <f t="shared" si="369"/>
        <v>18</v>
      </c>
      <c r="CN170" s="443">
        <f t="shared" si="370"/>
        <v>18.8</v>
      </c>
      <c r="CO170" s="443">
        <f t="shared" si="371"/>
        <v>36.799999999999997</v>
      </c>
      <c r="CP170" s="443"/>
      <c r="CQ170" s="217">
        <f t="shared" si="372"/>
        <v>0.51086956521739135</v>
      </c>
      <c r="CR170" s="172">
        <f t="shared" si="429"/>
        <v>30.859076086956527</v>
      </c>
      <c r="CS170" s="172">
        <f t="shared" si="373"/>
        <v>14.399999999999999</v>
      </c>
      <c r="CT170" s="217">
        <f t="shared" si="374"/>
        <v>7.7147690217391318</v>
      </c>
      <c r="CU170" s="217">
        <f t="shared" si="375"/>
        <v>4</v>
      </c>
      <c r="CV170" s="217"/>
      <c r="CW170" s="172">
        <f t="shared" si="376"/>
        <v>12.406996328853694</v>
      </c>
      <c r="CX170" s="172">
        <f t="shared" si="377"/>
        <v>4</v>
      </c>
      <c r="CY170" s="217">
        <f t="shared" si="378"/>
        <v>3.1319148936170205</v>
      </c>
      <c r="CZ170" s="217">
        <f t="shared" si="379"/>
        <v>2.087943262411347</v>
      </c>
      <c r="DA170" s="217">
        <f t="shared" si="380"/>
        <v>1.9990946129470344</v>
      </c>
      <c r="DB170" s="197">
        <f t="shared" si="381"/>
        <v>350</v>
      </c>
      <c r="DC170" s="443">
        <f t="shared" si="382"/>
        <v>244.67598062381856</v>
      </c>
      <c r="DE170" s="217">
        <f t="shared" si="383"/>
        <v>2.18944099378882</v>
      </c>
      <c r="DF170" s="173">
        <f t="shared" si="384"/>
        <v>1.3975155279503106</v>
      </c>
      <c r="DG170" s="173">
        <f t="shared" si="385"/>
        <v>2.1418444504455847</v>
      </c>
      <c r="DH170" s="173"/>
      <c r="DI170" s="173">
        <f t="shared" si="386"/>
        <v>0.85106382978723416</v>
      </c>
      <c r="DJ170" s="545">
        <f t="shared" si="387"/>
        <v>1586.2499999999995</v>
      </c>
      <c r="DK170" s="528">
        <f t="shared" si="388"/>
        <v>0.79432624113475192</v>
      </c>
      <c r="DM170" s="173">
        <f t="shared" si="389"/>
        <v>2.8385106758902383</v>
      </c>
      <c r="DN170" s="173">
        <f t="shared" si="390"/>
        <v>3.1319148936170205</v>
      </c>
      <c r="DO170" s="173">
        <f t="shared" si="391"/>
        <v>2.5322826372471754</v>
      </c>
      <c r="DQ170" s="545">
        <f t="shared" si="392"/>
        <v>3599.9999999999995</v>
      </c>
      <c r="DR170" s="460">
        <f t="shared" si="393"/>
        <v>244.67598062381856</v>
      </c>
      <c r="DT170">
        <f t="shared" si="430"/>
        <v>3599.9999999999995</v>
      </c>
      <c r="DU170">
        <f t="shared" si="431"/>
        <v>244.67598062381856</v>
      </c>
      <c r="DW170" s="5">
        <f t="shared" si="394"/>
        <v>4.0870378753583818</v>
      </c>
      <c r="DX170" s="5">
        <f t="shared" si="395"/>
        <v>2.087943262411347</v>
      </c>
      <c r="DY170" s="5">
        <f t="shared" si="396"/>
        <v>1.9990946129470348</v>
      </c>
      <c r="DZ170" s="5"/>
      <c r="EA170" s="173">
        <f t="shared" si="397"/>
        <v>0.51086956521739124</v>
      </c>
      <c r="EB170" s="173">
        <f t="shared" si="398"/>
        <v>14.399999999999997</v>
      </c>
      <c r="EC170" s="173">
        <f t="shared" si="399"/>
        <v>3.0638297872340421</v>
      </c>
      <c r="ED170" s="173">
        <f t="shared" si="400"/>
        <v>4.6999999999999993</v>
      </c>
      <c r="EE170" s="460">
        <f t="shared" si="401"/>
        <v>187.91489361702122</v>
      </c>
      <c r="EF170" s="5">
        <f t="shared" si="402"/>
        <v>1.3327297419646895</v>
      </c>
      <c r="EH170" s="173">
        <f t="shared" si="403"/>
        <v>1.2924219937501362</v>
      </c>
      <c r="EI170" s="173">
        <f t="shared" si="404"/>
        <v>5.058498892529486</v>
      </c>
      <c r="EK170" s="528">
        <f t="shared" si="405"/>
        <v>2.0378326241134739E-2</v>
      </c>
      <c r="EL170" s="528">
        <f t="shared" si="406"/>
        <v>0.56399999999999983</v>
      </c>
      <c r="EM170" s="528">
        <f t="shared" si="407"/>
        <v>3.0584497577977321E-2</v>
      </c>
      <c r="EN170" s="528">
        <f t="shared" si="408"/>
        <v>3.3134999999999998E-2</v>
      </c>
      <c r="EO170">
        <f t="shared" si="409"/>
        <v>8.0999999999999996E-3</v>
      </c>
      <c r="EP170" s="460">
        <f t="shared" si="410"/>
        <v>38.684497577977318</v>
      </c>
      <c r="EQ170" s="460"/>
      <c r="ER170" s="460">
        <f t="shared" si="432"/>
        <v>656.19782381911193</v>
      </c>
      <c r="ES170" s="528">
        <f t="shared" si="411"/>
        <v>2.5199999999999996</v>
      </c>
      <c r="EV170" s="460">
        <f t="shared" ref="EV170:EV210" si="494">SUM(ES170:EU170)*1000</f>
        <v>2519.9999999999995</v>
      </c>
      <c r="EW170" s="528">
        <f t="shared" si="413"/>
        <v>5.0110638297872309E-2</v>
      </c>
      <c r="EX170" s="528">
        <f t="shared" si="414"/>
        <v>0.76765233137166111</v>
      </c>
      <c r="EY170" s="528">
        <f t="shared" si="415"/>
        <v>0.81278041177063187</v>
      </c>
      <c r="EZ170" s="528"/>
      <c r="FA170" s="528">
        <f t="shared" si="416"/>
        <v>5.9999999999999984E-2</v>
      </c>
      <c r="FB170" s="460">
        <f t="shared" si="417"/>
        <v>1690.5433814401654</v>
      </c>
      <c r="FC170" s="173">
        <f t="shared" si="418"/>
        <v>4.8667412052592764</v>
      </c>
      <c r="FD170" s="5">
        <f t="shared" si="419"/>
        <v>14.399999999999999</v>
      </c>
      <c r="FE170" s="173">
        <f t="shared" si="420"/>
        <v>0.74740195275313115</v>
      </c>
      <c r="FF170" s="5">
        <f t="shared" si="421"/>
        <v>74.740195275313113</v>
      </c>
      <c r="FI170" s="562">
        <f t="shared" si="422"/>
        <v>-50</v>
      </c>
      <c r="FJ170">
        <f t="shared" si="423"/>
        <v>-50</v>
      </c>
      <c r="FL170">
        <f t="shared" si="476"/>
        <v>0.48913043478260876</v>
      </c>
    </row>
    <row r="171" spans="5:168">
      <c r="E171" s="170">
        <v>61</v>
      </c>
      <c r="F171" s="217">
        <f t="shared" si="477"/>
        <v>3.66</v>
      </c>
      <c r="G171" s="217"/>
      <c r="H171" s="217">
        <f t="shared" si="442"/>
        <v>14.64</v>
      </c>
      <c r="I171" s="541">
        <f t="shared" si="443"/>
        <v>17.919066804787839</v>
      </c>
      <c r="J171" s="172">
        <f t="shared" si="444"/>
        <v>19.720567149332634</v>
      </c>
      <c r="K171" s="172">
        <f t="shared" si="445"/>
        <v>37.63963395412047</v>
      </c>
      <c r="L171" s="443"/>
      <c r="M171" s="217">
        <f t="shared" si="446"/>
        <v>0.52364428076660496</v>
      </c>
      <c r="N171" s="172">
        <f t="shared" si="447"/>
        <v>31.488511875775458</v>
      </c>
      <c r="O171" s="172">
        <f t="shared" si="438"/>
        <v>14.64</v>
      </c>
      <c r="P171" s="217">
        <f t="shared" si="448"/>
        <v>7.8721279689438646</v>
      </c>
      <c r="Q171" s="217">
        <f t="shared" si="449"/>
        <v>4</v>
      </c>
      <c r="R171" s="217"/>
      <c r="S171" s="172">
        <f t="shared" si="450"/>
        <v>12.085236409595415</v>
      </c>
      <c r="T171" s="172">
        <f t="shared" si="451"/>
        <v>4</v>
      </c>
      <c r="U171" s="217">
        <f t="shared" si="452"/>
        <v>3.8416669016697047</v>
      </c>
      <c r="V171" s="217">
        <f t="shared" si="453"/>
        <v>2.5726787740820791</v>
      </c>
      <c r="W171" s="217">
        <f t="shared" si="454"/>
        <v>2.3376611063438166</v>
      </c>
      <c r="X171" s="197">
        <f t="shared" si="455"/>
        <v>350</v>
      </c>
      <c r="Y171" s="443">
        <f t="shared" si="328"/>
        <v>195.68170090414023</v>
      </c>
      <c r="AA171" s="217">
        <f t="shared" si="456"/>
        <v>2.2353220784944345</v>
      </c>
      <c r="AB171" s="173">
        <f t="shared" si="457"/>
        <v>1.3601974394961032</v>
      </c>
      <c r="AC171" s="173">
        <f t="shared" si="458"/>
        <v>2.1283355573320661</v>
      </c>
      <c r="AD171" s="173"/>
      <c r="AE171" s="173">
        <f t="shared" si="459"/>
        <v>0.81133569226691638</v>
      </c>
      <c r="AF171" s="545">
        <f t="shared" si="460"/>
        <v>1691.6549007786896</v>
      </c>
      <c r="AG171" s="528">
        <f t="shared" si="461"/>
        <v>0.75724664611578874</v>
      </c>
      <c r="AI171" s="173">
        <f t="shared" si="462"/>
        <v>2.9313022412149992</v>
      </c>
      <c r="AJ171" s="173">
        <f t="shared" si="463"/>
        <v>3.8416669016697047</v>
      </c>
      <c r="AK171" s="173">
        <f t="shared" si="464"/>
        <v>3.0580248654343487</v>
      </c>
      <c r="AM171" s="545">
        <f t="shared" si="465"/>
        <v>3660</v>
      </c>
      <c r="AN171" s="460">
        <f t="shared" si="466"/>
        <v>195.68170090414023</v>
      </c>
      <c r="AP171">
        <f t="shared" si="467"/>
        <v>3660</v>
      </c>
      <c r="AQ171">
        <f t="shared" si="468"/>
        <v>195.68170090414023</v>
      </c>
      <c r="AS171" s="5">
        <f t="shared" si="439"/>
        <v>5.1103398804258964</v>
      </c>
      <c r="AT171" s="5">
        <f t="shared" si="469"/>
        <v>2.5726787740820791</v>
      </c>
      <c r="AU171" s="5">
        <f t="shared" si="478"/>
        <v>2.5376611063438173</v>
      </c>
      <c r="AV171" s="5"/>
      <c r="AW171" s="173">
        <f t="shared" si="479"/>
        <v>0.5034261583923596</v>
      </c>
      <c r="AX171" s="173">
        <f t="shared" si="435"/>
        <v>17.327698269048838</v>
      </c>
      <c r="AY171" s="173">
        <f t="shared" si="436"/>
        <v>3.8153425830780932</v>
      </c>
      <c r="AZ171" s="173">
        <f t="shared" si="440"/>
        <v>4.5415838530204589</v>
      </c>
      <c r="BA171" s="460">
        <f t="shared" si="433"/>
        <v>235.40010782851024</v>
      </c>
      <c r="BB171" s="5">
        <f t="shared" si="434"/>
        <v>1.7277387173489653</v>
      </c>
      <c r="BD171" s="173">
        <f t="shared" si="441"/>
        <v>1.5737182004638415</v>
      </c>
      <c r="BE171" s="173">
        <f t="shared" si="437"/>
        <v>6.2518851172942718</v>
      </c>
      <c r="BG171" s="528">
        <f t="shared" si="480"/>
        <v>3.0214385488548046E-2</v>
      </c>
      <c r="BH171" s="528">
        <f t="shared" si="470"/>
        <v>0.53053810755216668</v>
      </c>
      <c r="BI171" s="528">
        <f t="shared" si="471"/>
        <v>8.766083677439504E-2</v>
      </c>
      <c r="BJ171" s="528">
        <f t="shared" si="481"/>
        <v>2.7723049295149956E-2</v>
      </c>
      <c r="BK171">
        <f t="shared" si="482"/>
        <v>8.0635800621545271E-3</v>
      </c>
      <c r="BL171" s="460">
        <f t="shared" si="427"/>
        <v>95.724416836549565</v>
      </c>
      <c r="BM171" s="528">
        <f t="shared" si="472"/>
        <v>0.60094759191663127</v>
      </c>
      <c r="BN171" s="460">
        <f t="shared" si="353"/>
        <v>600.94759191663127</v>
      </c>
      <c r="BO171" s="528">
        <f t="shared" si="483"/>
        <v>2.5619999999999998</v>
      </c>
      <c r="BR171" s="460">
        <f t="shared" si="484"/>
        <v>2562</v>
      </c>
      <c r="BS171" s="528">
        <f t="shared" si="485"/>
        <v>7.4297669234134542E-2</v>
      </c>
      <c r="BT171" s="528">
        <f t="shared" si="486"/>
        <v>1.1725820255953683</v>
      </c>
      <c r="BU171" s="528">
        <f t="shared" si="487"/>
        <v>0.77472006787967018</v>
      </c>
      <c r="BV171" s="528"/>
      <c r="BW171" s="528">
        <f t="shared" si="488"/>
        <v>7.2198742787703496E-2</v>
      </c>
      <c r="BX171" s="460">
        <f t="shared" si="489"/>
        <v>2093.7985054968767</v>
      </c>
      <c r="BY171" s="173">
        <f t="shared" si="490"/>
        <v>5.3399984646692911</v>
      </c>
      <c r="BZ171" s="5">
        <f t="shared" si="491"/>
        <v>14.64</v>
      </c>
      <c r="CA171" s="173">
        <f t="shared" si="492"/>
        <v>0.732732789038396</v>
      </c>
      <c r="CB171" s="5">
        <f t="shared" si="493"/>
        <v>73.273278903839596</v>
      </c>
      <c r="CE171" s="562">
        <f t="shared" si="473"/>
        <v>-50</v>
      </c>
      <c r="CF171">
        <f t="shared" si="474"/>
        <v>-50</v>
      </c>
      <c r="CG171" s="173">
        <f t="shared" si="475"/>
        <v>0.47709718983389626</v>
      </c>
      <c r="CI171" s="170">
        <v>61</v>
      </c>
      <c r="CJ171" s="217">
        <f t="shared" si="428"/>
        <v>3.66</v>
      </c>
      <c r="CK171" s="217"/>
      <c r="CL171" s="217">
        <f t="shared" si="368"/>
        <v>14.64</v>
      </c>
      <c r="CM171" s="541">
        <f t="shared" si="369"/>
        <v>18</v>
      </c>
      <c r="CN171" s="443">
        <f t="shared" si="370"/>
        <v>18.8</v>
      </c>
      <c r="CO171" s="443">
        <f t="shared" si="371"/>
        <v>36.799999999999997</v>
      </c>
      <c r="CP171" s="443"/>
      <c r="CQ171" s="217">
        <f t="shared" si="372"/>
        <v>0.51086956521739135</v>
      </c>
      <c r="CR171" s="172">
        <f t="shared" si="429"/>
        <v>30.859076086956527</v>
      </c>
      <c r="CS171" s="172">
        <f t="shared" si="373"/>
        <v>14.64</v>
      </c>
      <c r="CT171" s="217">
        <f t="shared" si="374"/>
        <v>7.7147690217391318</v>
      </c>
      <c r="CU171" s="217">
        <f t="shared" si="375"/>
        <v>4</v>
      </c>
      <c r="CV171" s="217"/>
      <c r="CW171" s="172">
        <f t="shared" si="376"/>
        <v>12.138792793383002</v>
      </c>
      <c r="CX171" s="172">
        <f t="shared" si="377"/>
        <v>4</v>
      </c>
      <c r="CY171" s="217">
        <f t="shared" si="378"/>
        <v>3.1841134751773046</v>
      </c>
      <c r="CZ171" s="217">
        <f t="shared" si="379"/>
        <v>2.12274231678487</v>
      </c>
      <c r="DA171" s="217">
        <f t="shared" si="380"/>
        <v>2.0324128564961517</v>
      </c>
      <c r="DB171" s="197">
        <f t="shared" si="381"/>
        <v>350</v>
      </c>
      <c r="DC171" s="443">
        <f t="shared" si="382"/>
        <v>240.66489897424773</v>
      </c>
      <c r="DE171" s="217">
        <f t="shared" si="383"/>
        <v>2.18944099378882</v>
      </c>
      <c r="DF171" s="173">
        <f t="shared" si="384"/>
        <v>1.3975155279503106</v>
      </c>
      <c r="DG171" s="173">
        <f t="shared" si="385"/>
        <v>2.1418444504455847</v>
      </c>
      <c r="DH171" s="173"/>
      <c r="DI171" s="173">
        <f t="shared" si="386"/>
        <v>0.85106382978723416</v>
      </c>
      <c r="DJ171" s="545">
        <f t="shared" si="387"/>
        <v>1612.6874999999998</v>
      </c>
      <c r="DK171" s="528">
        <f t="shared" si="388"/>
        <v>0.79432624113475192</v>
      </c>
      <c r="DM171" s="173">
        <f t="shared" si="389"/>
        <v>2.8620671849955883</v>
      </c>
      <c r="DN171" s="173">
        <f t="shared" si="390"/>
        <v>3.1841134751773046</v>
      </c>
      <c r="DO171" s="173">
        <f t="shared" si="391"/>
        <v>2.5709482532177566</v>
      </c>
      <c r="DQ171" s="545">
        <f t="shared" si="392"/>
        <v>3660</v>
      </c>
      <c r="DR171" s="460">
        <f t="shared" si="393"/>
        <v>240.66489897424773</v>
      </c>
      <c r="DT171">
        <f t="shared" si="430"/>
        <v>3660</v>
      </c>
      <c r="DU171">
        <f t="shared" si="431"/>
        <v>240.66489897424773</v>
      </c>
      <c r="DW171" s="5">
        <f t="shared" si="394"/>
        <v>4.1551551732810221</v>
      </c>
      <c r="DX171" s="5">
        <f t="shared" si="395"/>
        <v>2.12274231678487</v>
      </c>
      <c r="DY171" s="5">
        <f t="shared" si="396"/>
        <v>2.0324128564961521</v>
      </c>
      <c r="DZ171" s="5"/>
      <c r="EA171" s="173">
        <f t="shared" si="397"/>
        <v>0.51086956521739135</v>
      </c>
      <c r="EB171" s="173">
        <f t="shared" si="398"/>
        <v>14.639999999999999</v>
      </c>
      <c r="EC171" s="173">
        <f t="shared" si="399"/>
        <v>3.1148936170212758</v>
      </c>
      <c r="ED171" s="173">
        <f t="shared" si="400"/>
        <v>4.7000000000000011</v>
      </c>
      <c r="EE171" s="460">
        <f t="shared" si="401"/>
        <v>194.23092198581563</v>
      </c>
      <c r="EF171" s="5">
        <f t="shared" si="402"/>
        <v>1.3775242694029473</v>
      </c>
      <c r="EH171" s="173">
        <f t="shared" si="403"/>
        <v>1.3139623603126387</v>
      </c>
      <c r="EI171" s="173">
        <f t="shared" si="404"/>
        <v>5.142807207404978</v>
      </c>
      <c r="EK171" s="528">
        <f t="shared" si="405"/>
        <v>2.1063264428683996E-2</v>
      </c>
      <c r="EL171" s="528">
        <f t="shared" si="406"/>
        <v>0.56399999999999995</v>
      </c>
      <c r="EM171" s="528">
        <f t="shared" si="407"/>
        <v>3.0083112371780966E-2</v>
      </c>
      <c r="EN171" s="528">
        <f t="shared" si="408"/>
        <v>3.2591803278688519E-2</v>
      </c>
      <c r="EO171">
        <f t="shared" si="409"/>
        <v>8.0999999999999996E-3</v>
      </c>
      <c r="EP171" s="460">
        <f t="shared" si="410"/>
        <v>38.183112371780965</v>
      </c>
      <c r="EQ171" s="460"/>
      <c r="ER171" s="460">
        <f t="shared" si="432"/>
        <v>655.8381800791534</v>
      </c>
      <c r="ES171" s="528">
        <f t="shared" si="411"/>
        <v>2.5619999999999998</v>
      </c>
      <c r="EV171" s="460">
        <f t="shared" si="494"/>
        <v>2562</v>
      </c>
      <c r="EW171" s="528">
        <f t="shared" si="413"/>
        <v>5.1794912529550811E-2</v>
      </c>
      <c r="EX171" s="528">
        <f t="shared" si="414"/>
        <v>0.79345397917609761</v>
      </c>
      <c r="EY171" s="528">
        <f t="shared" si="415"/>
        <v>0.81278041177063076</v>
      </c>
      <c r="EZ171" s="528"/>
      <c r="FA171" s="528">
        <f t="shared" si="416"/>
        <v>6.0999999999999992E-2</v>
      </c>
      <c r="FB171" s="460">
        <f t="shared" si="417"/>
        <v>1719.0293034762792</v>
      </c>
      <c r="FC171" s="173">
        <f t="shared" si="418"/>
        <v>4.9368674835554325</v>
      </c>
      <c r="FD171" s="5">
        <f t="shared" si="419"/>
        <v>14.64</v>
      </c>
      <c r="FE171" s="173">
        <f t="shared" si="420"/>
        <v>0.74782137705624252</v>
      </c>
      <c r="FF171" s="5">
        <f t="shared" si="421"/>
        <v>74.782137705624251</v>
      </c>
      <c r="FI171" s="562">
        <f t="shared" si="422"/>
        <v>-50</v>
      </c>
      <c r="FJ171">
        <f t="shared" si="423"/>
        <v>-50</v>
      </c>
      <c r="FL171">
        <f t="shared" si="476"/>
        <v>0.48913043478260865</v>
      </c>
    </row>
    <row r="172" spans="5:168">
      <c r="E172" s="170">
        <v>62</v>
      </c>
      <c r="F172" s="217">
        <f t="shared" si="477"/>
        <v>3.7199999999999998</v>
      </c>
      <c r="G172" s="217"/>
      <c r="H172" s="217">
        <f t="shared" si="442"/>
        <v>14.879999999999999</v>
      </c>
      <c r="I172" s="541">
        <f t="shared" si="443"/>
        <v>17.917773481095203</v>
      </c>
      <c r="J172" s="172">
        <f t="shared" si="444"/>
        <v>19.735277940149345</v>
      </c>
      <c r="K172" s="172">
        <f t="shared" si="445"/>
        <v>37.653051421244548</v>
      </c>
      <c r="L172" s="443"/>
      <c r="M172" s="217">
        <f t="shared" si="446"/>
        <v>0.52384861542654193</v>
      </c>
      <c r="N172" s="172">
        <f t="shared" si="447"/>
        <v>31.498525617326401</v>
      </c>
      <c r="O172" s="172">
        <f t="shared" si="438"/>
        <v>14.879999999999999</v>
      </c>
      <c r="P172" s="217">
        <f t="shared" si="448"/>
        <v>7.8746314043316001</v>
      </c>
      <c r="Q172" s="217">
        <f t="shared" si="449"/>
        <v>4</v>
      </c>
      <c r="R172" s="217"/>
      <c r="S172" s="172">
        <f t="shared" si="450"/>
        <v>11.826232707053553</v>
      </c>
      <c r="T172" s="172">
        <f t="shared" si="451"/>
        <v>4</v>
      </c>
      <c r="U172" s="217">
        <f t="shared" si="452"/>
        <v>3.9063206792230778</v>
      </c>
      <c r="V172" s="217">
        <f t="shared" si="453"/>
        <v>2.6161647930271581</v>
      </c>
      <c r="W172" s="217">
        <f t="shared" si="454"/>
        <v>2.3752312124934889</v>
      </c>
      <c r="X172" s="197">
        <f t="shared" si="455"/>
        <v>350</v>
      </c>
      <c r="Y172" s="443">
        <f t="shared" si="328"/>
        <v>192.62641473248769</v>
      </c>
      <c r="AA172" s="217">
        <f t="shared" si="456"/>
        <v>2.2360310049547887</v>
      </c>
      <c r="AB172" s="173">
        <f t="shared" si="457"/>
        <v>1.3596146018734212</v>
      </c>
      <c r="AC172" s="173">
        <f t="shared" si="458"/>
        <v>2.1280982832047615</v>
      </c>
      <c r="AD172" s="173"/>
      <c r="AE172" s="173">
        <f t="shared" si="459"/>
        <v>0.81073091792893826</v>
      </c>
      <c r="AF172" s="545">
        <f t="shared" si="460"/>
        <v>1720.6695454067701</v>
      </c>
      <c r="AG172" s="528">
        <f t="shared" si="461"/>
        <v>0.7566821900670091</v>
      </c>
      <c r="AI172" s="173">
        <f t="shared" si="462"/>
        <v>2.9563336756980152</v>
      </c>
      <c r="AJ172" s="173">
        <f t="shared" si="463"/>
        <v>3.9063206792230778</v>
      </c>
      <c r="AK172" s="173">
        <f t="shared" si="464"/>
        <v>3.1059165525109216</v>
      </c>
      <c r="AM172" s="545">
        <f t="shared" si="465"/>
        <v>3719.9999999999995</v>
      </c>
      <c r="AN172" s="460">
        <f t="shared" si="466"/>
        <v>192.62641473248769</v>
      </c>
      <c r="AP172">
        <f t="shared" si="467"/>
        <v>3719.9999999999995</v>
      </c>
      <c r="AQ172">
        <f t="shared" si="468"/>
        <v>192.62641473248769</v>
      </c>
      <c r="AS172" s="5">
        <f t="shared" si="439"/>
        <v>5.1913960055206463</v>
      </c>
      <c r="AT172" s="5">
        <f t="shared" si="469"/>
        <v>2.6161647930271581</v>
      </c>
      <c r="AU172" s="5">
        <f t="shared" si="478"/>
        <v>2.5752312124934882</v>
      </c>
      <c r="AV172" s="5"/>
      <c r="AW172" s="173">
        <f t="shared" si="479"/>
        <v>0.50394244443018221</v>
      </c>
      <c r="AX172" s="173">
        <f t="shared" si="435"/>
        <v>17.63611317576088</v>
      </c>
      <c r="AY172" s="173">
        <f t="shared" si="436"/>
        <v>3.8755197748144607</v>
      </c>
      <c r="AZ172" s="173">
        <f t="shared" si="440"/>
        <v>4.550644610400731</v>
      </c>
      <c r="BA172" s="460">
        <f t="shared" si="433"/>
        <v>243.30332575152565</v>
      </c>
      <c r="BB172" s="5">
        <f t="shared" si="434"/>
        <v>1.7821894594555052</v>
      </c>
      <c r="BD172" s="173">
        <f t="shared" si="441"/>
        <v>1.6010236027177533</v>
      </c>
      <c r="BE172" s="173">
        <f t="shared" si="437"/>
        <v>6.353796353697148</v>
      </c>
      <c r="BG172" s="528">
        <f t="shared" si="480"/>
        <v>3.1271974232803881E-2</v>
      </c>
      <c r="BH172" s="528">
        <f t="shared" si="470"/>
        <v>0.53123316895245076</v>
      </c>
      <c r="BI172" s="528">
        <f t="shared" si="471"/>
        <v>8.6285911641305349E-2</v>
      </c>
      <c r="BJ172" s="528">
        <f t="shared" si="481"/>
        <v>2.7309653893157385E-2</v>
      </c>
      <c r="BK172">
        <f t="shared" si="482"/>
        <v>8.0629980664928408E-3</v>
      </c>
      <c r="BL172" s="460">
        <f t="shared" si="427"/>
        <v>94.348909707798185</v>
      </c>
      <c r="BM172" s="528">
        <f t="shared" si="472"/>
        <v>0.60273669703186716</v>
      </c>
      <c r="BN172" s="460">
        <f t="shared" si="353"/>
        <v>602.73669703186715</v>
      </c>
      <c r="BO172" s="528">
        <f t="shared" si="483"/>
        <v>2.6039999999999996</v>
      </c>
      <c r="BR172" s="460">
        <f t="shared" si="484"/>
        <v>2603.9999999999995</v>
      </c>
      <c r="BS172" s="528">
        <f t="shared" si="485"/>
        <v>7.6898297293780032E-2</v>
      </c>
      <c r="BT172" s="528">
        <f t="shared" si="486"/>
        <v>1.2111218431276551</v>
      </c>
      <c r="BU172" s="528">
        <f t="shared" si="487"/>
        <v>0.77656772981534272</v>
      </c>
      <c r="BV172" s="528"/>
      <c r="BW172" s="528">
        <f t="shared" si="488"/>
        <v>7.3483804899003677E-2</v>
      </c>
      <c r="BX172" s="460">
        <f t="shared" si="489"/>
        <v>2138.0716751357813</v>
      </c>
      <c r="BY172" s="173">
        <f t="shared" si="490"/>
        <v>5.4262353819219911</v>
      </c>
      <c r="BZ172" s="5">
        <f t="shared" si="491"/>
        <v>14.879999999999999</v>
      </c>
      <c r="CA172" s="173">
        <f t="shared" si="492"/>
        <v>0.73277984422692155</v>
      </c>
      <c r="CB172" s="5">
        <f t="shared" si="493"/>
        <v>73.277984422692157</v>
      </c>
      <c r="CE172" s="562">
        <f t="shared" si="473"/>
        <v>-50</v>
      </c>
      <c r="CF172">
        <f t="shared" si="474"/>
        <v>-50</v>
      </c>
      <c r="CG172" s="173">
        <f t="shared" si="475"/>
        <v>0.47729127442984332</v>
      </c>
      <c r="CI172" s="170">
        <v>62</v>
      </c>
      <c r="CJ172" s="217">
        <f t="shared" si="428"/>
        <v>3.7199999999999998</v>
      </c>
      <c r="CK172" s="217"/>
      <c r="CL172" s="217">
        <f t="shared" si="368"/>
        <v>14.879999999999999</v>
      </c>
      <c r="CM172" s="541">
        <f t="shared" si="369"/>
        <v>18</v>
      </c>
      <c r="CN172" s="443">
        <f t="shared" si="370"/>
        <v>18.8</v>
      </c>
      <c r="CO172" s="443">
        <f t="shared" si="371"/>
        <v>36.799999999999997</v>
      </c>
      <c r="CP172" s="443"/>
      <c r="CQ172" s="217">
        <f t="shared" si="372"/>
        <v>0.51086956521739135</v>
      </c>
      <c r="CR172" s="172">
        <f t="shared" si="429"/>
        <v>30.859076086956527</v>
      </c>
      <c r="CS172" s="172">
        <f t="shared" si="373"/>
        <v>14.879999999999999</v>
      </c>
      <c r="CT172" s="217">
        <f t="shared" si="374"/>
        <v>7.7147690217391318</v>
      </c>
      <c r="CU172" s="217">
        <f t="shared" si="375"/>
        <v>4</v>
      </c>
      <c r="CV172" s="217"/>
      <c r="CW172" s="172">
        <f t="shared" si="376"/>
        <v>11.879440844498438</v>
      </c>
      <c r="CX172" s="172">
        <f t="shared" si="377"/>
        <v>4</v>
      </c>
      <c r="CY172" s="217">
        <f t="shared" si="378"/>
        <v>3.2363120567375878</v>
      </c>
      <c r="CZ172" s="217">
        <f t="shared" si="379"/>
        <v>2.1575413711583917</v>
      </c>
      <c r="DA172" s="217">
        <f t="shared" si="380"/>
        <v>2.0657311000452685</v>
      </c>
      <c r="DB172" s="197">
        <f t="shared" si="381"/>
        <v>350</v>
      </c>
      <c r="DC172" s="443">
        <f t="shared" si="382"/>
        <v>236.78320705530831</v>
      </c>
      <c r="DE172" s="217">
        <f t="shared" si="383"/>
        <v>2.18944099378882</v>
      </c>
      <c r="DF172" s="173">
        <f t="shared" si="384"/>
        <v>1.3975155279503106</v>
      </c>
      <c r="DG172" s="173">
        <f t="shared" si="385"/>
        <v>2.1418444504455847</v>
      </c>
      <c r="DH172" s="173"/>
      <c r="DI172" s="173">
        <f t="shared" si="386"/>
        <v>0.85106382978723416</v>
      </c>
      <c r="DJ172" s="545">
        <f t="shared" si="387"/>
        <v>1639.1249999999995</v>
      </c>
      <c r="DK172" s="528">
        <f t="shared" si="388"/>
        <v>0.79432624113475192</v>
      </c>
      <c r="DM172" s="173">
        <f t="shared" si="389"/>
        <v>2.8854313864159526</v>
      </c>
      <c r="DN172" s="173">
        <f t="shared" si="390"/>
        <v>3.2363120567375878</v>
      </c>
      <c r="DO172" s="173">
        <f t="shared" si="391"/>
        <v>2.6096138691883368</v>
      </c>
      <c r="DQ172" s="545">
        <f t="shared" si="392"/>
        <v>3719.9999999999995</v>
      </c>
      <c r="DR172" s="460">
        <f t="shared" si="393"/>
        <v>236.78320705530831</v>
      </c>
      <c r="DT172">
        <f t="shared" si="430"/>
        <v>3719.9999999999995</v>
      </c>
      <c r="DU172">
        <f t="shared" si="431"/>
        <v>236.78320705530831</v>
      </c>
      <c r="DW172" s="5">
        <f t="shared" si="394"/>
        <v>4.2232724712036607</v>
      </c>
      <c r="DX172" s="5">
        <f t="shared" si="395"/>
        <v>2.1575413711583917</v>
      </c>
      <c r="DY172" s="5">
        <f t="shared" si="396"/>
        <v>2.0657311000452689</v>
      </c>
      <c r="DZ172" s="5"/>
      <c r="EA172" s="173">
        <f t="shared" si="397"/>
        <v>0.51086956521739124</v>
      </c>
      <c r="EB172" s="173">
        <f t="shared" si="398"/>
        <v>14.879999999999995</v>
      </c>
      <c r="EC172" s="173">
        <f t="shared" si="399"/>
        <v>3.1659574468085103</v>
      </c>
      <c r="ED172" s="173">
        <f t="shared" si="400"/>
        <v>4.6999999999999993</v>
      </c>
      <c r="EE172" s="460">
        <f t="shared" si="401"/>
        <v>200.65134751773041</v>
      </c>
      <c r="EF172" s="5">
        <f t="shared" si="402"/>
        <v>1.4230592022534072</v>
      </c>
      <c r="EH172" s="173">
        <f t="shared" si="403"/>
        <v>1.3355027268751407</v>
      </c>
      <c r="EI172" s="173">
        <f t="shared" si="404"/>
        <v>5.2271155222804691</v>
      </c>
      <c r="EK172" s="528">
        <f t="shared" si="405"/>
        <v>2.1759523908589425E-2</v>
      </c>
      <c r="EL172" s="528">
        <f t="shared" si="406"/>
        <v>0.56400000000000006</v>
      </c>
      <c r="EM172" s="528">
        <f t="shared" si="407"/>
        <v>2.9597900881913539E-2</v>
      </c>
      <c r="EN172" s="528">
        <f t="shared" si="408"/>
        <v>3.206612903225807E-2</v>
      </c>
      <c r="EO172">
        <f t="shared" si="409"/>
        <v>8.0999999999999996E-3</v>
      </c>
      <c r="EP172" s="460">
        <f t="shared" si="410"/>
        <v>37.697900881913533</v>
      </c>
      <c r="EQ172" s="460"/>
      <c r="ER172" s="460">
        <f t="shared" si="432"/>
        <v>655.52355382276096</v>
      </c>
      <c r="ES172" s="528">
        <f t="shared" si="411"/>
        <v>2.6039999999999996</v>
      </c>
      <c r="EV172" s="460">
        <f t="shared" si="494"/>
        <v>2603.9999999999995</v>
      </c>
      <c r="EW172" s="528">
        <f t="shared" si="413"/>
        <v>5.3507026004728099E-2</v>
      </c>
      <c r="EX172" s="528">
        <f t="shared" si="414"/>
        <v>0.81968210049796264</v>
      </c>
      <c r="EY172" s="528">
        <f t="shared" si="415"/>
        <v>0.81278041177063254</v>
      </c>
      <c r="EZ172" s="528"/>
      <c r="FA172" s="528">
        <f t="shared" si="416"/>
        <v>6.1999999999999986E-2</v>
      </c>
      <c r="FB172" s="460">
        <f t="shared" si="417"/>
        <v>1747.9695382733235</v>
      </c>
      <c r="FC172" s="173">
        <f t="shared" si="418"/>
        <v>5.0074930920960838</v>
      </c>
      <c r="FD172" s="5">
        <f t="shared" si="419"/>
        <v>14.879999999999999</v>
      </c>
      <c r="FE172" s="173">
        <f t="shared" si="420"/>
        <v>0.74820893367971952</v>
      </c>
      <c r="FF172" s="5">
        <f t="shared" si="421"/>
        <v>74.820893367971948</v>
      </c>
      <c r="FI172" s="562">
        <f t="shared" si="422"/>
        <v>-50</v>
      </c>
      <c r="FJ172">
        <f t="shared" si="423"/>
        <v>-50</v>
      </c>
      <c r="FL172">
        <f t="shared" si="476"/>
        <v>0.48913043478260876</v>
      </c>
    </row>
    <row r="173" spans="5:168">
      <c r="E173" s="170">
        <v>63</v>
      </c>
      <c r="F173" s="217">
        <f t="shared" si="477"/>
        <v>3.7800000000000002</v>
      </c>
      <c r="G173" s="217"/>
      <c r="H173" s="217">
        <f t="shared" si="442"/>
        <v>15.120000000000001</v>
      </c>
      <c r="I173" s="541">
        <f t="shared" si="443"/>
        <v>17.916480131072497</v>
      </c>
      <c r="J173" s="172">
        <f t="shared" si="444"/>
        <v>19.749989030455005</v>
      </c>
      <c r="K173" s="172">
        <f t="shared" si="445"/>
        <v>37.666469161527502</v>
      </c>
      <c r="L173" s="443"/>
      <c r="M173" s="217">
        <f t="shared" si="446"/>
        <v>0.52405280469025195</v>
      </c>
      <c r="N173" s="172">
        <f t="shared" si="447"/>
        <v>31.508528796966864</v>
      </c>
      <c r="O173" s="172">
        <f t="shared" si="438"/>
        <v>15.120000000000001</v>
      </c>
      <c r="P173" s="217">
        <f>N173/Vout</f>
        <v>7.877132199241716</v>
      </c>
      <c r="Q173" s="217">
        <f t="shared" si="449"/>
        <v>4</v>
      </c>
      <c r="R173" s="217"/>
      <c r="S173" s="172">
        <f t="shared" si="450"/>
        <v>11.575659865527779</v>
      </c>
      <c r="T173" s="172">
        <f t="shared" si="451"/>
        <v>4</v>
      </c>
      <c r="U173" s="217">
        <f t="shared" si="452"/>
        <v>3.9710287582847945</v>
      </c>
      <c r="V173" s="217">
        <f t="shared" si="453"/>
        <v>2.6596934638279879</v>
      </c>
      <c r="W173" s="217">
        <f t="shared" si="454"/>
        <v>2.4127783071644426</v>
      </c>
      <c r="X173" s="197">
        <f t="shared" si="455"/>
        <v>350</v>
      </c>
      <c r="Y173" s="443">
        <f t="shared" si="328"/>
        <v>189.66436302261533</v>
      </c>
      <c r="AA173" s="217">
        <f t="shared" si="456"/>
        <v>2.2367392002306721</v>
      </c>
      <c r="AB173" s="173">
        <f t="shared" si="457"/>
        <v>1.3590321676320292</v>
      </c>
      <c r="AC173" s="173">
        <f t="shared" si="458"/>
        <v>2.1278603666019147</v>
      </c>
      <c r="AD173" s="173"/>
      <c r="AE173" s="173">
        <f t="shared" si="459"/>
        <v>0.8101270322392371</v>
      </c>
      <c r="AF173" s="545">
        <f t="shared" si="460"/>
        <v>1749.7255906668727</v>
      </c>
      <c r="AG173" s="528">
        <f t="shared" si="461"/>
        <v>0.75611856342328809</v>
      </c>
      <c r="AI173" s="173">
        <f t="shared" si="462"/>
        <v>2.9811902092460913</v>
      </c>
      <c r="AJ173" s="173">
        <f t="shared" si="463"/>
        <v>3.9710287582847945</v>
      </c>
      <c r="AK173" s="173">
        <f t="shared" si="464"/>
        <v>3.1538484629270078</v>
      </c>
      <c r="AM173" s="545">
        <f t="shared" si="465"/>
        <v>3780.0000000000005</v>
      </c>
      <c r="AN173" s="460">
        <f t="shared" si="466"/>
        <v>189.66436302261533</v>
      </c>
      <c r="AP173">
        <f t="shared" si="467"/>
        <v>3780.0000000000005</v>
      </c>
      <c r="AQ173">
        <f t="shared" si="468"/>
        <v>189.66436302261533</v>
      </c>
      <c r="AS173" s="5">
        <f t="shared" si="439"/>
        <v>5.2724717709924311</v>
      </c>
      <c r="AT173" s="5">
        <f t="shared" si="469"/>
        <v>2.6596934638279879</v>
      </c>
      <c r="AU173" s="5">
        <f t="shared" si="478"/>
        <v>2.6127783071644433</v>
      </c>
      <c r="AV173" s="5"/>
      <c r="AW173" s="173">
        <f t="shared" si="479"/>
        <v>0.50444906665234868</v>
      </c>
      <c r="AX173" s="173">
        <f t="shared" si="435"/>
        <v>17.944983018266612</v>
      </c>
      <c r="AY173" s="173">
        <f t="shared" si="436"/>
        <v>3.9356940150367894</v>
      </c>
      <c r="AZ173" s="173">
        <f t="shared" si="440"/>
        <v>4.5595472995882451</v>
      </c>
      <c r="BA173" s="460">
        <f t="shared" si="433"/>
        <v>251.34103233174488</v>
      </c>
      <c r="BB173" s="5">
        <f t="shared" si="434"/>
        <v>1.8374706655230333</v>
      </c>
      <c r="BD173" s="173">
        <f t="shared" si="441"/>
        <v>1.6283624023708252</v>
      </c>
      <c r="BE173" s="173">
        <f t="shared" si="437"/>
        <v>6.4557476442873112</v>
      </c>
      <c r="BG173" s="528">
        <f t="shared" si="480"/>
        <v>3.2349082184149593E-2</v>
      </c>
      <c r="BH173" s="528">
        <f t="shared" si="470"/>
        <v>0.53191832536112893</v>
      </c>
      <c r="BI173" s="528">
        <f t="shared" si="471"/>
        <v>8.495294479168021E-2</v>
      </c>
      <c r="BJ173" s="528">
        <f t="shared" si="481"/>
        <v>2.6908876153721929E-2</v>
      </c>
      <c r="BK173">
        <f t="shared" si="482"/>
        <v>8.0624160589826237E-3</v>
      </c>
      <c r="BL173" s="460">
        <f t="shared" si="427"/>
        <v>93.01536085066283</v>
      </c>
      <c r="BM173" s="528">
        <f t="shared" si="472"/>
        <v>0.60455724870523819</v>
      </c>
      <c r="BN173" s="460">
        <f t="shared" si="353"/>
        <v>604.55724870523818</v>
      </c>
      <c r="BO173" s="528">
        <f t="shared" si="483"/>
        <v>2.6459999999999999</v>
      </c>
      <c r="BR173" s="460">
        <f t="shared" si="484"/>
        <v>2646</v>
      </c>
      <c r="BS173" s="528">
        <f t="shared" si="485"/>
        <v>7.9546923403646552E-2</v>
      </c>
      <c r="BT173" s="528">
        <f t="shared" si="486"/>
        <v>1.250300329401635</v>
      </c>
      <c r="BU173" s="528">
        <f t="shared" si="487"/>
        <v>0.77838046331925792</v>
      </c>
      <c r="BV173" s="528"/>
      <c r="BW173" s="528">
        <f t="shared" si="488"/>
        <v>7.4770762576110886E-2</v>
      </c>
      <c r="BX173" s="460">
        <f t="shared" si="489"/>
        <v>2182.9984787006501</v>
      </c>
      <c r="BY173" s="173">
        <f t="shared" si="490"/>
        <v>5.5131901232503129</v>
      </c>
      <c r="BZ173" s="5">
        <f t="shared" si="491"/>
        <v>15.120000000000001</v>
      </c>
      <c r="CA173" s="173">
        <f t="shared" si="492"/>
        <v>0.73279991652682785</v>
      </c>
      <c r="CB173" s="5">
        <f t="shared" si="493"/>
        <v>73.279991652682781</v>
      </c>
      <c r="CE173" s="562">
        <f t="shared" si="473"/>
        <v>-50</v>
      </c>
      <c r="CF173">
        <f t="shared" si="474"/>
        <v>-50</v>
      </c>
      <c r="CG173" s="173">
        <f t="shared" si="475"/>
        <v>0.47747919761004587</v>
      </c>
      <c r="CI173" s="170">
        <v>63</v>
      </c>
      <c r="CJ173" s="217">
        <f t="shared" si="428"/>
        <v>3.7800000000000002</v>
      </c>
      <c r="CK173" s="217"/>
      <c r="CL173" s="217">
        <f t="shared" si="368"/>
        <v>15.120000000000001</v>
      </c>
      <c r="CM173" s="541">
        <f t="shared" si="369"/>
        <v>18</v>
      </c>
      <c r="CN173" s="443">
        <f t="shared" si="370"/>
        <v>18.8</v>
      </c>
      <c r="CO173" s="443">
        <f t="shared" si="371"/>
        <v>36.799999999999997</v>
      </c>
      <c r="CP173" s="443"/>
      <c r="CQ173" s="217">
        <f t="shared" si="372"/>
        <v>0.51086956521739135</v>
      </c>
      <c r="CR173" s="172">
        <f t="shared" si="429"/>
        <v>30.859076086956527</v>
      </c>
      <c r="CS173" s="172">
        <f t="shared" si="373"/>
        <v>15.120000000000001</v>
      </c>
      <c r="CT173" s="217">
        <f t="shared" si="374"/>
        <v>7.7147690217391318</v>
      </c>
      <c r="CU173" s="217">
        <f t="shared" si="375"/>
        <v>4</v>
      </c>
      <c r="CV173" s="217"/>
      <c r="CW173" s="172">
        <f t="shared" si="376"/>
        <v>11.628520974282358</v>
      </c>
      <c r="CX173" s="172">
        <f t="shared" si="377"/>
        <v>4</v>
      </c>
      <c r="CY173" s="217">
        <f t="shared" si="378"/>
        <v>3.2885106382978719</v>
      </c>
      <c r="CZ173" s="217">
        <f t="shared" si="379"/>
        <v>2.1923404255319143</v>
      </c>
      <c r="DA173" s="217">
        <f t="shared" si="380"/>
        <v>2.0990493435943862</v>
      </c>
      <c r="DB173" s="197">
        <f t="shared" si="381"/>
        <v>350</v>
      </c>
      <c r="DC173" s="443">
        <f t="shared" si="382"/>
        <v>233.02474345125577</v>
      </c>
      <c r="DE173" s="217">
        <f t="shared" si="383"/>
        <v>2.18944099378882</v>
      </c>
      <c r="DF173" s="173">
        <f t="shared" si="384"/>
        <v>1.3975155279503106</v>
      </c>
      <c r="DG173" s="173">
        <f t="shared" si="385"/>
        <v>2.1418444504455847</v>
      </c>
      <c r="DH173" s="173"/>
      <c r="DI173" s="173">
        <f t="shared" si="386"/>
        <v>0.85106382978723416</v>
      </c>
      <c r="DJ173" s="545">
        <f t="shared" si="387"/>
        <v>1665.5624999999998</v>
      </c>
      <c r="DK173" s="528">
        <f t="shared" si="388"/>
        <v>0.79432624113475192</v>
      </c>
      <c r="DM173" s="173">
        <f t="shared" si="389"/>
        <v>2.9086079144497976</v>
      </c>
      <c r="DN173" s="173">
        <f t="shared" si="390"/>
        <v>3.2885106382978719</v>
      </c>
      <c r="DO173" s="173">
        <f t="shared" si="391"/>
        <v>2.6482794851589171</v>
      </c>
      <c r="DQ173" s="545">
        <f t="shared" si="392"/>
        <v>3780.0000000000005</v>
      </c>
      <c r="DR173" s="460">
        <f t="shared" si="393"/>
        <v>233.02474345125577</v>
      </c>
      <c r="DT173">
        <f t="shared" si="430"/>
        <v>3780.0000000000005</v>
      </c>
      <c r="DU173">
        <f t="shared" si="431"/>
        <v>233.02474345125577</v>
      </c>
      <c r="DW173" s="5">
        <f t="shared" si="394"/>
        <v>4.2913897691263001</v>
      </c>
      <c r="DX173" s="5">
        <f t="shared" si="395"/>
        <v>2.1923404255319143</v>
      </c>
      <c r="DY173" s="5">
        <f t="shared" si="396"/>
        <v>2.0990493435943858</v>
      </c>
      <c r="DZ173" s="5"/>
      <c r="EA173" s="173">
        <f t="shared" si="397"/>
        <v>0.51086956521739135</v>
      </c>
      <c r="EB173" s="173">
        <f t="shared" si="398"/>
        <v>15.119999999999997</v>
      </c>
      <c r="EC173" s="173">
        <f t="shared" si="399"/>
        <v>3.217021276595744</v>
      </c>
      <c r="ED173" s="173">
        <f t="shared" si="400"/>
        <v>4.7</v>
      </c>
      <c r="EE173" s="460">
        <f t="shared" si="401"/>
        <v>207.1761702127659</v>
      </c>
      <c r="EF173" s="5">
        <f t="shared" si="402"/>
        <v>1.46933454051607</v>
      </c>
      <c r="EH173" s="173">
        <f t="shared" si="403"/>
        <v>1.3570430934376434</v>
      </c>
      <c r="EI173" s="173">
        <f t="shared" si="404"/>
        <v>5.311423837155961</v>
      </c>
      <c r="EK173" s="528">
        <f t="shared" si="405"/>
        <v>2.2467104680851065E-2</v>
      </c>
      <c r="EL173" s="528">
        <f t="shared" si="406"/>
        <v>0.56400000000000006</v>
      </c>
      <c r="EM173" s="528">
        <f t="shared" si="407"/>
        <v>2.912809293140697E-2</v>
      </c>
      <c r="EN173" s="528">
        <f t="shared" si="408"/>
        <v>3.155714285714286E-2</v>
      </c>
      <c r="EO173">
        <f t="shared" si="409"/>
        <v>8.0999999999999996E-3</v>
      </c>
      <c r="EP173" s="460">
        <f t="shared" si="410"/>
        <v>37.22809293140697</v>
      </c>
      <c r="EQ173" s="460"/>
      <c r="ER173" s="460">
        <f t="shared" si="432"/>
        <v>655.25234046940091</v>
      </c>
      <c r="ES173" s="528">
        <f t="shared" si="411"/>
        <v>2.6459999999999999</v>
      </c>
      <c r="EV173" s="460">
        <f t="shared" si="494"/>
        <v>2646</v>
      </c>
      <c r="EW173" s="528">
        <f t="shared" si="413"/>
        <v>5.5246978723404255E-2</v>
      </c>
      <c r="EX173" s="528">
        <f t="shared" si="414"/>
        <v>0.84633669533725664</v>
      </c>
      <c r="EY173" s="528">
        <f t="shared" si="415"/>
        <v>0.81278041177063176</v>
      </c>
      <c r="EZ173" s="528"/>
      <c r="FA173" s="528">
        <f t="shared" si="416"/>
        <v>6.3E-2</v>
      </c>
      <c r="FB173" s="460">
        <f t="shared" si="417"/>
        <v>1777.3640858312924</v>
      </c>
      <c r="FC173" s="173">
        <f t="shared" si="418"/>
        <v>5.0786164263006937</v>
      </c>
      <c r="FD173" s="5">
        <f t="shared" si="419"/>
        <v>15.120000000000001</v>
      </c>
      <c r="FE173" s="173">
        <f t="shared" si="420"/>
        <v>0.74856612358419716</v>
      </c>
      <c r="FF173" s="5">
        <f t="shared" si="421"/>
        <v>74.85661235841971</v>
      </c>
      <c r="FI173" s="562">
        <f t="shared" si="422"/>
        <v>-50</v>
      </c>
      <c r="FJ173">
        <f t="shared" si="423"/>
        <v>-50</v>
      </c>
      <c r="FL173">
        <f t="shared" si="476"/>
        <v>0.48913043478260865</v>
      </c>
    </row>
    <row r="174" spans="5:168">
      <c r="E174" s="170">
        <v>64</v>
      </c>
      <c r="F174" s="217">
        <f t="shared" si="477"/>
        <v>3.84</v>
      </c>
      <c r="G174" s="217"/>
      <c r="H174" s="217">
        <f t="shared" ref="H174:H205" si="495">F174*Vout</f>
        <v>15.36</v>
      </c>
      <c r="I174" s="541">
        <f t="shared" ref="I174:I210" si="496">VIN_min-F174*(Rdcr_pri+RON/1000)/CG174/Nps</f>
        <v>17.91518675598358</v>
      </c>
      <c r="J174" s="172">
        <f t="shared" ref="J174:J210" si="497">(T174+Vfwd1+F174/CG174*Rdcr_sec)*Nps</f>
        <v>19.764700405873977</v>
      </c>
      <c r="K174" s="172">
        <f t="shared" ref="K174:K210" si="498">(Vout+Vfwd1+F174/CG174*Rdcr_sec)*Nps++I174</f>
        <v>37.679887161857557</v>
      </c>
      <c r="L174" s="443"/>
      <c r="M174" s="217">
        <f t="shared" ref="M174:M209" si="499">(Vout+Vfwd1+F174/FL174*Rdcr_sec)*Nps/((Vout+Vfwd1+F174/FL174*Rdcr_sec)*Nps+I174)</f>
        <v>0.52425684869609035</v>
      </c>
      <c r="N174" s="172">
        <f t="shared" ref="N174:N205" si="500">M174*I174*(Isw_max+VIN_min/Lmag*ILIM_delay)*0.5*Efficiency</f>
        <v>31.518521427077399</v>
      </c>
      <c r="O174" s="172">
        <f t="shared" si="438"/>
        <v>15.36</v>
      </c>
      <c r="P174" s="217">
        <f t="shared" ref="P174:P205" si="501">N174/Vout</f>
        <v>7.8796303567693498</v>
      </c>
      <c r="Q174" s="217">
        <f t="shared" ref="Q174:Q210" si="502">MIN(Vout,N174/F174)</f>
        <v>4</v>
      </c>
      <c r="R174" s="217"/>
      <c r="S174" s="172">
        <f t="shared" ref="S174:S210" si="503">(SQRT(Isw_max^2*Nps^2*I174^2+4*Isw_max*F174/Efficiency*(Nps^2*Vfwd1*I174-Nps*I174^2)+4*(F174/Efficiency)^2*Nps^2*Vfwd1^2+8*(F174/Efficiency)^2*Nps*Vfwd1*I174+4*(F174/Efficiency)^2*I174^2)-2*F174/Efficiency*I174-2*F174/Efficiency*Nps*Vfwd1+Isw_max*Nps*I174)/(4*F174/Efficiency*Nps)</f>
        <v>11.33312464149695</v>
      </c>
      <c r="T174" s="172">
        <f t="shared" ref="T174:T205" si="504">MIN(Vout, S174)</f>
        <v>4</v>
      </c>
      <c r="U174" s="217">
        <f t="shared" ref="U174:U209" si="505">MIN(2*(Vout+Vfwd1+F174/FL174*Rdcr_sec)*F174/(I174*M174), Isw_max)</f>
        <v>4.0357911506191808</v>
      </c>
      <c r="V174" s="217">
        <f t="shared" ref="V174:V205" si="506">L*U174/I174*1000000</f>
        <v>2.7032648036032874</v>
      </c>
      <c r="W174" s="217">
        <f t="shared" ref="W174:W210" si="507">L*U174/J174*1000000</f>
        <v>2.4503024489577969</v>
      </c>
      <c r="X174" s="197">
        <f t="shared" ref="X174:X210" si="508">IF(1/((350000*L)*(1/I174+1/J174))&gt;Isw_min, 350, 0.001/((Isw_min*L)*(1/I174+1/J174)))</f>
        <v>350</v>
      </c>
      <c r="Y174" s="443">
        <f t="shared" ref="Y174:Y209" si="509">MIN(1/(V174+W174+0.2)*1000, 350)</f>
        <v>186.79133983450225</v>
      </c>
      <c r="AA174" s="217">
        <f t="shared" ref="AA174:AA210" si="510">1/((X174*1000*L)*(1/I174+1/J174))</f>
        <v>2.2374466643821629</v>
      </c>
      <c r="AB174" s="173">
        <f t="shared" ref="AB174:AB205" si="511">L*AA174/J174*1000000</f>
        <v>1.3584501369222097</v>
      </c>
      <c r="AC174" s="173">
        <f t="shared" ref="AC174:AC205" si="512">0.5*AB174*AA174*Nps*X174/1000</f>
        <v>2.1276218093102632</v>
      </c>
      <c r="AD174" s="173"/>
      <c r="AE174" s="173">
        <f t="shared" ref="AE174:AE210" si="513">L*Isw_min/J174*1000000</f>
        <v>0.80952403382977034</v>
      </c>
      <c r="AF174" s="545">
        <f t="shared" ref="AF174:AF205" si="514">MAX(12000,F174/(0.5*AE174/1000000*Isw_min*Nps))/1000</f>
        <v>1778.8230365286574</v>
      </c>
      <c r="AG174" s="528">
        <f t="shared" ref="AG174:AG210" si="515">0.5*AE174/1000000*Isw_min*Nps*X174*1000</f>
        <v>0.75555576490778575</v>
      </c>
      <c r="AI174" s="173">
        <f t="shared" ref="AI174:AI210" si="516">SQRT(F174/(0.5*L/J174*Fsw_DCM*Nps))</f>
        <v>3.0058761807688983</v>
      </c>
      <c r="AJ174" s="173">
        <f t="shared" ref="AJ174:AJ205" si="517">MAX(IF(F174&gt;AC174,U174,AI174),Isw_min)</f>
        <v>4.0357911506191808</v>
      </c>
      <c r="AK174" s="173">
        <f t="shared" ref="AK174:AK205" si="518">IF(F174&gt;AG174, (AJ174-Isw_min)/1.08*0.8+1.2, AF174*0.2/350+1)</f>
        <v>3.2018206053969234</v>
      </c>
      <c r="AM174" s="545">
        <f t="shared" ref="AM174:AM210" si="519">F174*1000</f>
        <v>3840</v>
      </c>
      <c r="AN174" s="460">
        <f t="shared" ref="AN174:AN210" si="520">IF(F174&gt;AG174, Y174, AF174)</f>
        <v>186.79133983450225</v>
      </c>
      <c r="AP174">
        <f t="shared" ref="AP174:AP210" si="521">IF(H174&gt;N174, "",AM174)</f>
        <v>3840</v>
      </c>
      <c r="AQ174">
        <f t="shared" ref="AQ174:AQ210" si="522">IF(H174&gt;N174, "",AN174)</f>
        <v>186.79133983450225</v>
      </c>
      <c r="AS174" s="5">
        <f t="shared" si="439"/>
        <v>5.353567252561084</v>
      </c>
      <c r="AT174" s="5">
        <f t="shared" ref="AT174:AT210" si="523">L*AJ174/I174*1000000</f>
        <v>2.7032648036032874</v>
      </c>
      <c r="AU174" s="5">
        <f t="shared" si="478"/>
        <v>2.6503024489577967</v>
      </c>
      <c r="AV174" s="5"/>
      <c r="AW174" s="173">
        <f t="shared" si="479"/>
        <v>0.50494645459251064</v>
      </c>
      <c r="AX174" s="173">
        <f t="shared" si="435"/>
        <v>18.254307204555193</v>
      </c>
      <c r="AY174" s="173">
        <f t="shared" si="436"/>
        <v>3.9958654352763929</v>
      </c>
      <c r="AZ174" s="173">
        <f t="shared" si="440"/>
        <v>4.5682987828874539</v>
      </c>
      <c r="BA174" s="460">
        <f t="shared" si="433"/>
        <v>259.51342114591557</v>
      </c>
      <c r="BB174" s="5">
        <f t="shared" si="434"/>
        <v>1.8935817867111764</v>
      </c>
      <c r="BD174" s="173">
        <f t="shared" si="441"/>
        <v>1.6557345832026067</v>
      </c>
      <c r="BE174" s="173">
        <f t="shared" si="437"/>
        <v>6.5577391150209747</v>
      </c>
      <c r="BG174" s="528">
        <f t="shared" si="480"/>
        <v>3.344577552215993E-2</v>
      </c>
      <c r="BH174" s="528">
        <f t="shared" ref="BH174:BH210" si="524">0.5*K174*AJ174*AN174*1000*Tfall</f>
        <v>0.53259402092387453</v>
      </c>
      <c r="BI174" s="528">
        <f t="shared" ref="BI174:BI210" si="525">Qg*Vdd*AN174*1000*0+Qg*I174*AN174*1000</f>
        <v>8.3660043438387566E-2</v>
      </c>
      <c r="BJ174" s="528">
        <f t="shared" si="481"/>
        <v>2.6520146839495003E-2</v>
      </c>
      <c r="BK174">
        <f t="shared" si="482"/>
        <v>8.06183404019261E-3</v>
      </c>
      <c r="BL174" s="460">
        <f t="shared" si="427"/>
        <v>91.721877478580183</v>
      </c>
      <c r="BM174" s="528">
        <f t="shared" ref="BM174:BM210" si="526">(BH174+BI174*0+BJ174+BK174*0+BG174*(1+RdsonTC*(Ta-25)))/(1-BG174*RdsonTC*ThetaJA)</f>
        <v>0.60640926504573134</v>
      </c>
      <c r="BN174" s="460">
        <f t="shared" ref="BN174:BN210" si="527">BM174*1000</f>
        <v>606.40926504573133</v>
      </c>
      <c r="BO174" s="528">
        <f t="shared" si="483"/>
        <v>2.6879999999999997</v>
      </c>
      <c r="BR174" s="460">
        <f t="shared" si="484"/>
        <v>2687.9999999999995</v>
      </c>
      <c r="BS174" s="528">
        <f t="shared" si="485"/>
        <v>8.2243710300393277E-2</v>
      </c>
      <c r="BT174" s="528">
        <f t="shared" si="486"/>
        <v>1.2901182690202824</v>
      </c>
      <c r="BU174" s="528">
        <f t="shared" si="487"/>
        <v>0.78015977933634872</v>
      </c>
      <c r="BV174" s="528"/>
      <c r="BW174" s="528">
        <f t="shared" si="488"/>
        <v>7.6059613352313316E-2</v>
      </c>
      <c r="BX174" s="460">
        <f t="shared" si="489"/>
        <v>2228.5813720093379</v>
      </c>
      <c r="BY174" s="173">
        <f t="shared" si="490"/>
        <v>5.6008631927734474</v>
      </c>
      <c r="BZ174" s="5">
        <f t="shared" si="491"/>
        <v>15.36</v>
      </c>
      <c r="CA174" s="173">
        <f t="shared" si="492"/>
        <v>0.73279424891698053</v>
      </c>
      <c r="CB174" s="5">
        <f t="shared" si="493"/>
        <v>73.279424891698056</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0.47766124819086714</v>
      </c>
      <c r="CI174" s="170">
        <v>64</v>
      </c>
      <c r="CJ174" s="217">
        <f t="shared" si="428"/>
        <v>3.84</v>
      </c>
      <c r="CK174" s="217"/>
      <c r="CL174" s="217">
        <f t="shared" ref="CL174:CL210" si="531">CJ174*Vout</f>
        <v>15.36</v>
      </c>
      <c r="CM174" s="541">
        <f t="shared" ref="CM174:CM212" si="532">VIN_min</f>
        <v>18</v>
      </c>
      <c r="CN174" s="443">
        <f t="shared" ref="CN174:CN210" si="533">(CX174+Vfwd1)*Nps</f>
        <v>18.8</v>
      </c>
      <c r="CO174" s="443">
        <f t="shared" ref="CO174:CO210" si="534">(Vout+Vfwd1)*Nps+CM174</f>
        <v>36.799999999999997</v>
      </c>
      <c r="CP174" s="443"/>
      <c r="CQ174" s="217">
        <f t="shared" ref="CQ174:CQ210" si="535">(Vout+Vfwd1)*Nps/((Vout+Vfwd1)*Nps+CM174)</f>
        <v>0.51086956521739135</v>
      </c>
      <c r="CR174" s="172">
        <f t="shared" si="429"/>
        <v>30.859076086956527</v>
      </c>
      <c r="CS174" s="172">
        <f t="shared" ref="CS174:CS210" si="536">CX174*CJ174</f>
        <v>15.36</v>
      </c>
      <c r="CT174" s="217">
        <f t="shared" ref="CT174:CT210" si="537">CR174/Vout</f>
        <v>7.7147690217391318</v>
      </c>
      <c r="CU174" s="217">
        <f t="shared" ref="CU174:CU210" si="538">MIN(Vout,CR174/CJ174)</f>
        <v>4</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11.385639902027169</v>
      </c>
      <c r="CX174" s="172">
        <f t="shared" ref="CX174:CX210" si="540">MIN(Vout, CW174)</f>
        <v>4</v>
      </c>
      <c r="CY174" s="217">
        <f t="shared" ref="CY174:CY210" si="541">MIN(2*Vout*CJ174/(Efficiency*CM174*CQ174), Isw_max)</f>
        <v>3.3407092198581556</v>
      </c>
      <c r="CZ174" s="217">
        <f t="shared" ref="CZ174:CZ210" si="542">L*CY174/CM174*1000000</f>
        <v>2.2271394799054369</v>
      </c>
      <c r="DA174" s="217">
        <f t="shared" ref="DA174:DA210" si="543">L*CY174/CN174*1000000</f>
        <v>2.1323675871435035</v>
      </c>
      <c r="DB174" s="197">
        <f t="shared" ref="DB174:DB210" si="544">IF(1/((350000*L)*(1/CM174+1/CN174))&gt;Isw_min, 350, 0.001/((Isw_min*L)*(1/CM174+1/CN174)))</f>
        <v>350</v>
      </c>
      <c r="DC174" s="443">
        <f t="shared" ref="DC174:DC210" si="545">MIN(1/(CZ174+DA174)*1000, 350)</f>
        <v>229.38373183482992</v>
      </c>
      <c r="DE174" s="217">
        <f t="shared" ref="DE174:DE210" si="546">1/((DB174*1000*L)*(1/CM174+1/CN174))</f>
        <v>2.18944099378882</v>
      </c>
      <c r="DF174" s="173">
        <f t="shared" ref="DF174:DF210" si="547">L*DE174/CN174*1000000</f>
        <v>1.3975155279503106</v>
      </c>
      <c r="DG174" s="173">
        <f t="shared" ref="DG174:DG210" si="548">0.5*DF174*DE174*Nps*DB174/1000</f>
        <v>2.1418444504455847</v>
      </c>
      <c r="DH174" s="173"/>
      <c r="DI174" s="173">
        <f t="shared" ref="DI174:DI210" si="549">L*Isw_min/CN174*1000000</f>
        <v>0.85106382978723416</v>
      </c>
      <c r="DJ174" s="545">
        <f t="shared" ref="DJ174:DJ210" si="550">MAX(12000,CJ174/(0.5*DI174/1000000*Isw_min*Nps))/1000</f>
        <v>1691.9999999999995</v>
      </c>
      <c r="DK174" s="528">
        <f t="shared" ref="DK174:DK210" si="551">0.5*DI174/1000000*Isw_min*Nps*DB174*1000</f>
        <v>0.79432624113475192</v>
      </c>
      <c r="DM174" s="173">
        <f t="shared" ref="DM174:DM210" si="552">SQRT(CJ174/(0.5*L/CN174*Fsw_DCM*Nps))</f>
        <v>2.9316012202012938</v>
      </c>
      <c r="DN174" s="173">
        <f t="shared" ref="DN174:DN210" si="553">MAX(IF(CJ174&gt;DG174,CY174,DM174),Isw_min)</f>
        <v>3.3407092198581556</v>
      </c>
      <c r="DO174" s="173">
        <f t="shared" ref="DO174:DO210" si="554">IF(CJ174&gt;DK174, (DN174-Isw_min)/1.08*0.8+1.2, DJ174*0.2/350+1)</f>
        <v>2.6869451011294978</v>
      </c>
      <c r="DQ174" s="545">
        <f t="shared" ref="DQ174:DQ210" si="555">CJ174*1000</f>
        <v>3840</v>
      </c>
      <c r="DR174" s="460">
        <f t="shared" ref="DR174:DR210" si="556">IF(CJ174&gt;DK174, DC174, DJ174)</f>
        <v>229.38373183482992</v>
      </c>
      <c r="DT174">
        <f t="shared" si="430"/>
        <v>3840</v>
      </c>
      <c r="DU174">
        <f t="shared" si="431"/>
        <v>229.38373183482992</v>
      </c>
      <c r="DW174" s="5">
        <f t="shared" ref="DW174:DW210" si="557">1/DR174*1000</f>
        <v>4.3595070670489404</v>
      </c>
      <c r="DX174" s="5">
        <f t="shared" ref="DX174:DX210" si="558">L*DN174/CM174*1000000</f>
        <v>2.2271394799054369</v>
      </c>
      <c r="DY174" s="5">
        <f t="shared" ref="DY174:DY210" si="559">DW174-DX174</f>
        <v>2.1323675871435035</v>
      </c>
      <c r="DZ174" s="5"/>
      <c r="EA174" s="173">
        <f t="shared" ref="EA174:EA210" si="560">DX174/DW174</f>
        <v>0.51086956521739135</v>
      </c>
      <c r="EB174" s="173">
        <f t="shared" ref="EB174:EB210" si="561">0.5*L*DN174^2*DR174*1000</f>
        <v>15.360000000000001</v>
      </c>
      <c r="EC174" s="173">
        <f t="shared" ref="EC174:EC210" si="562">DN174*Nps/2*(1-EA174)</f>
        <v>3.2680851063829781</v>
      </c>
      <c r="ED174" s="173">
        <f t="shared" ref="ED174:ED210" si="563">EB174/EC174</f>
        <v>4.7000000000000011</v>
      </c>
      <c r="EE174" s="460">
        <f t="shared" ref="EE174:EE210" si="564">CJ174*DX174/Vout_ripple*1000</f>
        <v>213.80539007092196</v>
      </c>
      <c r="EF174" s="5">
        <f t="shared" ref="EF174:EF210" si="565">CL174/Efficiency/CM174*DY174/Vinripple1</f>
        <v>1.5163502841909355</v>
      </c>
      <c r="EH174" s="173">
        <f t="shared" ref="EH174:EH210" si="566">DN174*SQRT(EA174/3)</f>
        <v>1.3785834600001456</v>
      </c>
      <c r="EI174" s="173">
        <f t="shared" ref="EI174:EI210" si="567">DN174*Nps*SQRT((1-EA174)/3)</f>
        <v>5.3957321520314521</v>
      </c>
      <c r="EK174" s="528">
        <f t="shared" ref="EK174:EK210" si="568">Rdson*EH174^2</f>
        <v>2.3186006745468873E-2</v>
      </c>
      <c r="EL174" s="528">
        <f t="shared" ref="EL174:EL210" si="569">0.5*CO174*DN174*DR174*1000*Trise</f>
        <v>0.56400000000000006</v>
      </c>
      <c r="EM174" s="528">
        <f t="shared" ref="EM174:EM210" si="570">Qg*Vdd*DR174*1000</f>
        <v>2.8672966479353738E-2</v>
      </c>
      <c r="EN174" s="528">
        <f t="shared" ref="EN174:EN210" si="571">0.5*(Coss+Csw)*CO174^2*DR174*1000</f>
        <v>3.10640625E-2</v>
      </c>
      <c r="EO174">
        <f t="shared" ref="EO174:EO210" si="572">CM174*IQ</f>
        <v>8.0999999999999996E-3</v>
      </c>
      <c r="EP174" s="460">
        <f t="shared" ref="EP174:EP210" si="573">(EO174+EM174)*1000</f>
        <v>36.772966479353741</v>
      </c>
      <c r="EQ174" s="460"/>
      <c r="ER174" s="460">
        <f t="shared" si="432"/>
        <v>655.02303572482265</v>
      </c>
      <c r="ES174" s="528">
        <f t="shared" ref="ES174:ES210" si="574">Vfwd2*CJ174</f>
        <v>2.6879999999999997</v>
      </c>
      <c r="EV174" s="460">
        <f t="shared" si="494"/>
        <v>2687.9999999999995</v>
      </c>
      <c r="EW174" s="528">
        <f t="shared" ref="EW174:EW210" si="575">Rdcr_pri*EH174^2</f>
        <v>5.7014770685579197E-2</v>
      </c>
      <c r="EX174" s="528">
        <f t="shared" ref="EX174:EX210" si="576">Rdcr_sec*EI174^2</f>
        <v>0.87341776369397883</v>
      </c>
      <c r="EY174" s="528">
        <f t="shared" ref="EY174:EY210" si="577">DN174^2.5*DR174^2.5*k_core</f>
        <v>0.81278041177063243</v>
      </c>
      <c r="EZ174" s="528"/>
      <c r="FA174" s="528">
        <f t="shared" ref="FA174:FA210" si="578">0.5*Lleak*0.000000001*DN174^2*DR174*1000</f>
        <v>6.4000000000000001E-2</v>
      </c>
      <c r="FB174" s="460">
        <f t="shared" ref="FB174:FB210" si="579">SUM(EW174:FA174)*1000</f>
        <v>1807.2129461501904</v>
      </c>
      <c r="FC174" s="173">
        <f t="shared" ref="FC174:FC210" si="580">SUM(EK174:EO174,ES174:EU174,EW174:FA174)</f>
        <v>5.1502359818750127</v>
      </c>
      <c r="FD174" s="5">
        <f t="shared" ref="FD174:FD210" si="581">MIN(CL174,CS174)</f>
        <v>15.36</v>
      </c>
      <c r="FE174" s="173">
        <f t="shared" ref="FE174:FE210" si="582">FD174/(FD174+FC174)</f>
        <v>0.74889435760630452</v>
      </c>
      <c r="FF174" s="5">
        <f t="shared" ref="FF174:FF210" si="583">FE174*100</f>
        <v>74.889435760630448</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0.48913043478260865</v>
      </c>
    </row>
    <row r="175" spans="5:168">
      <c r="E175" s="170">
        <v>65</v>
      </c>
      <c r="F175" s="217">
        <f t="shared" ref="F175:F206" si="587">IF(PLOT_TYPE=1, E175/100*Iout_max, min_I*EXP(N175*rr/100))</f>
        <v>3.9000000000000004</v>
      </c>
      <c r="G175" s="217"/>
      <c r="H175" s="217">
        <f t="shared" si="495"/>
        <v>15.600000000000001</v>
      </c>
      <c r="I175" s="541">
        <f t="shared" si="496"/>
        <v>17.913893357012693</v>
      </c>
      <c r="J175" s="172">
        <f t="shared" si="497"/>
        <v>19.779412052936205</v>
      </c>
      <c r="K175" s="172">
        <f t="shared" si="498"/>
        <v>37.693305409948898</v>
      </c>
      <c r="L175" s="443"/>
      <c r="M175" s="217">
        <f t="shared" si="499"/>
        <v>0.52446074758329653</v>
      </c>
      <c r="N175" s="172">
        <f t="shared" si="500"/>
        <v>31.528503519952718</v>
      </c>
      <c r="O175" s="172">
        <f t="shared" si="438"/>
        <v>15.600000000000001</v>
      </c>
      <c r="P175" s="217">
        <f t="shared" si="501"/>
        <v>7.8821258799881795</v>
      </c>
      <c r="Q175" s="217">
        <f t="shared" si="502"/>
        <v>4</v>
      </c>
      <c r="R175" s="217"/>
      <c r="S175" s="172">
        <f t="shared" si="503"/>
        <v>11.098257997509902</v>
      </c>
      <c r="T175" s="172">
        <f t="shared" si="504"/>
        <v>4</v>
      </c>
      <c r="U175" s="217">
        <f t="shared" si="505"/>
        <v>4.1006078679941709</v>
      </c>
      <c r="V175" s="217">
        <f t="shared" si="506"/>
        <v>2.7468788294794129</v>
      </c>
      <c r="W175" s="217">
        <f t="shared" si="507"/>
        <v>2.4878036962997263</v>
      </c>
      <c r="X175" s="197">
        <f t="shared" si="508"/>
        <v>350</v>
      </c>
      <c r="Y175" s="443">
        <f t="shared" si="509"/>
        <v>184.003388469621</v>
      </c>
      <c r="AA175" s="217">
        <f t="shared" si="510"/>
        <v>2.238153397514687</v>
      </c>
      <c r="AB175" s="173">
        <f t="shared" si="511"/>
        <v>1.3578685098574133</v>
      </c>
      <c r="AC175" s="173">
        <f t="shared" si="512"/>
        <v>2.1273826131009024</v>
      </c>
      <c r="AD175" s="173"/>
      <c r="AE175" s="173">
        <f t="shared" si="513"/>
        <v>0.80892192129769813</v>
      </c>
      <c r="AF175" s="545">
        <f t="shared" si="514"/>
        <v>1807.9618829636995</v>
      </c>
      <c r="AG175" s="528">
        <f t="shared" si="515"/>
        <v>0.75499379321118498</v>
      </c>
      <c r="AI175" s="173">
        <f t="shared" si="516"/>
        <v>3.0303957585023364</v>
      </c>
      <c r="AJ175" s="173">
        <f t="shared" si="517"/>
        <v>4.1006078679941709</v>
      </c>
      <c r="AK175" s="173">
        <f t="shared" si="518"/>
        <v>3.2498329886376567</v>
      </c>
      <c r="AM175" s="545">
        <f t="shared" si="519"/>
        <v>3900.0000000000005</v>
      </c>
      <c r="AN175" s="460">
        <f t="shared" si="520"/>
        <v>184.003388469621</v>
      </c>
      <c r="AP175">
        <f t="shared" si="521"/>
        <v>3900.0000000000005</v>
      </c>
      <c r="AQ175">
        <f t="shared" si="522"/>
        <v>184.003388469621</v>
      </c>
      <c r="AS175" s="5">
        <f t="shared" si="439"/>
        <v>5.4346825257791398</v>
      </c>
      <c r="AT175" s="5">
        <f t="shared" si="523"/>
        <v>2.7468788294794129</v>
      </c>
      <c r="AU175" s="5">
        <f t="shared" si="478"/>
        <v>2.6878036962997269</v>
      </c>
      <c r="AV175" s="5"/>
      <c r="AW175" s="173">
        <f t="shared" si="479"/>
        <v>0.50543501233967814</v>
      </c>
      <c r="AX175" s="173">
        <f t="shared" si="435"/>
        <v>18.564085177702299</v>
      </c>
      <c r="AY175" s="173">
        <f t="shared" si="436"/>
        <v>4.0560341592687115</v>
      </c>
      <c r="AZ175" s="173">
        <f t="shared" si="440"/>
        <v>4.5769055310543383</v>
      </c>
      <c r="BA175" s="460">
        <f t="shared" si="433"/>
        <v>267.82068587424277</v>
      </c>
      <c r="BB175" s="5">
        <f t="shared" si="434"/>
        <v>1.9505222765110428</v>
      </c>
      <c r="BD175" s="173">
        <f t="shared" si="441"/>
        <v>1.683140130220941</v>
      </c>
      <c r="BE175" s="173">
        <f t="shared" si="437"/>
        <v>6.6597708842172452</v>
      </c>
      <c r="BG175" s="528">
        <f t="shared" si="480"/>
        <v>3.4562120515114023E-2</v>
      </c>
      <c r="BH175" s="528">
        <f t="shared" si="524"/>
        <v>0.53326067346702277</v>
      </c>
      <c r="BI175" s="528">
        <f t="shared" si="525"/>
        <v>8.2405426959344247E-2</v>
      </c>
      <c r="BJ175" s="528">
        <f t="shared" si="481"/>
        <v>2.6142930446962826E-2</v>
      </c>
      <c r="BK175">
        <f t="shared" si="482"/>
        <v>8.0612520106557121E-3</v>
      </c>
      <c r="BL175" s="460">
        <f t="shared" ref="BL175:BL210" si="588">(BK175+BI175)*1000</f>
        <v>90.466678969999961</v>
      </c>
      <c r="BM175" s="528">
        <f t="shared" si="526"/>
        <v>0.60829277278584815</v>
      </c>
      <c r="BN175" s="460">
        <f t="shared" si="527"/>
        <v>608.29277278584811</v>
      </c>
      <c r="BO175" s="528">
        <f t="shared" si="483"/>
        <v>2.73</v>
      </c>
      <c r="BR175" s="460">
        <f t="shared" si="484"/>
        <v>2730</v>
      </c>
      <c r="BS175" s="528">
        <f t="shared" si="485"/>
        <v>8.4988820938804971E-2</v>
      </c>
      <c r="BT175" s="528">
        <f t="shared" si="486"/>
        <v>1.3305764469080326</v>
      </c>
      <c r="BU175" s="528">
        <f t="shared" si="487"/>
        <v>0.78190710198244107</v>
      </c>
      <c r="BV175" s="528"/>
      <c r="BW175" s="528">
        <f t="shared" si="488"/>
        <v>7.7350354907092911E-2</v>
      </c>
      <c r="BX175" s="460">
        <f t="shared" si="489"/>
        <v>2274.8227247363716</v>
      </c>
      <c r="BY175" s="173">
        <f t="shared" si="490"/>
        <v>5.6892551281354713</v>
      </c>
      <c r="BZ175" s="5">
        <f t="shared" si="491"/>
        <v>15.600000000000001</v>
      </c>
      <c r="CA175" s="173">
        <f t="shared" si="492"/>
        <v>0.73276401199135144</v>
      </c>
      <c r="CB175" s="5">
        <f t="shared" si="493"/>
        <v>73.276401199135137</v>
      </c>
      <c r="CE175" s="562">
        <f t="shared" si="528"/>
        <v>-50</v>
      </c>
      <c r="CF175">
        <f t="shared" si="529"/>
        <v>-50</v>
      </c>
      <c r="CG175" s="173">
        <f t="shared" si="530"/>
        <v>0.47783769721535557</v>
      </c>
      <c r="CI175" s="170">
        <v>65</v>
      </c>
      <c r="CJ175" s="217">
        <f t="shared" ref="CJ175:CJ210" si="589">IF(PLOT_TYPE=1, CI175/100*Iout_max, min_I*EXP(CR175*rr/100))</f>
        <v>3.9000000000000004</v>
      </c>
      <c r="CK175" s="217"/>
      <c r="CL175" s="217">
        <f t="shared" si="531"/>
        <v>15.600000000000001</v>
      </c>
      <c r="CM175" s="541">
        <f t="shared" si="532"/>
        <v>18</v>
      </c>
      <c r="CN175" s="443">
        <f t="shared" si="533"/>
        <v>18.8</v>
      </c>
      <c r="CO175" s="443">
        <f t="shared" si="534"/>
        <v>36.799999999999997</v>
      </c>
      <c r="CP175" s="443"/>
      <c r="CQ175" s="217">
        <f t="shared" si="535"/>
        <v>0.51086956521739135</v>
      </c>
      <c r="CR175" s="172">
        <f t="shared" ref="CR175:CR210" si="590">CQ175*CM175*(Isw_max+VIN_min/Lmag*ILIM_delay)*0.5*Efficiency</f>
        <v>30.859076086956527</v>
      </c>
      <c r="CS175" s="172">
        <f t="shared" si="536"/>
        <v>15.600000000000001</v>
      </c>
      <c r="CT175" s="217">
        <f t="shared" si="537"/>
        <v>7.7147690217391318</v>
      </c>
      <c r="CU175" s="217">
        <f t="shared" si="538"/>
        <v>4</v>
      </c>
      <c r="CV175" s="217"/>
      <c r="CW175" s="172">
        <f t="shared" si="539"/>
        <v>11.150428556269294</v>
      </c>
      <c r="CX175" s="172">
        <f t="shared" si="540"/>
        <v>4</v>
      </c>
      <c r="CY175" s="217">
        <f t="shared" si="541"/>
        <v>3.3929078014184397</v>
      </c>
      <c r="CZ175" s="217">
        <f t="shared" si="542"/>
        <v>2.26193853427896</v>
      </c>
      <c r="DA175" s="217">
        <f t="shared" si="543"/>
        <v>2.1656858306926212</v>
      </c>
      <c r="DB175" s="197">
        <f t="shared" si="544"/>
        <v>350</v>
      </c>
      <c r="DC175" s="443">
        <f t="shared" si="545"/>
        <v>225.85475134506322</v>
      </c>
      <c r="DE175" s="217">
        <f t="shared" si="546"/>
        <v>2.18944099378882</v>
      </c>
      <c r="DF175" s="173">
        <f t="shared" si="547"/>
        <v>1.3975155279503106</v>
      </c>
      <c r="DG175" s="173">
        <f t="shared" si="548"/>
        <v>2.1418444504455847</v>
      </c>
      <c r="DH175" s="173"/>
      <c r="DI175" s="173">
        <f t="shared" si="549"/>
        <v>0.85106382978723416</v>
      </c>
      <c r="DJ175" s="545">
        <f t="shared" si="550"/>
        <v>1718.4374999999998</v>
      </c>
      <c r="DK175" s="528">
        <f t="shared" si="551"/>
        <v>0.79432624113475192</v>
      </c>
      <c r="DM175" s="173">
        <f t="shared" si="552"/>
        <v>2.9544155815611703</v>
      </c>
      <c r="DN175" s="173">
        <f t="shared" si="553"/>
        <v>3.3929078014184397</v>
      </c>
      <c r="DO175" s="173">
        <f t="shared" si="554"/>
        <v>2.7256107171000785</v>
      </c>
      <c r="DQ175" s="545">
        <f t="shared" si="555"/>
        <v>3900.0000000000005</v>
      </c>
      <c r="DR175" s="460">
        <f t="shared" si="556"/>
        <v>225.85475134506322</v>
      </c>
      <c r="DT175">
        <f t="shared" ref="DT175:DT209" si="591">IF(CL175&gt;CR175, " ",DQ175)</f>
        <v>3900.0000000000005</v>
      </c>
      <c r="DU175">
        <f t="shared" ref="DU175:DU209" si="592">IF(CL175&gt;CR175, " ",DR175)</f>
        <v>225.85475134506322</v>
      </c>
      <c r="DW175" s="5">
        <f t="shared" si="557"/>
        <v>4.4276243649715816</v>
      </c>
      <c r="DX175" s="5">
        <f t="shared" si="558"/>
        <v>2.26193853427896</v>
      </c>
      <c r="DY175" s="5">
        <f t="shared" si="559"/>
        <v>2.1656858306926217</v>
      </c>
      <c r="DZ175" s="5"/>
      <c r="EA175" s="173">
        <f t="shared" si="560"/>
        <v>0.51086956521739124</v>
      </c>
      <c r="EB175" s="173">
        <f t="shared" si="561"/>
        <v>15.6</v>
      </c>
      <c r="EC175" s="173">
        <f t="shared" si="562"/>
        <v>3.3191489361702131</v>
      </c>
      <c r="ED175" s="173">
        <f t="shared" si="563"/>
        <v>4.6999999999999993</v>
      </c>
      <c r="EE175" s="460">
        <f t="shared" si="564"/>
        <v>220.5390070921986</v>
      </c>
      <c r="EF175" s="5">
        <f t="shared" si="565"/>
        <v>1.5641064332780044</v>
      </c>
      <c r="EH175" s="173">
        <f t="shared" si="566"/>
        <v>1.4001238265626479</v>
      </c>
      <c r="EI175" s="173">
        <f t="shared" si="567"/>
        <v>5.4800404669069449</v>
      </c>
      <c r="EK175" s="528">
        <f t="shared" si="568"/>
        <v>2.3916230102442863E-2</v>
      </c>
      <c r="EL175" s="528">
        <f t="shared" si="569"/>
        <v>0.56399999999999983</v>
      </c>
      <c r="EM175" s="528">
        <f t="shared" si="570"/>
        <v>2.8231843918132899E-2</v>
      </c>
      <c r="EN175" s="528">
        <f t="shared" si="571"/>
        <v>3.0586153846153836E-2</v>
      </c>
      <c r="EO175">
        <f t="shared" si="572"/>
        <v>8.0999999999999996E-3</v>
      </c>
      <c r="EP175" s="460">
        <f t="shared" si="573"/>
        <v>36.331843918132897</v>
      </c>
      <c r="EQ175" s="460"/>
      <c r="ER175" s="460">
        <f t="shared" ref="ER175:ER210" si="593">SUM(EK175:EO175)*1000</f>
        <v>654.83422786672941</v>
      </c>
      <c r="ES175" s="528">
        <f t="shared" si="574"/>
        <v>2.73</v>
      </c>
      <c r="EV175" s="460">
        <f t="shared" si="494"/>
        <v>2730</v>
      </c>
      <c r="EW175" s="528">
        <f t="shared" si="575"/>
        <v>5.8810401891252945E-2</v>
      </c>
      <c r="EX175" s="528">
        <f t="shared" si="576"/>
        <v>0.90092530556813055</v>
      </c>
      <c r="EY175" s="528">
        <f t="shared" si="577"/>
        <v>0.81278041177063176</v>
      </c>
      <c r="EZ175" s="528"/>
      <c r="FA175" s="528">
        <f t="shared" si="578"/>
        <v>6.4999999999999988E-2</v>
      </c>
      <c r="FB175" s="460">
        <f t="shared" si="579"/>
        <v>1837.5161192300152</v>
      </c>
      <c r="FC175" s="173">
        <f t="shared" si="580"/>
        <v>5.2223503470967456</v>
      </c>
      <c r="FD175" s="5">
        <f t="shared" si="581"/>
        <v>15.600000000000001</v>
      </c>
      <c r="FE175" s="173">
        <f t="shared" si="582"/>
        <v>0.74919496310247724</v>
      </c>
      <c r="FF175" s="5">
        <f t="shared" si="583"/>
        <v>74.919496310247723</v>
      </c>
      <c r="FI175" s="562">
        <f t="shared" si="584"/>
        <v>-50</v>
      </c>
      <c r="FJ175">
        <f t="shared" si="585"/>
        <v>-50</v>
      </c>
      <c r="FL175">
        <f t="shared" si="586"/>
        <v>0.48913043478260876</v>
      </c>
    </row>
    <row r="176" spans="5:168">
      <c r="E176" s="170">
        <v>66</v>
      </c>
      <c r="F176" s="217">
        <f t="shared" si="587"/>
        <v>3.96</v>
      </c>
      <c r="G176" s="217"/>
      <c r="H176" s="217">
        <f t="shared" si="495"/>
        <v>15.84</v>
      </c>
      <c r="I176" s="541">
        <f t="shared" si="496"/>
        <v>17.912599935270634</v>
      </c>
      <c r="J176" s="172">
        <f t="shared" si="497"/>
        <v>19.794123959006985</v>
      </c>
      <c r="K176" s="172">
        <f t="shared" si="498"/>
        <v>37.706723894277616</v>
      </c>
      <c r="L176" s="443"/>
      <c r="M176" s="217">
        <f t="shared" si="499"/>
        <v>0.52466450149190702</v>
      </c>
      <c r="N176" s="172">
        <f t="shared" si="500"/>
        <v>31.538475087807022</v>
      </c>
      <c r="O176" s="172">
        <f t="shared" si="438"/>
        <v>15.84</v>
      </c>
      <c r="P176" s="217">
        <f t="shared" si="501"/>
        <v>7.8846187719517555</v>
      </c>
      <c r="Q176" s="217">
        <f t="shared" si="502"/>
        <v>4</v>
      </c>
      <c r="R176" s="217"/>
      <c r="S176" s="172">
        <f t="shared" si="503"/>
        <v>10.870713267875169</v>
      </c>
      <c r="T176" s="536">
        <f t="shared" si="504"/>
        <v>4</v>
      </c>
      <c r="U176" s="217">
        <f t="shared" si="505"/>
        <v>4.1654789221812951</v>
      </c>
      <c r="V176" s="217">
        <f t="shared" si="506"/>
        <v>2.7905355585903298</v>
      </c>
      <c r="W176" s="217">
        <f t="shared" si="507"/>
        <v>2.5252821074423131</v>
      </c>
      <c r="X176" s="197">
        <f t="shared" si="508"/>
        <v>350</v>
      </c>
      <c r="Y176" s="443">
        <f t="shared" si="509"/>
        <v>181.29678327805729</v>
      </c>
      <c r="AA176" s="217">
        <f t="shared" si="510"/>
        <v>2.2388593997754196</v>
      </c>
      <c r="AB176" s="173">
        <f t="shared" si="511"/>
        <v>1.3572872865171672</v>
      </c>
      <c r="AC176" s="173">
        <f t="shared" si="512"/>
        <v>2.1271427797302431</v>
      </c>
      <c r="AD176" s="173"/>
      <c r="AE176" s="173">
        <f t="shared" si="513"/>
        <v>0.80832069320852518</v>
      </c>
      <c r="AF176" s="545">
        <f t="shared" si="514"/>
        <v>1837.1421299453352</v>
      </c>
      <c r="AG176" s="528">
        <f t="shared" si="515"/>
        <v>0.75443264699462353</v>
      </c>
      <c r="AI176" s="173">
        <f t="shared" si="516"/>
        <v>3.0547529492046852</v>
      </c>
      <c r="AJ176" s="173">
        <f t="shared" si="517"/>
        <v>4.1654789221812951</v>
      </c>
      <c r="AK176" s="173">
        <f t="shared" si="518"/>
        <v>3.2978856213688603</v>
      </c>
      <c r="AM176" s="545">
        <f t="shared" si="519"/>
        <v>3960</v>
      </c>
      <c r="AN176" s="460">
        <f t="shared" si="520"/>
        <v>181.29678327805729</v>
      </c>
      <c r="AP176">
        <f t="shared" si="521"/>
        <v>3960</v>
      </c>
      <c r="AQ176">
        <f t="shared" si="522"/>
        <v>181.29678327805729</v>
      </c>
      <c r="AS176" s="5">
        <f t="shared" si="439"/>
        <v>5.5158176660326443</v>
      </c>
      <c r="AT176" s="5">
        <f t="shared" si="523"/>
        <v>2.7905355585903298</v>
      </c>
      <c r="AU176" s="5">
        <f t="shared" si="478"/>
        <v>2.7252821074423146</v>
      </c>
      <c r="AV176" s="5"/>
      <c r="AW176" s="173">
        <f t="shared" si="479"/>
        <v>0.50591512039546349</v>
      </c>
      <c r="AX176" s="173">
        <f t="shared" si="435"/>
        <v>18.874316413309035</v>
      </c>
      <c r="AY176" s="173">
        <f t="shared" si="436"/>
        <v>4.1162003035223593</v>
      </c>
      <c r="AZ176" s="173">
        <f t="shared" si="440"/>
        <v>4.585373650829796</v>
      </c>
      <c r="BA176" s="460">
        <f t="shared" si="433"/>
        <v>276.26302030044263</v>
      </c>
      <c r="BB176" s="5">
        <f t="shared" si="434"/>
        <v>2.0082915907369108</v>
      </c>
      <c r="BD176" s="173">
        <f t="shared" si="441"/>
        <v>1.7105790295722796</v>
      </c>
      <c r="BE176" s="173">
        <f t="shared" si="437"/>
        <v>6.7618430631100646</v>
      </c>
      <c r="BG176" s="528">
        <f t="shared" si="480"/>
        <v>3.569818352023179E-2</v>
      </c>
      <c r="BH176" s="528">
        <f t="shared" si="524"/>
        <v>0.53391867641865964</v>
      </c>
      <c r="BI176" s="528">
        <f t="shared" si="525"/>
        <v>8.118741871028258E-2</v>
      </c>
      <c r="BJ176" s="528">
        <f t="shared" si="481"/>
        <v>2.5776722744026832E-2</v>
      </c>
      <c r="BK176">
        <f t="shared" si="482"/>
        <v>8.0606699708717852E-3</v>
      </c>
      <c r="BL176" s="460">
        <f t="shared" si="588"/>
        <v>89.248088681154357</v>
      </c>
      <c r="BM176" s="528">
        <f t="shared" si="526"/>
        <v>0.61020780675376429</v>
      </c>
      <c r="BN176" s="460">
        <f t="shared" si="527"/>
        <v>610.20780675376432</v>
      </c>
      <c r="BO176" s="528">
        <f t="shared" si="483"/>
        <v>2.7719999999999998</v>
      </c>
      <c r="BR176" s="460">
        <f t="shared" si="484"/>
        <v>2772</v>
      </c>
      <c r="BS176" s="528">
        <f t="shared" si="485"/>
        <v>8.7782418492373254E-2</v>
      </c>
      <c r="BT176" s="528">
        <f t="shared" si="486"/>
        <v>1.371675648303891</v>
      </c>
      <c r="BU176" s="528">
        <f t="shared" si="487"/>
        <v>0.78362377468786959</v>
      </c>
      <c r="BV176" s="528"/>
      <c r="BW176" s="528">
        <f t="shared" si="488"/>
        <v>7.864298505545432E-2</v>
      </c>
      <c r="BX176" s="460">
        <f t="shared" si="489"/>
        <v>2321.7248265395883</v>
      </c>
      <c r="BY176" s="173">
        <f t="shared" si="490"/>
        <v>5.7783664979036606</v>
      </c>
      <c r="BZ176" s="5">
        <f t="shared" si="491"/>
        <v>15.84</v>
      </c>
      <c r="CA176" s="173">
        <f t="shared" si="492"/>
        <v>0.73271030915013902</v>
      </c>
      <c r="CB176" s="5">
        <f t="shared" si="493"/>
        <v>73.271030915013895</v>
      </c>
      <c r="CE176" s="562">
        <f t="shared" si="528"/>
        <v>-50</v>
      </c>
      <c r="CF176">
        <f t="shared" si="529"/>
        <v>-50</v>
      </c>
      <c r="CG176" s="173">
        <f t="shared" si="530"/>
        <v>0.47800879929970769</v>
      </c>
      <c r="CI176" s="170">
        <v>66</v>
      </c>
      <c r="CJ176" s="217">
        <f t="shared" si="589"/>
        <v>3.96</v>
      </c>
      <c r="CK176" s="217"/>
      <c r="CL176" s="217">
        <f t="shared" si="531"/>
        <v>15.84</v>
      </c>
      <c r="CM176" s="541">
        <f t="shared" si="532"/>
        <v>18</v>
      </c>
      <c r="CN176" s="443">
        <f t="shared" si="533"/>
        <v>18.8</v>
      </c>
      <c r="CO176" s="443">
        <f t="shared" si="534"/>
        <v>36.799999999999997</v>
      </c>
      <c r="CP176" s="443"/>
      <c r="CQ176" s="217">
        <f t="shared" si="535"/>
        <v>0.51086956521739135</v>
      </c>
      <c r="CR176" s="172">
        <f t="shared" si="590"/>
        <v>30.859076086956527</v>
      </c>
      <c r="CS176" s="172">
        <f t="shared" si="536"/>
        <v>15.84</v>
      </c>
      <c r="CT176" s="217">
        <f t="shared" si="537"/>
        <v>7.7147690217391318</v>
      </c>
      <c r="CU176" s="217">
        <f t="shared" si="538"/>
        <v>4</v>
      </c>
      <c r="CV176" s="217"/>
      <c r="CW176" s="172">
        <f t="shared" si="539"/>
        <v>10.922540240255204</v>
      </c>
      <c r="CX176" s="536">
        <f t="shared" si="540"/>
        <v>4</v>
      </c>
      <c r="CY176" s="217">
        <f t="shared" si="541"/>
        <v>3.445106382978723</v>
      </c>
      <c r="CZ176" s="217">
        <f t="shared" si="542"/>
        <v>2.2967375886524821</v>
      </c>
      <c r="DA176" s="217">
        <f t="shared" si="543"/>
        <v>2.199004074241738</v>
      </c>
      <c r="DB176" s="197">
        <f t="shared" si="544"/>
        <v>350</v>
      </c>
      <c r="DC176" s="443">
        <f t="shared" si="545"/>
        <v>222.43270965801688</v>
      </c>
      <c r="DE176" s="217">
        <f t="shared" si="546"/>
        <v>2.18944099378882</v>
      </c>
      <c r="DF176" s="173">
        <f t="shared" si="547"/>
        <v>1.3975155279503106</v>
      </c>
      <c r="DG176" s="173">
        <f t="shared" si="548"/>
        <v>2.1418444504455847</v>
      </c>
      <c r="DH176" s="173"/>
      <c r="DI176" s="173">
        <f t="shared" si="549"/>
        <v>0.85106382978723416</v>
      </c>
      <c r="DJ176" s="545">
        <f t="shared" si="550"/>
        <v>1744.8749999999995</v>
      </c>
      <c r="DK176" s="528">
        <f t="shared" si="551"/>
        <v>0.79432624113475192</v>
      </c>
      <c r="DM176" s="173">
        <f t="shared" si="552"/>
        <v>2.9770551124991194</v>
      </c>
      <c r="DN176" s="173">
        <f t="shared" si="553"/>
        <v>3.445106382978723</v>
      </c>
      <c r="DO176" s="173">
        <f t="shared" si="554"/>
        <v>2.7642763330706588</v>
      </c>
      <c r="DQ176" s="545">
        <f t="shared" si="555"/>
        <v>3960</v>
      </c>
      <c r="DR176" s="460">
        <f t="shared" si="556"/>
        <v>222.43270965801688</v>
      </c>
      <c r="DT176">
        <f t="shared" si="591"/>
        <v>3960</v>
      </c>
      <c r="DU176">
        <f t="shared" si="592"/>
        <v>222.43270965801688</v>
      </c>
      <c r="DW176" s="5">
        <f t="shared" si="557"/>
        <v>4.4957416628942193</v>
      </c>
      <c r="DX176" s="5">
        <f t="shared" si="558"/>
        <v>2.2967375886524821</v>
      </c>
      <c r="DY176" s="5">
        <f t="shared" si="559"/>
        <v>2.1990040742417372</v>
      </c>
      <c r="DZ176" s="5"/>
      <c r="EA176" s="173">
        <f t="shared" si="560"/>
        <v>0.51086956521739146</v>
      </c>
      <c r="EB176" s="173">
        <f t="shared" si="561"/>
        <v>15.84</v>
      </c>
      <c r="EC176" s="173">
        <f t="shared" si="562"/>
        <v>3.3702127659574455</v>
      </c>
      <c r="ED176" s="173">
        <f t="shared" si="563"/>
        <v>4.700000000000002</v>
      </c>
      <c r="EE176" s="460">
        <f t="shared" si="564"/>
        <v>227.37702127659571</v>
      </c>
      <c r="EF176" s="5">
        <f t="shared" si="565"/>
        <v>1.6126029877772736</v>
      </c>
      <c r="EH176" s="173">
        <f t="shared" si="566"/>
        <v>1.4216641931251504</v>
      </c>
      <c r="EI176" s="173">
        <f t="shared" si="567"/>
        <v>5.5643487817824342</v>
      </c>
      <c r="EK176" s="528">
        <f t="shared" si="568"/>
        <v>2.465777475177305E-2</v>
      </c>
      <c r="EL176" s="528">
        <f t="shared" si="569"/>
        <v>0.56399999999999995</v>
      </c>
      <c r="EM176" s="528">
        <f t="shared" si="570"/>
        <v>2.7804088707252109E-2</v>
      </c>
      <c r="EN176" s="528">
        <f t="shared" si="571"/>
        <v>3.0122727272727273E-2</v>
      </c>
      <c r="EO176">
        <f t="shared" si="572"/>
        <v>8.0999999999999996E-3</v>
      </c>
      <c r="EP176" s="460">
        <f t="shared" si="573"/>
        <v>35.904088707252107</v>
      </c>
      <c r="EQ176" s="460"/>
      <c r="ER176" s="460">
        <f t="shared" si="593"/>
        <v>654.68459073175234</v>
      </c>
      <c r="ES176" s="528">
        <f t="shared" si="574"/>
        <v>2.7719999999999998</v>
      </c>
      <c r="EV176" s="460">
        <f t="shared" si="494"/>
        <v>2772</v>
      </c>
      <c r="EW176" s="528">
        <f t="shared" si="575"/>
        <v>6.0633872340425533E-2</v>
      </c>
      <c r="EX176" s="528">
        <f t="shared" si="576"/>
        <v>0.92885932095970969</v>
      </c>
      <c r="EY176" s="528">
        <f t="shared" si="577"/>
        <v>0.81278041177063176</v>
      </c>
      <c r="EZ176" s="528"/>
      <c r="FA176" s="528">
        <f t="shared" si="578"/>
        <v>6.5999999999999989E-2</v>
      </c>
      <c r="FB176" s="460">
        <f t="shared" si="579"/>
        <v>1868.273605070767</v>
      </c>
      <c r="FC176" s="173">
        <f t="shared" si="580"/>
        <v>5.2949581958025194</v>
      </c>
      <c r="FD176" s="5">
        <f t="shared" si="581"/>
        <v>15.84</v>
      </c>
      <c r="FE176" s="173">
        <f t="shared" si="582"/>
        <v>0.74946919001457424</v>
      </c>
      <c r="FF176" s="5">
        <f t="shared" si="583"/>
        <v>74.946919001457417</v>
      </c>
      <c r="FI176" s="562">
        <f t="shared" si="584"/>
        <v>-50</v>
      </c>
      <c r="FJ176">
        <f t="shared" si="585"/>
        <v>-50</v>
      </c>
      <c r="FL176">
        <f t="shared" si="586"/>
        <v>0.48913043478260854</v>
      </c>
    </row>
    <row r="177" spans="5:168">
      <c r="E177" s="170">
        <v>67</v>
      </c>
      <c r="F177" s="217">
        <f t="shared" si="587"/>
        <v>4.0200000000000005</v>
      </c>
      <c r="G177" s="217"/>
      <c r="H177" s="217">
        <f t="shared" si="495"/>
        <v>16.080000000000002</v>
      </c>
      <c r="I177" s="541">
        <f t="shared" si="496"/>
        <v>17.911306491800378</v>
      </c>
      <c r="J177" s="172">
        <f t="shared" si="497"/>
        <v>19.808836112223204</v>
      </c>
      <c r="K177" s="172">
        <f t="shared" si="498"/>
        <v>37.720142604023579</v>
      </c>
      <c r="L177" s="443"/>
      <c r="M177" s="217">
        <f t="shared" si="499"/>
        <v>0.52486811056267857</v>
      </c>
      <c r="N177" s="172">
        <f t="shared" si="500"/>
        <v>31.548436142779035</v>
      </c>
      <c r="O177" s="172">
        <f t="shared" si="438"/>
        <v>16.080000000000002</v>
      </c>
      <c r="P177" s="217">
        <f t="shared" si="501"/>
        <v>7.8871090356947589</v>
      </c>
      <c r="Q177" s="217">
        <f t="shared" si="502"/>
        <v>4</v>
      </c>
      <c r="R177" s="217"/>
      <c r="S177" s="172">
        <f t="shared" si="503"/>
        <v>10.650164488597287</v>
      </c>
      <c r="T177" s="536">
        <f t="shared" si="504"/>
        <v>4</v>
      </c>
      <c r="U177" s="217">
        <f t="shared" si="505"/>
        <v>4.2304043249556642</v>
      </c>
      <c r="V177" s="217">
        <f t="shared" si="506"/>
        <v>2.8342350080775862</v>
      </c>
      <c r="W177" s="217">
        <f t="shared" si="507"/>
        <v>2.5627377404643732</v>
      </c>
      <c r="X177" s="197">
        <f t="shared" si="508"/>
        <v>350</v>
      </c>
      <c r="Y177" s="443">
        <f t="shared" si="509"/>
        <v>178.6680130362445</v>
      </c>
      <c r="AA177" s="217">
        <f t="shared" si="510"/>
        <v>2.2395646713500086</v>
      </c>
      <c r="AB177" s="173">
        <f t="shared" si="511"/>
        <v>1.3567064669497064</v>
      </c>
      <c r="AC177" s="173">
        <f t="shared" si="512"/>
        <v>2.1269023109408556</v>
      </c>
      <c r="AD177" s="173"/>
      <c r="AE177" s="173">
        <f t="shared" si="513"/>
        <v>0.80772034809895121</v>
      </c>
      <c r="AF177" s="545">
        <f t="shared" si="514"/>
        <v>1866.3637774485298</v>
      </c>
      <c r="AG177" s="528">
        <f t="shared" si="515"/>
        <v>0.75387232489235456</v>
      </c>
      <c r="AI177" s="173">
        <f t="shared" si="516"/>
        <v>3.0789516067265432</v>
      </c>
      <c r="AJ177" s="173">
        <f t="shared" si="517"/>
        <v>4.2304043249556642</v>
      </c>
      <c r="AK177" s="173">
        <f t="shared" si="518"/>
        <v>3.3459785123128372</v>
      </c>
      <c r="AM177" s="545">
        <f t="shared" si="519"/>
        <v>4020.0000000000005</v>
      </c>
      <c r="AN177" s="460">
        <f t="shared" si="520"/>
        <v>178.6680130362445</v>
      </c>
      <c r="AP177">
        <f t="shared" si="521"/>
        <v>4020.0000000000005</v>
      </c>
      <c r="AQ177">
        <f t="shared" si="522"/>
        <v>178.6680130362445</v>
      </c>
      <c r="AS177" s="5">
        <f t="shared" si="439"/>
        <v>5.5969727485419591</v>
      </c>
      <c r="AT177" s="5">
        <f t="shared" si="523"/>
        <v>2.8342350080775862</v>
      </c>
      <c r="AU177" s="5">
        <f t="shared" si="478"/>
        <v>2.7627377404643729</v>
      </c>
      <c r="AV177" s="5"/>
      <c r="AW177" s="173">
        <f t="shared" si="479"/>
        <v>0.50638713737098673</v>
      </c>
      <c r="AX177" s="173">
        <f t="shared" si="435"/>
        <v>19.185000417161948</v>
      </c>
      <c r="AY177" s="173">
        <f t="shared" si="436"/>
        <v>4.1763639778390482</v>
      </c>
      <c r="AZ177" s="173">
        <f t="shared" si="440"/>
        <v>4.5937089101818973</v>
      </c>
      <c r="BA177" s="460">
        <f t="shared" si="433"/>
        <v>284.84061831179741</v>
      </c>
      <c r="BB177" s="5">
        <f t="shared" si="434"/>
        <v>2.0668891875179685</v>
      </c>
      <c r="BD177" s="173">
        <f t="shared" si="441"/>
        <v>1.7380512684597766</v>
      </c>
      <c r="BE177" s="173">
        <f t="shared" si="437"/>
        <v>6.8639557563530085</v>
      </c>
      <c r="BG177" s="528">
        <f t="shared" si="480"/>
        <v>3.6854030983894587E-2</v>
      </c>
      <c r="BH177" s="528">
        <f t="shared" si="524"/>
        <v>0.53456840056386379</v>
      </c>
      <c r="BI177" s="528">
        <f t="shared" si="525"/>
        <v>8.000443854432901E-2</v>
      </c>
      <c r="BJ177" s="528">
        <f t="shared" si="481"/>
        <v>2.5421048520175914E-2</v>
      </c>
      <c r="BK177">
        <f t="shared" si="482"/>
        <v>8.0600879213101693E-3</v>
      </c>
      <c r="BL177" s="460">
        <f t="shared" si="588"/>
        <v>88.06452646563919</v>
      </c>
      <c r="BM177" s="528">
        <f t="shared" si="526"/>
        <v>0.61215440939237808</v>
      </c>
      <c r="BN177" s="460">
        <f t="shared" si="527"/>
        <v>612.15440939237806</v>
      </c>
      <c r="BO177" s="528">
        <f t="shared" si="483"/>
        <v>2.8140000000000001</v>
      </c>
      <c r="BR177" s="460">
        <f t="shared" si="484"/>
        <v>2814</v>
      </c>
      <c r="BS177" s="528">
        <f t="shared" si="485"/>
        <v>9.0624666353839159E-2</v>
      </c>
      <c r="BT177" s="528">
        <f t="shared" si="486"/>
        <v>1.4134166587551478</v>
      </c>
      <c r="BU177" s="528">
        <f t="shared" si="487"/>
        <v>0.78531106582716248</v>
      </c>
      <c r="BV177" s="528"/>
      <c r="BW177" s="528">
        <f t="shared" si="488"/>
        <v>7.9937501738174793E-2</v>
      </c>
      <c r="BX177" s="460">
        <f t="shared" si="489"/>
        <v>2369.2898926743242</v>
      </c>
      <c r="BY177" s="173">
        <f t="shared" si="490"/>
        <v>5.8681978992078978</v>
      </c>
      <c r="BZ177" s="5">
        <f t="shared" si="491"/>
        <v>16.080000000000002</v>
      </c>
      <c r="CA177" s="173">
        <f t="shared" si="492"/>
        <v>0.73263418135027492</v>
      </c>
      <c r="CB177" s="5">
        <f t="shared" si="493"/>
        <v>73.263418135027493</v>
      </c>
      <c r="CE177" s="562">
        <f t="shared" si="528"/>
        <v>-50</v>
      </c>
      <c r="CF177">
        <f t="shared" si="529"/>
        <v>-50</v>
      </c>
      <c r="CG177" s="173">
        <f t="shared" si="530"/>
        <v>0.47817479385915418</v>
      </c>
      <c r="CI177" s="170">
        <v>67</v>
      </c>
      <c r="CJ177" s="217">
        <f t="shared" si="589"/>
        <v>4.0200000000000005</v>
      </c>
      <c r="CK177" s="217"/>
      <c r="CL177" s="217">
        <f t="shared" si="531"/>
        <v>16.080000000000002</v>
      </c>
      <c r="CM177" s="541">
        <f t="shared" si="532"/>
        <v>18</v>
      </c>
      <c r="CN177" s="443">
        <f t="shared" si="533"/>
        <v>18.8</v>
      </c>
      <c r="CO177" s="443">
        <f t="shared" si="534"/>
        <v>36.799999999999997</v>
      </c>
      <c r="CP177" s="443"/>
      <c r="CQ177" s="217">
        <f t="shared" si="535"/>
        <v>0.51086956521739135</v>
      </c>
      <c r="CR177" s="172">
        <f t="shared" si="590"/>
        <v>30.859076086956527</v>
      </c>
      <c r="CS177" s="172">
        <f t="shared" si="536"/>
        <v>16.080000000000002</v>
      </c>
      <c r="CT177" s="217">
        <f t="shared" si="537"/>
        <v>7.7147690217391318</v>
      </c>
      <c r="CU177" s="217">
        <f t="shared" si="538"/>
        <v>4</v>
      </c>
      <c r="CV177" s="217"/>
      <c r="CW177" s="172">
        <f t="shared" si="539"/>
        <v>10.701648961674765</v>
      </c>
      <c r="CX177" s="536">
        <f t="shared" si="540"/>
        <v>4</v>
      </c>
      <c r="CY177" s="217">
        <f t="shared" si="541"/>
        <v>3.4973049645390071</v>
      </c>
      <c r="CZ177" s="217">
        <f t="shared" si="542"/>
        <v>2.3315366430260047</v>
      </c>
      <c r="DA177" s="217">
        <f t="shared" si="543"/>
        <v>2.2323223177908558</v>
      </c>
      <c r="DB177" s="197">
        <f t="shared" si="544"/>
        <v>350</v>
      </c>
      <c r="DC177" s="443">
        <f t="shared" si="545"/>
        <v>219.1128184690912</v>
      </c>
      <c r="DE177" s="217">
        <f t="shared" si="546"/>
        <v>2.18944099378882</v>
      </c>
      <c r="DF177" s="173">
        <f t="shared" si="547"/>
        <v>1.3975155279503106</v>
      </c>
      <c r="DG177" s="173">
        <f t="shared" si="548"/>
        <v>2.1418444504455847</v>
      </c>
      <c r="DH177" s="173"/>
      <c r="DI177" s="173">
        <f t="shared" si="549"/>
        <v>0.85106382978723416</v>
      </c>
      <c r="DJ177" s="545">
        <f t="shared" si="550"/>
        <v>1771.3124999999998</v>
      </c>
      <c r="DK177" s="528">
        <f t="shared" si="551"/>
        <v>0.79432624113475192</v>
      </c>
      <c r="DM177" s="173">
        <f t="shared" si="552"/>
        <v>2.9995237717249146</v>
      </c>
      <c r="DN177" s="173">
        <f t="shared" si="553"/>
        <v>3.4973049645390071</v>
      </c>
      <c r="DO177" s="173">
        <f t="shared" si="554"/>
        <v>2.8029419490412399</v>
      </c>
      <c r="DQ177" s="545">
        <f t="shared" si="555"/>
        <v>4020.0000000000005</v>
      </c>
      <c r="DR177" s="460">
        <f t="shared" si="556"/>
        <v>219.1128184690912</v>
      </c>
      <c r="DT177">
        <f t="shared" si="591"/>
        <v>4020.0000000000005</v>
      </c>
      <c r="DU177">
        <f t="shared" si="592"/>
        <v>219.1128184690912</v>
      </c>
      <c r="DW177" s="5">
        <f t="shared" si="557"/>
        <v>4.5638589608168605</v>
      </c>
      <c r="DX177" s="5">
        <f t="shared" si="558"/>
        <v>2.3315366430260047</v>
      </c>
      <c r="DY177" s="5">
        <f t="shared" si="559"/>
        <v>2.2323223177908558</v>
      </c>
      <c r="DZ177" s="5"/>
      <c r="EA177" s="173">
        <f t="shared" si="560"/>
        <v>0.51086956521739124</v>
      </c>
      <c r="EB177" s="173">
        <f t="shared" si="561"/>
        <v>16.079999999999998</v>
      </c>
      <c r="EC177" s="173">
        <f t="shared" si="562"/>
        <v>3.4212765957446813</v>
      </c>
      <c r="ED177" s="173">
        <f t="shared" si="563"/>
        <v>4.6999999999999984</v>
      </c>
      <c r="EE177" s="460">
        <f t="shared" si="564"/>
        <v>234.31943262411352</v>
      </c>
      <c r="EF177" s="5">
        <f t="shared" si="565"/>
        <v>1.6618399476887482</v>
      </c>
      <c r="EH177" s="173">
        <f t="shared" si="566"/>
        <v>1.4432045596876524</v>
      </c>
      <c r="EI177" s="173">
        <f t="shared" si="567"/>
        <v>5.6486570966579279</v>
      </c>
      <c r="EK177" s="528">
        <f t="shared" si="568"/>
        <v>2.541064069345941E-2</v>
      </c>
      <c r="EL177" s="528">
        <f t="shared" si="569"/>
        <v>0.56399999999999983</v>
      </c>
      <c r="EM177" s="528">
        <f t="shared" si="570"/>
        <v>2.7389102308636396E-2</v>
      </c>
      <c r="EN177" s="528">
        <f t="shared" si="571"/>
        <v>2.9673134328358202E-2</v>
      </c>
      <c r="EO177">
        <f t="shared" si="572"/>
        <v>8.0999999999999996E-3</v>
      </c>
      <c r="EP177" s="460">
        <f t="shared" si="573"/>
        <v>35.489102308636397</v>
      </c>
      <c r="EQ177" s="460"/>
      <c r="ER177" s="460">
        <f t="shared" si="593"/>
        <v>654.57287733045393</v>
      </c>
      <c r="ES177" s="528">
        <f t="shared" si="574"/>
        <v>2.8140000000000001</v>
      </c>
      <c r="EV177" s="460">
        <f t="shared" si="494"/>
        <v>2814</v>
      </c>
      <c r="EW177" s="528">
        <f t="shared" si="575"/>
        <v>6.2485182033096914E-2</v>
      </c>
      <c r="EX177" s="528">
        <f t="shared" si="576"/>
        <v>0.95721980986871913</v>
      </c>
      <c r="EY177" s="528">
        <f t="shared" si="577"/>
        <v>0.81278041177063187</v>
      </c>
      <c r="EZ177" s="528"/>
      <c r="FA177" s="528">
        <f t="shared" si="578"/>
        <v>6.7000000000000004E-2</v>
      </c>
      <c r="FB177" s="460">
        <f t="shared" si="579"/>
        <v>1899.4854036724478</v>
      </c>
      <c r="FC177" s="173">
        <f t="shared" si="580"/>
        <v>5.3680582810029023</v>
      </c>
      <c r="FD177" s="5">
        <f t="shared" si="581"/>
        <v>16.080000000000002</v>
      </c>
      <c r="FE177" s="173">
        <f t="shared" si="582"/>
        <v>0.74971821641507153</v>
      </c>
      <c r="FF177" s="5">
        <f t="shared" si="583"/>
        <v>74.971821641507148</v>
      </c>
      <c r="FI177" s="562">
        <f t="shared" si="584"/>
        <v>-50</v>
      </c>
      <c r="FJ177">
        <f t="shared" si="585"/>
        <v>-50</v>
      </c>
      <c r="FL177">
        <f t="shared" si="586"/>
        <v>0.48913043478260876</v>
      </c>
    </row>
    <row r="178" spans="5:168">
      <c r="E178" s="170">
        <v>68</v>
      </c>
      <c r="F178" s="217">
        <f t="shared" si="587"/>
        <v>4.08</v>
      </c>
      <c r="G178" s="217"/>
      <c r="H178" s="217">
        <f t="shared" si="495"/>
        <v>16.32</v>
      </c>
      <c r="I178" s="541">
        <f t="shared" si="496"/>
        <v>17.910013027582146</v>
      </c>
      <c r="J178" s="172">
        <f t="shared" si="497"/>
        <v>19.823548501435329</v>
      </c>
      <c r="K178" s="172">
        <f t="shared" si="498"/>
        <v>37.733561529017479</v>
      </c>
      <c r="L178" s="443"/>
      <c r="M178" s="217">
        <f t="shared" si="499"/>
        <v>0.52507157493701906</v>
      </c>
      <c r="N178" s="172">
        <f t="shared" si="500"/>
        <v>31.558386696936495</v>
      </c>
      <c r="O178" s="172">
        <f t="shared" si="438"/>
        <v>16.32</v>
      </c>
      <c r="P178" s="217">
        <f t="shared" si="501"/>
        <v>7.8895966742341237</v>
      </c>
      <c r="Q178" s="217">
        <f t="shared" si="502"/>
        <v>4</v>
      </c>
      <c r="R178" s="217"/>
      <c r="S178" s="172">
        <f t="shared" si="503"/>
        <v>10.436304874651968</v>
      </c>
      <c r="T178" s="536">
        <f t="shared" si="504"/>
        <v>4</v>
      </c>
      <c r="U178" s="217">
        <f t="shared" si="505"/>
        <v>4.2953840880959531</v>
      </c>
      <c r="V178" s="217">
        <f t="shared" si="506"/>
        <v>2.8779771950902915</v>
      </c>
      <c r="W178" s="217">
        <f t="shared" si="507"/>
        <v>2.6001706532722606</v>
      </c>
      <c r="X178" s="197">
        <f t="shared" si="508"/>
        <v>350</v>
      </c>
      <c r="Y178" s="443">
        <f t="shared" si="509"/>
        <v>176.11376573936465</v>
      </c>
      <c r="AA178" s="217">
        <f t="shared" si="510"/>
        <v>2.240269212459602</v>
      </c>
      <c r="AB178" s="173">
        <f t="shared" si="511"/>
        <v>1.3561260511743767</v>
      </c>
      <c r="AC178" s="173">
        <f t="shared" si="512"/>
        <v>2.1266612084622598</v>
      </c>
      <c r="AD178" s="173"/>
      <c r="AE178" s="173">
        <f t="shared" si="513"/>
        <v>0.80712088447946229</v>
      </c>
      <c r="AF178" s="545">
        <f t="shared" si="514"/>
        <v>1895.6268254497529</v>
      </c>
      <c r="AG178" s="528">
        <f t="shared" si="515"/>
        <v>0.7533128255141649</v>
      </c>
      <c r="AI178" s="173">
        <f t="shared" si="516"/>
        <v>3.1029954400058597</v>
      </c>
      <c r="AJ178" s="173">
        <f t="shared" si="517"/>
        <v>4.2953840880959531</v>
      </c>
      <c r="AK178" s="173">
        <f t="shared" si="518"/>
        <v>3.3941116701945333</v>
      </c>
      <c r="AM178" s="545">
        <f t="shared" si="519"/>
        <v>4080</v>
      </c>
      <c r="AN178" s="460">
        <f t="shared" si="520"/>
        <v>176.11376573936465</v>
      </c>
      <c r="AP178">
        <f t="shared" si="521"/>
        <v>4080</v>
      </c>
      <c r="AQ178">
        <f t="shared" si="522"/>
        <v>176.11376573936465</v>
      </c>
      <c r="AS178" s="5">
        <f t="shared" si="439"/>
        <v>5.6781478483625527</v>
      </c>
      <c r="AT178" s="5">
        <f t="shared" si="523"/>
        <v>2.8779771950902915</v>
      </c>
      <c r="AU178" s="5">
        <f t="shared" si="478"/>
        <v>2.8001706532722612</v>
      </c>
      <c r="AV178" s="5"/>
      <c r="AW178" s="173">
        <f t="shared" si="479"/>
        <v>0.50685140153936536</v>
      </c>
      <c r="AX178" s="173">
        <f t="shared" si="435"/>
        <v>19.496136723092071</v>
      </c>
      <c r="AY178" s="173">
        <f t="shared" si="436"/>
        <v>4.236525285789261</v>
      </c>
      <c r="AZ178" s="173">
        <f t="shared" si="440"/>
        <v>4.601916761476371</v>
      </c>
      <c r="BA178" s="460">
        <f t="shared" si="433"/>
        <v>293.55367389920974</v>
      </c>
      <c r="BB178" s="5">
        <f t="shared" si="434"/>
        <v>2.1263145272900936</v>
      </c>
      <c r="BD178" s="173">
        <f t="shared" si="441"/>
        <v>1.765556835068399</v>
      </c>
      <c r="BE178" s="173">
        <f t="shared" si="437"/>
        <v>6.9661090624815527</v>
      </c>
      <c r="BG178" s="528">
        <f t="shared" si="480"/>
        <v>3.8029729441852247E-2</v>
      </c>
      <c r="BH178" s="528">
        <f t="shared" si="524"/>
        <v>0.53521019565056593</v>
      </c>
      <c r="BI178" s="528">
        <f t="shared" si="525"/>
        <v>7.885499596821427E-2</v>
      </c>
      <c r="BJ178" s="528">
        <f t="shared" si="481"/>
        <v>2.5075459528140776E-2</v>
      </c>
      <c r="BK178">
        <f t="shared" si="482"/>
        <v>8.0595058624119646E-3</v>
      </c>
      <c r="BL178" s="460">
        <f t="shared" si="588"/>
        <v>86.914501830626236</v>
      </c>
      <c r="BM178" s="528">
        <f t="shared" si="526"/>
        <v>0.61413263032060661</v>
      </c>
      <c r="BN178" s="460">
        <f t="shared" si="527"/>
        <v>614.13263032060661</v>
      </c>
      <c r="BO178" s="528">
        <f t="shared" si="483"/>
        <v>2.8559999999999999</v>
      </c>
      <c r="BR178" s="460">
        <f t="shared" si="484"/>
        <v>2856</v>
      </c>
      <c r="BS178" s="528">
        <f t="shared" si="485"/>
        <v>9.3515728135702261E-2</v>
      </c>
      <c r="BT178" s="528">
        <f t="shared" si="486"/>
        <v>1.4558002641116283</v>
      </c>
      <c r="BU178" s="528">
        <f t="shared" si="487"/>
        <v>0.78697017388417589</v>
      </c>
      <c r="BV178" s="528"/>
      <c r="BW178" s="528">
        <f t="shared" si="488"/>
        <v>8.1233903012883649E-2</v>
      </c>
      <c r="BX178" s="460">
        <f t="shared" si="489"/>
        <v>2417.5200691443897</v>
      </c>
      <c r="BY178" s="173">
        <f t="shared" si="490"/>
        <v>5.9587499555955743</v>
      </c>
      <c r="BZ178" s="5">
        <f t="shared" si="491"/>
        <v>16.32</v>
      </c>
      <c r="CA178" s="173">
        <f t="shared" si="492"/>
        <v>0.7325366114583568</v>
      </c>
      <c r="CB178" s="5">
        <f t="shared" si="493"/>
        <v>73.253661145835679</v>
      </c>
      <c r="CE178" s="562">
        <f t="shared" si="528"/>
        <v>-50</v>
      </c>
      <c r="CF178">
        <f t="shared" si="529"/>
        <v>-50</v>
      </c>
      <c r="CG178" s="173">
        <f t="shared" si="530"/>
        <v>0.47833590622567546</v>
      </c>
      <c r="CI178" s="170">
        <v>68</v>
      </c>
      <c r="CJ178" s="217">
        <f t="shared" si="589"/>
        <v>4.08</v>
      </c>
      <c r="CK178" s="217"/>
      <c r="CL178" s="217">
        <f t="shared" si="531"/>
        <v>16.32</v>
      </c>
      <c r="CM178" s="541">
        <f t="shared" si="532"/>
        <v>18</v>
      </c>
      <c r="CN178" s="443">
        <f t="shared" si="533"/>
        <v>18.8</v>
      </c>
      <c r="CO178" s="443">
        <f t="shared" si="534"/>
        <v>36.799999999999997</v>
      </c>
      <c r="CP178" s="443"/>
      <c r="CQ178" s="217">
        <f t="shared" si="535"/>
        <v>0.51086956521739135</v>
      </c>
      <c r="CR178" s="172">
        <f t="shared" si="590"/>
        <v>30.859076086956527</v>
      </c>
      <c r="CS178" s="172">
        <f t="shared" si="536"/>
        <v>16.32</v>
      </c>
      <c r="CT178" s="217">
        <f t="shared" si="537"/>
        <v>7.7147690217391318</v>
      </c>
      <c r="CU178" s="217">
        <f t="shared" si="538"/>
        <v>4</v>
      </c>
      <c r="CV178" s="217"/>
      <c r="CW178" s="172">
        <f t="shared" si="539"/>
        <v>10.487447909751877</v>
      </c>
      <c r="CX178" s="536">
        <f t="shared" si="540"/>
        <v>4</v>
      </c>
      <c r="CY178" s="217">
        <f t="shared" si="541"/>
        <v>3.5495035460992903</v>
      </c>
      <c r="CZ178" s="217">
        <f t="shared" si="542"/>
        <v>2.3663356973995273</v>
      </c>
      <c r="DA178" s="217">
        <f t="shared" si="543"/>
        <v>2.2656405613399722</v>
      </c>
      <c r="DB178" s="197">
        <f t="shared" si="544"/>
        <v>350</v>
      </c>
      <c r="DC178" s="443">
        <f t="shared" si="545"/>
        <v>215.89057113866343</v>
      </c>
      <c r="DE178" s="217">
        <f t="shared" si="546"/>
        <v>2.18944099378882</v>
      </c>
      <c r="DF178" s="173">
        <f t="shared" si="547"/>
        <v>1.3975155279503106</v>
      </c>
      <c r="DG178" s="173">
        <f t="shared" si="548"/>
        <v>2.1418444504455847</v>
      </c>
      <c r="DH178" s="173"/>
      <c r="DI178" s="173">
        <f t="shared" si="549"/>
        <v>0.85106382978723416</v>
      </c>
      <c r="DJ178" s="545">
        <f t="shared" si="550"/>
        <v>1797.7499999999995</v>
      </c>
      <c r="DK178" s="528">
        <f t="shared" si="551"/>
        <v>0.79432624113475192</v>
      </c>
      <c r="DM178" s="173">
        <f t="shared" si="552"/>
        <v>3.0218253707698879</v>
      </c>
      <c r="DN178" s="173">
        <f t="shared" si="553"/>
        <v>3.5495035460992903</v>
      </c>
      <c r="DO178" s="173">
        <f t="shared" si="554"/>
        <v>2.8416075650118202</v>
      </c>
      <c r="DQ178" s="545">
        <f t="shared" si="555"/>
        <v>4080</v>
      </c>
      <c r="DR178" s="460">
        <f t="shared" si="556"/>
        <v>215.89057113866343</v>
      </c>
      <c r="DT178">
        <f t="shared" si="591"/>
        <v>4080</v>
      </c>
      <c r="DU178">
        <f t="shared" si="592"/>
        <v>215.89057113866343</v>
      </c>
      <c r="DW178" s="5">
        <f t="shared" si="557"/>
        <v>4.6319762587394999</v>
      </c>
      <c r="DX178" s="5">
        <f t="shared" si="558"/>
        <v>2.3663356973995273</v>
      </c>
      <c r="DY178" s="5">
        <f t="shared" si="559"/>
        <v>2.2656405613399726</v>
      </c>
      <c r="DZ178" s="5"/>
      <c r="EA178" s="173">
        <f t="shared" si="560"/>
        <v>0.51086956521739135</v>
      </c>
      <c r="EB178" s="173">
        <f t="shared" si="561"/>
        <v>16.319999999999997</v>
      </c>
      <c r="EC178" s="173">
        <f t="shared" si="562"/>
        <v>3.4723404255319141</v>
      </c>
      <c r="ED178" s="173">
        <f t="shared" si="563"/>
        <v>4.7</v>
      </c>
      <c r="EE178" s="460">
        <f t="shared" si="564"/>
        <v>241.36624113475176</v>
      </c>
      <c r="EF178" s="5">
        <f t="shared" si="565"/>
        <v>1.7118173130124239</v>
      </c>
      <c r="EH178" s="173">
        <f t="shared" si="566"/>
        <v>1.4647449262501546</v>
      </c>
      <c r="EI178" s="173">
        <f t="shared" si="567"/>
        <v>5.7329654115334181</v>
      </c>
      <c r="EK178" s="528">
        <f t="shared" si="568"/>
        <v>2.6174827927501962E-2</v>
      </c>
      <c r="EL178" s="528">
        <f t="shared" si="569"/>
        <v>0.56399999999999995</v>
      </c>
      <c r="EM178" s="528">
        <f t="shared" si="570"/>
        <v>2.6986321392332927E-2</v>
      </c>
      <c r="EN178" s="528">
        <f t="shared" si="571"/>
        <v>2.9236764705882354E-2</v>
      </c>
      <c r="EO178">
        <f t="shared" si="572"/>
        <v>8.0999999999999996E-3</v>
      </c>
      <c r="EP178" s="460">
        <f t="shared" si="573"/>
        <v>35.086321392332927</v>
      </c>
      <c r="EQ178" s="460"/>
      <c r="ER178" s="460">
        <f t="shared" si="593"/>
        <v>654.49791402571714</v>
      </c>
      <c r="ES178" s="528">
        <f t="shared" si="574"/>
        <v>2.8559999999999999</v>
      </c>
      <c r="EV178" s="460">
        <f t="shared" si="494"/>
        <v>2856</v>
      </c>
      <c r="EW178" s="528">
        <f t="shared" si="575"/>
        <v>6.4364330969267122E-2</v>
      </c>
      <c r="EX178" s="528">
        <f t="shared" si="576"/>
        <v>0.98600677229515599</v>
      </c>
      <c r="EY178" s="528">
        <f t="shared" si="577"/>
        <v>0.81278041177063176</v>
      </c>
      <c r="EZ178" s="528"/>
      <c r="FA178" s="528">
        <f t="shared" si="578"/>
        <v>6.8000000000000005E-2</v>
      </c>
      <c r="FB178" s="460">
        <f t="shared" si="579"/>
        <v>1931.1515150350549</v>
      </c>
      <c r="FC178" s="173">
        <f t="shared" si="580"/>
        <v>5.4416494290607709</v>
      </c>
      <c r="FD178" s="5">
        <f t="shared" si="581"/>
        <v>16.32</v>
      </c>
      <c r="FE178" s="173">
        <f t="shared" si="582"/>
        <v>0.7499431535831137</v>
      </c>
      <c r="FF178" s="5">
        <f t="shared" si="583"/>
        <v>74.994315358311368</v>
      </c>
      <c r="FI178" s="562">
        <f t="shared" si="584"/>
        <v>-50</v>
      </c>
      <c r="FJ178">
        <f t="shared" si="585"/>
        <v>-50</v>
      </c>
      <c r="FL178">
        <f t="shared" si="586"/>
        <v>0.48913043478260865</v>
      </c>
    </row>
    <row r="179" spans="5:168">
      <c r="E179" s="170">
        <v>69</v>
      </c>
      <c r="F179" s="217">
        <f t="shared" si="587"/>
        <v>4.1399999999999997</v>
      </c>
      <c r="G179" s="217"/>
      <c r="H179" s="217">
        <f t="shared" si="495"/>
        <v>16.559999999999999</v>
      </c>
      <c r="I179" s="541">
        <f t="shared" si="496"/>
        <v>17.90871954353808</v>
      </c>
      <c r="J179" s="172">
        <f t="shared" si="497"/>
        <v>19.838261116154552</v>
      </c>
      <c r="K179" s="172">
        <f t="shared" si="498"/>
        <v>37.746980659692632</v>
      </c>
      <c r="L179" s="443"/>
      <c r="M179" s="217">
        <f t="shared" si="499"/>
        <v>0.52527489475692091</v>
      </c>
      <c r="N179" s="172">
        <f t="shared" si="500"/>
        <v>31.568326762280183</v>
      </c>
      <c r="O179" s="172">
        <f t="shared" si="438"/>
        <v>16.559999999999999</v>
      </c>
      <c r="P179" s="217">
        <f t="shared" si="501"/>
        <v>7.8920816905700457</v>
      </c>
      <c r="Q179" s="217">
        <f t="shared" si="502"/>
        <v>4</v>
      </c>
      <c r="R179" s="217"/>
      <c r="S179" s="172">
        <f t="shared" si="503"/>
        <v>10.228845429652582</v>
      </c>
      <c r="T179" s="536">
        <f t="shared" si="504"/>
        <v>4</v>
      </c>
      <c r="U179" s="217">
        <f t="shared" si="505"/>
        <v>4.3604182233844009</v>
      </c>
      <c r="V179" s="217">
        <f t="shared" si="506"/>
        <v>2.921762136785095</v>
      </c>
      <c r="W179" s="217">
        <f t="shared" si="507"/>
        <v>2.6375809036006626</v>
      </c>
      <c r="X179" s="197">
        <f t="shared" si="508"/>
        <v>350</v>
      </c>
      <c r="Y179" s="443">
        <f t="shared" si="509"/>
        <v>173.63091466991705</v>
      </c>
      <c r="AA179" s="217">
        <f t="shared" si="510"/>
        <v>2.2409730233581366</v>
      </c>
      <c r="AB179" s="173">
        <f t="shared" si="511"/>
        <v>1.3555460391838174</v>
      </c>
      <c r="AC179" s="173">
        <f t="shared" si="512"/>
        <v>2.1264194740116347</v>
      </c>
      <c r="AD179" s="173"/>
      <c r="AE179" s="173">
        <f t="shared" si="513"/>
        <v>0.80652230083668952</v>
      </c>
      <c r="AF179" s="545">
        <f t="shared" si="514"/>
        <v>1924.931273926871</v>
      </c>
      <c r="AG179" s="528">
        <f t="shared" si="515"/>
        <v>0.75275414744757696</v>
      </c>
      <c r="AI179" s="173">
        <f t="shared" si="516"/>
        <v>3.1268880205344551</v>
      </c>
      <c r="AJ179" s="173">
        <f t="shared" si="517"/>
        <v>4.3604182233844009</v>
      </c>
      <c r="AK179" s="173">
        <f t="shared" si="518"/>
        <v>3.442285103741531</v>
      </c>
      <c r="AM179" s="545">
        <f t="shared" si="519"/>
        <v>4140</v>
      </c>
      <c r="AN179" s="460">
        <f t="shared" si="520"/>
        <v>173.63091466991705</v>
      </c>
      <c r="AP179">
        <f t="shared" si="521"/>
        <v>4140</v>
      </c>
      <c r="AQ179">
        <f t="shared" si="522"/>
        <v>173.63091466991705</v>
      </c>
      <c r="AS179" s="5">
        <f t="shared" si="439"/>
        <v>5.7593430403857573</v>
      </c>
      <c r="AT179" s="5">
        <f t="shared" si="523"/>
        <v>2.921762136785095</v>
      </c>
      <c r="AU179" s="5">
        <f t="shared" si="478"/>
        <v>2.8375809036006623</v>
      </c>
      <c r="AV179" s="5"/>
      <c r="AW179" s="173">
        <f t="shared" si="479"/>
        <v>0.50730823225792732</v>
      </c>
      <c r="AX179" s="173">
        <f t="shared" si="435"/>
        <v>19.807724891013905</v>
      </c>
      <c r="AY179" s="173">
        <f t="shared" si="436"/>
        <v>4.2966843251480169</v>
      </c>
      <c r="AZ179" s="173">
        <f t="shared" si="440"/>
        <v>4.6100023627710991</v>
      </c>
      <c r="BA179" s="460">
        <f t="shared" si="433"/>
        <v>302.40238115725731</v>
      </c>
      <c r="BB179" s="5">
        <f t="shared" si="434"/>
        <v>2.1865670727876552</v>
      </c>
      <c r="BD179" s="173">
        <f t="shared" si="441"/>
        <v>1.7930957184963678</v>
      </c>
      <c r="BE179" s="173">
        <f t="shared" si="437"/>
        <v>7.0683030743369644</v>
      </c>
      <c r="BG179" s="528">
        <f t="shared" si="480"/>
        <v>3.9225345519418066E-2</v>
      </c>
      <c r="BH179" s="528">
        <f t="shared" si="524"/>
        <v>0.5358443918606578</v>
      </c>
      <c r="BI179" s="528">
        <f t="shared" si="525"/>
        <v>7.7737683872788399E-2</v>
      </c>
      <c r="BJ179" s="528">
        <f t="shared" si="481"/>
        <v>2.4739532598283556E-2</v>
      </c>
      <c r="BK179">
        <f t="shared" si="482"/>
        <v>8.058923794592136E-3</v>
      </c>
      <c r="BL179" s="460">
        <f t="shared" si="588"/>
        <v>85.796607667380542</v>
      </c>
      <c r="BM179" s="528">
        <f t="shared" si="526"/>
        <v>0.61614252593281815</v>
      </c>
      <c r="BN179" s="460">
        <f t="shared" si="527"/>
        <v>616.1425259328181</v>
      </c>
      <c r="BO179" s="528">
        <f t="shared" si="483"/>
        <v>2.8979999999999997</v>
      </c>
      <c r="BR179" s="460">
        <f t="shared" si="484"/>
        <v>2897.9999999999995</v>
      </c>
      <c r="BS179" s="528">
        <f t="shared" si="485"/>
        <v>9.645576767070016E-2</v>
      </c>
      <c r="BT179" s="528">
        <f t="shared" si="486"/>
        <v>1.4988272505204414</v>
      </c>
      <c r="BU179" s="528">
        <f t="shared" si="487"/>
        <v>0.78860223219680126</v>
      </c>
      <c r="BV179" s="528"/>
      <c r="BW179" s="528">
        <f t="shared" si="488"/>
        <v>8.253218704589127E-2</v>
      </c>
      <c r="BX179" s="460">
        <f t="shared" si="489"/>
        <v>2466.417437433834</v>
      </c>
      <c r="BY179" s="173">
        <f t="shared" si="490"/>
        <v>6.0500233150795735</v>
      </c>
      <c r="BZ179" s="5">
        <f t="shared" si="491"/>
        <v>16.559999999999999</v>
      </c>
      <c r="CA179" s="173">
        <f t="shared" si="492"/>
        <v>0.73241852824430487</v>
      </c>
      <c r="CB179" s="5">
        <f t="shared" si="493"/>
        <v>73.241852824430481</v>
      </c>
      <c r="CE179" s="562">
        <f t="shared" si="528"/>
        <v>-50</v>
      </c>
      <c r="CF179">
        <f t="shared" si="529"/>
        <v>-50</v>
      </c>
      <c r="CG179" s="173">
        <f t="shared" si="530"/>
        <v>0.47849234866852969</v>
      </c>
      <c r="CI179" s="170">
        <v>69</v>
      </c>
      <c r="CJ179" s="217">
        <f t="shared" si="589"/>
        <v>4.1399999999999997</v>
      </c>
      <c r="CK179" s="217"/>
      <c r="CL179" s="217">
        <f t="shared" si="531"/>
        <v>16.559999999999999</v>
      </c>
      <c r="CM179" s="541">
        <f t="shared" si="532"/>
        <v>18</v>
      </c>
      <c r="CN179" s="443">
        <f t="shared" si="533"/>
        <v>18.8</v>
      </c>
      <c r="CO179" s="443">
        <f t="shared" si="534"/>
        <v>36.799999999999997</v>
      </c>
      <c r="CP179" s="443"/>
      <c r="CQ179" s="217">
        <f t="shared" si="535"/>
        <v>0.51086956521739135</v>
      </c>
      <c r="CR179" s="172">
        <f t="shared" si="590"/>
        <v>30.859076086956527</v>
      </c>
      <c r="CS179" s="172">
        <f t="shared" si="536"/>
        <v>16.559999999999999</v>
      </c>
      <c r="CT179" s="217">
        <f t="shared" si="537"/>
        <v>7.7147690217391318</v>
      </c>
      <c r="CU179" s="217">
        <f t="shared" si="538"/>
        <v>4</v>
      </c>
      <c r="CV179" s="217"/>
      <c r="CW179" s="172">
        <f t="shared" si="539"/>
        <v>10.279648064742965</v>
      </c>
      <c r="CX179" s="536">
        <f t="shared" si="540"/>
        <v>4</v>
      </c>
      <c r="CY179" s="217">
        <f t="shared" si="541"/>
        <v>3.6017021276595735</v>
      </c>
      <c r="CZ179" s="217">
        <f t="shared" si="542"/>
        <v>2.401134751773049</v>
      </c>
      <c r="DA179" s="217">
        <f t="shared" si="543"/>
        <v>2.2989588048890894</v>
      </c>
      <c r="DB179" s="197">
        <f t="shared" si="544"/>
        <v>350</v>
      </c>
      <c r="DC179" s="443">
        <f t="shared" si="545"/>
        <v>212.76172228158137</v>
      </c>
      <c r="DE179" s="217">
        <f t="shared" si="546"/>
        <v>2.18944099378882</v>
      </c>
      <c r="DF179" s="173">
        <f t="shared" si="547"/>
        <v>1.3975155279503106</v>
      </c>
      <c r="DG179" s="173">
        <f t="shared" si="548"/>
        <v>2.1418444504455847</v>
      </c>
      <c r="DH179" s="173"/>
      <c r="DI179" s="173">
        <f t="shared" si="549"/>
        <v>0.85106382978723416</v>
      </c>
      <c r="DJ179" s="545">
        <f t="shared" si="550"/>
        <v>1824.1874999999995</v>
      </c>
      <c r="DK179" s="528">
        <f t="shared" si="551"/>
        <v>0.79432624113475192</v>
      </c>
      <c r="DM179" s="173">
        <f t="shared" si="552"/>
        <v>3.0439635815354764</v>
      </c>
      <c r="DN179" s="173">
        <f t="shared" si="553"/>
        <v>3.6017021276595735</v>
      </c>
      <c r="DO179" s="173">
        <f t="shared" si="554"/>
        <v>2.8802731809824</v>
      </c>
      <c r="DQ179" s="545">
        <f t="shared" si="555"/>
        <v>4140</v>
      </c>
      <c r="DR179" s="460">
        <f t="shared" si="556"/>
        <v>212.76172228158137</v>
      </c>
      <c r="DT179">
        <f t="shared" si="591"/>
        <v>4140</v>
      </c>
      <c r="DU179">
        <f t="shared" si="592"/>
        <v>212.76172228158137</v>
      </c>
      <c r="DW179" s="5">
        <f t="shared" si="557"/>
        <v>4.7000935566621393</v>
      </c>
      <c r="DX179" s="5">
        <f t="shared" si="558"/>
        <v>2.401134751773049</v>
      </c>
      <c r="DY179" s="5">
        <f t="shared" si="559"/>
        <v>2.2989588048890903</v>
      </c>
      <c r="DZ179" s="5"/>
      <c r="EA179" s="173">
        <f t="shared" si="560"/>
        <v>0.51086956521739124</v>
      </c>
      <c r="EB179" s="173">
        <f t="shared" si="561"/>
        <v>16.559999999999995</v>
      </c>
      <c r="EC179" s="173">
        <f t="shared" si="562"/>
        <v>3.5234042553191487</v>
      </c>
      <c r="ED179" s="173">
        <f t="shared" si="563"/>
        <v>4.6999999999999993</v>
      </c>
      <c r="EE179" s="460">
        <f t="shared" si="564"/>
        <v>248.51744680851056</v>
      </c>
      <c r="EF179" s="5">
        <f t="shared" si="565"/>
        <v>1.7625350837483023</v>
      </c>
      <c r="EH179" s="173">
        <f t="shared" si="566"/>
        <v>1.4862852928126566</v>
      </c>
      <c r="EI179" s="173">
        <f t="shared" si="567"/>
        <v>5.8172737264089092</v>
      </c>
      <c r="EK179" s="528">
        <f t="shared" si="568"/>
        <v>2.6950336453900697E-2</v>
      </c>
      <c r="EL179" s="528">
        <f t="shared" si="569"/>
        <v>0.56399999999999983</v>
      </c>
      <c r="EM179" s="528">
        <f t="shared" si="570"/>
        <v>2.6595215285197669E-2</v>
      </c>
      <c r="EN179" s="528">
        <f t="shared" si="571"/>
        <v>2.8813043478260872E-2</v>
      </c>
      <c r="EO179">
        <f t="shared" si="572"/>
        <v>8.0999999999999996E-3</v>
      </c>
      <c r="EP179" s="460">
        <f t="shared" si="573"/>
        <v>34.695215285197669</v>
      </c>
      <c r="EQ179" s="460"/>
      <c r="ER179" s="460">
        <f t="shared" si="593"/>
        <v>654.45859521735906</v>
      </c>
      <c r="ES179" s="528">
        <f t="shared" si="574"/>
        <v>2.8979999999999997</v>
      </c>
      <c r="EV179" s="460">
        <f t="shared" si="494"/>
        <v>2897.9999999999995</v>
      </c>
      <c r="EW179" s="528">
        <f t="shared" si="575"/>
        <v>6.6271319148936136E-2</v>
      </c>
      <c r="EX179" s="528">
        <f t="shared" si="576"/>
        <v>1.0152202082390218</v>
      </c>
      <c r="EY179" s="528">
        <f t="shared" si="577"/>
        <v>0.81278041177063176</v>
      </c>
      <c r="EZ179" s="528"/>
      <c r="FA179" s="528">
        <f t="shared" si="578"/>
        <v>6.8999999999999978E-2</v>
      </c>
      <c r="FB179" s="460">
        <f t="shared" si="579"/>
        <v>1963.2719391585897</v>
      </c>
      <c r="FC179" s="173">
        <f t="shared" si="580"/>
        <v>5.5157305343759484</v>
      </c>
      <c r="FD179" s="5">
        <f t="shared" si="581"/>
        <v>16.559999999999999</v>
      </c>
      <c r="FE179" s="173">
        <f t="shared" si="582"/>
        <v>0.75014505065701231</v>
      </c>
      <c r="FF179" s="5">
        <f t="shared" si="583"/>
        <v>75.014505065701229</v>
      </c>
      <c r="FI179" s="562">
        <f t="shared" si="584"/>
        <v>-50</v>
      </c>
      <c r="FJ179">
        <f t="shared" si="585"/>
        <v>-50</v>
      </c>
      <c r="FL179">
        <f t="shared" si="586"/>
        <v>0.48913043478260876</v>
      </c>
    </row>
    <row r="180" spans="5:168">
      <c r="E180" s="170">
        <v>70</v>
      </c>
      <c r="F180" s="217">
        <f t="shared" si="587"/>
        <v>4.1999999999999993</v>
      </c>
      <c r="G180" s="217"/>
      <c r="H180" s="217">
        <f t="shared" si="495"/>
        <v>16.799999999999997</v>
      </c>
      <c r="I180" s="541">
        <f t="shared" si="496"/>
        <v>17.907426040536475</v>
      </c>
      <c r="J180" s="172">
        <f t="shared" si="497"/>
        <v>19.852973946504548</v>
      </c>
      <c r="K180" s="172">
        <f t="shared" si="498"/>
        <v>37.760399987041026</v>
      </c>
      <c r="L180" s="443"/>
      <c r="M180" s="217">
        <f t="shared" si="499"/>
        <v>0.52547807016490489</v>
      </c>
      <c r="N180" s="172">
        <f t="shared" si="500"/>
        <v>31.578256350747779</v>
      </c>
      <c r="O180" s="172">
        <f t="shared" si="438"/>
        <v>16.799999999999997</v>
      </c>
      <c r="P180" s="217">
        <f t="shared" si="501"/>
        <v>7.8945640876869447</v>
      </c>
      <c r="Q180" s="217">
        <f t="shared" si="502"/>
        <v>4</v>
      </c>
      <c r="R180" s="217"/>
      <c r="S180" s="172">
        <f t="shared" si="503"/>
        <v>10.027513674668766</v>
      </c>
      <c r="T180" s="536">
        <f t="shared" si="504"/>
        <v>4</v>
      </c>
      <c r="U180" s="217">
        <f t="shared" si="505"/>
        <v>4.4255067426067907</v>
      </c>
      <c r="V180" s="217">
        <f t="shared" si="506"/>
        <v>2.9655898503261682</v>
      </c>
      <c r="W180" s="217">
        <f t="shared" si="507"/>
        <v>2.6749685490133692</v>
      </c>
      <c r="X180" s="197">
        <f t="shared" si="508"/>
        <v>350</v>
      </c>
      <c r="Y180" s="443">
        <f t="shared" si="509"/>
        <v>171.21650561923701</v>
      </c>
      <c r="AA180" s="217">
        <f t="shared" si="510"/>
        <v>2.2416761043298634</v>
      </c>
      <c r="AB180" s="173">
        <f t="shared" si="511"/>
        <v>1.3549664309459584</v>
      </c>
      <c r="AC180" s="173">
        <f t="shared" si="512"/>
        <v>2.1261771092944723</v>
      </c>
      <c r="AD180" s="173"/>
      <c r="AE180" s="173">
        <f t="shared" si="513"/>
        <v>0.80592459563556085</v>
      </c>
      <c r="AF180" s="545">
        <f t="shared" si="514"/>
        <v>1954.2771228590404</v>
      </c>
      <c r="AG180" s="528">
        <f t="shared" si="515"/>
        <v>0.75219628925985693</v>
      </c>
      <c r="AI180" s="173">
        <f t="shared" si="516"/>
        <v>3.1506327893380837</v>
      </c>
      <c r="AJ180" s="173">
        <f t="shared" si="517"/>
        <v>4.4255067426067907</v>
      </c>
      <c r="AK180" s="173">
        <f t="shared" si="518"/>
        <v>3.4904988216840422</v>
      </c>
      <c r="AM180" s="545">
        <f t="shared" si="519"/>
        <v>4199.9999999999991</v>
      </c>
      <c r="AN180" s="460">
        <f t="shared" si="520"/>
        <v>171.21650561923701</v>
      </c>
      <c r="AP180">
        <f t="shared" si="521"/>
        <v>4199.9999999999991</v>
      </c>
      <c r="AQ180">
        <f t="shared" si="522"/>
        <v>171.21650561923701</v>
      </c>
      <c r="AS180" s="5">
        <f t="shared" si="439"/>
        <v>5.840558399339538</v>
      </c>
      <c r="AT180" s="5">
        <f t="shared" si="523"/>
        <v>2.9655898503261682</v>
      </c>
      <c r="AU180" s="5">
        <f t="shared" si="478"/>
        <v>2.8749685490133698</v>
      </c>
      <c r="AV180" s="5"/>
      <c r="AW180" s="173">
        <f t="shared" si="479"/>
        <v>0.50775793127272262</v>
      </c>
      <c r="AX180" s="173">
        <f t="shared" si="435"/>
        <v>20.119764505126312</v>
      </c>
      <c r="AY180" s="173">
        <f t="shared" si="436"/>
        <v>4.3568411882945624</v>
      </c>
      <c r="AZ180" s="173">
        <f t="shared" si="440"/>
        <v>4.6179705974093519</v>
      </c>
      <c r="BA180" s="460">
        <f t="shared" si="433"/>
        <v>311.38693428424756</v>
      </c>
      <c r="BB180" s="5">
        <f t="shared" si="434"/>
        <v>2.2476462890353708</v>
      </c>
      <c r="BD180" s="173">
        <f t="shared" si="441"/>
        <v>1.820667908692291</v>
      </c>
      <c r="BE180" s="173">
        <f t="shared" si="437"/>
        <v>7.1705378794554537</v>
      </c>
      <c r="BG180" s="528">
        <f t="shared" si="480"/>
        <v>4.0440945931651914E-2</v>
      </c>
      <c r="BH180" s="528">
        <f t="shared" si="524"/>
        <v>0.53647130115935193</v>
      </c>
      <c r="BI180" s="528">
        <f t="shared" si="525"/>
        <v>7.6651172782389601E-2</v>
      </c>
      <c r="BJ180" s="528">
        <f t="shared" si="481"/>
        <v>2.4412867909043862E-2</v>
      </c>
      <c r="BK180">
        <f t="shared" si="482"/>
        <v>8.0583417182414126E-3</v>
      </c>
      <c r="BL180" s="460">
        <f t="shared" si="588"/>
        <v>84.709514500631002</v>
      </c>
      <c r="BM180" s="528">
        <f t="shared" si="526"/>
        <v>0.61818415903272983</v>
      </c>
      <c r="BN180" s="460">
        <f t="shared" si="527"/>
        <v>618.18415903272978</v>
      </c>
      <c r="BO180" s="528">
        <f t="shared" si="483"/>
        <v>2.9399999999999995</v>
      </c>
      <c r="BR180" s="460">
        <f t="shared" si="484"/>
        <v>2939.9999999999995</v>
      </c>
      <c r="BS180" s="528">
        <f t="shared" si="485"/>
        <v>9.944494901225881E-2</v>
      </c>
      <c r="BT180" s="528">
        <f t="shared" si="486"/>
        <v>1.5424984044211654</v>
      </c>
      <c r="BU180" s="528">
        <f t="shared" si="487"/>
        <v>0.79020831332059671</v>
      </c>
      <c r="BV180" s="528"/>
      <c r="BW180" s="528">
        <f t="shared" si="488"/>
        <v>8.3832352104692989E-2</v>
      </c>
      <c r="BX180" s="460">
        <f t="shared" si="489"/>
        <v>2515.9840188587141</v>
      </c>
      <c r="BY180" s="173">
        <f t="shared" si="490"/>
        <v>6.1420186483593922</v>
      </c>
      <c r="BZ180" s="5">
        <f t="shared" si="491"/>
        <v>16.799999999999997</v>
      </c>
      <c r="CA180" s="173">
        <f t="shared" si="492"/>
        <v>0.732280810049877</v>
      </c>
      <c r="CB180" s="5">
        <f t="shared" si="493"/>
        <v>73.2280810049877</v>
      </c>
      <c r="CE180" s="562">
        <f t="shared" si="528"/>
        <v>-50</v>
      </c>
      <c r="CF180">
        <f t="shared" si="529"/>
        <v>-50</v>
      </c>
      <c r="CG180" s="173">
        <f t="shared" si="530"/>
        <v>0.47864432132730211</v>
      </c>
      <c r="CI180" s="170">
        <v>70</v>
      </c>
      <c r="CJ180" s="217">
        <f t="shared" si="589"/>
        <v>4.1999999999999993</v>
      </c>
      <c r="CK180" s="217"/>
      <c r="CL180" s="217">
        <f t="shared" si="531"/>
        <v>16.799999999999997</v>
      </c>
      <c r="CM180" s="541">
        <f t="shared" si="532"/>
        <v>18</v>
      </c>
      <c r="CN180" s="443">
        <f t="shared" si="533"/>
        <v>18.8</v>
      </c>
      <c r="CO180" s="443">
        <f t="shared" si="534"/>
        <v>36.799999999999997</v>
      </c>
      <c r="CP180" s="443"/>
      <c r="CQ180" s="217">
        <f t="shared" si="535"/>
        <v>0.51086956521739135</v>
      </c>
      <c r="CR180" s="172">
        <f t="shared" si="590"/>
        <v>30.859076086956527</v>
      </c>
      <c r="CS180" s="172">
        <f t="shared" si="536"/>
        <v>16.799999999999997</v>
      </c>
      <c r="CT180" s="217">
        <f t="shared" si="537"/>
        <v>7.7147690217391318</v>
      </c>
      <c r="CU180" s="217">
        <f t="shared" si="538"/>
        <v>4</v>
      </c>
      <c r="CV180" s="217"/>
      <c r="CW180" s="172">
        <f t="shared" si="539"/>
        <v>10.077976926602405</v>
      </c>
      <c r="CX180" s="536">
        <f t="shared" si="540"/>
        <v>4</v>
      </c>
      <c r="CY180" s="217">
        <f t="shared" si="541"/>
        <v>3.6539007092198572</v>
      </c>
      <c r="CZ180" s="217">
        <f t="shared" si="542"/>
        <v>2.4359338061465716</v>
      </c>
      <c r="DA180" s="217">
        <f t="shared" si="543"/>
        <v>2.3322770484382067</v>
      </c>
      <c r="DB180" s="197">
        <f t="shared" si="544"/>
        <v>350</v>
      </c>
      <c r="DC180" s="443">
        <f t="shared" si="545"/>
        <v>209.72226910613023</v>
      </c>
      <c r="DE180" s="217">
        <f t="shared" si="546"/>
        <v>2.18944099378882</v>
      </c>
      <c r="DF180" s="173">
        <f t="shared" si="547"/>
        <v>1.3975155279503106</v>
      </c>
      <c r="DG180" s="173">
        <f t="shared" si="548"/>
        <v>2.1418444504455847</v>
      </c>
      <c r="DH180" s="173"/>
      <c r="DI180" s="173">
        <f t="shared" si="549"/>
        <v>0.85106382978723416</v>
      </c>
      <c r="DJ180" s="545">
        <f t="shared" si="550"/>
        <v>1850.6249999999993</v>
      </c>
      <c r="DK180" s="528">
        <f t="shared" si="551"/>
        <v>0.79432624113475192</v>
      </c>
      <c r="DM180" s="173">
        <f t="shared" si="552"/>
        <v>3.0659419433511781</v>
      </c>
      <c r="DN180" s="173">
        <f t="shared" si="553"/>
        <v>3.6539007092198572</v>
      </c>
      <c r="DO180" s="173">
        <f t="shared" si="554"/>
        <v>2.9189387969529808</v>
      </c>
      <c r="DQ180" s="545">
        <f t="shared" si="555"/>
        <v>4199.9999999999991</v>
      </c>
      <c r="DR180" s="460">
        <f t="shared" si="556"/>
        <v>209.72226910613023</v>
      </c>
      <c r="DT180">
        <f t="shared" si="591"/>
        <v>4199.9999999999991</v>
      </c>
      <c r="DU180">
        <f t="shared" si="592"/>
        <v>209.72226910613023</v>
      </c>
      <c r="DW180" s="5">
        <f t="shared" si="557"/>
        <v>4.7682108545847779</v>
      </c>
      <c r="DX180" s="5">
        <f t="shared" si="558"/>
        <v>2.4359338061465716</v>
      </c>
      <c r="DY180" s="5">
        <f t="shared" si="559"/>
        <v>2.3322770484382063</v>
      </c>
      <c r="DZ180" s="5"/>
      <c r="EA180" s="173">
        <f t="shared" si="560"/>
        <v>0.51086956521739135</v>
      </c>
      <c r="EB180" s="173">
        <f t="shared" si="561"/>
        <v>16.8</v>
      </c>
      <c r="EC180" s="173">
        <f t="shared" si="562"/>
        <v>3.5744680851063819</v>
      </c>
      <c r="ED180" s="173">
        <f t="shared" si="563"/>
        <v>4.700000000000002</v>
      </c>
      <c r="EE180" s="460">
        <f t="shared" si="564"/>
        <v>255.77304964538993</v>
      </c>
      <c r="EF180" s="5">
        <f t="shared" si="565"/>
        <v>1.8139932598963819</v>
      </c>
      <c r="EH180" s="173">
        <f t="shared" si="566"/>
        <v>1.5078256593751591</v>
      </c>
      <c r="EI180" s="173">
        <f t="shared" si="567"/>
        <v>5.9015820412844002</v>
      </c>
      <c r="EK180" s="528">
        <f t="shared" si="568"/>
        <v>2.7737166272655624E-2</v>
      </c>
      <c r="EL180" s="528">
        <f t="shared" si="569"/>
        <v>0.56400000000000006</v>
      </c>
      <c r="EM180" s="528">
        <f t="shared" si="570"/>
        <v>2.6215283638266279E-2</v>
      </c>
      <c r="EN180" s="528">
        <f t="shared" si="571"/>
        <v>2.8401428571428577E-2</v>
      </c>
      <c r="EO180">
        <f t="shared" si="572"/>
        <v>8.0999999999999996E-3</v>
      </c>
      <c r="EP180" s="460">
        <f t="shared" si="573"/>
        <v>34.315283638266273</v>
      </c>
      <c r="EQ180" s="460"/>
      <c r="ER180" s="460">
        <f t="shared" si="593"/>
        <v>654.45387848235055</v>
      </c>
      <c r="ES180" s="528">
        <f t="shared" si="574"/>
        <v>2.9399999999999995</v>
      </c>
      <c r="EV180" s="460">
        <f t="shared" si="494"/>
        <v>2939.9999999999995</v>
      </c>
      <c r="EW180" s="528">
        <f t="shared" si="575"/>
        <v>6.8206146572103998E-2</v>
      </c>
      <c r="EX180" s="528">
        <f t="shared" si="576"/>
        <v>1.0448601177003163</v>
      </c>
      <c r="EY180" s="528">
        <f t="shared" si="577"/>
        <v>0.81278041177063109</v>
      </c>
      <c r="EZ180" s="528"/>
      <c r="FA180" s="528">
        <f t="shared" si="578"/>
        <v>6.9999999999999993E-2</v>
      </c>
      <c r="FB180" s="460">
        <f t="shared" si="579"/>
        <v>1995.8466760430513</v>
      </c>
      <c r="FC180" s="173">
        <f t="shared" si="580"/>
        <v>5.5903005545254016</v>
      </c>
      <c r="FD180" s="5">
        <f t="shared" si="581"/>
        <v>16.799999999999997</v>
      </c>
      <c r="FE180" s="173">
        <f t="shared" si="582"/>
        <v>0.75032489890380127</v>
      </c>
      <c r="FF180" s="5">
        <f t="shared" si="583"/>
        <v>75.032489890380134</v>
      </c>
      <c r="FI180" s="562">
        <f t="shared" si="584"/>
        <v>-50</v>
      </c>
      <c r="FJ180">
        <f t="shared" si="585"/>
        <v>-50</v>
      </c>
      <c r="FL180">
        <f t="shared" si="586"/>
        <v>0.48913043478260865</v>
      </c>
    </row>
    <row r="181" spans="5:168">
      <c r="E181" s="170">
        <v>71</v>
      </c>
      <c r="F181" s="217">
        <f t="shared" si="587"/>
        <v>4.26</v>
      </c>
      <c r="G181" s="217"/>
      <c r="H181" s="217">
        <f t="shared" si="495"/>
        <v>17.04</v>
      </c>
      <c r="I181" s="541">
        <f t="shared" si="496"/>
        <v>17.906132519395651</v>
      </c>
      <c r="J181" s="172">
        <f t="shared" si="497"/>
        <v>19.867686983177425</v>
      </c>
      <c r="K181" s="172">
        <f t="shared" si="498"/>
        <v>37.773819502573076</v>
      </c>
      <c r="L181" s="443"/>
      <c r="M181" s="217">
        <f t="shared" si="499"/>
        <v>0.52568110130396539</v>
      </c>
      <c r="N181" s="172">
        <f t="shared" si="500"/>
        <v>31.58817547421722</v>
      </c>
      <c r="O181" s="172">
        <f t="shared" si="438"/>
        <v>17.04</v>
      </c>
      <c r="P181" s="217">
        <f t="shared" si="501"/>
        <v>7.897043868554305</v>
      </c>
      <c r="Q181" s="217">
        <f t="shared" si="502"/>
        <v>4</v>
      </c>
      <c r="R181" s="217"/>
      <c r="S181" s="172">
        <f t="shared" si="503"/>
        <v>9.8320524844497523</v>
      </c>
      <c r="T181" s="536">
        <f t="shared" si="504"/>
        <v>4</v>
      </c>
      <c r="U181" s="217">
        <f t="shared" si="505"/>
        <v>4.4906496575524422</v>
      </c>
      <c r="V181" s="217">
        <f t="shared" si="506"/>
        <v>3.009460352885184</v>
      </c>
      <c r="W181" s="217">
        <f t="shared" si="507"/>
        <v>2.7123336469040278</v>
      </c>
      <c r="X181" s="197">
        <f t="shared" si="508"/>
        <v>350</v>
      </c>
      <c r="Y181" s="443">
        <f t="shared" si="509"/>
        <v>168.86774515216089</v>
      </c>
      <c r="AA181" s="217">
        <f t="shared" si="510"/>
        <v>2.2423784556870876</v>
      </c>
      <c r="AB181" s="173">
        <f t="shared" si="511"/>
        <v>1.3543872264058383</v>
      </c>
      <c r="AC181" s="173">
        <f t="shared" si="512"/>
        <v>2.125934116005169</v>
      </c>
      <c r="AD181" s="173"/>
      <c r="AE181" s="173">
        <f t="shared" si="513"/>
        <v>0.80532776732126332</v>
      </c>
      <c r="AF181" s="545">
        <f t="shared" si="514"/>
        <v>1983.6643722266203</v>
      </c>
      <c r="AG181" s="528">
        <f t="shared" si="515"/>
        <v>0.75163924949984595</v>
      </c>
      <c r="AI181" s="173">
        <f t="shared" si="516"/>
        <v>3.1742330635081841</v>
      </c>
      <c r="AJ181" s="173">
        <f t="shared" si="517"/>
        <v>4.4906496575524422</v>
      </c>
      <c r="AK181" s="173">
        <f t="shared" si="518"/>
        <v>3.5387528327548949</v>
      </c>
      <c r="AM181" s="545">
        <f t="shared" si="519"/>
        <v>4260</v>
      </c>
      <c r="AN181" s="460">
        <f t="shared" si="520"/>
        <v>168.86774515216089</v>
      </c>
      <c r="AP181">
        <f t="shared" si="521"/>
        <v>4260</v>
      </c>
      <c r="AQ181">
        <f t="shared" si="522"/>
        <v>168.86774515216089</v>
      </c>
      <c r="AS181" s="5">
        <f t="shared" si="439"/>
        <v>5.9217939997892115</v>
      </c>
      <c r="AT181" s="5">
        <f t="shared" si="523"/>
        <v>3.009460352885184</v>
      </c>
      <c r="AU181" s="5">
        <f t="shared" si="478"/>
        <v>2.9123336469040275</v>
      </c>
      <c r="AV181" s="5"/>
      <c r="AW181" s="173">
        <f t="shared" si="479"/>
        <v>0.50820078391654744</v>
      </c>
      <c r="AX181" s="173">
        <f t="shared" si="435"/>
        <v>20.43225517226065</v>
      </c>
      <c r="AY181" s="173">
        <f t="shared" si="436"/>
        <v>4.4169959625794313</v>
      </c>
      <c r="AZ181" s="173">
        <f t="shared" si="440"/>
        <v>4.6258260920683858</v>
      </c>
      <c r="BA181" s="460">
        <f t="shared" ref="BA181:BA244" si="594">F181*AT181/Vout_ripple*1000</f>
        <v>320.50752758227208</v>
      </c>
      <c r="BB181" s="5">
        <f t="shared" ref="BB181:BB244" si="595">H181/Efficiency/I181*AU181/Vinripple1</f>
        <v>2.3095516433401753</v>
      </c>
      <c r="BD181" s="173">
        <f t="shared" si="441"/>
        <v>1.8482733963974722</v>
      </c>
      <c r="BE181" s="173">
        <f t="shared" si="437"/>
        <v>7.2728135604258579</v>
      </c>
      <c r="BG181" s="528">
        <f t="shared" si="480"/>
        <v>4.1676597483533896E-2</v>
      </c>
      <c r="BH181" s="528">
        <f t="shared" si="524"/>
        <v>0.53709121853439457</v>
      </c>
      <c r="BI181" s="528">
        <f t="shared" si="525"/>
        <v>7.5594205573653137E-2</v>
      </c>
      <c r="BJ181" s="528">
        <f t="shared" si="481"/>
        <v>2.4095087398578199E-2</v>
      </c>
      <c r="BK181">
        <f t="shared" si="482"/>
        <v>8.0577596337280434E-3</v>
      </c>
      <c r="BL181" s="460">
        <f t="shared" si="588"/>
        <v>83.651965207381181</v>
      </c>
      <c r="BM181" s="528">
        <f t="shared" si="526"/>
        <v>0.62025759849851003</v>
      </c>
      <c r="BN181" s="460">
        <f t="shared" si="527"/>
        <v>620.25759849850999</v>
      </c>
      <c r="BO181" s="528">
        <f t="shared" si="483"/>
        <v>2.9819999999999998</v>
      </c>
      <c r="BR181" s="460">
        <f t="shared" si="484"/>
        <v>2981.9999999999995</v>
      </c>
      <c r="BS181" s="528">
        <f t="shared" si="485"/>
        <v>0.10248343643491942</v>
      </c>
      <c r="BT181" s="528">
        <f t="shared" si="486"/>
        <v>1.5868145125414272</v>
      </c>
      <c r="BU181" s="528">
        <f t="shared" si="487"/>
        <v>0.79178943304653548</v>
      </c>
      <c r="BV181" s="528"/>
      <c r="BW181" s="528">
        <f t="shared" si="488"/>
        <v>8.5134396551086053E-2</v>
      </c>
      <c r="BX181" s="460">
        <f t="shared" si="489"/>
        <v>2566.2217785739685</v>
      </c>
      <c r="BY181" s="173">
        <f t="shared" si="490"/>
        <v>6.234736647197856</v>
      </c>
      <c r="BZ181" s="5">
        <f t="shared" si="491"/>
        <v>17.04</v>
      </c>
      <c r="CA181" s="173">
        <f t="shared" si="492"/>
        <v>0.7321242881625265</v>
      </c>
      <c r="CB181" s="5">
        <f t="shared" si="493"/>
        <v>73.212428816252654</v>
      </c>
      <c r="CE181" s="562">
        <f t="shared" si="528"/>
        <v>-50</v>
      </c>
      <c r="CF181">
        <f t="shared" si="529"/>
        <v>-50</v>
      </c>
      <c r="CG181" s="173">
        <f t="shared" si="530"/>
        <v>0.47879201306610925</v>
      </c>
      <c r="CI181" s="170">
        <v>71</v>
      </c>
      <c r="CJ181" s="217">
        <f t="shared" si="589"/>
        <v>4.26</v>
      </c>
      <c r="CK181" s="217"/>
      <c r="CL181" s="217">
        <f t="shared" si="531"/>
        <v>17.04</v>
      </c>
      <c r="CM181" s="541">
        <f t="shared" si="532"/>
        <v>18</v>
      </c>
      <c r="CN181" s="443">
        <f t="shared" si="533"/>
        <v>18.8</v>
      </c>
      <c r="CO181" s="443">
        <f t="shared" si="534"/>
        <v>36.799999999999997</v>
      </c>
      <c r="CP181" s="443"/>
      <c r="CQ181" s="217">
        <f t="shared" si="535"/>
        <v>0.51086956521739135</v>
      </c>
      <c r="CR181" s="172">
        <f t="shared" si="590"/>
        <v>30.859076086956527</v>
      </c>
      <c r="CS181" s="172">
        <f t="shared" si="536"/>
        <v>17.04</v>
      </c>
      <c r="CT181" s="217">
        <f t="shared" si="537"/>
        <v>7.7147690217391318</v>
      </c>
      <c r="CU181" s="217">
        <f t="shared" si="538"/>
        <v>4</v>
      </c>
      <c r="CV181" s="217"/>
      <c r="CW181" s="172">
        <f t="shared" si="539"/>
        <v>9.8821773510659785</v>
      </c>
      <c r="CX181" s="536">
        <f t="shared" si="540"/>
        <v>4</v>
      </c>
      <c r="CY181" s="217">
        <f t="shared" si="541"/>
        <v>3.7060992907801413</v>
      </c>
      <c r="CZ181" s="217">
        <f t="shared" si="542"/>
        <v>2.4707328605200942</v>
      </c>
      <c r="DA181" s="217">
        <f t="shared" si="543"/>
        <v>2.3655952919873244</v>
      </c>
      <c r="DB181" s="197">
        <f t="shared" si="544"/>
        <v>350</v>
      </c>
      <c r="DC181" s="443">
        <f t="shared" si="545"/>
        <v>206.76843432998754</v>
      </c>
      <c r="DE181" s="217">
        <f t="shared" si="546"/>
        <v>2.18944099378882</v>
      </c>
      <c r="DF181" s="173">
        <f t="shared" si="547"/>
        <v>1.3975155279503106</v>
      </c>
      <c r="DG181" s="173">
        <f t="shared" si="548"/>
        <v>2.1418444504455847</v>
      </c>
      <c r="DH181" s="173"/>
      <c r="DI181" s="173">
        <f t="shared" si="549"/>
        <v>0.85106382978723416</v>
      </c>
      <c r="DJ181" s="545">
        <f t="shared" si="550"/>
        <v>1877.0624999999995</v>
      </c>
      <c r="DK181" s="528">
        <f t="shared" si="551"/>
        <v>0.79432624113475192</v>
      </c>
      <c r="DM181" s="173">
        <f t="shared" si="552"/>
        <v>3.0877638695803333</v>
      </c>
      <c r="DN181" s="173">
        <f t="shared" si="553"/>
        <v>3.7060992907801413</v>
      </c>
      <c r="DO181" s="173">
        <f t="shared" si="554"/>
        <v>2.957604412923561</v>
      </c>
      <c r="DQ181" s="545">
        <f t="shared" si="555"/>
        <v>4260</v>
      </c>
      <c r="DR181" s="460">
        <f t="shared" si="556"/>
        <v>206.76843432998754</v>
      </c>
      <c r="DT181">
        <f t="shared" si="591"/>
        <v>4260</v>
      </c>
      <c r="DU181">
        <f t="shared" si="592"/>
        <v>206.76843432998754</v>
      </c>
      <c r="DW181" s="5">
        <f t="shared" si="557"/>
        <v>4.8363281525074182</v>
      </c>
      <c r="DX181" s="5">
        <f t="shared" si="558"/>
        <v>2.4707328605200942</v>
      </c>
      <c r="DY181" s="5">
        <f t="shared" si="559"/>
        <v>2.365595291987324</v>
      </c>
      <c r="DZ181" s="5"/>
      <c r="EA181" s="173">
        <f t="shared" si="560"/>
        <v>0.51086956521739135</v>
      </c>
      <c r="EB181" s="173">
        <f t="shared" si="561"/>
        <v>17.04</v>
      </c>
      <c r="EC181" s="173">
        <f t="shared" si="562"/>
        <v>3.625531914893616</v>
      </c>
      <c r="ED181" s="173">
        <f t="shared" si="563"/>
        <v>4.7000000000000011</v>
      </c>
      <c r="EE181" s="460">
        <f t="shared" si="564"/>
        <v>263.13304964539003</v>
      </c>
      <c r="EF181" s="5">
        <f t="shared" si="565"/>
        <v>1.8661918414566663</v>
      </c>
      <c r="EH181" s="173">
        <f t="shared" si="566"/>
        <v>1.5293660259376616</v>
      </c>
      <c r="EI181" s="173">
        <f t="shared" si="567"/>
        <v>5.9858903561598922</v>
      </c>
      <c r="EK181" s="528">
        <f t="shared" si="568"/>
        <v>2.8535317383766742E-2</v>
      </c>
      <c r="EL181" s="528">
        <f t="shared" si="569"/>
        <v>0.56400000000000006</v>
      </c>
      <c r="EM181" s="528">
        <f t="shared" si="570"/>
        <v>2.5846054291248442E-2</v>
      </c>
      <c r="EN181" s="528">
        <f t="shared" si="571"/>
        <v>2.8001408450704229E-2</v>
      </c>
      <c r="EO181">
        <f t="shared" si="572"/>
        <v>8.0999999999999996E-3</v>
      </c>
      <c r="EP181" s="460">
        <f t="shared" si="573"/>
        <v>33.946054291248444</v>
      </c>
      <c r="EQ181" s="460"/>
      <c r="ER181" s="460">
        <f t="shared" si="593"/>
        <v>654.48278012571939</v>
      </c>
      <c r="ES181" s="528">
        <f t="shared" si="574"/>
        <v>2.9819999999999998</v>
      </c>
      <c r="EV181" s="460">
        <f t="shared" si="494"/>
        <v>2981.9999999999995</v>
      </c>
      <c r="EW181" s="528">
        <f t="shared" si="575"/>
        <v>7.016881323877068E-2</v>
      </c>
      <c r="EX181" s="528">
        <f t="shared" si="576"/>
        <v>1.0749265006790398</v>
      </c>
      <c r="EY181" s="528">
        <f t="shared" si="577"/>
        <v>0.81278041177063209</v>
      </c>
      <c r="EZ181" s="528"/>
      <c r="FA181" s="528">
        <f t="shared" si="578"/>
        <v>7.1000000000000008E-2</v>
      </c>
      <c r="FB181" s="460">
        <f t="shared" si="579"/>
        <v>2028.8757256884428</v>
      </c>
      <c r="FC181" s="173">
        <f t="shared" si="580"/>
        <v>5.6653585058141616</v>
      </c>
      <c r="FD181" s="5">
        <f t="shared" si="581"/>
        <v>17.04</v>
      </c>
      <c r="FE181" s="173">
        <f t="shared" si="582"/>
        <v>0.75048363564206955</v>
      </c>
      <c r="FF181" s="5">
        <f t="shared" si="583"/>
        <v>75.048363564206952</v>
      </c>
      <c r="FI181" s="562">
        <f t="shared" si="584"/>
        <v>-50</v>
      </c>
      <c r="FJ181">
        <f t="shared" si="585"/>
        <v>-50</v>
      </c>
      <c r="FL181">
        <f t="shared" si="586"/>
        <v>0.48913043478260865</v>
      </c>
    </row>
    <row r="182" spans="5:168">
      <c r="E182" s="170">
        <v>72</v>
      </c>
      <c r="F182" s="217">
        <f t="shared" si="587"/>
        <v>4.32</v>
      </c>
      <c r="G182" s="217"/>
      <c r="H182" s="217">
        <f t="shared" si="495"/>
        <v>17.28</v>
      </c>
      <c r="I182" s="541">
        <f t="shared" si="496"/>
        <v>17.904838980887497</v>
      </c>
      <c r="J182" s="172">
        <f t="shared" si="497"/>
        <v>19.8824002173934</v>
      </c>
      <c r="K182" s="172">
        <f t="shared" si="498"/>
        <v>37.787239198280901</v>
      </c>
      <c r="L182" s="443"/>
      <c r="M182" s="217">
        <f t="shared" si="499"/>
        <v>0.52588398831752181</v>
      </c>
      <c r="N182" s="172">
        <f t="shared" si="500"/>
        <v>31.598084144509841</v>
      </c>
      <c r="O182" s="172">
        <f t="shared" si="438"/>
        <v>17.28</v>
      </c>
      <c r="P182" s="217">
        <f t="shared" si="501"/>
        <v>7.8995210361274601</v>
      </c>
      <c r="Q182" s="217">
        <f t="shared" si="502"/>
        <v>4</v>
      </c>
      <c r="R182" s="217"/>
      <c r="S182" s="172">
        <f t="shared" si="503"/>
        <v>9.6422190206102805</v>
      </c>
      <c r="T182" s="536">
        <f t="shared" si="504"/>
        <v>4</v>
      </c>
      <c r="U182" s="217">
        <f t="shared" si="505"/>
        <v>4.5558469800142092</v>
      </c>
      <c r="V182" s="217">
        <f t="shared" si="506"/>
        <v>3.0533736616413099</v>
      </c>
      <c r="W182" s="217">
        <f t="shared" si="507"/>
        <v>2.7496762544968938</v>
      </c>
      <c r="X182" s="197">
        <f t="shared" si="508"/>
        <v>350</v>
      </c>
      <c r="Y182" s="443">
        <f t="shared" si="509"/>
        <v>166.5819898168206</v>
      </c>
      <c r="AA182" s="217">
        <f t="shared" si="510"/>
        <v>2.2430800777681013</v>
      </c>
      <c r="AB182" s="173">
        <f t="shared" si="511"/>
        <v>1.3538084254872753</v>
      </c>
      <c r="AC182" s="173">
        <f t="shared" si="512"/>
        <v>2.1256904958275755</v>
      </c>
      <c r="AD182" s="173"/>
      <c r="AE182" s="173">
        <f t="shared" si="513"/>
        <v>0.80473181432103857</v>
      </c>
      <c r="AF182" s="545">
        <f t="shared" si="514"/>
        <v>2013.0930220110813</v>
      </c>
      <c r="AG182" s="528">
        <f t="shared" si="515"/>
        <v>0.751083026699636</v>
      </c>
      <c r="AI182" s="173">
        <f t="shared" si="516"/>
        <v>3.1976920423199928</v>
      </c>
      <c r="AJ182" s="173">
        <f t="shared" si="517"/>
        <v>4.5558469800142092</v>
      </c>
      <c r="AK182" s="173">
        <f t="shared" si="518"/>
        <v>3.587047145689537</v>
      </c>
      <c r="AM182" s="545">
        <f t="shared" si="519"/>
        <v>4320</v>
      </c>
      <c r="AN182" s="460">
        <f t="shared" si="520"/>
        <v>166.5819898168206</v>
      </c>
      <c r="AP182">
        <f t="shared" si="521"/>
        <v>4320</v>
      </c>
      <c r="AQ182">
        <f t="shared" si="522"/>
        <v>166.5819898168206</v>
      </c>
      <c r="AS182" s="5">
        <f t="shared" si="439"/>
        <v>6.0030499161382043</v>
      </c>
      <c r="AT182" s="5">
        <f t="shared" si="523"/>
        <v>3.0533736616413099</v>
      </c>
      <c r="AU182" s="5">
        <f t="shared" si="478"/>
        <v>2.9496762544968944</v>
      </c>
      <c r="AV182" s="5"/>
      <c r="AW182" s="173">
        <f t="shared" si="479"/>
        <v>0.50863706021048083</v>
      </c>
      <c r="AX182" s="173">
        <f t="shared" si="435"/>
        <v>20.745196520361649</v>
      </c>
      <c r="AY182" s="173">
        <f t="shared" si="436"/>
        <v>4.4771487306619688</v>
      </c>
      <c r="AZ182" s="173">
        <f t="shared" si="440"/>
        <v>4.6335732334034763</v>
      </c>
      <c r="BA182" s="460">
        <f t="shared" si="594"/>
        <v>329.76435545726144</v>
      </c>
      <c r="BB182" s="5">
        <f t="shared" si="595"/>
        <v>2.3722826052831603</v>
      </c>
      <c r="BD182" s="173">
        <f t="shared" si="441"/>
        <v>1.875912173092884</v>
      </c>
      <c r="BE182" s="173">
        <f t="shared" si="437"/>
        <v>7.3751301952188451</v>
      </c>
      <c r="BG182" s="528">
        <f t="shared" si="480"/>
        <v>4.2932367070128409E-2</v>
      </c>
      <c r="BH182" s="528">
        <f t="shared" si="524"/>
        <v>0.53770442313547395</v>
      </c>
      <c r="BI182" s="528">
        <f t="shared" si="525"/>
        <v>7.4565592619650331E-2</v>
      </c>
      <c r="BJ182" s="528">
        <f t="shared" si="481"/>
        <v>2.3785833304325692E-2</v>
      </c>
      <c r="BK182">
        <f t="shared" si="482"/>
        <v>8.0571775413993737E-3</v>
      </c>
      <c r="BL182" s="460">
        <f t="shared" si="588"/>
        <v>82.622770161049701</v>
      </c>
      <c r="BM182" s="528">
        <f t="shared" si="526"/>
        <v>0.62236291897616802</v>
      </c>
      <c r="BN182" s="460">
        <f t="shared" si="527"/>
        <v>622.36291897616798</v>
      </c>
      <c r="BO182" s="528">
        <f t="shared" si="483"/>
        <v>3.024</v>
      </c>
      <c r="BR182" s="460">
        <f t="shared" si="484"/>
        <v>3024</v>
      </c>
      <c r="BS182" s="528">
        <f t="shared" si="485"/>
        <v>0.10557139443474199</v>
      </c>
      <c r="BT182" s="528">
        <f t="shared" si="486"/>
        <v>1.6317763618928627</v>
      </c>
      <c r="BU182" s="528">
        <f t="shared" si="487"/>
        <v>0.79334655410443489</v>
      </c>
      <c r="BV182" s="528"/>
      <c r="BW182" s="528">
        <f t="shared" si="488"/>
        <v>8.6438318834840211E-2</v>
      </c>
      <c r="BX182" s="460">
        <f t="shared" si="489"/>
        <v>2617.1326292668796</v>
      </c>
      <c r="BY182" s="173">
        <f t="shared" si="490"/>
        <v>6.3281780229378581</v>
      </c>
      <c r="BZ182" s="5">
        <f t="shared" si="491"/>
        <v>17.28</v>
      </c>
      <c r="CA182" s="173">
        <f t="shared" si="492"/>
        <v>0.73194974992185502</v>
      </c>
      <c r="CB182" s="5">
        <f t="shared" si="493"/>
        <v>73.194974992185507</v>
      </c>
      <c r="CE182" s="562">
        <f t="shared" si="528"/>
        <v>-50</v>
      </c>
      <c r="CF182">
        <f t="shared" si="529"/>
        <v>-50</v>
      </c>
      <c r="CG182" s="173">
        <f t="shared" si="530"/>
        <v>0.4789356022566163</v>
      </c>
      <c r="CI182" s="170">
        <v>72</v>
      </c>
      <c r="CJ182" s="217">
        <f t="shared" si="589"/>
        <v>4.32</v>
      </c>
      <c r="CK182" s="217"/>
      <c r="CL182" s="217">
        <f t="shared" si="531"/>
        <v>17.28</v>
      </c>
      <c r="CM182" s="541">
        <f t="shared" si="532"/>
        <v>18</v>
      </c>
      <c r="CN182" s="443">
        <f t="shared" si="533"/>
        <v>18.8</v>
      </c>
      <c r="CO182" s="443">
        <f t="shared" si="534"/>
        <v>36.799999999999997</v>
      </c>
      <c r="CP182" s="443"/>
      <c r="CQ182" s="217">
        <f t="shared" si="535"/>
        <v>0.51086956521739135</v>
      </c>
      <c r="CR182" s="172">
        <f t="shared" si="590"/>
        <v>30.859076086956527</v>
      </c>
      <c r="CS182" s="172">
        <f t="shared" si="536"/>
        <v>17.28</v>
      </c>
      <c r="CT182" s="217">
        <f t="shared" si="537"/>
        <v>7.7147690217391318</v>
      </c>
      <c r="CU182" s="217">
        <f t="shared" si="538"/>
        <v>4</v>
      </c>
      <c r="CV182" s="217"/>
      <c r="CW182" s="172">
        <f t="shared" si="539"/>
        <v>9.6920064827088357</v>
      </c>
      <c r="CX182" s="536">
        <f t="shared" si="540"/>
        <v>4</v>
      </c>
      <c r="CY182" s="217">
        <f t="shared" si="541"/>
        <v>3.7582978723404254</v>
      </c>
      <c r="CZ182" s="217">
        <f t="shared" si="542"/>
        <v>2.5055319148936168</v>
      </c>
      <c r="DA182" s="217">
        <f t="shared" si="543"/>
        <v>2.3989135355364417</v>
      </c>
      <c r="DB182" s="197">
        <f t="shared" si="544"/>
        <v>350</v>
      </c>
      <c r="DC182" s="443">
        <f t="shared" si="545"/>
        <v>203.89665051984878</v>
      </c>
      <c r="DE182" s="217">
        <f t="shared" si="546"/>
        <v>2.18944099378882</v>
      </c>
      <c r="DF182" s="173">
        <f t="shared" si="547"/>
        <v>1.3975155279503106</v>
      </c>
      <c r="DG182" s="173">
        <f t="shared" si="548"/>
        <v>2.1418444504455847</v>
      </c>
      <c r="DH182" s="173"/>
      <c r="DI182" s="173">
        <f t="shared" si="549"/>
        <v>0.85106382978723416</v>
      </c>
      <c r="DJ182" s="545">
        <f t="shared" si="550"/>
        <v>1903.4999999999998</v>
      </c>
      <c r="DK182" s="528">
        <f t="shared" si="551"/>
        <v>0.79432624113475192</v>
      </c>
      <c r="DM182" s="173">
        <f t="shared" si="552"/>
        <v>3.1094326538086379</v>
      </c>
      <c r="DN182" s="173">
        <f t="shared" si="553"/>
        <v>3.7582978723404254</v>
      </c>
      <c r="DO182" s="173">
        <f t="shared" si="554"/>
        <v>2.9962700288941422</v>
      </c>
      <c r="DQ182" s="545">
        <f t="shared" si="555"/>
        <v>4320</v>
      </c>
      <c r="DR182" s="460">
        <f t="shared" si="556"/>
        <v>203.89665051984878</v>
      </c>
      <c r="DT182">
        <f t="shared" si="591"/>
        <v>4320</v>
      </c>
      <c r="DU182">
        <f t="shared" si="592"/>
        <v>203.89665051984878</v>
      </c>
      <c r="DW182" s="5">
        <f t="shared" si="557"/>
        <v>4.9044454504300594</v>
      </c>
      <c r="DX182" s="5">
        <f t="shared" si="558"/>
        <v>2.5055319148936168</v>
      </c>
      <c r="DY182" s="5">
        <f t="shared" si="559"/>
        <v>2.3989135355364426</v>
      </c>
      <c r="DZ182" s="5"/>
      <c r="EA182" s="173">
        <f t="shared" si="560"/>
        <v>0.51086956521739124</v>
      </c>
      <c r="EB182" s="173">
        <f t="shared" si="561"/>
        <v>17.28</v>
      </c>
      <c r="EC182" s="173">
        <f t="shared" si="562"/>
        <v>3.6765957446808515</v>
      </c>
      <c r="ED182" s="173">
        <f t="shared" si="563"/>
        <v>4.7</v>
      </c>
      <c r="EE182" s="460">
        <f t="shared" si="564"/>
        <v>270.59744680851065</v>
      </c>
      <c r="EF182" s="5">
        <f t="shared" si="565"/>
        <v>1.9191308284291539</v>
      </c>
      <c r="EH182" s="173">
        <f t="shared" si="566"/>
        <v>1.5509063925001638</v>
      </c>
      <c r="EI182" s="173">
        <f t="shared" si="567"/>
        <v>6.070198671035385</v>
      </c>
      <c r="EK182" s="528">
        <f t="shared" si="568"/>
        <v>2.9344789787234041E-2</v>
      </c>
      <c r="EL182" s="528">
        <f t="shared" si="569"/>
        <v>0.56399999999999995</v>
      </c>
      <c r="EM182" s="528">
        <f t="shared" si="570"/>
        <v>2.5487081314981098E-2</v>
      </c>
      <c r="EN182" s="528">
        <f t="shared" si="571"/>
        <v>2.7612499999999998E-2</v>
      </c>
      <c r="EO182">
        <f t="shared" si="572"/>
        <v>8.0999999999999996E-3</v>
      </c>
      <c r="EP182" s="460">
        <f t="shared" si="573"/>
        <v>33.587081314981099</v>
      </c>
      <c r="EQ182" s="460"/>
      <c r="ER182" s="460">
        <f t="shared" si="593"/>
        <v>654.54437110221522</v>
      </c>
      <c r="ES182" s="528">
        <f t="shared" si="574"/>
        <v>3.024</v>
      </c>
      <c r="EV182" s="460">
        <f t="shared" si="494"/>
        <v>3024</v>
      </c>
      <c r="EW182" s="528">
        <f t="shared" si="575"/>
        <v>7.2159319148936168E-2</v>
      </c>
      <c r="EX182" s="528">
        <f t="shared" si="576"/>
        <v>1.1054193571751925</v>
      </c>
      <c r="EY182" s="528">
        <f t="shared" si="577"/>
        <v>0.81278041177063176</v>
      </c>
      <c r="EZ182" s="528"/>
      <c r="FA182" s="528">
        <f t="shared" si="578"/>
        <v>7.2000000000000008E-2</v>
      </c>
      <c r="FB182" s="460">
        <f t="shared" si="579"/>
        <v>2062.3590880947609</v>
      </c>
      <c r="FC182" s="173">
        <f t="shared" si="580"/>
        <v>5.7409034591969759</v>
      </c>
      <c r="FD182" s="5">
        <f t="shared" si="581"/>
        <v>17.28</v>
      </c>
      <c r="FE182" s="173">
        <f t="shared" si="582"/>
        <v>0.75062214785043757</v>
      </c>
      <c r="FF182" s="5">
        <f t="shared" si="583"/>
        <v>75.06221478504375</v>
      </c>
      <c r="FI182" s="562">
        <f t="shared" si="584"/>
        <v>-50</v>
      </c>
      <c r="FJ182">
        <f t="shared" si="585"/>
        <v>-50</v>
      </c>
      <c r="FL182">
        <f t="shared" si="586"/>
        <v>0.48913043478260876</v>
      </c>
    </row>
    <row r="183" spans="5:168">
      <c r="E183" s="170">
        <v>73</v>
      </c>
      <c r="F183" s="217">
        <f t="shared" si="587"/>
        <v>4.38</v>
      </c>
      <c r="G183" s="217"/>
      <c r="H183" s="217">
        <f t="shared" si="495"/>
        <v>17.52</v>
      </c>
      <c r="I183" s="541">
        <f t="shared" si="496"/>
        <v>17.903545425740717</v>
      </c>
      <c r="J183" s="172">
        <f t="shared" si="497"/>
        <v>19.897113640863875</v>
      </c>
      <c r="K183" s="172">
        <f t="shared" si="498"/>
        <v>37.800659066604595</v>
      </c>
      <c r="L183" s="443"/>
      <c r="M183" s="217">
        <f t="shared" si="499"/>
        <v>0.52608673134937445</v>
      </c>
      <c r="N183" s="172">
        <f t="shared" si="500"/>
        <v>31.607982373393266</v>
      </c>
      <c r="O183" s="172">
        <f t="shared" si="438"/>
        <v>17.52</v>
      </c>
      <c r="P183" s="217">
        <f t="shared" si="501"/>
        <v>7.9019955933483166</v>
      </c>
      <c r="Q183" s="217">
        <f t="shared" si="502"/>
        <v>4</v>
      </c>
      <c r="R183" s="217"/>
      <c r="S183" s="172">
        <f t="shared" si="503"/>
        <v>9.4577837524813031</v>
      </c>
      <c r="T183" s="536">
        <f t="shared" si="504"/>
        <v>4</v>
      </c>
      <c r="U183" s="217">
        <f t="shared" si="505"/>
        <v>4.6210987217884671</v>
      </c>
      <c r="V183" s="217">
        <f t="shared" si="506"/>
        <v>3.0973297937811868</v>
      </c>
      <c r="W183" s="217">
        <f t="shared" si="507"/>
        <v>2.7869964288475555</v>
      </c>
      <c r="X183" s="197">
        <f t="shared" si="508"/>
        <v>350</v>
      </c>
      <c r="Y183" s="443">
        <f t="shared" si="509"/>
        <v>164.35673621194306</v>
      </c>
      <c r="AA183" s="217">
        <f t="shared" si="510"/>
        <v>2.2437809709352896</v>
      </c>
      <c r="AB183" s="173">
        <f t="shared" si="511"/>
        <v>1.3532300280943892</v>
      </c>
      <c r="AC183" s="173">
        <f t="shared" si="512"/>
        <v>2.1254462504354925</v>
      </c>
      <c r="AD183" s="173"/>
      <c r="AE183" s="173">
        <f t="shared" si="513"/>
        <v>0.80413673504582395</v>
      </c>
      <c r="AF183" s="545">
        <f t="shared" si="514"/>
        <v>2042.5630721949312</v>
      </c>
      <c r="AG183" s="528">
        <f t="shared" si="515"/>
        <v>0.75052761937610246</v>
      </c>
      <c r="AI183" s="173">
        <f t="shared" si="516"/>
        <v>3.2210128129685534</v>
      </c>
      <c r="AJ183" s="173">
        <f t="shared" si="517"/>
        <v>4.6210987217884671</v>
      </c>
      <c r="AK183" s="173">
        <f t="shared" si="518"/>
        <v>3.6353817692260249</v>
      </c>
      <c r="AM183" s="545">
        <f t="shared" si="519"/>
        <v>4380</v>
      </c>
      <c r="AN183" s="460">
        <f t="shared" si="520"/>
        <v>164.35673621194306</v>
      </c>
      <c r="AP183">
        <f t="shared" si="521"/>
        <v>4380</v>
      </c>
      <c r="AQ183">
        <f t="shared" si="522"/>
        <v>164.35673621194306</v>
      </c>
      <c r="AS183" s="5">
        <f t="shared" si="439"/>
        <v>6.0843262226287411</v>
      </c>
      <c r="AT183" s="5">
        <f t="shared" si="523"/>
        <v>3.0973297937811868</v>
      </c>
      <c r="AU183" s="5">
        <f t="shared" si="478"/>
        <v>2.9869964288475543</v>
      </c>
      <c r="AV183" s="5"/>
      <c r="AW183" s="173">
        <f t="shared" si="479"/>
        <v>0.5090670158778865</v>
      </c>
      <c r="AX183" s="173">
        <f t="shared" si="435"/>
        <v>21.058588197089215</v>
      </c>
      <c r="AY183" s="173">
        <f t="shared" si="436"/>
        <v>4.5372995708209931</v>
      </c>
      <c r="AZ183" s="173">
        <f t="shared" si="440"/>
        <v>4.641216183413432</v>
      </c>
      <c r="BA183" s="460">
        <f t="shared" si="594"/>
        <v>339.15761241903999</v>
      </c>
      <c r="BB183" s="5">
        <f t="shared" si="595"/>
        <v>2.4358386467115087</v>
      </c>
      <c r="BD183" s="173">
        <f t="shared" si="441"/>
        <v>1.9035842309503828</v>
      </c>
      <c r="BE183" s="173">
        <f t="shared" si="437"/>
        <v>7.4774878574901527</v>
      </c>
      <c r="BG183" s="528">
        <f t="shared" si="480"/>
        <v>4.420832167674011E-2</v>
      </c>
      <c r="BH183" s="528">
        <f t="shared" si="524"/>
        <v>0.53831117932308559</v>
      </c>
      <c r="BI183" s="528">
        <f t="shared" si="525"/>
        <v>7.3564207319925162E-2</v>
      </c>
      <c r="BJ183" s="528">
        <f t="shared" si="481"/>
        <v>2.3484766818639161E-2</v>
      </c>
      <c r="BK183">
        <f t="shared" si="482"/>
        <v>8.0565954415833217E-3</v>
      </c>
      <c r="BL183" s="460">
        <f t="shared" si="588"/>
        <v>81.620802761508486</v>
      </c>
      <c r="BM183" s="528">
        <f t="shared" si="526"/>
        <v>0.62450020059863287</v>
      </c>
      <c r="BN183" s="460">
        <f t="shared" si="527"/>
        <v>624.50020059863289</v>
      </c>
      <c r="BO183" s="528">
        <f t="shared" si="483"/>
        <v>3.0659999999999998</v>
      </c>
      <c r="BR183" s="460">
        <f t="shared" si="484"/>
        <v>3066</v>
      </c>
      <c r="BS183" s="528">
        <f t="shared" si="485"/>
        <v>0.1087089877296888</v>
      </c>
      <c r="BT183" s="528">
        <f t="shared" si="486"/>
        <v>1.6773847397673802</v>
      </c>
      <c r="BU183" s="528">
        <f t="shared" si="487"/>
        <v>0.79488058958038033</v>
      </c>
      <c r="BV183" s="528"/>
      <c r="BW183" s="528">
        <f t="shared" si="488"/>
        <v>8.7744117487871726E-2</v>
      </c>
      <c r="BX183" s="460">
        <f t="shared" si="489"/>
        <v>2668.7184345653209</v>
      </c>
      <c r="BY183" s="173">
        <f t="shared" si="490"/>
        <v>6.4223435051452942</v>
      </c>
      <c r="BZ183" s="5">
        <f t="shared" si="491"/>
        <v>17.52</v>
      </c>
      <c r="CA183" s="173">
        <f t="shared" si="492"/>
        <v>0.73175794158307383</v>
      </c>
      <c r="CB183" s="5">
        <f t="shared" si="493"/>
        <v>73.175794158307383</v>
      </c>
      <c r="CE183" s="562">
        <f t="shared" si="528"/>
        <v>-50</v>
      </c>
      <c r="CF183">
        <f t="shared" si="529"/>
        <v>-50</v>
      </c>
      <c r="CG183" s="173">
        <f t="shared" si="530"/>
        <v>0.47907525749669827</v>
      </c>
      <c r="CI183" s="170">
        <v>73</v>
      </c>
      <c r="CJ183" s="217">
        <f t="shared" si="589"/>
        <v>4.38</v>
      </c>
      <c r="CK183" s="217"/>
      <c r="CL183" s="217">
        <f t="shared" si="531"/>
        <v>17.52</v>
      </c>
      <c r="CM183" s="541">
        <f t="shared" si="532"/>
        <v>18</v>
      </c>
      <c r="CN183" s="443">
        <f t="shared" si="533"/>
        <v>18.8</v>
      </c>
      <c r="CO183" s="443">
        <f t="shared" si="534"/>
        <v>36.799999999999997</v>
      </c>
      <c r="CP183" s="443"/>
      <c r="CQ183" s="217">
        <f t="shared" si="535"/>
        <v>0.51086956521739135</v>
      </c>
      <c r="CR183" s="172">
        <f t="shared" si="590"/>
        <v>30.859076086956527</v>
      </c>
      <c r="CS183" s="172">
        <f t="shared" si="536"/>
        <v>17.52</v>
      </c>
      <c r="CT183" s="217">
        <f t="shared" si="537"/>
        <v>7.7147690217391318</v>
      </c>
      <c r="CU183" s="217">
        <f t="shared" si="538"/>
        <v>4</v>
      </c>
      <c r="CV183" s="217"/>
      <c r="CW183" s="172">
        <f t="shared" si="539"/>
        <v>9.5072347756790041</v>
      </c>
      <c r="CX183" s="536">
        <f t="shared" si="540"/>
        <v>4</v>
      </c>
      <c r="CY183" s="217">
        <f t="shared" si="541"/>
        <v>3.8104964539007087</v>
      </c>
      <c r="CZ183" s="217">
        <f t="shared" si="542"/>
        <v>2.540330969267139</v>
      </c>
      <c r="DA183" s="217">
        <f t="shared" si="543"/>
        <v>2.4322317790855585</v>
      </c>
      <c r="DB183" s="197">
        <f t="shared" si="544"/>
        <v>350</v>
      </c>
      <c r="DC183" s="443">
        <f t="shared" si="545"/>
        <v>201.10354571820707</v>
      </c>
      <c r="DE183" s="217">
        <f t="shared" si="546"/>
        <v>2.18944099378882</v>
      </c>
      <c r="DF183" s="173">
        <f t="shared" si="547"/>
        <v>1.3975155279503106</v>
      </c>
      <c r="DG183" s="173">
        <f t="shared" si="548"/>
        <v>2.1418444504455847</v>
      </c>
      <c r="DH183" s="173"/>
      <c r="DI183" s="173">
        <f t="shared" si="549"/>
        <v>0.85106382978723416</v>
      </c>
      <c r="DJ183" s="545">
        <f t="shared" si="550"/>
        <v>1929.9374999999995</v>
      </c>
      <c r="DK183" s="528">
        <f t="shared" si="551"/>
        <v>0.79432624113475192</v>
      </c>
      <c r="DM183" s="173">
        <f t="shared" si="552"/>
        <v>3.1309514756471621</v>
      </c>
      <c r="DN183" s="173">
        <f t="shared" si="553"/>
        <v>3.8104964539007087</v>
      </c>
      <c r="DO183" s="173">
        <f t="shared" si="554"/>
        <v>3.0349356448647224</v>
      </c>
      <c r="DQ183" s="545">
        <f t="shared" si="555"/>
        <v>4380</v>
      </c>
      <c r="DR183" s="460">
        <f t="shared" si="556"/>
        <v>201.10354571820707</v>
      </c>
      <c r="DT183">
        <f t="shared" si="591"/>
        <v>4380</v>
      </c>
      <c r="DU183">
        <f t="shared" si="592"/>
        <v>201.10354571820707</v>
      </c>
      <c r="DW183" s="5">
        <f t="shared" si="557"/>
        <v>4.9725627483526971</v>
      </c>
      <c r="DX183" s="5">
        <f t="shared" si="558"/>
        <v>2.540330969267139</v>
      </c>
      <c r="DY183" s="5">
        <f t="shared" si="559"/>
        <v>2.4322317790855581</v>
      </c>
      <c r="DZ183" s="5"/>
      <c r="EA183" s="173">
        <f t="shared" si="560"/>
        <v>0.51086956521739135</v>
      </c>
      <c r="EB183" s="173">
        <f t="shared" si="561"/>
        <v>17.52</v>
      </c>
      <c r="EC183" s="173">
        <f t="shared" si="562"/>
        <v>3.7276595744680843</v>
      </c>
      <c r="ED183" s="173">
        <f t="shared" si="563"/>
        <v>4.7000000000000011</v>
      </c>
      <c r="EE183" s="460">
        <f t="shared" si="564"/>
        <v>278.16624113475177</v>
      </c>
      <c r="EF183" s="5">
        <f t="shared" si="565"/>
        <v>1.9728102208138409</v>
      </c>
      <c r="EH183" s="173">
        <f t="shared" si="566"/>
        <v>1.5724467590626661</v>
      </c>
      <c r="EI183" s="173">
        <f t="shared" si="567"/>
        <v>6.1545069859108752</v>
      </c>
      <c r="EK183" s="528">
        <f t="shared" si="568"/>
        <v>3.016558348305752E-2</v>
      </c>
      <c r="EL183" s="528">
        <f t="shared" si="569"/>
        <v>0.56400000000000006</v>
      </c>
      <c r="EM183" s="528">
        <f t="shared" si="570"/>
        <v>2.5137943214775884E-2</v>
      </c>
      <c r="EN183" s="528">
        <f t="shared" si="571"/>
        <v>2.7234246575342472E-2</v>
      </c>
      <c r="EO183">
        <f t="shared" si="572"/>
        <v>8.0999999999999996E-3</v>
      </c>
      <c r="EP183" s="460">
        <f t="shared" si="573"/>
        <v>33.237943214775882</v>
      </c>
      <c r="EQ183" s="460"/>
      <c r="ER183" s="460">
        <f t="shared" si="593"/>
        <v>654.63777327317598</v>
      </c>
      <c r="ES183" s="528">
        <f t="shared" si="574"/>
        <v>3.0659999999999998</v>
      </c>
      <c r="EV183" s="460">
        <f t="shared" si="494"/>
        <v>3066</v>
      </c>
      <c r="EW183" s="528">
        <f t="shared" si="575"/>
        <v>7.4177664302600463E-2</v>
      </c>
      <c r="EX183" s="528">
        <f t="shared" si="576"/>
        <v>1.1363386871887731</v>
      </c>
      <c r="EY183" s="528">
        <f t="shared" si="577"/>
        <v>0.81278041177063143</v>
      </c>
      <c r="EZ183" s="528"/>
      <c r="FA183" s="528">
        <f t="shared" si="578"/>
        <v>7.3000000000000009E-2</v>
      </c>
      <c r="FB183" s="460">
        <f t="shared" si="579"/>
        <v>2096.2967632620048</v>
      </c>
      <c r="FC183" s="173">
        <f t="shared" si="580"/>
        <v>5.8169345365351806</v>
      </c>
      <c r="FD183" s="5">
        <f t="shared" si="581"/>
        <v>17.52</v>
      </c>
      <c r="FE183" s="173">
        <f t="shared" si="582"/>
        <v>0.7507412754906404</v>
      </c>
      <c r="FF183" s="5">
        <f t="shared" si="583"/>
        <v>75.074127549064045</v>
      </c>
      <c r="FI183" s="562">
        <f t="shared" si="584"/>
        <v>-50</v>
      </c>
      <c r="FJ183">
        <f t="shared" si="585"/>
        <v>-50</v>
      </c>
      <c r="FL183">
        <f t="shared" si="586"/>
        <v>0.48913043478260865</v>
      </c>
    </row>
    <row r="184" spans="5:168">
      <c r="E184" s="170">
        <v>74</v>
      </c>
      <c r="F184" s="217">
        <f t="shared" si="587"/>
        <v>4.4399999999999995</v>
      </c>
      <c r="G184" s="217"/>
      <c r="H184" s="217">
        <f t="shared" si="495"/>
        <v>17.759999999999998</v>
      </c>
      <c r="I184" s="541">
        <f t="shared" si="496"/>
        <v>17.902251854643815</v>
      </c>
      <c r="J184" s="172">
        <f t="shared" si="497"/>
        <v>19.91182724575755</v>
      </c>
      <c r="K184" s="172">
        <f t="shared" si="498"/>
        <v>37.814079100401365</v>
      </c>
      <c r="L184" s="443"/>
      <c r="M184" s="217">
        <f t="shared" si="499"/>
        <v>0.52628933054366278</v>
      </c>
      <c r="N184" s="172">
        <f t="shared" si="500"/>
        <v>31.61787017258407</v>
      </c>
      <c r="O184" s="172">
        <f t="shared" si="438"/>
        <v>17.759999999999998</v>
      </c>
      <c r="P184" s="217">
        <f t="shared" si="501"/>
        <v>7.9044675431460174</v>
      </c>
      <c r="Q184" s="217">
        <f t="shared" si="502"/>
        <v>4</v>
      </c>
      <c r="R184" s="217"/>
      <c r="S184" s="172">
        <f t="shared" si="503"/>
        <v>9.2785295573329378</v>
      </c>
      <c r="T184" s="536">
        <f t="shared" si="504"/>
        <v>4</v>
      </c>
      <c r="U184" s="217">
        <f t="shared" si="505"/>
        <v>4.6864048946751051</v>
      </c>
      <c r="V184" s="217">
        <f t="shared" si="506"/>
        <v>3.1413287664989205</v>
      </c>
      <c r="W184" s="217">
        <f t="shared" si="507"/>
        <v>2.8242942268436559</v>
      </c>
      <c r="X184" s="197">
        <f t="shared" si="508"/>
        <v>350</v>
      </c>
      <c r="Y184" s="443">
        <f t="shared" si="509"/>
        <v>162.18961183318621</v>
      </c>
      <c r="AA184" s="217">
        <f t="shared" si="510"/>
        <v>2.2444811355733947</v>
      </c>
      <c r="AB184" s="173">
        <f t="shared" si="511"/>
        <v>1.3526520341130068</v>
      </c>
      <c r="AC184" s="173">
        <f t="shared" si="512"/>
        <v>2.1252013814931372</v>
      </c>
      <c r="AD184" s="173"/>
      <c r="AE184" s="173">
        <f t="shared" si="513"/>
        <v>0.80354252789175795</v>
      </c>
      <c r="AF184" s="545">
        <f t="shared" si="514"/>
        <v>2072.0745227616444</v>
      </c>
      <c r="AG184" s="528">
        <f t="shared" si="515"/>
        <v>0.74997302603230753</v>
      </c>
      <c r="AI184" s="173">
        <f t="shared" si="516"/>
        <v>3.2441983559513679</v>
      </c>
      <c r="AJ184" s="173">
        <f t="shared" si="517"/>
        <v>4.6864048946751051</v>
      </c>
      <c r="AK184" s="173">
        <f t="shared" si="518"/>
        <v>3.6837567121050165</v>
      </c>
      <c r="AM184" s="545">
        <f t="shared" si="519"/>
        <v>4439.9999999999991</v>
      </c>
      <c r="AN184" s="460">
        <f t="shared" si="520"/>
        <v>162.18961183318621</v>
      </c>
      <c r="AP184">
        <f t="shared" si="521"/>
        <v>4439.9999999999991</v>
      </c>
      <c r="AQ184">
        <f t="shared" si="522"/>
        <v>162.18961183318621</v>
      </c>
      <c r="AS184" s="5">
        <f t="shared" si="439"/>
        <v>6.1656229933425752</v>
      </c>
      <c r="AT184" s="5">
        <f t="shared" si="523"/>
        <v>3.1413287664989205</v>
      </c>
      <c r="AU184" s="5">
        <f t="shared" si="478"/>
        <v>3.0242942268436548</v>
      </c>
      <c r="AV184" s="5"/>
      <c r="AW184" s="173">
        <f t="shared" si="479"/>
        <v>0.50949089327888164</v>
      </c>
      <c r="AX184" s="173">
        <f t="shared" si="435"/>
        <v>21.372429868529753</v>
      </c>
      <c r="AY184" s="173">
        <f t="shared" si="436"/>
        <v>4.5974485572411252</v>
      </c>
      <c r="AZ184" s="173">
        <f t="shared" si="440"/>
        <v>4.6487588936405846</v>
      </c>
      <c r="BA184" s="460">
        <f t="shared" si="594"/>
        <v>348.68749308138013</v>
      </c>
      <c r="BB184" s="5">
        <f t="shared" si="595"/>
        <v>2.5002192417305045</v>
      </c>
      <c r="BD184" s="173">
        <f t="shared" si="441"/>
        <v>1.9312895627877658</v>
      </c>
      <c r="BE184" s="173">
        <f t="shared" si="437"/>
        <v>7.5798866168603185</v>
      </c>
      <c r="BG184" s="528">
        <f t="shared" si="480"/>
        <v>4.5504528379062104E-2</v>
      </c>
      <c r="BH184" s="528">
        <f t="shared" si="524"/>
        <v>0.53891173763513023</v>
      </c>
      <c r="BI184" s="528">
        <f t="shared" si="525"/>
        <v>7.258898198111545E-2</v>
      </c>
      <c r="BJ184" s="528">
        <f t="shared" si="481"/>
        <v>2.3191566849860467E-2</v>
      </c>
      <c r="BK184">
        <f t="shared" si="482"/>
        <v>8.0560133345897161E-3</v>
      </c>
      <c r="BL184" s="460">
        <f t="shared" si="588"/>
        <v>80.644995315705174</v>
      </c>
      <c r="BM184" s="528">
        <f t="shared" si="526"/>
        <v>0.62666952872818238</v>
      </c>
      <c r="BN184" s="460">
        <f t="shared" si="527"/>
        <v>626.6695287281824</v>
      </c>
      <c r="BO184" s="528">
        <f t="shared" si="483"/>
        <v>3.1079999999999997</v>
      </c>
      <c r="BR184" s="460">
        <f t="shared" si="484"/>
        <v>3107.9999999999995</v>
      </c>
      <c r="BS184" s="528">
        <f t="shared" si="485"/>
        <v>0.11189638125998877</v>
      </c>
      <c r="BT184" s="528">
        <f t="shared" si="486"/>
        <v>1.7236404337337448</v>
      </c>
      <c r="BU184" s="528">
        <f t="shared" si="487"/>
        <v>0.79639240607351047</v>
      </c>
      <c r="BV184" s="528"/>
      <c r="BW184" s="528">
        <f t="shared" si="488"/>
        <v>8.9051791118873985E-2</v>
      </c>
      <c r="BX184" s="460">
        <f t="shared" si="489"/>
        <v>2720.9810121861178</v>
      </c>
      <c r="BY184" s="173">
        <f t="shared" si="490"/>
        <v>6.5172338403658756</v>
      </c>
      <c r="BZ184" s="5">
        <f t="shared" si="491"/>
        <v>17.759999999999998</v>
      </c>
      <c r="CA184" s="173">
        <f t="shared" si="492"/>
        <v>0.73154957095937179</v>
      </c>
      <c r="CB184" s="5">
        <f t="shared" si="493"/>
        <v>73.154957095937178</v>
      </c>
      <c r="CE184" s="562">
        <f t="shared" si="528"/>
        <v>-50</v>
      </c>
      <c r="CF184">
        <f t="shared" si="529"/>
        <v>-50</v>
      </c>
      <c r="CG184" s="173">
        <f t="shared" si="530"/>
        <v>0.47921113827083245</v>
      </c>
      <c r="CI184" s="170">
        <v>74</v>
      </c>
      <c r="CJ184" s="217">
        <f t="shared" si="589"/>
        <v>4.4399999999999995</v>
      </c>
      <c r="CK184" s="217"/>
      <c r="CL184" s="217">
        <f t="shared" si="531"/>
        <v>17.759999999999998</v>
      </c>
      <c r="CM184" s="541">
        <f t="shared" si="532"/>
        <v>18</v>
      </c>
      <c r="CN184" s="443">
        <f t="shared" si="533"/>
        <v>18.8</v>
      </c>
      <c r="CO184" s="443">
        <f t="shared" si="534"/>
        <v>36.799999999999997</v>
      </c>
      <c r="CP184" s="443"/>
      <c r="CQ184" s="217">
        <f t="shared" si="535"/>
        <v>0.51086956521739135</v>
      </c>
      <c r="CR184" s="172">
        <f t="shared" si="590"/>
        <v>30.859076086956527</v>
      </c>
      <c r="CS184" s="172">
        <f t="shared" si="536"/>
        <v>17.759999999999998</v>
      </c>
      <c r="CT184" s="217">
        <f t="shared" si="537"/>
        <v>7.7147690217391318</v>
      </c>
      <c r="CU184" s="217">
        <f t="shared" si="538"/>
        <v>4</v>
      </c>
      <c r="CV184" s="217"/>
      <c r="CW184" s="172">
        <f t="shared" si="539"/>
        <v>9.327645093812821</v>
      </c>
      <c r="CX184" s="536">
        <f t="shared" si="540"/>
        <v>4</v>
      </c>
      <c r="CY184" s="217">
        <f t="shared" si="541"/>
        <v>3.8626950354609919</v>
      </c>
      <c r="CZ184" s="217">
        <f t="shared" si="542"/>
        <v>2.5751300236406611</v>
      </c>
      <c r="DA184" s="217">
        <f t="shared" si="543"/>
        <v>2.4655500226346758</v>
      </c>
      <c r="DB184" s="197">
        <f t="shared" si="544"/>
        <v>350</v>
      </c>
      <c r="DC184" s="443">
        <f t="shared" si="545"/>
        <v>198.38593023552855</v>
      </c>
      <c r="DE184" s="217">
        <f t="shared" si="546"/>
        <v>2.18944099378882</v>
      </c>
      <c r="DF184" s="173">
        <f t="shared" si="547"/>
        <v>1.3975155279503106</v>
      </c>
      <c r="DG184" s="173">
        <f t="shared" si="548"/>
        <v>2.1418444504455847</v>
      </c>
      <c r="DH184" s="173"/>
      <c r="DI184" s="173">
        <f t="shared" si="549"/>
        <v>0.85106382978723416</v>
      </c>
      <c r="DJ184" s="545">
        <f t="shared" si="550"/>
        <v>1956.3749999999993</v>
      </c>
      <c r="DK184" s="528">
        <f t="shared" si="551"/>
        <v>0.79432624113475192</v>
      </c>
      <c r="DM184" s="173">
        <f t="shared" si="552"/>
        <v>3.152323406178823</v>
      </c>
      <c r="DN184" s="173">
        <f t="shared" si="553"/>
        <v>3.8626950354609919</v>
      </c>
      <c r="DO184" s="173">
        <f t="shared" si="554"/>
        <v>3.0736012608353027</v>
      </c>
      <c r="DQ184" s="545">
        <f t="shared" si="555"/>
        <v>4439.9999999999991</v>
      </c>
      <c r="DR184" s="460">
        <f t="shared" si="556"/>
        <v>198.38593023552855</v>
      </c>
      <c r="DT184">
        <f t="shared" si="591"/>
        <v>4439.9999999999991</v>
      </c>
      <c r="DU184">
        <f t="shared" si="592"/>
        <v>198.38593023552855</v>
      </c>
      <c r="DW184" s="5">
        <f t="shared" si="557"/>
        <v>5.0406800462753383</v>
      </c>
      <c r="DX184" s="5">
        <f t="shared" si="558"/>
        <v>2.5751300236406611</v>
      </c>
      <c r="DY184" s="5">
        <f t="shared" si="559"/>
        <v>2.4655500226346772</v>
      </c>
      <c r="DZ184" s="5"/>
      <c r="EA184" s="173">
        <f t="shared" si="560"/>
        <v>0.51086956521739113</v>
      </c>
      <c r="EB184" s="173">
        <f t="shared" si="561"/>
        <v>17.759999999999991</v>
      </c>
      <c r="EC184" s="173">
        <f t="shared" si="562"/>
        <v>3.7787234042553197</v>
      </c>
      <c r="ED184" s="173">
        <f t="shared" si="563"/>
        <v>4.6999999999999966</v>
      </c>
      <c r="EE184" s="460">
        <f t="shared" si="564"/>
        <v>285.83943262411333</v>
      </c>
      <c r="EF184" s="5">
        <f t="shared" si="565"/>
        <v>2.0272300186107342</v>
      </c>
      <c r="EH184" s="173">
        <f t="shared" si="566"/>
        <v>1.5939871256251676</v>
      </c>
      <c r="EI184" s="173">
        <f t="shared" si="567"/>
        <v>6.2388153007863663</v>
      </c>
      <c r="EK184" s="528">
        <f t="shared" si="568"/>
        <v>3.0997698471237164E-2</v>
      </c>
      <c r="EL184" s="528">
        <f t="shared" si="569"/>
        <v>0.56399999999999983</v>
      </c>
      <c r="EM184" s="528">
        <f t="shared" si="570"/>
        <v>2.4798241279441066E-2</v>
      </c>
      <c r="EN184" s="528">
        <f t="shared" si="571"/>
        <v>2.6866216216216217E-2</v>
      </c>
      <c r="EO184">
        <f t="shared" si="572"/>
        <v>8.0999999999999996E-3</v>
      </c>
      <c r="EP184" s="460">
        <f t="shared" si="573"/>
        <v>32.898241279441059</v>
      </c>
      <c r="EQ184" s="460"/>
      <c r="ER184" s="460">
        <f t="shared" si="593"/>
        <v>654.76215596689428</v>
      </c>
      <c r="ES184" s="528">
        <f t="shared" si="574"/>
        <v>3.1079999999999997</v>
      </c>
      <c r="EV184" s="460">
        <f t="shared" si="494"/>
        <v>3107.9999999999995</v>
      </c>
      <c r="EW184" s="528">
        <f t="shared" si="575"/>
        <v>7.6223848699763522E-2</v>
      </c>
      <c r="EX184" s="528">
        <f t="shared" si="576"/>
        <v>1.1676844907197823</v>
      </c>
      <c r="EY184" s="528">
        <f t="shared" si="577"/>
        <v>0.81278041177063254</v>
      </c>
      <c r="EZ184" s="528"/>
      <c r="FA184" s="528">
        <f t="shared" si="578"/>
        <v>7.3999999999999969E-2</v>
      </c>
      <c r="FB184" s="460">
        <f t="shared" si="579"/>
        <v>2130.6887511901782</v>
      </c>
      <c r="FC184" s="173">
        <f t="shared" si="580"/>
        <v>5.8934509071570726</v>
      </c>
      <c r="FD184" s="5">
        <f t="shared" si="581"/>
        <v>17.759999999999998</v>
      </c>
      <c r="FE184" s="173">
        <f t="shared" si="582"/>
        <v>0.75084181457117405</v>
      </c>
      <c r="FF184" s="5">
        <f t="shared" si="583"/>
        <v>75.08418145711741</v>
      </c>
      <c r="FI184" s="562">
        <f t="shared" si="584"/>
        <v>-50</v>
      </c>
      <c r="FJ184">
        <f t="shared" si="585"/>
        <v>-50</v>
      </c>
      <c r="FL184">
        <f t="shared" si="586"/>
        <v>0.48913043478260887</v>
      </c>
    </row>
    <row r="185" spans="5:168">
      <c r="E185" s="170">
        <v>75</v>
      </c>
      <c r="F185" s="217">
        <f t="shared" si="587"/>
        <v>4.5</v>
      </c>
      <c r="G185" s="217"/>
      <c r="H185" s="217">
        <f t="shared" si="495"/>
        <v>18</v>
      </c>
      <c r="I185" s="541">
        <f t="shared" si="496"/>
        <v>17.90095826824782</v>
      </c>
      <c r="J185" s="172">
        <f t="shared" si="497"/>
        <v>19.926541024669334</v>
      </c>
      <c r="K185" s="172">
        <f t="shared" si="498"/>
        <v>37.827499292917153</v>
      </c>
      <c r="L185" s="443"/>
      <c r="M185" s="217">
        <f t="shared" si="499"/>
        <v>0.52649178604482849</v>
      </c>
      <c r="N185" s="172">
        <f t="shared" si="500"/>
        <v>31.627747553750137</v>
      </c>
      <c r="O185" s="172">
        <f t="shared" si="438"/>
        <v>18</v>
      </c>
      <c r="P185" s="217">
        <f t="shared" si="501"/>
        <v>7.9069368884375342</v>
      </c>
      <c r="Q185" s="217">
        <f t="shared" si="502"/>
        <v>4</v>
      </c>
      <c r="R185" s="217"/>
      <c r="S185" s="172">
        <f t="shared" si="503"/>
        <v>9.1042508925616463</v>
      </c>
      <c r="T185" s="536">
        <f t="shared" si="504"/>
        <v>4</v>
      </c>
      <c r="U185" s="217">
        <f t="shared" si="505"/>
        <v>4.7517655104775312</v>
      </c>
      <c r="V185" s="217">
        <f t="shared" si="506"/>
        <v>3.1853705969960751</v>
      </c>
      <c r="W185" s="217">
        <f t="shared" si="507"/>
        <v>2.8615697052056026</v>
      </c>
      <c r="X185" s="197">
        <f t="shared" si="508"/>
        <v>350</v>
      </c>
      <c r="Y185" s="443">
        <f t="shared" si="509"/>
        <v>160.07836662814898</v>
      </c>
      <c r="AA185" s="217">
        <f t="shared" si="510"/>
        <v>2.2451805720879197</v>
      </c>
      <c r="AB185" s="173">
        <f t="shared" si="511"/>
        <v>1.3520744434119432</v>
      </c>
      <c r="AC185" s="173">
        <f t="shared" si="512"/>
        <v>2.1249558906555577</v>
      </c>
      <c r="AD185" s="173"/>
      <c r="AE185" s="173">
        <f t="shared" si="513"/>
        <v>0.80294919124155972</v>
      </c>
      <c r="AF185" s="545">
        <f t="shared" si="514"/>
        <v>2101.6273736955932</v>
      </c>
      <c r="AG185" s="528">
        <f t="shared" si="515"/>
        <v>0.74941924515878922</v>
      </c>
      <c r="AI185" s="173">
        <f t="shared" si="516"/>
        <v>3.2672515501239179</v>
      </c>
      <c r="AJ185" s="173">
        <f t="shared" si="517"/>
        <v>4.7517655104775312</v>
      </c>
      <c r="AK185" s="173">
        <f t="shared" si="518"/>
        <v>3.7321719830697759</v>
      </c>
      <c r="AM185" s="545">
        <f t="shared" si="519"/>
        <v>4500</v>
      </c>
      <c r="AN185" s="460">
        <f t="shared" si="520"/>
        <v>160.07836662814898</v>
      </c>
      <c r="AP185">
        <f t="shared" si="521"/>
        <v>4500</v>
      </c>
      <c r="AQ185">
        <f t="shared" si="522"/>
        <v>160.07836662814898</v>
      </c>
      <c r="AS185" s="5">
        <f t="shared" si="439"/>
        <v>6.2469403022016783</v>
      </c>
      <c r="AT185" s="5">
        <f t="shared" si="523"/>
        <v>3.1853705969960751</v>
      </c>
      <c r="AU185" s="5">
        <f t="shared" si="478"/>
        <v>3.0615697052056032</v>
      </c>
      <c r="AV185" s="5"/>
      <c r="AW185" s="173">
        <f t="shared" si="479"/>
        <v>0.50990892227246343</v>
      </c>
      <c r="AX185" s="173">
        <f t="shared" si="435"/>
        <v>21.686721218007413</v>
      </c>
      <c r="AY185" s="173">
        <f t="shared" si="436"/>
        <v>4.6575957602769424</v>
      </c>
      <c r="AZ185" s="173">
        <f t="shared" si="440"/>
        <v>4.6562051183071995</v>
      </c>
      <c r="BA185" s="460">
        <f t="shared" si="594"/>
        <v>358.35419216205844</v>
      </c>
      <c r="BB185" s="5">
        <f t="shared" si="595"/>
        <v>2.5654238666955522</v>
      </c>
      <c r="BD185" s="173">
        <f t="shared" si="441"/>
        <v>1.9590281620273367</v>
      </c>
      <c r="BE185" s="173">
        <f t="shared" si="437"/>
        <v>7.6823265391729434</v>
      </c>
      <c r="BG185" s="528">
        <f t="shared" si="480"/>
        <v>4.6821054343317695E-2</v>
      </c>
      <c r="BH185" s="528">
        <f t="shared" si="524"/>
        <v>0.53950633567868389</v>
      </c>
      <c r="BI185" s="528">
        <f t="shared" si="525"/>
        <v>7.163890401649424E-2</v>
      </c>
      <c r="BJ185" s="528">
        <f t="shared" si="481"/>
        <v>2.2905928879316053E-2</v>
      </c>
      <c r="BK185">
        <f t="shared" si="482"/>
        <v>8.0554312207115186E-3</v>
      </c>
      <c r="BL185" s="460">
        <f t="shared" si="588"/>
        <v>79.694335237205763</v>
      </c>
      <c r="BM185" s="528">
        <f t="shared" si="526"/>
        <v>0.62887099372013855</v>
      </c>
      <c r="BN185" s="460">
        <f t="shared" si="527"/>
        <v>628.87099372013859</v>
      </c>
      <c r="BO185" s="528">
        <f t="shared" si="483"/>
        <v>3.15</v>
      </c>
      <c r="BR185" s="460">
        <f t="shared" si="484"/>
        <v>3150</v>
      </c>
      <c r="BS185" s="528">
        <f t="shared" si="485"/>
        <v>0.11513374018848614</v>
      </c>
      <c r="BT185" s="528">
        <f t="shared" si="486"/>
        <v>1.770544231634428</v>
      </c>
      <c r="BU185" s="528">
        <f t="shared" si="487"/>
        <v>0.7978828266151482</v>
      </c>
      <c r="BV185" s="528"/>
      <c r="BW185" s="528">
        <f t="shared" si="488"/>
        <v>9.0361338408364217E-2</v>
      </c>
      <c r="BX185" s="460">
        <f t="shared" si="489"/>
        <v>2773.9221368464264</v>
      </c>
      <c r="BY185" s="173">
        <f t="shared" si="490"/>
        <v>6.6128497909849502</v>
      </c>
      <c r="BZ185" s="5">
        <f t="shared" si="491"/>
        <v>18</v>
      </c>
      <c r="CA185" s="173">
        <f t="shared" si="492"/>
        <v>0.73132530986285604</v>
      </c>
      <c r="CB185" s="5">
        <f t="shared" si="493"/>
        <v>73.132530986285602</v>
      </c>
      <c r="CE185" s="562">
        <f t="shared" si="528"/>
        <v>-50</v>
      </c>
      <c r="CF185">
        <f t="shared" si="529"/>
        <v>-50</v>
      </c>
      <c r="CG185" s="173">
        <f t="shared" si="530"/>
        <v>0.47934339555765604</v>
      </c>
      <c r="CI185" s="170">
        <v>75</v>
      </c>
      <c r="CJ185" s="217">
        <f t="shared" si="589"/>
        <v>4.5</v>
      </c>
      <c r="CK185" s="217"/>
      <c r="CL185" s="217">
        <f t="shared" si="531"/>
        <v>18</v>
      </c>
      <c r="CM185" s="541">
        <f t="shared" si="532"/>
        <v>18</v>
      </c>
      <c r="CN185" s="443">
        <f t="shared" si="533"/>
        <v>18.8</v>
      </c>
      <c r="CO185" s="443">
        <f t="shared" si="534"/>
        <v>36.799999999999997</v>
      </c>
      <c r="CP185" s="443"/>
      <c r="CQ185" s="217">
        <f t="shared" si="535"/>
        <v>0.51086956521739135</v>
      </c>
      <c r="CR185" s="172">
        <f t="shared" si="590"/>
        <v>30.859076086956527</v>
      </c>
      <c r="CS185" s="172">
        <f t="shared" si="536"/>
        <v>18</v>
      </c>
      <c r="CT185" s="217">
        <f t="shared" si="537"/>
        <v>7.7147690217391318</v>
      </c>
      <c r="CU185" s="217">
        <f t="shared" si="538"/>
        <v>4</v>
      </c>
      <c r="CV185" s="217"/>
      <c r="CW185" s="172">
        <f t="shared" si="539"/>
        <v>9.1530318827233259</v>
      </c>
      <c r="CX185" s="536">
        <f t="shared" si="540"/>
        <v>4</v>
      </c>
      <c r="CY185" s="217">
        <f t="shared" si="541"/>
        <v>3.914893617021276</v>
      </c>
      <c r="CZ185" s="217">
        <f t="shared" si="542"/>
        <v>2.6099290780141842</v>
      </c>
      <c r="DA185" s="217">
        <f t="shared" si="543"/>
        <v>2.4988682661837931</v>
      </c>
      <c r="DB185" s="197">
        <f t="shared" si="544"/>
        <v>350</v>
      </c>
      <c r="DC185" s="443">
        <f t="shared" si="545"/>
        <v>195.74078449905483</v>
      </c>
      <c r="DE185" s="217">
        <f t="shared" si="546"/>
        <v>2.18944099378882</v>
      </c>
      <c r="DF185" s="173">
        <f t="shared" si="547"/>
        <v>1.3975155279503106</v>
      </c>
      <c r="DG185" s="173">
        <f t="shared" si="548"/>
        <v>2.1418444504455847</v>
      </c>
      <c r="DH185" s="173"/>
      <c r="DI185" s="173">
        <f t="shared" si="549"/>
        <v>0.85106382978723416</v>
      </c>
      <c r="DJ185" s="545">
        <f t="shared" si="550"/>
        <v>1982.8124999999995</v>
      </c>
      <c r="DK185" s="528">
        <f t="shared" si="551"/>
        <v>0.79432624113475192</v>
      </c>
      <c r="DM185" s="173">
        <f t="shared" si="552"/>
        <v>3.1735514130747231</v>
      </c>
      <c r="DN185" s="173">
        <f t="shared" si="553"/>
        <v>3.914893617021276</v>
      </c>
      <c r="DO185" s="173">
        <f t="shared" si="554"/>
        <v>3.1122668768058834</v>
      </c>
      <c r="DQ185" s="545">
        <f t="shared" si="555"/>
        <v>4500</v>
      </c>
      <c r="DR185" s="460">
        <f t="shared" si="556"/>
        <v>195.74078449905483</v>
      </c>
      <c r="DT185">
        <f t="shared" si="591"/>
        <v>4500</v>
      </c>
      <c r="DU185">
        <f t="shared" si="592"/>
        <v>195.74078449905483</v>
      </c>
      <c r="DW185" s="5">
        <f t="shared" si="557"/>
        <v>5.1087973441979777</v>
      </c>
      <c r="DX185" s="5">
        <f t="shared" si="558"/>
        <v>2.6099290780141842</v>
      </c>
      <c r="DY185" s="5">
        <f t="shared" si="559"/>
        <v>2.4988682661837935</v>
      </c>
      <c r="DZ185" s="5"/>
      <c r="EA185" s="173">
        <f t="shared" si="560"/>
        <v>0.51086956521739124</v>
      </c>
      <c r="EB185" s="173">
        <f t="shared" si="561"/>
        <v>17.999999999999996</v>
      </c>
      <c r="EC185" s="173">
        <f t="shared" si="562"/>
        <v>3.8297872340425529</v>
      </c>
      <c r="ED185" s="173">
        <f t="shared" si="563"/>
        <v>4.6999999999999993</v>
      </c>
      <c r="EE185" s="460">
        <f t="shared" si="564"/>
        <v>293.61702127659572</v>
      </c>
      <c r="EF185" s="5">
        <f t="shared" si="565"/>
        <v>2.0823902218198276</v>
      </c>
      <c r="EH185" s="173">
        <f t="shared" si="566"/>
        <v>1.6155274921876703</v>
      </c>
      <c r="EI185" s="173">
        <f t="shared" si="567"/>
        <v>6.3231236156618582</v>
      </c>
      <c r="EK185" s="528">
        <f t="shared" si="568"/>
        <v>3.1841134751773033E-2</v>
      </c>
      <c r="EL185" s="528">
        <f t="shared" si="569"/>
        <v>0.56399999999999983</v>
      </c>
      <c r="EM185" s="528">
        <f t="shared" si="570"/>
        <v>2.4467598062381853E-2</v>
      </c>
      <c r="EN185" s="528">
        <f t="shared" si="571"/>
        <v>2.6507999999999997E-2</v>
      </c>
      <c r="EO185">
        <f t="shared" si="572"/>
        <v>8.0999999999999996E-3</v>
      </c>
      <c r="EP185" s="460">
        <f t="shared" si="573"/>
        <v>32.567598062381855</v>
      </c>
      <c r="EQ185" s="460"/>
      <c r="ER185" s="460">
        <f t="shared" si="593"/>
        <v>654.91673281415478</v>
      </c>
      <c r="ES185" s="528">
        <f t="shared" si="574"/>
        <v>3.15</v>
      </c>
      <c r="EV185" s="460">
        <f t="shared" si="494"/>
        <v>3150</v>
      </c>
      <c r="EW185" s="528">
        <f t="shared" si="575"/>
        <v>7.8297872340425498E-2</v>
      </c>
      <c r="EX185" s="528">
        <f t="shared" si="576"/>
        <v>1.1994567677682206</v>
      </c>
      <c r="EY185" s="528">
        <f t="shared" si="577"/>
        <v>0.81278041177063254</v>
      </c>
      <c r="EZ185" s="528"/>
      <c r="FA185" s="528">
        <f t="shared" si="578"/>
        <v>7.4999999999999983E-2</v>
      </c>
      <c r="FB185" s="460">
        <f t="shared" si="579"/>
        <v>2165.5350518792789</v>
      </c>
      <c r="FC185" s="173">
        <f t="shared" si="580"/>
        <v>5.9704517846934335</v>
      </c>
      <c r="FD185" s="5">
        <f t="shared" si="581"/>
        <v>18</v>
      </c>
      <c r="FE185" s="173">
        <f t="shared" si="582"/>
        <v>0.75092451997479981</v>
      </c>
      <c r="FF185" s="5">
        <f t="shared" si="583"/>
        <v>75.092451997479984</v>
      </c>
      <c r="FI185" s="562">
        <f t="shared" si="584"/>
        <v>-50</v>
      </c>
      <c r="FJ185">
        <f t="shared" si="585"/>
        <v>-50</v>
      </c>
      <c r="FL185">
        <f t="shared" si="586"/>
        <v>0.48913043478260876</v>
      </c>
    </row>
    <row r="186" spans="5:168">
      <c r="E186" s="170">
        <v>76</v>
      </c>
      <c r="F186" s="217">
        <f t="shared" si="587"/>
        <v>4.5600000000000005</v>
      </c>
      <c r="G186" s="217"/>
      <c r="H186" s="217">
        <f t="shared" si="495"/>
        <v>18.240000000000002</v>
      </c>
      <c r="I186" s="541">
        <f t="shared" si="496"/>
        <v>17.89966466716881</v>
      </c>
      <c r="J186" s="172">
        <f t="shared" si="497"/>
        <v>19.941254970591721</v>
      </c>
      <c r="K186" s="172">
        <f t="shared" si="498"/>
        <v>37.840919637760535</v>
      </c>
      <c r="L186" s="443"/>
      <c r="M186" s="217">
        <f t="shared" si="499"/>
        <v>0.52669409799758027</v>
      </c>
      <c r="N186" s="172">
        <f t="shared" si="500"/>
        <v>31.637614528512955</v>
      </c>
      <c r="O186" s="172">
        <f t="shared" si="438"/>
        <v>18.240000000000002</v>
      </c>
      <c r="P186" s="217">
        <f t="shared" si="501"/>
        <v>7.9094036321282388</v>
      </c>
      <c r="Q186" s="217">
        <f t="shared" si="502"/>
        <v>4</v>
      </c>
      <c r="R186" s="217"/>
      <c r="S186" s="172">
        <f t="shared" si="503"/>
        <v>8.9347530332134699</v>
      </c>
      <c r="T186" s="536">
        <f t="shared" si="504"/>
        <v>4</v>
      </c>
      <c r="U186" s="217">
        <f t="shared" si="505"/>
        <v>4.8171805810026536</v>
      </c>
      <c r="V186" s="217">
        <f t="shared" si="506"/>
        <v>3.229455302481655</v>
      </c>
      <c r="W186" s="217">
        <f t="shared" si="507"/>
        <v>2.8988229204872633</v>
      </c>
      <c r="X186" s="197">
        <f t="shared" si="508"/>
        <v>350</v>
      </c>
      <c r="Y186" s="443">
        <f t="shared" si="509"/>
        <v>158.02086519686063</v>
      </c>
      <c r="AA186" s="217">
        <f t="shared" si="510"/>
        <v>2.245879280903663</v>
      </c>
      <c r="AB186" s="173">
        <f t="shared" si="511"/>
        <v>1.3514972558441865</v>
      </c>
      <c r="AC186" s="173">
        <f t="shared" si="512"/>
        <v>2.1247097795690304</v>
      </c>
      <c r="AD186" s="173"/>
      <c r="AE186" s="173">
        <f t="shared" si="513"/>
        <v>0.80235672346579656</v>
      </c>
      <c r="AF186" s="545">
        <f t="shared" si="514"/>
        <v>2131.2216249819899</v>
      </c>
      <c r="AG186" s="528">
        <f t="shared" si="515"/>
        <v>0.74886627523474347</v>
      </c>
      <c r="AI186" s="173">
        <f t="shared" si="516"/>
        <v>3.2901751774519883</v>
      </c>
      <c r="AJ186" s="173">
        <f t="shared" si="517"/>
        <v>4.8171805810026536</v>
      </c>
      <c r="AK186" s="173">
        <f t="shared" si="518"/>
        <v>3.7806275908661631</v>
      </c>
      <c r="AM186" s="545">
        <f t="shared" si="519"/>
        <v>4560.0000000000009</v>
      </c>
      <c r="AN186" s="460">
        <f t="shared" si="520"/>
        <v>158.02086519686063</v>
      </c>
      <c r="AP186">
        <f t="shared" si="521"/>
        <v>4560.0000000000009</v>
      </c>
      <c r="AQ186">
        <f t="shared" si="522"/>
        <v>158.02086519686063</v>
      </c>
      <c r="AS186" s="5">
        <f t="shared" si="439"/>
        <v>6.3282782229689172</v>
      </c>
      <c r="AT186" s="5">
        <f t="shared" si="523"/>
        <v>3.229455302481655</v>
      </c>
      <c r="AU186" s="5">
        <f t="shared" si="478"/>
        <v>3.0988229204872622</v>
      </c>
      <c r="AV186" s="5"/>
      <c r="AW186" s="173">
        <f t="shared" si="479"/>
        <v>0.51032132101274041</v>
      </c>
      <c r="AX186" s="173">
        <f t="shared" si="435"/>
        <v>22.001461944986023</v>
      </c>
      <c r="AY186" s="173">
        <f t="shared" si="436"/>
        <v>4.7177412466969182</v>
      </c>
      <c r="AZ186" s="173">
        <f t="shared" si="440"/>
        <v>4.6635584264800745</v>
      </c>
      <c r="BA186" s="460">
        <f t="shared" si="594"/>
        <v>368.15790448290875</v>
      </c>
      <c r="BB186" s="5">
        <f t="shared" si="595"/>
        <v>2.6314520002042321</v>
      </c>
      <c r="BD186" s="173">
        <f t="shared" si="441"/>
        <v>1.9868000226576439</v>
      </c>
      <c r="BE186" s="173">
        <f t="shared" si="437"/>
        <v>7.7848076867333749</v>
      </c>
      <c r="BG186" s="528">
        <f t="shared" si="480"/>
        <v>4.8157966826395449E-2</v>
      </c>
      <c r="BH186" s="528">
        <f t="shared" si="524"/>
        <v>0.54009519895360492</v>
      </c>
      <c r="BI186" s="528">
        <f t="shared" si="525"/>
        <v>7.071301243599229E-2</v>
      </c>
      <c r="BJ186" s="528">
        <f t="shared" si="481"/>
        <v>2.2627563905678872E-2</v>
      </c>
      <c r="BK186">
        <f t="shared" si="482"/>
        <v>8.054849100225964E-3</v>
      </c>
      <c r="BL186" s="460">
        <f t="shared" si="588"/>
        <v>78.767861536218263</v>
      </c>
      <c r="BM186" s="528">
        <f t="shared" si="526"/>
        <v>0.63110469070594433</v>
      </c>
      <c r="BN186" s="460">
        <f t="shared" si="527"/>
        <v>631.10469070594434</v>
      </c>
      <c r="BO186" s="528">
        <f t="shared" si="483"/>
        <v>3.1920000000000002</v>
      </c>
      <c r="BR186" s="460">
        <f t="shared" si="484"/>
        <v>3192</v>
      </c>
      <c r="BS186" s="528">
        <f t="shared" si="485"/>
        <v>0.11842122990097242</v>
      </c>
      <c r="BT186" s="528">
        <f t="shared" si="486"/>
        <v>1.818096921582691</v>
      </c>
      <c r="BU186" s="528">
        <f t="shared" si="487"/>
        <v>0.79935263337076878</v>
      </c>
      <c r="BV186" s="528"/>
      <c r="BW186" s="528">
        <f t="shared" si="488"/>
        <v>9.1672758104108423E-2</v>
      </c>
      <c r="BX186" s="460">
        <f t="shared" si="489"/>
        <v>2827.5435429585409</v>
      </c>
      <c r="BY186" s="173">
        <f t="shared" si="490"/>
        <v>6.7091921341804381</v>
      </c>
      <c r="BZ186" s="5">
        <f t="shared" si="491"/>
        <v>18.240000000000002</v>
      </c>
      <c r="CA186" s="173">
        <f t="shared" si="492"/>
        <v>0.73108579636176552</v>
      </c>
      <c r="CB186" s="5">
        <f t="shared" si="493"/>
        <v>73.108579636176557</v>
      </c>
      <c r="CE186" s="562">
        <f t="shared" si="528"/>
        <v>-50</v>
      </c>
      <c r="CF186">
        <f t="shared" si="529"/>
        <v>-50</v>
      </c>
      <c r="CG186" s="173">
        <f t="shared" si="530"/>
        <v>0.4794721723895633</v>
      </c>
      <c r="CI186" s="170">
        <v>76</v>
      </c>
      <c r="CJ186" s="217">
        <f t="shared" si="589"/>
        <v>4.5600000000000005</v>
      </c>
      <c r="CK186" s="217"/>
      <c r="CL186" s="217">
        <f t="shared" si="531"/>
        <v>18.240000000000002</v>
      </c>
      <c r="CM186" s="541">
        <f t="shared" si="532"/>
        <v>18</v>
      </c>
      <c r="CN186" s="443">
        <f t="shared" si="533"/>
        <v>18.8</v>
      </c>
      <c r="CO186" s="443">
        <f t="shared" si="534"/>
        <v>36.799999999999997</v>
      </c>
      <c r="CP186" s="443"/>
      <c r="CQ186" s="217">
        <f t="shared" si="535"/>
        <v>0.51086956521739135</v>
      </c>
      <c r="CR186" s="172">
        <f t="shared" si="590"/>
        <v>30.859076086956527</v>
      </c>
      <c r="CS186" s="172">
        <f t="shared" si="536"/>
        <v>18.240000000000002</v>
      </c>
      <c r="CT186" s="217">
        <f t="shared" si="537"/>
        <v>7.7147690217391318</v>
      </c>
      <c r="CU186" s="217">
        <f t="shared" si="538"/>
        <v>4</v>
      </c>
      <c r="CV186" s="217"/>
      <c r="CW186" s="172">
        <f t="shared" si="539"/>
        <v>8.9832004072325677</v>
      </c>
      <c r="CX186" s="536">
        <f t="shared" si="540"/>
        <v>4</v>
      </c>
      <c r="CY186" s="217">
        <f t="shared" si="541"/>
        <v>3.9670921985815601</v>
      </c>
      <c r="CZ186" s="217">
        <f t="shared" si="542"/>
        <v>2.6447281323877068</v>
      </c>
      <c r="DA186" s="217">
        <f t="shared" si="543"/>
        <v>2.5321865097329108</v>
      </c>
      <c r="DB186" s="197">
        <f t="shared" si="544"/>
        <v>350</v>
      </c>
      <c r="DC186" s="443">
        <f t="shared" si="545"/>
        <v>193.16524786090935</v>
      </c>
      <c r="DE186" s="217">
        <f t="shared" si="546"/>
        <v>2.18944099378882</v>
      </c>
      <c r="DF186" s="173">
        <f t="shared" si="547"/>
        <v>1.3975155279503106</v>
      </c>
      <c r="DG186" s="173">
        <f t="shared" si="548"/>
        <v>2.1418444504455847</v>
      </c>
      <c r="DH186" s="173"/>
      <c r="DI186" s="173">
        <f t="shared" si="549"/>
        <v>0.85106382978723416</v>
      </c>
      <c r="DJ186" s="545">
        <f t="shared" si="550"/>
        <v>2009.2499999999998</v>
      </c>
      <c r="DK186" s="528">
        <f t="shared" si="551"/>
        <v>0.79432624113475192</v>
      </c>
      <c r="DM186" s="173">
        <f t="shared" si="552"/>
        <v>3.1946383654044928</v>
      </c>
      <c r="DN186" s="173">
        <f t="shared" si="553"/>
        <v>3.9670921985815601</v>
      </c>
      <c r="DO186" s="173">
        <f t="shared" si="554"/>
        <v>3.1509324927764641</v>
      </c>
      <c r="DQ186" s="545">
        <f t="shared" si="555"/>
        <v>4560.0000000000009</v>
      </c>
      <c r="DR186" s="460">
        <f t="shared" si="556"/>
        <v>193.16524786090935</v>
      </c>
      <c r="DT186">
        <f t="shared" si="591"/>
        <v>4560.0000000000009</v>
      </c>
      <c r="DU186">
        <f t="shared" si="592"/>
        <v>193.16524786090935</v>
      </c>
      <c r="DW186" s="5">
        <f t="shared" si="557"/>
        <v>5.176914642120618</v>
      </c>
      <c r="DX186" s="5">
        <f t="shared" si="558"/>
        <v>2.6447281323877068</v>
      </c>
      <c r="DY186" s="5">
        <f t="shared" si="559"/>
        <v>2.5321865097329113</v>
      </c>
      <c r="DZ186" s="5"/>
      <c r="EA186" s="173">
        <f t="shared" si="560"/>
        <v>0.51086956521739124</v>
      </c>
      <c r="EB186" s="173">
        <f t="shared" si="561"/>
        <v>18.239999999999998</v>
      </c>
      <c r="EC186" s="173">
        <f t="shared" si="562"/>
        <v>3.8808510638297875</v>
      </c>
      <c r="ED186" s="173">
        <f t="shared" si="563"/>
        <v>4.6999999999999993</v>
      </c>
      <c r="EE186" s="460">
        <f t="shared" si="564"/>
        <v>301.49900709219861</v>
      </c>
      <c r="EF186" s="5">
        <f t="shared" si="565"/>
        <v>2.1382908304411248</v>
      </c>
      <c r="EH186" s="173">
        <f t="shared" si="566"/>
        <v>1.6370678587501728</v>
      </c>
      <c r="EI186" s="173">
        <f t="shared" si="567"/>
        <v>6.4074319305373511</v>
      </c>
      <c r="EK186" s="528">
        <f t="shared" si="568"/>
        <v>3.2695892324665084E-2</v>
      </c>
      <c r="EL186" s="528">
        <f t="shared" si="569"/>
        <v>0.56399999999999983</v>
      </c>
      <c r="EM186" s="528">
        <f t="shared" si="570"/>
        <v>2.4145655982613666E-2</v>
      </c>
      <c r="EN186" s="528">
        <f t="shared" si="571"/>
        <v>2.6159210526315781E-2</v>
      </c>
      <c r="EO186">
        <f t="shared" si="572"/>
        <v>8.0999999999999996E-3</v>
      </c>
      <c r="EP186" s="460">
        <f t="shared" si="573"/>
        <v>32.24565598261367</v>
      </c>
      <c r="EQ186" s="460"/>
      <c r="ER186" s="460">
        <f t="shared" si="593"/>
        <v>655.10075883359434</v>
      </c>
      <c r="ES186" s="528">
        <f t="shared" si="574"/>
        <v>3.1920000000000002</v>
      </c>
      <c r="EV186" s="460">
        <f t="shared" si="494"/>
        <v>3192</v>
      </c>
      <c r="EW186" s="528">
        <f t="shared" si="575"/>
        <v>8.039973522458628E-2</v>
      </c>
      <c r="EX186" s="528">
        <f t="shared" si="576"/>
        <v>1.231655518334088</v>
      </c>
      <c r="EY186" s="528">
        <f t="shared" si="577"/>
        <v>0.81278041177063143</v>
      </c>
      <c r="EZ186" s="528"/>
      <c r="FA186" s="528">
        <f t="shared" si="578"/>
        <v>7.5999999999999984E-2</v>
      </c>
      <c r="FB186" s="460">
        <f t="shared" si="579"/>
        <v>2200.8356653293054</v>
      </c>
      <c r="FC186" s="173">
        <f t="shared" si="580"/>
        <v>6.0479364241628994</v>
      </c>
      <c r="FD186" s="5">
        <f t="shared" si="581"/>
        <v>18.240000000000002</v>
      </c>
      <c r="FE186" s="173">
        <f t="shared" si="582"/>
        <v>0.75099010807084876</v>
      </c>
      <c r="FF186" s="5">
        <f t="shared" si="583"/>
        <v>75.099010807084881</v>
      </c>
      <c r="FI186" s="562">
        <f t="shared" si="584"/>
        <v>-50</v>
      </c>
      <c r="FJ186">
        <f t="shared" si="585"/>
        <v>-50</v>
      </c>
      <c r="FL186">
        <f t="shared" si="586"/>
        <v>0.48913043478260876</v>
      </c>
    </row>
    <row r="187" spans="5:168">
      <c r="E187" s="170">
        <v>77</v>
      </c>
      <c r="F187" s="217">
        <f t="shared" si="587"/>
        <v>4.62</v>
      </c>
      <c r="G187" s="217"/>
      <c r="H187" s="217">
        <f t="shared" si="495"/>
        <v>18.48</v>
      </c>
      <c r="I187" s="541">
        <f t="shared" si="496"/>
        <v>17.898371051990221</v>
      </c>
      <c r="J187" s="172">
        <f t="shared" si="497"/>
        <v>19.955969076888469</v>
      </c>
      <c r="K187" s="172">
        <f t="shared" si="498"/>
        <v>37.85434012887869</v>
      </c>
      <c r="L187" s="443"/>
      <c r="M187" s="217">
        <f t="shared" si="499"/>
        <v>0.52689626654686306</v>
      </c>
      <c r="N187" s="172">
        <f t="shared" si="500"/>
        <v>31.647471108449686</v>
      </c>
      <c r="O187" s="172">
        <f t="shared" si="438"/>
        <v>18.48</v>
      </c>
      <c r="P187" s="217">
        <f t="shared" si="501"/>
        <v>7.9118677771124215</v>
      </c>
      <c r="Q187" s="217">
        <f t="shared" si="502"/>
        <v>4</v>
      </c>
      <c r="R187" s="217"/>
      <c r="S187" s="172">
        <f t="shared" si="503"/>
        <v>8.7698513689037743</v>
      </c>
      <c r="T187" s="536">
        <f t="shared" si="504"/>
        <v>4</v>
      </c>
      <c r="U187" s="217">
        <f t="shared" si="505"/>
        <v>4.8826501180608757</v>
      </c>
      <c r="V187" s="217">
        <f t="shared" si="506"/>
        <v>3.2735829001721002</v>
      </c>
      <c r="W187" s="217">
        <f t="shared" si="507"/>
        <v>2.9360539290766501</v>
      </c>
      <c r="X187" s="197">
        <f t="shared" si="508"/>
        <v>350</v>
      </c>
      <c r="Y187" s="443">
        <f t="shared" si="509"/>
        <v>156.01507958091381</v>
      </c>
      <c r="AA187" s="217">
        <f t="shared" si="510"/>
        <v>2.2465772624633673</v>
      </c>
      <c r="AB187" s="173">
        <f t="shared" si="511"/>
        <v>1.3509204712479861</v>
      </c>
      <c r="AC187" s="173">
        <f t="shared" si="512"/>
        <v>2.1244630498714159</v>
      </c>
      <c r="AD187" s="173"/>
      <c r="AE187" s="173">
        <f t="shared" si="513"/>
        <v>0.801765122924049</v>
      </c>
      <c r="AF187" s="545">
        <f t="shared" si="514"/>
        <v>2160.8572766068287</v>
      </c>
      <c r="AG187" s="528">
        <f t="shared" si="515"/>
        <v>0.74831411472911247</v>
      </c>
      <c r="AI187" s="173">
        <f t="shared" si="516"/>
        <v>3.3129719274827334</v>
      </c>
      <c r="AJ187" s="173">
        <f t="shared" si="517"/>
        <v>4.8826501180608757</v>
      </c>
      <c r="AK187" s="173">
        <f t="shared" si="518"/>
        <v>3.8291235442426244</v>
      </c>
      <c r="AM187" s="545">
        <f t="shared" si="519"/>
        <v>4620</v>
      </c>
      <c r="AN187" s="460">
        <f t="shared" si="520"/>
        <v>156.01507958091381</v>
      </c>
      <c r="AP187">
        <f t="shared" si="521"/>
        <v>4620</v>
      </c>
      <c r="AQ187">
        <f t="shared" si="522"/>
        <v>156.01507958091381</v>
      </c>
      <c r="AS187" s="5">
        <f t="shared" si="439"/>
        <v>6.4096368292487513</v>
      </c>
      <c r="AT187" s="5">
        <f t="shared" si="523"/>
        <v>3.2735829001721002</v>
      </c>
      <c r="AU187" s="5">
        <f t="shared" si="478"/>
        <v>3.1360539290766511</v>
      </c>
      <c r="AV187" s="5"/>
      <c r="AW187" s="173">
        <f t="shared" si="479"/>
        <v>0.51072829668506881</v>
      </c>
      <c r="AX187" s="173">
        <f t="shared" si="435"/>
        <v>22.316651764053944</v>
      </c>
      <c r="AY187" s="173">
        <f t="shared" si="436"/>
        <v>4.7778850799089891</v>
      </c>
      <c r="AZ187" s="173">
        <f t="shared" si="440"/>
        <v>4.6708222133461277</v>
      </c>
      <c r="BA187" s="460">
        <f t="shared" si="594"/>
        <v>378.09882496987757</v>
      </c>
      <c r="BB187" s="5">
        <f t="shared" si="595"/>
        <v>2.6983031230884111</v>
      </c>
      <c r="BD187" s="173">
        <f t="shared" si="441"/>
        <v>2.0146051391981197</v>
      </c>
      <c r="BE187" s="173">
        <f t="shared" si="437"/>
        <v>7.8873301185295768</v>
      </c>
      <c r="BG187" s="528">
        <f t="shared" si="480"/>
        <v>4.9515333175978386E-2</v>
      </c>
      <c r="BH187" s="528">
        <f t="shared" si="524"/>
        <v>0.54067854161398288</v>
      </c>
      <c r="BI187" s="528">
        <f t="shared" si="525"/>
        <v>6.9810394601124454E-2</v>
      </c>
      <c r="BJ187" s="528">
        <f t="shared" si="481"/>
        <v>2.2356197469003657E-2</v>
      </c>
      <c r="BK187">
        <f t="shared" si="482"/>
        <v>8.0542669733955994E-3</v>
      </c>
      <c r="BL187" s="460">
        <f t="shared" si="588"/>
        <v>77.864661574520056</v>
      </c>
      <c r="BM187" s="528">
        <f t="shared" si="526"/>
        <v>0.63337071939393985</v>
      </c>
      <c r="BN187" s="460">
        <f t="shared" si="527"/>
        <v>633.37071939393991</v>
      </c>
      <c r="BO187" s="528">
        <f t="shared" si="483"/>
        <v>3.234</v>
      </c>
      <c r="BR187" s="460">
        <f t="shared" si="484"/>
        <v>3234</v>
      </c>
      <c r="BS187" s="528">
        <f t="shared" si="485"/>
        <v>0.12175901600650424</v>
      </c>
      <c r="BT187" s="528">
        <f t="shared" si="486"/>
        <v>1.8662992919599137</v>
      </c>
      <c r="BU187" s="528">
        <f t="shared" si="487"/>
        <v>0.80080257014349887</v>
      </c>
      <c r="BV187" s="528"/>
      <c r="BW187" s="528">
        <f t="shared" si="488"/>
        <v>9.2986049016891448E-2</v>
      </c>
      <c r="BX187" s="460">
        <f t="shared" si="489"/>
        <v>2881.8469271268086</v>
      </c>
      <c r="BY187" s="173">
        <f t="shared" si="490"/>
        <v>6.8062616609602937</v>
      </c>
      <c r="BZ187" s="5">
        <f t="shared" si="491"/>
        <v>18.48</v>
      </c>
      <c r="CA187" s="173">
        <f t="shared" si="492"/>
        <v>0.73083163686989183</v>
      </c>
      <c r="CB187" s="5">
        <f t="shared" si="493"/>
        <v>73.083163686989181</v>
      </c>
      <c r="CE187" s="562">
        <f t="shared" si="528"/>
        <v>-50</v>
      </c>
      <c r="CF187">
        <f t="shared" si="529"/>
        <v>-50</v>
      </c>
      <c r="CG187" s="173">
        <f t="shared" si="530"/>
        <v>0.47959760436869375</v>
      </c>
      <c r="CI187" s="170">
        <v>77</v>
      </c>
      <c r="CJ187" s="217">
        <f t="shared" si="589"/>
        <v>4.62</v>
      </c>
      <c r="CK187" s="217"/>
      <c r="CL187" s="217">
        <f t="shared" si="531"/>
        <v>18.48</v>
      </c>
      <c r="CM187" s="541">
        <f t="shared" si="532"/>
        <v>18</v>
      </c>
      <c r="CN187" s="443">
        <f t="shared" si="533"/>
        <v>18.8</v>
      </c>
      <c r="CO187" s="443">
        <f t="shared" si="534"/>
        <v>36.799999999999997</v>
      </c>
      <c r="CP187" s="443"/>
      <c r="CQ187" s="217">
        <f t="shared" si="535"/>
        <v>0.51086956521739135</v>
      </c>
      <c r="CR187" s="172">
        <f t="shared" si="590"/>
        <v>30.859076086956527</v>
      </c>
      <c r="CS187" s="172">
        <f t="shared" si="536"/>
        <v>18.48</v>
      </c>
      <c r="CT187" s="217">
        <f t="shared" si="537"/>
        <v>7.7147690217391318</v>
      </c>
      <c r="CU187" s="217">
        <f t="shared" si="538"/>
        <v>4</v>
      </c>
      <c r="CV187" s="217"/>
      <c r="CW187" s="172">
        <f t="shared" si="539"/>
        <v>8.8179660482075288</v>
      </c>
      <c r="CX187" s="536">
        <f t="shared" si="540"/>
        <v>4</v>
      </c>
      <c r="CY187" s="217">
        <f t="shared" si="541"/>
        <v>4.0192907801418434</v>
      </c>
      <c r="CZ187" s="217">
        <f t="shared" si="542"/>
        <v>2.6795271867612289</v>
      </c>
      <c r="DA187" s="217">
        <f t="shared" si="543"/>
        <v>2.5655047532820277</v>
      </c>
      <c r="DB187" s="197">
        <f t="shared" si="544"/>
        <v>350</v>
      </c>
      <c r="DC187" s="443">
        <f t="shared" si="545"/>
        <v>190.65660827830015</v>
      </c>
      <c r="DE187" s="217">
        <f t="shared" si="546"/>
        <v>2.18944099378882</v>
      </c>
      <c r="DF187" s="173">
        <f t="shared" si="547"/>
        <v>1.3975155279503106</v>
      </c>
      <c r="DG187" s="173">
        <f t="shared" si="548"/>
        <v>2.1418444504455847</v>
      </c>
      <c r="DH187" s="173"/>
      <c r="DI187" s="173">
        <f t="shared" si="549"/>
        <v>0.85106382978723416</v>
      </c>
      <c r="DJ187" s="545">
        <f t="shared" si="550"/>
        <v>2035.6874999999995</v>
      </c>
      <c r="DK187" s="528">
        <f t="shared" si="551"/>
        <v>0.79432624113475192</v>
      </c>
      <c r="DM187" s="173">
        <f t="shared" si="552"/>
        <v>3.2155870381627052</v>
      </c>
      <c r="DN187" s="173">
        <f t="shared" si="553"/>
        <v>4.0192907801418434</v>
      </c>
      <c r="DO187" s="173">
        <f t="shared" si="554"/>
        <v>3.1895981087470444</v>
      </c>
      <c r="DQ187" s="545">
        <f t="shared" si="555"/>
        <v>4620</v>
      </c>
      <c r="DR187" s="460">
        <f t="shared" si="556"/>
        <v>190.65660827830015</v>
      </c>
      <c r="DT187">
        <f t="shared" si="591"/>
        <v>4620</v>
      </c>
      <c r="DU187">
        <f t="shared" si="592"/>
        <v>190.65660827830015</v>
      </c>
      <c r="DW187" s="5">
        <f t="shared" si="557"/>
        <v>5.2450319400432575</v>
      </c>
      <c r="DX187" s="5">
        <f t="shared" si="558"/>
        <v>2.6795271867612289</v>
      </c>
      <c r="DY187" s="5">
        <f t="shared" si="559"/>
        <v>2.5655047532820285</v>
      </c>
      <c r="DZ187" s="5"/>
      <c r="EA187" s="173">
        <f t="shared" si="560"/>
        <v>0.51086956521739124</v>
      </c>
      <c r="EB187" s="173">
        <f t="shared" si="561"/>
        <v>18.479999999999997</v>
      </c>
      <c r="EC187" s="173">
        <f t="shared" si="562"/>
        <v>3.9319148936170212</v>
      </c>
      <c r="ED187" s="173">
        <f t="shared" si="563"/>
        <v>4.6999999999999993</v>
      </c>
      <c r="EE187" s="460">
        <f t="shared" si="564"/>
        <v>309.48539007092188</v>
      </c>
      <c r="EF187" s="5">
        <f t="shared" si="565"/>
        <v>2.194931844474624</v>
      </c>
      <c r="EH187" s="173">
        <f t="shared" si="566"/>
        <v>1.6586082253126748</v>
      </c>
      <c r="EI187" s="173">
        <f t="shared" si="567"/>
        <v>6.4917402454128412</v>
      </c>
      <c r="EK187" s="528">
        <f t="shared" si="568"/>
        <v>3.3561971189913296E-2</v>
      </c>
      <c r="EL187" s="528">
        <f t="shared" si="569"/>
        <v>0.56399999999999983</v>
      </c>
      <c r="EM187" s="528">
        <f t="shared" si="570"/>
        <v>2.3832076034787517E-2</v>
      </c>
      <c r="EN187" s="528">
        <f t="shared" si="571"/>
        <v>2.5819480519480516E-2</v>
      </c>
      <c r="EO187">
        <f t="shared" si="572"/>
        <v>8.0999999999999996E-3</v>
      </c>
      <c r="EP187" s="460">
        <f t="shared" si="573"/>
        <v>31.932076034787517</v>
      </c>
      <c r="EQ187" s="460"/>
      <c r="ER187" s="460">
        <f t="shared" si="593"/>
        <v>655.31352774418121</v>
      </c>
      <c r="ES187" s="528">
        <f t="shared" si="574"/>
        <v>3.234</v>
      </c>
      <c r="EV187" s="460">
        <f t="shared" si="494"/>
        <v>3234</v>
      </c>
      <c r="EW187" s="528">
        <f t="shared" si="575"/>
        <v>8.2529437352245813E-2</v>
      </c>
      <c r="EX187" s="528">
        <f t="shared" si="576"/>
        <v>1.2642807424173834</v>
      </c>
      <c r="EY187" s="528">
        <f t="shared" si="577"/>
        <v>0.81278041177063287</v>
      </c>
      <c r="EZ187" s="528"/>
      <c r="FA187" s="528">
        <f t="shared" si="578"/>
        <v>7.6999999999999985E-2</v>
      </c>
      <c r="FB187" s="460">
        <f t="shared" si="579"/>
        <v>2236.5905915402623</v>
      </c>
      <c r="FC187" s="173">
        <f t="shared" si="580"/>
        <v>6.125904119284443</v>
      </c>
      <c r="FD187" s="5">
        <f t="shared" si="581"/>
        <v>18.48</v>
      </c>
      <c r="FE187" s="173">
        <f t="shared" si="582"/>
        <v>0.75103925913117031</v>
      </c>
      <c r="FF187" s="5">
        <f t="shared" si="583"/>
        <v>75.103925913117024</v>
      </c>
      <c r="FI187" s="562">
        <f t="shared" si="584"/>
        <v>-50</v>
      </c>
      <c r="FJ187">
        <f t="shared" si="585"/>
        <v>-50</v>
      </c>
      <c r="FL187">
        <f t="shared" si="586"/>
        <v>0.48913043478260876</v>
      </c>
    </row>
    <row r="188" spans="5:168">
      <c r="E188" s="170">
        <v>78</v>
      </c>
      <c r="F188" s="217">
        <f t="shared" si="587"/>
        <v>4.68</v>
      </c>
      <c r="G188" s="217"/>
      <c r="H188" s="217">
        <f t="shared" si="495"/>
        <v>18.72</v>
      </c>
      <c r="I188" s="541">
        <f t="shared" si="496"/>
        <v>17.897077423264985</v>
      </c>
      <c r="J188" s="172">
        <f t="shared" si="497"/>
        <v>19.97068333727033</v>
      </c>
      <c r="K188" s="172">
        <f t="shared" si="498"/>
        <v>37.867760760535319</v>
      </c>
      <c r="L188" s="443"/>
      <c r="M188" s="217">
        <f t="shared" si="499"/>
        <v>0.52709829183782753</v>
      </c>
      <c r="N188" s="172">
        <f t="shared" si="500"/>
        <v>31.657317305094985</v>
      </c>
      <c r="O188" s="172">
        <f t="shared" si="438"/>
        <v>18.72</v>
      </c>
      <c r="P188" s="217">
        <f t="shared" si="501"/>
        <v>7.9143293262737462</v>
      </c>
      <c r="Q188" s="217">
        <f t="shared" si="502"/>
        <v>4</v>
      </c>
      <c r="R188" s="217"/>
      <c r="S188" s="172">
        <f t="shared" si="503"/>
        <v>8.6093707548032086</v>
      </c>
      <c r="T188" s="536">
        <f t="shared" si="504"/>
        <v>4</v>
      </c>
      <c r="U188" s="217">
        <f t="shared" si="505"/>
        <v>4.9481741334661082</v>
      </c>
      <c r="V188" s="217">
        <f t="shared" si="506"/>
        <v>3.3177534072912831</v>
      </c>
      <c r="W188" s="217">
        <f t="shared" si="507"/>
        <v>2.9732627871966115</v>
      </c>
      <c r="X188" s="197">
        <f t="shared" si="508"/>
        <v>350</v>
      </c>
      <c r="Y188" s="443">
        <f t="shared" si="509"/>
        <v>154.05908259005574</v>
      </c>
      <c r="AA188" s="217">
        <f t="shared" si="510"/>
        <v>2.2472745172264785</v>
      </c>
      <c r="AB188" s="173">
        <f t="shared" si="511"/>
        <v>1.3503440894478544</v>
      </c>
      <c r="AC188" s="173">
        <f t="shared" si="512"/>
        <v>2.1242157031924891</v>
      </c>
      <c r="AD188" s="173"/>
      <c r="AE188" s="173">
        <f t="shared" si="513"/>
        <v>0.8011743879659825</v>
      </c>
      <c r="AF188" s="545">
        <f t="shared" si="514"/>
        <v>2190.5343285568383</v>
      </c>
      <c r="AG188" s="528">
        <f t="shared" si="515"/>
        <v>0.74776276210158377</v>
      </c>
      <c r="AI188" s="173">
        <f t="shared" si="516"/>
        <v>3.3356444015545241</v>
      </c>
      <c r="AJ188" s="173">
        <f t="shared" si="517"/>
        <v>4.9481741334661082</v>
      </c>
      <c r="AK188" s="173">
        <f t="shared" si="518"/>
        <v>3.8776598519502032</v>
      </c>
      <c r="AM188" s="545">
        <f t="shared" si="519"/>
        <v>4680</v>
      </c>
      <c r="AN188" s="460">
        <f t="shared" si="520"/>
        <v>154.05908259005574</v>
      </c>
      <c r="AP188">
        <f t="shared" si="521"/>
        <v>4680</v>
      </c>
      <c r="AQ188">
        <f t="shared" si="522"/>
        <v>154.05908259005574</v>
      </c>
      <c r="AS188" s="5">
        <f t="shared" si="439"/>
        <v>6.4910161944878961</v>
      </c>
      <c r="AT188" s="5">
        <f t="shared" si="523"/>
        <v>3.3177534072912831</v>
      </c>
      <c r="AU188" s="5">
        <f t="shared" si="478"/>
        <v>3.173262787196613</v>
      </c>
      <c r="AV188" s="5"/>
      <c r="AW188" s="173">
        <f t="shared" si="479"/>
        <v>0.5111300461873266</v>
      </c>
      <c r="AX188" s="173">
        <f t="shared" si="435"/>
        <v>22.632290403984818</v>
      </c>
      <c r="AY188" s="173">
        <f t="shared" si="436"/>
        <v>4.8380273201692834</v>
      </c>
      <c r="AZ188" s="173">
        <f t="shared" si="440"/>
        <v>4.6779997106740003</v>
      </c>
      <c r="BA188" s="460">
        <f t="shared" si="594"/>
        <v>388.17714865308011</v>
      </c>
      <c r="BB188" s="5">
        <f t="shared" si="595"/>
        <v>2.7659767184063666</v>
      </c>
      <c r="BD188" s="173">
        <f t="shared" si="441"/>
        <v>2.0424435066663875</v>
      </c>
      <c r="BE188" s="173">
        <f t="shared" si="437"/>
        <v>7.9898938904366759</v>
      </c>
      <c r="BG188" s="528">
        <f t="shared" si="480"/>
        <v>5.0893220830669009E-2</v>
      </c>
      <c r="BH188" s="528">
        <f t="shared" si="524"/>
        <v>0.54125656717283854</v>
      </c>
      <c r="BI188" s="528">
        <f t="shared" si="525"/>
        <v>6.8930183221785055E-2</v>
      </c>
      <c r="BJ188" s="528">
        <f t="shared" si="481"/>
        <v>2.2091568747507496E-2</v>
      </c>
      <c r="BK188">
        <f t="shared" si="482"/>
        <v>8.053684840469243E-3</v>
      </c>
      <c r="BL188" s="460">
        <f t="shared" si="588"/>
        <v>76.983868062254302</v>
      </c>
      <c r="BM188" s="528">
        <f t="shared" si="526"/>
        <v>0.63566918388632043</v>
      </c>
      <c r="BN188" s="460">
        <f t="shared" si="527"/>
        <v>635.66918388632041</v>
      </c>
      <c r="BO188" s="528">
        <f t="shared" si="483"/>
        <v>3.2759999999999998</v>
      </c>
      <c r="BR188" s="460">
        <f t="shared" si="484"/>
        <v>3276</v>
      </c>
      <c r="BS188" s="528">
        <f t="shared" si="485"/>
        <v>0.1251472643377107</v>
      </c>
      <c r="BT188" s="528">
        <f t="shared" si="486"/>
        <v>1.9151521314131195</v>
      </c>
      <c r="BU188" s="528">
        <f t="shared" si="487"/>
        <v>0.8022333446958857</v>
      </c>
      <c r="BV188" s="528"/>
      <c r="BW188" s="528">
        <f t="shared" si="488"/>
        <v>9.4301210016603396E-2</v>
      </c>
      <c r="BX188" s="460">
        <f t="shared" si="489"/>
        <v>2936.8339504633191</v>
      </c>
      <c r="BY188" s="173">
        <f t="shared" si="490"/>
        <v>6.9040591752765881</v>
      </c>
      <c r="BZ188" s="5">
        <f t="shared" si="491"/>
        <v>18.72</v>
      </c>
      <c r="CA188" s="173">
        <f t="shared" si="492"/>
        <v>0.73056340808258913</v>
      </c>
      <c r="CB188" s="5">
        <f t="shared" si="493"/>
        <v>73.056340808258909</v>
      </c>
      <c r="CE188" s="562">
        <f t="shared" si="528"/>
        <v>-50</v>
      </c>
      <c r="CF188">
        <f t="shared" si="529"/>
        <v>-50</v>
      </c>
      <c r="CG188" s="173">
        <f t="shared" si="530"/>
        <v>0.47971982014323111</v>
      </c>
      <c r="CI188" s="170">
        <v>78</v>
      </c>
      <c r="CJ188" s="217">
        <f t="shared" si="589"/>
        <v>4.68</v>
      </c>
      <c r="CK188" s="217"/>
      <c r="CL188" s="217">
        <f t="shared" si="531"/>
        <v>18.72</v>
      </c>
      <c r="CM188" s="541">
        <f t="shared" si="532"/>
        <v>18</v>
      </c>
      <c r="CN188" s="443">
        <f t="shared" si="533"/>
        <v>18.8</v>
      </c>
      <c r="CO188" s="443">
        <f t="shared" si="534"/>
        <v>36.799999999999997</v>
      </c>
      <c r="CP188" s="443"/>
      <c r="CQ188" s="217">
        <f t="shared" si="535"/>
        <v>0.51086956521739135</v>
      </c>
      <c r="CR188" s="172">
        <f t="shared" si="590"/>
        <v>30.859076086956527</v>
      </c>
      <c r="CS188" s="172">
        <f t="shared" si="536"/>
        <v>18.72</v>
      </c>
      <c r="CT188" s="217">
        <f t="shared" si="537"/>
        <v>7.7147690217391318</v>
      </c>
      <c r="CU188" s="217">
        <f t="shared" si="538"/>
        <v>4</v>
      </c>
      <c r="CV188" s="217"/>
      <c r="CW188" s="172">
        <f t="shared" si="539"/>
        <v>8.6571536534687148</v>
      </c>
      <c r="CX188" s="536">
        <f t="shared" si="540"/>
        <v>4</v>
      </c>
      <c r="CY188" s="217">
        <f t="shared" si="541"/>
        <v>4.0714893617021266</v>
      </c>
      <c r="CZ188" s="217">
        <f t="shared" si="542"/>
        <v>2.7143262411347511</v>
      </c>
      <c r="DA188" s="217">
        <f t="shared" si="543"/>
        <v>2.5988229968311445</v>
      </c>
      <c r="DB188" s="197">
        <f t="shared" si="544"/>
        <v>350</v>
      </c>
      <c r="DC188" s="443">
        <f t="shared" si="545"/>
        <v>188.21229278755277</v>
      </c>
      <c r="DE188" s="217">
        <f t="shared" si="546"/>
        <v>2.18944099378882</v>
      </c>
      <c r="DF188" s="173">
        <f t="shared" si="547"/>
        <v>1.3975155279503106</v>
      </c>
      <c r="DG188" s="173">
        <f t="shared" si="548"/>
        <v>2.1418444504455847</v>
      </c>
      <c r="DH188" s="173"/>
      <c r="DI188" s="173">
        <f t="shared" si="549"/>
        <v>0.85106382978723416</v>
      </c>
      <c r="DJ188" s="545">
        <f t="shared" si="550"/>
        <v>2062.1249999999991</v>
      </c>
      <c r="DK188" s="528">
        <f t="shared" si="551"/>
        <v>0.79432624113475192</v>
      </c>
      <c r="DM188" s="173">
        <f t="shared" si="552"/>
        <v>3.2364001165315939</v>
      </c>
      <c r="DN188" s="173">
        <f t="shared" si="553"/>
        <v>4.0714893617021266</v>
      </c>
      <c r="DO188" s="173">
        <f t="shared" si="554"/>
        <v>3.2282637247176247</v>
      </c>
      <c r="DQ188" s="545">
        <f t="shared" si="555"/>
        <v>4680</v>
      </c>
      <c r="DR188" s="460">
        <f t="shared" si="556"/>
        <v>188.21229278755277</v>
      </c>
      <c r="DT188">
        <f t="shared" si="591"/>
        <v>4680</v>
      </c>
      <c r="DU188">
        <f t="shared" si="592"/>
        <v>188.21229278755277</v>
      </c>
      <c r="DW188" s="5">
        <f t="shared" si="557"/>
        <v>5.313149237965896</v>
      </c>
      <c r="DX188" s="5">
        <f t="shared" si="558"/>
        <v>2.7143262411347511</v>
      </c>
      <c r="DY188" s="5">
        <f t="shared" si="559"/>
        <v>2.5988229968311449</v>
      </c>
      <c r="DZ188" s="5"/>
      <c r="EA188" s="173">
        <f t="shared" si="560"/>
        <v>0.51086956521739124</v>
      </c>
      <c r="EB188" s="173">
        <f t="shared" si="561"/>
        <v>18.719999999999995</v>
      </c>
      <c r="EC188" s="173">
        <f t="shared" si="562"/>
        <v>3.9829787234042549</v>
      </c>
      <c r="ED188" s="173">
        <f t="shared" si="563"/>
        <v>4.6999999999999993</v>
      </c>
      <c r="EE188" s="460">
        <f t="shared" si="564"/>
        <v>317.57617021276587</v>
      </c>
      <c r="EF188" s="5">
        <f t="shared" si="565"/>
        <v>2.2523132639203256</v>
      </c>
      <c r="EH188" s="173">
        <f t="shared" si="566"/>
        <v>1.6801485918751771</v>
      </c>
      <c r="EI188" s="173">
        <f t="shared" si="567"/>
        <v>6.5760485602883323</v>
      </c>
      <c r="EK188" s="528">
        <f t="shared" si="568"/>
        <v>3.4439371347517712E-2</v>
      </c>
      <c r="EL188" s="528">
        <f t="shared" si="569"/>
        <v>0.56399999999999995</v>
      </c>
      <c r="EM188" s="528">
        <f t="shared" si="570"/>
        <v>2.3526536598444097E-2</v>
      </c>
      <c r="EN188" s="528">
        <f t="shared" si="571"/>
        <v>2.5488461538461543E-2</v>
      </c>
      <c r="EO188">
        <f t="shared" si="572"/>
        <v>8.0999999999999996E-3</v>
      </c>
      <c r="EP188" s="460">
        <f t="shared" si="573"/>
        <v>31.626536598444098</v>
      </c>
      <c r="EQ188" s="460"/>
      <c r="ER188" s="460">
        <f t="shared" si="593"/>
        <v>655.5543694844232</v>
      </c>
      <c r="ES188" s="528">
        <f t="shared" si="574"/>
        <v>3.2759999999999998</v>
      </c>
      <c r="EV188" s="460">
        <f t="shared" si="494"/>
        <v>3276</v>
      </c>
      <c r="EW188" s="528">
        <f t="shared" si="575"/>
        <v>8.4686978723404208E-2</v>
      </c>
      <c r="EX188" s="528">
        <f t="shared" si="576"/>
        <v>1.2973324400181074</v>
      </c>
      <c r="EY188" s="528">
        <f t="shared" si="577"/>
        <v>0.81278041177063065</v>
      </c>
      <c r="EZ188" s="528"/>
      <c r="FA188" s="528">
        <f t="shared" si="578"/>
        <v>7.7999999999999986E-2</v>
      </c>
      <c r="FB188" s="460">
        <f t="shared" si="579"/>
        <v>2272.7998305121423</v>
      </c>
      <c r="FC188" s="173">
        <f t="shared" si="580"/>
        <v>6.2043541999965655</v>
      </c>
      <c r="FD188" s="5">
        <f t="shared" si="581"/>
        <v>18.72</v>
      </c>
      <c r="FE188" s="173">
        <f t="shared" si="582"/>
        <v>0.75107261956671201</v>
      </c>
      <c r="FF188" s="5">
        <f t="shared" si="583"/>
        <v>75.107261956671195</v>
      </c>
      <c r="FI188" s="562">
        <f t="shared" si="584"/>
        <v>-50</v>
      </c>
      <c r="FJ188">
        <f t="shared" si="585"/>
        <v>-50</v>
      </c>
      <c r="FL188">
        <f t="shared" si="586"/>
        <v>0.48913043478260876</v>
      </c>
    </row>
    <row r="189" spans="5:168">
      <c r="E189" s="170">
        <v>79</v>
      </c>
      <c r="F189" s="217">
        <f t="shared" si="587"/>
        <v>4.74</v>
      </c>
      <c r="G189" s="217"/>
      <c r="H189" s="217">
        <f t="shared" si="495"/>
        <v>18.96</v>
      </c>
      <c r="I189" s="541">
        <f t="shared" si="496"/>
        <v>17.895783781517487</v>
      </c>
      <c r="J189" s="172">
        <f t="shared" si="497"/>
        <v>19.985397745772666</v>
      </c>
      <c r="K189" s="172">
        <f t="shared" si="498"/>
        <v>37.881181527290153</v>
      </c>
      <c r="L189" s="443"/>
      <c r="M189" s="217">
        <f t="shared" si="499"/>
        <v>0.52730017401580431</v>
      </c>
      <c r="N189" s="172">
        <f t="shared" si="500"/>
        <v>31.667153129942829</v>
      </c>
      <c r="O189" s="172">
        <f t="shared" si="438"/>
        <v>18.96</v>
      </c>
      <c r="P189" s="217">
        <f t="shared" si="501"/>
        <v>7.9167882824857072</v>
      </c>
      <c r="Q189" s="217">
        <f t="shared" si="502"/>
        <v>4</v>
      </c>
      <c r="R189" s="217"/>
      <c r="S189" s="172">
        <f t="shared" si="503"/>
        <v>8.4531449118994466</v>
      </c>
      <c r="T189" s="536">
        <f t="shared" si="504"/>
        <v>4</v>
      </c>
      <c r="U189" s="217">
        <f t="shared" si="505"/>
        <v>5.013752639035749</v>
      </c>
      <c r="V189" s="217">
        <f t="shared" si="506"/>
        <v>3.3619668410704979</v>
      </c>
      <c r="W189" s="217">
        <f t="shared" si="507"/>
        <v>3.010449550905494</v>
      </c>
      <c r="X189" s="197">
        <f t="shared" si="508"/>
        <v>350</v>
      </c>
      <c r="Y189" s="443">
        <f t="shared" si="509"/>
        <v>152.15104162007464</v>
      </c>
      <c r="AA189" s="217">
        <f t="shared" si="510"/>
        <v>2.2479710456679949</v>
      </c>
      <c r="AB189" s="173">
        <f t="shared" si="511"/>
        <v>1.3497681102554919</v>
      </c>
      <c r="AC189" s="173">
        <f t="shared" si="512"/>
        <v>2.1239677411542464</v>
      </c>
      <c r="AD189" s="173"/>
      <c r="AE189" s="173">
        <f t="shared" si="513"/>
        <v>0.80058451693233579</v>
      </c>
      <c r="AF189" s="545">
        <f t="shared" si="514"/>
        <v>2220.2527808194313</v>
      </c>
      <c r="AG189" s="528">
        <f t="shared" si="515"/>
        <v>0.74721221580351349</v>
      </c>
      <c r="AI189" s="173">
        <f t="shared" si="516"/>
        <v>3.3581951167639787</v>
      </c>
      <c r="AJ189" s="173">
        <f t="shared" si="517"/>
        <v>5.013752639035749</v>
      </c>
      <c r="AK189" s="173">
        <f t="shared" si="518"/>
        <v>3.9262365227425304</v>
      </c>
      <c r="AM189" s="545">
        <f t="shared" si="519"/>
        <v>4740</v>
      </c>
      <c r="AN189" s="460">
        <f t="shared" si="520"/>
        <v>152.15104162007464</v>
      </c>
      <c r="AP189">
        <f t="shared" si="521"/>
        <v>4740</v>
      </c>
      <c r="AQ189">
        <f t="shared" si="522"/>
        <v>152.15104162007464</v>
      </c>
      <c r="AS189" s="5">
        <f t="shared" si="439"/>
        <v>6.5724163919759926</v>
      </c>
      <c r="AT189" s="5">
        <f t="shared" si="523"/>
        <v>3.3619668410704979</v>
      </c>
      <c r="AU189" s="5">
        <f t="shared" si="478"/>
        <v>3.2104495509054947</v>
      </c>
      <c r="AV189" s="5"/>
      <c r="AW189" s="173">
        <f t="shared" si="479"/>
        <v>0.51152675676102821</v>
      </c>
      <c r="AX189" s="173">
        <f t="shared" si="435"/>
        <v>22.94837760686702</v>
      </c>
      <c r="AY189" s="173">
        <f t="shared" si="436"/>
        <v>4.898168024775492</v>
      </c>
      <c r="AZ189" s="173">
        <f t="shared" si="440"/>
        <v>4.6850939965292149</v>
      </c>
      <c r="BA189" s="460">
        <f t="shared" si="594"/>
        <v>398.39307066685404</v>
      </c>
      <c r="BB189" s="5">
        <f t="shared" si="595"/>
        <v>2.8344722714349611</v>
      </c>
      <c r="BD189" s="173">
        <f t="shared" si="441"/>
        <v>2.0703151205479657</v>
      </c>
      <c r="BE189" s="173">
        <f t="shared" si="437"/>
        <v>8.092499055406579</v>
      </c>
      <c r="BG189" s="528">
        <f t="shared" si="480"/>
        <v>5.2291697320108355E-2</v>
      </c>
      <c r="BH189" s="528">
        <f t="shared" si="524"/>
        <v>0.54182946915493735</v>
      </c>
      <c r="BI189" s="528">
        <f t="shared" si="525"/>
        <v>6.8071553574138091E-2</v>
      </c>
      <c r="BJ189" s="528">
        <f t="shared" si="481"/>
        <v>2.1833429720847033E-2</v>
      </c>
      <c r="BK189">
        <f t="shared" si="482"/>
        <v>8.0531027016828693E-3</v>
      </c>
      <c r="BL189" s="460">
        <f t="shared" si="588"/>
        <v>76.124656275820968</v>
      </c>
      <c r="BM189" s="528">
        <f t="shared" si="526"/>
        <v>0.63800019251089335</v>
      </c>
      <c r="BN189" s="460">
        <f t="shared" si="527"/>
        <v>638.00019251089338</v>
      </c>
      <c r="BO189" s="528">
        <f t="shared" si="483"/>
        <v>3.3180000000000001</v>
      </c>
      <c r="BR189" s="460">
        <f t="shared" si="484"/>
        <v>3318</v>
      </c>
      <c r="BS189" s="528">
        <f t="shared" si="485"/>
        <v>0.12858614095108614</v>
      </c>
      <c r="BT189" s="528">
        <f t="shared" si="486"/>
        <v>1.964656228852691</v>
      </c>
      <c r="BU189" s="528">
        <f t="shared" si="487"/>
        <v>0.80364563090517049</v>
      </c>
      <c r="BV189" s="528"/>
      <c r="BW189" s="528">
        <f t="shared" si="488"/>
        <v>9.5618240028612606E-2</v>
      </c>
      <c r="BX189" s="460">
        <f t="shared" si="489"/>
        <v>2992.5062407375599</v>
      </c>
      <c r="BY189" s="173">
        <f t="shared" si="490"/>
        <v>7.0025854932092741</v>
      </c>
      <c r="BZ189" s="5">
        <f t="shared" si="491"/>
        <v>18.96</v>
      </c>
      <c r="CA189" s="173">
        <f t="shared" si="492"/>
        <v>0.73028165877235696</v>
      </c>
      <c r="CB189" s="5">
        <f t="shared" si="493"/>
        <v>73.028165877235693</v>
      </c>
      <c r="CE189" s="562">
        <f t="shared" si="528"/>
        <v>-50</v>
      </c>
      <c r="CF189">
        <f t="shared" si="529"/>
        <v>-50</v>
      </c>
      <c r="CG189" s="173">
        <f t="shared" si="530"/>
        <v>0.47983894184752685</v>
      </c>
      <c r="CI189" s="170">
        <v>79</v>
      </c>
      <c r="CJ189" s="217">
        <f t="shared" si="589"/>
        <v>4.74</v>
      </c>
      <c r="CK189" s="217"/>
      <c r="CL189" s="217">
        <f t="shared" si="531"/>
        <v>18.96</v>
      </c>
      <c r="CM189" s="541">
        <f t="shared" si="532"/>
        <v>18</v>
      </c>
      <c r="CN189" s="443">
        <f t="shared" si="533"/>
        <v>18.8</v>
      </c>
      <c r="CO189" s="443">
        <f t="shared" si="534"/>
        <v>36.799999999999997</v>
      </c>
      <c r="CP189" s="443"/>
      <c r="CQ189" s="217">
        <f t="shared" si="535"/>
        <v>0.51086956521739135</v>
      </c>
      <c r="CR189" s="172">
        <f t="shared" si="590"/>
        <v>30.859076086956527</v>
      </c>
      <c r="CS189" s="172">
        <f t="shared" si="536"/>
        <v>18.96</v>
      </c>
      <c r="CT189" s="217">
        <f t="shared" si="537"/>
        <v>7.7147690217391318</v>
      </c>
      <c r="CU189" s="217">
        <f t="shared" si="538"/>
        <v>4</v>
      </c>
      <c r="CV189" s="217"/>
      <c r="CW189" s="172">
        <f t="shared" si="539"/>
        <v>8.5005969379802835</v>
      </c>
      <c r="CX189" s="536">
        <f t="shared" si="540"/>
        <v>4</v>
      </c>
      <c r="CY189" s="217">
        <f t="shared" si="541"/>
        <v>4.1236879432624107</v>
      </c>
      <c r="CZ189" s="217">
        <f t="shared" si="542"/>
        <v>2.7491252955082741</v>
      </c>
      <c r="DA189" s="217">
        <f t="shared" si="543"/>
        <v>2.6321412403802622</v>
      </c>
      <c r="DB189" s="197">
        <f t="shared" si="544"/>
        <v>350</v>
      </c>
      <c r="DC189" s="443">
        <f t="shared" si="545"/>
        <v>185.82985870163435</v>
      </c>
      <c r="DE189" s="217">
        <f t="shared" si="546"/>
        <v>2.18944099378882</v>
      </c>
      <c r="DF189" s="173">
        <f t="shared" si="547"/>
        <v>1.3975155279503106</v>
      </c>
      <c r="DG189" s="173">
        <f t="shared" si="548"/>
        <v>2.1418444504455847</v>
      </c>
      <c r="DH189" s="173"/>
      <c r="DI189" s="173">
        <f t="shared" si="549"/>
        <v>0.85106382978723416</v>
      </c>
      <c r="DJ189" s="545">
        <f t="shared" si="550"/>
        <v>2088.5624999999995</v>
      </c>
      <c r="DK189" s="528">
        <f t="shared" si="551"/>
        <v>0.79432624113475192</v>
      </c>
      <c r="DM189" s="173">
        <f t="shared" si="552"/>
        <v>3.2570801998985885</v>
      </c>
      <c r="DN189" s="173">
        <f t="shared" si="553"/>
        <v>4.1236879432624107</v>
      </c>
      <c r="DO189" s="173">
        <f t="shared" si="554"/>
        <v>3.266929340688205</v>
      </c>
      <c r="DQ189" s="545">
        <f t="shared" si="555"/>
        <v>4740</v>
      </c>
      <c r="DR189" s="460">
        <f t="shared" si="556"/>
        <v>185.82985870163435</v>
      </c>
      <c r="DT189">
        <f t="shared" si="591"/>
        <v>4740</v>
      </c>
      <c r="DU189">
        <f t="shared" si="592"/>
        <v>185.82985870163435</v>
      </c>
      <c r="DW189" s="5">
        <f t="shared" si="557"/>
        <v>5.3812665358885354</v>
      </c>
      <c r="DX189" s="5">
        <f t="shared" si="558"/>
        <v>2.7491252955082741</v>
      </c>
      <c r="DY189" s="5">
        <f t="shared" si="559"/>
        <v>2.6321412403802613</v>
      </c>
      <c r="DZ189" s="5"/>
      <c r="EA189" s="173">
        <f t="shared" si="560"/>
        <v>0.51086956521739146</v>
      </c>
      <c r="EB189" s="173">
        <f t="shared" si="561"/>
        <v>18.959999999999997</v>
      </c>
      <c r="EC189" s="173">
        <f t="shared" si="562"/>
        <v>4.0340425531914876</v>
      </c>
      <c r="ED189" s="173">
        <f t="shared" si="563"/>
        <v>4.7000000000000011</v>
      </c>
      <c r="EE189" s="460">
        <f t="shared" si="564"/>
        <v>325.77134751773053</v>
      </c>
      <c r="EF189" s="5">
        <f t="shared" si="565"/>
        <v>2.3104350887782292</v>
      </c>
      <c r="EH189" s="173">
        <f t="shared" si="566"/>
        <v>1.70168895843768</v>
      </c>
      <c r="EI189" s="173">
        <f t="shared" si="567"/>
        <v>6.6603568751638225</v>
      </c>
      <c r="EK189" s="528">
        <f t="shared" si="568"/>
        <v>3.5328092797478332E-2</v>
      </c>
      <c r="EL189" s="528">
        <f t="shared" si="569"/>
        <v>0.56400000000000006</v>
      </c>
      <c r="EM189" s="528">
        <f t="shared" si="570"/>
        <v>2.322873233770429E-2</v>
      </c>
      <c r="EN189" s="528">
        <f t="shared" si="571"/>
        <v>2.5165822784810127E-2</v>
      </c>
      <c r="EO189">
        <f t="shared" si="572"/>
        <v>8.0999999999999996E-3</v>
      </c>
      <c r="EP189" s="460">
        <f t="shared" si="573"/>
        <v>31.328732337704292</v>
      </c>
      <c r="EQ189" s="460"/>
      <c r="ER189" s="460">
        <f t="shared" si="593"/>
        <v>655.82264791999273</v>
      </c>
      <c r="ES189" s="528">
        <f t="shared" si="574"/>
        <v>3.3180000000000001</v>
      </c>
      <c r="EV189" s="460">
        <f t="shared" si="494"/>
        <v>3318</v>
      </c>
      <c r="EW189" s="528">
        <f t="shared" si="575"/>
        <v>8.6872359338061478E-2</v>
      </c>
      <c r="EX189" s="528">
        <f t="shared" si="576"/>
        <v>1.3308106111362599</v>
      </c>
      <c r="EY189" s="528">
        <f t="shared" si="577"/>
        <v>0.81278041177063132</v>
      </c>
      <c r="EZ189" s="528"/>
      <c r="FA189" s="528">
        <f t="shared" si="578"/>
        <v>7.9000000000000001E-2</v>
      </c>
      <c r="FB189" s="460">
        <f t="shared" si="579"/>
        <v>2309.4633822449532</v>
      </c>
      <c r="FC189" s="173">
        <f t="shared" si="580"/>
        <v>6.2832860301649447</v>
      </c>
      <c r="FD189" s="5">
        <f t="shared" si="581"/>
        <v>18.96</v>
      </c>
      <c r="FE189" s="173">
        <f t="shared" si="582"/>
        <v>0.75109080400005723</v>
      </c>
      <c r="FF189" s="5">
        <f t="shared" si="583"/>
        <v>75.109080400005723</v>
      </c>
      <c r="FI189" s="562">
        <f t="shared" si="584"/>
        <v>-50</v>
      </c>
      <c r="FJ189">
        <f t="shared" si="585"/>
        <v>-50</v>
      </c>
      <c r="FL189">
        <f t="shared" si="586"/>
        <v>0.48913043478260854</v>
      </c>
    </row>
    <row r="190" spans="5:168">
      <c r="E190" s="170">
        <v>80</v>
      </c>
      <c r="F190" s="217">
        <f t="shared" si="587"/>
        <v>4.8000000000000007</v>
      </c>
      <c r="G190" s="217"/>
      <c r="H190" s="217">
        <f t="shared" si="495"/>
        <v>19.200000000000003</v>
      </c>
      <c r="I190" s="541">
        <f t="shared" si="496"/>
        <v>17.894490127245401</v>
      </c>
      <c r="J190" s="172">
        <f t="shared" si="497"/>
        <v>20.000112296734777</v>
      </c>
      <c r="K190" s="172">
        <f t="shared" si="498"/>
        <v>37.894602423980174</v>
      </c>
      <c r="L190" s="443"/>
      <c r="M190" s="217">
        <f t="shared" si="499"/>
        <v>0.52750191322627848</v>
      </c>
      <c r="N190" s="172">
        <f t="shared" si="500"/>
        <v>31.676978594448109</v>
      </c>
      <c r="O190" s="172">
        <f t="shared" si="438"/>
        <v>19.200000000000003</v>
      </c>
      <c r="P190" s="217">
        <f t="shared" si="501"/>
        <v>7.9192446486120271</v>
      </c>
      <c r="Q190" s="217">
        <f t="shared" si="502"/>
        <v>4</v>
      </c>
      <c r="R190" s="217"/>
      <c r="S190" s="172">
        <f t="shared" si="503"/>
        <v>8.301015872223207</v>
      </c>
      <c r="T190" s="536">
        <f t="shared" si="504"/>
        <v>4</v>
      </c>
      <c r="U190" s="217">
        <f t="shared" si="505"/>
        <v>5.0793856465906835</v>
      </c>
      <c r="V190" s="217">
        <f t="shared" si="506"/>
        <v>3.4062232187484507</v>
      </c>
      <c r="W190" s="217">
        <f t="shared" si="507"/>
        <v>3.0476142760978067</v>
      </c>
      <c r="X190" s="197">
        <f t="shared" si="508"/>
        <v>350</v>
      </c>
      <c r="Y190" s="443">
        <f t="shared" si="509"/>
        <v>150.28921292029628</v>
      </c>
      <c r="AA190" s="217">
        <f t="shared" si="510"/>
        <v>2.2486668482774124</v>
      </c>
      <c r="AB190" s="173">
        <f t="shared" si="511"/>
        <v>1.3491925334706429</v>
      </c>
      <c r="AC190" s="173">
        <f t="shared" si="512"/>
        <v>2.1237191653711935</v>
      </c>
      <c r="AD190" s="173"/>
      <c r="AE190" s="173">
        <f t="shared" si="513"/>
        <v>0.79999550815582998</v>
      </c>
      <c r="AF190" s="545">
        <f t="shared" si="514"/>
        <v>2250.012633382662</v>
      </c>
      <c r="AG190" s="528">
        <f t="shared" si="515"/>
        <v>0.74666247427877475</v>
      </c>
      <c r="AI190" s="173">
        <f t="shared" si="516"/>
        <v>3.3806265097070631</v>
      </c>
      <c r="AJ190" s="173">
        <f t="shared" si="517"/>
        <v>5.0793856465906835</v>
      </c>
      <c r="AK190" s="173">
        <f t="shared" si="518"/>
        <v>3.974853565375815</v>
      </c>
      <c r="AM190" s="545">
        <f t="shared" si="519"/>
        <v>4800.0000000000009</v>
      </c>
      <c r="AN190" s="460">
        <f t="shared" si="520"/>
        <v>150.28921292029628</v>
      </c>
      <c r="AP190">
        <f t="shared" si="521"/>
        <v>4800.0000000000009</v>
      </c>
      <c r="AQ190">
        <f t="shared" si="522"/>
        <v>150.28921292029628</v>
      </c>
      <c r="AS190" s="5">
        <f t="shared" si="439"/>
        <v>6.6538374948462575</v>
      </c>
      <c r="AT190" s="5">
        <f t="shared" si="523"/>
        <v>3.4062232187484507</v>
      </c>
      <c r="AU190" s="5">
        <f t="shared" si="478"/>
        <v>3.2476142760978068</v>
      </c>
      <c r="AV190" s="5"/>
      <c r="AW190" s="173">
        <f t="shared" si="479"/>
        <v>0.51191860657654287</v>
      </c>
      <c r="AX190" s="173">
        <f t="shared" si="435"/>
        <v>23.264913127296854</v>
      </c>
      <c r="AY190" s="173">
        <f t="shared" si="436"/>
        <v>4.958307248246177</v>
      </c>
      <c r="AZ190" s="173">
        <f t="shared" si="440"/>
        <v>4.6921080043044894</v>
      </c>
      <c r="BA190" s="460">
        <f t="shared" si="594"/>
        <v>408.74678624981414</v>
      </c>
      <c r="BB190" s="5">
        <f t="shared" si="595"/>
        <v>2.9037892696618393</v>
      </c>
      <c r="BD190" s="173">
        <f t="shared" si="441"/>
        <v>2.0982199767681942</v>
      </c>
      <c r="BE190" s="173">
        <f t="shared" si="437"/>
        <v>8.1951456636439239</v>
      </c>
      <c r="BG190" s="528">
        <f t="shared" si="480"/>
        <v>5.3710830265091276E-2</v>
      </c>
      <c r="BH190" s="528">
        <f t="shared" si="524"/>
        <v>0.54239743170213484</v>
      </c>
      <c r="BI190" s="528">
        <f t="shared" si="525"/>
        <v>6.7233720920843093E-2</v>
      </c>
      <c r="BJ190" s="528">
        <f t="shared" si="481"/>
        <v>2.1581544394250401E-2</v>
      </c>
      <c r="BK190">
        <f t="shared" si="482"/>
        <v>8.052520557260431E-3</v>
      </c>
      <c r="BL190" s="460">
        <f t="shared" si="588"/>
        <v>75.28624147810352</v>
      </c>
      <c r="BM190" s="528">
        <f t="shared" si="526"/>
        <v>0.64036385766641513</v>
      </c>
      <c r="BN190" s="460">
        <f t="shared" si="527"/>
        <v>640.36385766641513</v>
      </c>
      <c r="BO190" s="528">
        <f t="shared" si="483"/>
        <v>3.3600000000000003</v>
      </c>
      <c r="BR190" s="460">
        <f t="shared" si="484"/>
        <v>3360.0000000000005</v>
      </c>
      <c r="BS190" s="528">
        <f t="shared" si="485"/>
        <v>0.13207581212727362</v>
      </c>
      <c r="BT190" s="528">
        <f t="shared" si="486"/>
        <v>2.0148123734502543</v>
      </c>
      <c r="BU190" s="528">
        <f t="shared" si="487"/>
        <v>0.80504007076578121</v>
      </c>
      <c r="BV190" s="528"/>
      <c r="BW190" s="528">
        <f t="shared" si="488"/>
        <v>9.6937138030403561E-2</v>
      </c>
      <c r="BX190" s="460">
        <f t="shared" si="489"/>
        <v>3048.8653943737131</v>
      </c>
      <c r="BY190" s="173">
        <f t="shared" si="490"/>
        <v>7.1018414422132921</v>
      </c>
      <c r="BZ190" s="5">
        <f t="shared" si="491"/>
        <v>19.200000000000003</v>
      </c>
      <c r="CA190" s="173">
        <f t="shared" si="492"/>
        <v>0.72998691145574512</v>
      </c>
      <c r="CB190" s="5">
        <f t="shared" si="493"/>
        <v>72.998691145574512</v>
      </c>
      <c r="CE190" s="562">
        <f t="shared" si="528"/>
        <v>-50</v>
      </c>
      <c r="CF190">
        <f t="shared" si="529"/>
        <v>-50</v>
      </c>
      <c r="CG190" s="173">
        <f t="shared" si="530"/>
        <v>0.47995508550921545</v>
      </c>
      <c r="CI190" s="170">
        <v>80</v>
      </c>
      <c r="CJ190" s="217">
        <f t="shared" si="589"/>
        <v>4.8000000000000007</v>
      </c>
      <c r="CK190" s="217"/>
      <c r="CL190" s="217">
        <f t="shared" si="531"/>
        <v>19.200000000000003</v>
      </c>
      <c r="CM190" s="541">
        <f t="shared" si="532"/>
        <v>18</v>
      </c>
      <c r="CN190" s="443">
        <f t="shared" si="533"/>
        <v>18.8</v>
      </c>
      <c r="CO190" s="443">
        <f t="shared" si="534"/>
        <v>36.799999999999997</v>
      </c>
      <c r="CP190" s="443"/>
      <c r="CQ190" s="217">
        <f t="shared" si="535"/>
        <v>0.51086956521739135</v>
      </c>
      <c r="CR190" s="172">
        <f t="shared" si="590"/>
        <v>30.859076086956527</v>
      </c>
      <c r="CS190" s="172">
        <f t="shared" si="536"/>
        <v>19.200000000000003</v>
      </c>
      <c r="CT190" s="217">
        <f t="shared" si="537"/>
        <v>7.7147690217391318</v>
      </c>
      <c r="CU190" s="217">
        <f t="shared" si="538"/>
        <v>4</v>
      </c>
      <c r="CV190" s="217"/>
      <c r="CW190" s="172">
        <f t="shared" si="539"/>
        <v>8.3481379290097451</v>
      </c>
      <c r="CX190" s="536">
        <f t="shared" si="540"/>
        <v>4</v>
      </c>
      <c r="CY190" s="217">
        <f t="shared" si="541"/>
        <v>4.1758865248226948</v>
      </c>
      <c r="CZ190" s="217">
        <f t="shared" si="542"/>
        <v>2.7839243498817967</v>
      </c>
      <c r="DA190" s="217">
        <f t="shared" si="543"/>
        <v>2.6654594839293795</v>
      </c>
      <c r="DB190" s="197">
        <f t="shared" si="544"/>
        <v>350</v>
      </c>
      <c r="DC190" s="443">
        <f t="shared" si="545"/>
        <v>183.50698546786393</v>
      </c>
      <c r="DE190" s="217">
        <f t="shared" si="546"/>
        <v>2.18944099378882</v>
      </c>
      <c r="DF190" s="173">
        <f t="shared" si="547"/>
        <v>1.3975155279503106</v>
      </c>
      <c r="DG190" s="173">
        <f t="shared" si="548"/>
        <v>2.1418444504455847</v>
      </c>
      <c r="DH190" s="173"/>
      <c r="DI190" s="173">
        <f t="shared" si="549"/>
        <v>0.85106382978723416</v>
      </c>
      <c r="DJ190" s="545">
        <f t="shared" si="550"/>
        <v>2115</v>
      </c>
      <c r="DK190" s="528">
        <f t="shared" si="551"/>
        <v>0.79432624113475192</v>
      </c>
      <c r="DM190" s="173">
        <f t="shared" si="552"/>
        <v>3.2776298056457116</v>
      </c>
      <c r="DN190" s="173">
        <f t="shared" si="553"/>
        <v>4.1758865248226948</v>
      </c>
      <c r="DO190" s="173">
        <f t="shared" si="554"/>
        <v>3.3055949566587861</v>
      </c>
      <c r="DQ190" s="545">
        <f t="shared" si="555"/>
        <v>4800.0000000000009</v>
      </c>
      <c r="DR190" s="460">
        <f t="shared" si="556"/>
        <v>183.50698546786393</v>
      </c>
      <c r="DT190">
        <f t="shared" si="591"/>
        <v>4800.0000000000009</v>
      </c>
      <c r="DU190">
        <f t="shared" si="592"/>
        <v>183.50698546786393</v>
      </c>
      <c r="DW190" s="5">
        <f t="shared" si="557"/>
        <v>5.4493838338111757</v>
      </c>
      <c r="DX190" s="5">
        <f t="shared" si="558"/>
        <v>2.7839243498817967</v>
      </c>
      <c r="DY190" s="5">
        <f t="shared" si="559"/>
        <v>2.665459483929379</v>
      </c>
      <c r="DZ190" s="5"/>
      <c r="EA190" s="173">
        <f t="shared" si="560"/>
        <v>0.51086956521739135</v>
      </c>
      <c r="EB190" s="173">
        <f t="shared" si="561"/>
        <v>19.2</v>
      </c>
      <c r="EC190" s="173">
        <f t="shared" si="562"/>
        <v>4.0851063829787231</v>
      </c>
      <c r="ED190" s="173">
        <f t="shared" si="563"/>
        <v>4.7</v>
      </c>
      <c r="EE190" s="460">
        <f t="shared" si="564"/>
        <v>334.07092198581569</v>
      </c>
      <c r="EF190" s="5">
        <f t="shared" si="565"/>
        <v>2.3692973190483371</v>
      </c>
      <c r="EH190" s="173">
        <f t="shared" si="566"/>
        <v>1.7232293250001822</v>
      </c>
      <c r="EI190" s="173">
        <f t="shared" si="567"/>
        <v>6.7446651900393153</v>
      </c>
      <c r="EK190" s="528">
        <f t="shared" si="568"/>
        <v>3.622813553979512E-2</v>
      </c>
      <c r="EL190" s="528">
        <f t="shared" si="569"/>
        <v>0.56400000000000006</v>
      </c>
      <c r="EM190" s="528">
        <f t="shared" si="570"/>
        <v>2.2938373183482991E-2</v>
      </c>
      <c r="EN190" s="528">
        <f t="shared" si="571"/>
        <v>2.4851250000000002E-2</v>
      </c>
      <c r="EO190">
        <f t="shared" si="572"/>
        <v>8.0999999999999996E-3</v>
      </c>
      <c r="EP190" s="460">
        <f t="shared" si="573"/>
        <v>31.038373183482989</v>
      </c>
      <c r="EQ190" s="460"/>
      <c r="ER190" s="460">
        <f t="shared" si="593"/>
        <v>656.11775872327814</v>
      </c>
      <c r="ES190" s="528">
        <f t="shared" si="574"/>
        <v>3.3600000000000003</v>
      </c>
      <c r="EV190" s="460">
        <f t="shared" si="494"/>
        <v>3360.0000000000005</v>
      </c>
      <c r="EW190" s="528">
        <f t="shared" si="575"/>
        <v>8.9085579196217499E-2</v>
      </c>
      <c r="EX190" s="528">
        <f t="shared" si="576"/>
        <v>1.3647152557718423</v>
      </c>
      <c r="EY190" s="528">
        <f t="shared" si="577"/>
        <v>0.81278041177063254</v>
      </c>
      <c r="EZ190" s="528"/>
      <c r="FA190" s="528">
        <f t="shared" si="578"/>
        <v>0.08</v>
      </c>
      <c r="FB190" s="460">
        <f t="shared" si="579"/>
        <v>2346.5812467386922</v>
      </c>
      <c r="FC190" s="173">
        <f t="shared" si="580"/>
        <v>6.3626990054619705</v>
      </c>
      <c r="FD190" s="5">
        <f t="shared" si="581"/>
        <v>19.200000000000003</v>
      </c>
      <c r="FE190" s="173">
        <f t="shared" si="582"/>
        <v>0.75109439718777526</v>
      </c>
      <c r="FF190" s="5">
        <f t="shared" si="583"/>
        <v>75.109439718777523</v>
      </c>
      <c r="FI190" s="562">
        <f t="shared" si="584"/>
        <v>-50</v>
      </c>
      <c r="FJ190">
        <f t="shared" si="585"/>
        <v>-50</v>
      </c>
      <c r="FL190">
        <f t="shared" si="586"/>
        <v>0.48913043478260865</v>
      </c>
    </row>
    <row r="191" spans="5:168">
      <c r="E191" s="170">
        <v>81</v>
      </c>
      <c r="F191" s="217">
        <f t="shared" si="587"/>
        <v>4.8600000000000003</v>
      </c>
      <c r="G191" s="217"/>
      <c r="H191" s="217">
        <f t="shared" si="495"/>
        <v>19.440000000000001</v>
      </c>
      <c r="I191" s="541">
        <f t="shared" si="496"/>
        <v>17.893196460921356</v>
      </c>
      <c r="J191" s="172">
        <f t="shared" si="497"/>
        <v>20.014826984780772</v>
      </c>
      <c r="K191" s="172">
        <f t="shared" si="498"/>
        <v>37.908023445702128</v>
      </c>
      <c r="L191" s="443"/>
      <c r="M191" s="217">
        <f t="shared" si="499"/>
        <v>0.52770350961486667</v>
      </c>
      <c r="N191" s="172">
        <f t="shared" si="500"/>
        <v>31.686793710028141</v>
      </c>
      <c r="O191" s="172">
        <f t="shared" si="438"/>
        <v>19.440000000000001</v>
      </c>
      <c r="P191" s="217">
        <f t="shared" si="501"/>
        <v>7.9216984275070352</v>
      </c>
      <c r="Q191" s="217">
        <f t="shared" si="502"/>
        <v>4</v>
      </c>
      <c r="R191" s="217"/>
      <c r="S191" s="172">
        <f t="shared" si="503"/>
        <v>8.152833465153055</v>
      </c>
      <c r="T191" s="536">
        <f t="shared" si="504"/>
        <v>4</v>
      </c>
      <c r="U191" s="217">
        <f t="shared" si="505"/>
        <v>5.1450731679552835</v>
      </c>
      <c r="V191" s="217">
        <f t="shared" si="506"/>
        <v>3.4505225575712615</v>
      </c>
      <c r="W191" s="217">
        <f t="shared" si="507"/>
        <v>3.0847570185048823</v>
      </c>
      <c r="X191" s="197">
        <f t="shared" si="508"/>
        <v>350</v>
      </c>
      <c r="Y191" s="443">
        <f t="shared" si="509"/>
        <v>148.47193627299765</v>
      </c>
      <c r="AA191" s="217">
        <f t="shared" si="510"/>
        <v>2.2493619255577406</v>
      </c>
      <c r="AB191" s="173">
        <f t="shared" si="511"/>
        <v>1.3486173588818831</v>
      </c>
      <c r="AC191" s="173">
        <f t="shared" si="512"/>
        <v>2.1234699774506032</v>
      </c>
      <c r="AD191" s="173"/>
      <c r="AE191" s="173">
        <f t="shared" si="513"/>
        <v>0.7994073599620104</v>
      </c>
      <c r="AF191" s="545">
        <f t="shared" si="514"/>
        <v>2279.8138862351843</v>
      </c>
      <c r="AG191" s="528">
        <f t="shared" si="515"/>
        <v>0.74611353596454311</v>
      </c>
      <c r="AI191" s="173">
        <f t="shared" si="516"/>
        <v>3.4029409400097719</v>
      </c>
      <c r="AJ191" s="173">
        <f t="shared" si="517"/>
        <v>5.1450731679552835</v>
      </c>
      <c r="AK191" s="173">
        <f t="shared" si="518"/>
        <v>4.0235109886088516</v>
      </c>
      <c r="AM191" s="545">
        <f t="shared" si="519"/>
        <v>4860</v>
      </c>
      <c r="AN191" s="460">
        <f t="shared" si="520"/>
        <v>148.47193627299765</v>
      </c>
      <c r="AP191">
        <f t="shared" si="521"/>
        <v>4860</v>
      </c>
      <c r="AQ191">
        <f t="shared" si="522"/>
        <v>148.47193627299765</v>
      </c>
      <c r="AS191" s="5">
        <f t="shared" si="439"/>
        <v>6.7352795760761444</v>
      </c>
      <c r="AT191" s="5">
        <f t="shared" si="523"/>
        <v>3.4505225575712615</v>
      </c>
      <c r="AU191" s="5">
        <f t="shared" si="478"/>
        <v>3.2847570185048829</v>
      </c>
      <c r="AV191" s="5"/>
      <c r="AW191" s="173">
        <f t="shared" si="479"/>
        <v>0.51230576527626126</v>
      </c>
      <c r="AX191" s="173">
        <f t="shared" si="435"/>
        <v>23.581896731629435</v>
      </c>
      <c r="AY191" s="173">
        <f t="shared" si="436"/>
        <v>5.0184450424871878</v>
      </c>
      <c r="AZ191" s="173">
        <f t="shared" si="440"/>
        <v>4.6990445311207454</v>
      </c>
      <c r="BA191" s="460">
        <f t="shared" si="594"/>
        <v>419.23849074490829</v>
      </c>
      <c r="BB191" s="5">
        <f t="shared" si="595"/>
        <v>2.9739272027776669</v>
      </c>
      <c r="BD191" s="173">
        <f t="shared" si="441"/>
        <v>2.1261580716661914</v>
      </c>
      <c r="BE191" s="173">
        <f t="shared" si="437"/>
        <v>8.2978337627695016</v>
      </c>
      <c r="BG191" s="528">
        <f t="shared" si="480"/>
        <v>5.515068737767783E-2</v>
      </c>
      <c r="BH191" s="528">
        <f t="shared" si="524"/>
        <v>0.54296063013521656</v>
      </c>
      <c r="BI191" s="528">
        <f t="shared" si="525"/>
        <v>6.641593811665357E-2</v>
      </c>
      <c r="BJ191" s="528">
        <f t="shared" si="481"/>
        <v>2.1335688078401693E-2</v>
      </c>
      <c r="BK191">
        <f t="shared" si="482"/>
        <v>8.0519384074146105E-3</v>
      </c>
      <c r="BL191" s="460">
        <f t="shared" si="588"/>
        <v>74.467876524068174</v>
      </c>
      <c r="BM191" s="528">
        <f t="shared" si="526"/>
        <v>0.64276029568037152</v>
      </c>
      <c r="BN191" s="460">
        <f t="shared" si="527"/>
        <v>642.76029568037154</v>
      </c>
      <c r="BO191" s="528">
        <f t="shared" si="483"/>
        <v>3.4020000000000001</v>
      </c>
      <c r="BR191" s="460">
        <f t="shared" si="484"/>
        <v>3402</v>
      </c>
      <c r="BS191" s="528">
        <f t="shared" si="485"/>
        <v>0.13561644437133893</v>
      </c>
      <c r="BT191" s="528">
        <f t="shared" si="486"/>
        <v>2.0656213546367241</v>
      </c>
      <c r="BU191" s="528">
        <f t="shared" si="487"/>
        <v>0.80641727625158666</v>
      </c>
      <c r="BV191" s="528"/>
      <c r="BW191" s="528">
        <f t="shared" si="488"/>
        <v>9.8257903048455983E-2</v>
      </c>
      <c r="BX191" s="460">
        <f t="shared" si="489"/>
        <v>3105.9129783081057</v>
      </c>
      <c r="BY191" s="173">
        <f t="shared" si="490"/>
        <v>7.2018278604234691</v>
      </c>
      <c r="BZ191" s="5">
        <f t="shared" si="491"/>
        <v>19.440000000000001</v>
      </c>
      <c r="CA191" s="173">
        <f t="shared" si="492"/>
        <v>0.72967966394220984</v>
      </c>
      <c r="CB191" s="5">
        <f t="shared" si="493"/>
        <v>72.96796639422098</v>
      </c>
      <c r="CE191" s="562">
        <f t="shared" si="528"/>
        <v>-50</v>
      </c>
      <c r="CF191">
        <f t="shared" si="529"/>
        <v>-50</v>
      </c>
      <c r="CG191" s="173">
        <f t="shared" si="530"/>
        <v>0.48006836142617104</v>
      </c>
      <c r="CI191" s="170">
        <v>81</v>
      </c>
      <c r="CJ191" s="217">
        <f t="shared" si="589"/>
        <v>4.8600000000000003</v>
      </c>
      <c r="CK191" s="217"/>
      <c r="CL191" s="217">
        <f t="shared" si="531"/>
        <v>19.440000000000001</v>
      </c>
      <c r="CM191" s="541">
        <f t="shared" si="532"/>
        <v>18</v>
      </c>
      <c r="CN191" s="443">
        <f t="shared" si="533"/>
        <v>18.8</v>
      </c>
      <c r="CO191" s="443">
        <f t="shared" si="534"/>
        <v>36.799999999999997</v>
      </c>
      <c r="CP191" s="443"/>
      <c r="CQ191" s="217">
        <f t="shared" si="535"/>
        <v>0.51086956521739135</v>
      </c>
      <c r="CR191" s="172">
        <f t="shared" si="590"/>
        <v>30.859076086956527</v>
      </c>
      <c r="CS191" s="172">
        <f t="shared" si="536"/>
        <v>19.440000000000001</v>
      </c>
      <c r="CT191" s="217">
        <f t="shared" si="537"/>
        <v>7.7147690217391318</v>
      </c>
      <c r="CU191" s="217">
        <f t="shared" si="538"/>
        <v>4</v>
      </c>
      <c r="CV191" s="217"/>
      <c r="CW191" s="172">
        <f t="shared" si="539"/>
        <v>8.1996264523711773</v>
      </c>
      <c r="CX191" s="536">
        <f t="shared" si="540"/>
        <v>4</v>
      </c>
      <c r="CY191" s="217">
        <f t="shared" si="541"/>
        <v>4.2280851063829781</v>
      </c>
      <c r="CZ191" s="217">
        <f t="shared" si="542"/>
        <v>2.8187234042553189</v>
      </c>
      <c r="DA191" s="217">
        <f t="shared" si="543"/>
        <v>2.6987777274784968</v>
      </c>
      <c r="DB191" s="197">
        <f t="shared" si="544"/>
        <v>350</v>
      </c>
      <c r="DC191" s="443">
        <f t="shared" si="545"/>
        <v>181.24146712875446</v>
      </c>
      <c r="DE191" s="217">
        <f t="shared" si="546"/>
        <v>2.18944099378882</v>
      </c>
      <c r="DF191" s="173">
        <f t="shared" si="547"/>
        <v>1.3975155279503106</v>
      </c>
      <c r="DG191" s="173">
        <f t="shared" si="548"/>
        <v>2.1418444504455847</v>
      </c>
      <c r="DH191" s="173"/>
      <c r="DI191" s="173">
        <f t="shared" si="549"/>
        <v>0.85106382978723416</v>
      </c>
      <c r="DJ191" s="545">
        <f t="shared" si="550"/>
        <v>2141.4374999999995</v>
      </c>
      <c r="DK191" s="528">
        <f t="shared" si="551"/>
        <v>0.79432624113475192</v>
      </c>
      <c r="DM191" s="173">
        <f t="shared" si="552"/>
        <v>3.2980513727264555</v>
      </c>
      <c r="DN191" s="173">
        <f t="shared" si="553"/>
        <v>4.2280851063829781</v>
      </c>
      <c r="DO191" s="173">
        <f t="shared" si="554"/>
        <v>3.3442605726293664</v>
      </c>
      <c r="DQ191" s="545">
        <f t="shared" si="555"/>
        <v>4860</v>
      </c>
      <c r="DR191" s="460">
        <f t="shared" si="556"/>
        <v>181.24146712875446</v>
      </c>
      <c r="DT191">
        <f t="shared" si="591"/>
        <v>4860</v>
      </c>
      <c r="DU191">
        <f t="shared" si="592"/>
        <v>181.24146712875446</v>
      </c>
      <c r="DW191" s="5">
        <f t="shared" si="557"/>
        <v>5.5175011317338161</v>
      </c>
      <c r="DX191" s="5">
        <f t="shared" si="558"/>
        <v>2.8187234042553189</v>
      </c>
      <c r="DY191" s="5">
        <f t="shared" si="559"/>
        <v>2.6987777274784972</v>
      </c>
      <c r="DZ191" s="5"/>
      <c r="EA191" s="173">
        <f t="shared" si="560"/>
        <v>0.51086956521739124</v>
      </c>
      <c r="EB191" s="173">
        <f t="shared" si="561"/>
        <v>19.439999999999994</v>
      </c>
      <c r="EC191" s="173">
        <f t="shared" si="562"/>
        <v>4.1361702127659576</v>
      </c>
      <c r="ED191" s="173">
        <f t="shared" si="563"/>
        <v>4.6999999999999984</v>
      </c>
      <c r="EE191" s="460">
        <f t="shared" si="564"/>
        <v>342.47489361702128</v>
      </c>
      <c r="EF191" s="5">
        <f t="shared" si="565"/>
        <v>2.4288999547306473</v>
      </c>
      <c r="EH191" s="173">
        <f t="shared" si="566"/>
        <v>1.744769691562684</v>
      </c>
      <c r="EI191" s="173">
        <f t="shared" si="567"/>
        <v>6.8289735049148073</v>
      </c>
      <c r="EK191" s="528">
        <f t="shared" si="568"/>
        <v>3.713949957446807E-2</v>
      </c>
      <c r="EL191" s="528">
        <f t="shared" si="569"/>
        <v>0.56399999999999995</v>
      </c>
      <c r="EM191" s="528">
        <f t="shared" si="570"/>
        <v>2.2655183391094309E-2</v>
      </c>
      <c r="EN191" s="528">
        <f t="shared" si="571"/>
        <v>2.4544444444444442E-2</v>
      </c>
      <c r="EO191">
        <f t="shared" si="572"/>
        <v>8.0999999999999996E-3</v>
      </c>
      <c r="EP191" s="460">
        <f t="shared" si="573"/>
        <v>30.75518339109431</v>
      </c>
      <c r="EQ191" s="460"/>
      <c r="ER191" s="460">
        <f t="shared" si="593"/>
        <v>656.43912741000679</v>
      </c>
      <c r="ES191" s="528">
        <f t="shared" si="574"/>
        <v>3.4020000000000001</v>
      </c>
      <c r="EV191" s="460">
        <f t="shared" si="494"/>
        <v>3402</v>
      </c>
      <c r="EW191" s="528">
        <f t="shared" si="575"/>
        <v>9.1326638297872298E-2</v>
      </c>
      <c r="EX191" s="528">
        <f t="shared" si="576"/>
        <v>1.3990463739248529</v>
      </c>
      <c r="EY191" s="528">
        <f t="shared" si="577"/>
        <v>0.81278041177063176</v>
      </c>
      <c r="EZ191" s="528"/>
      <c r="FA191" s="528">
        <f t="shared" si="578"/>
        <v>8.0999999999999975E-2</v>
      </c>
      <c r="FB191" s="460">
        <f t="shared" si="579"/>
        <v>2384.1534239933567</v>
      </c>
      <c r="FC191" s="173">
        <f t="shared" si="580"/>
        <v>6.4425925514033642</v>
      </c>
      <c r="FD191" s="5">
        <f t="shared" si="581"/>
        <v>19.440000000000001</v>
      </c>
      <c r="FE191" s="173">
        <f t="shared" si="582"/>
        <v>0.75108395580511333</v>
      </c>
      <c r="FF191" s="5">
        <f t="shared" si="583"/>
        <v>75.108395580511328</v>
      </c>
      <c r="FI191" s="562">
        <f t="shared" si="584"/>
        <v>-50</v>
      </c>
      <c r="FJ191">
        <f t="shared" si="585"/>
        <v>-50</v>
      </c>
      <c r="FL191">
        <f t="shared" si="586"/>
        <v>0.48913043478260876</v>
      </c>
    </row>
    <row r="192" spans="5:168">
      <c r="E192" s="170">
        <v>82</v>
      </c>
      <c r="F192" s="217">
        <f t="shared" si="587"/>
        <v>4.92</v>
      </c>
      <c r="G192" s="217"/>
      <c r="H192" s="217">
        <f t="shared" si="495"/>
        <v>19.68</v>
      </c>
      <c r="I192" s="541">
        <f t="shared" si="496"/>
        <v>17.891902782994499</v>
      </c>
      <c r="J192" s="172">
        <f t="shared" si="497"/>
        <v>20.029541804801891</v>
      </c>
      <c r="K192" s="172">
        <f t="shared" si="498"/>
        <v>37.921444587796387</v>
      </c>
      <c r="L192" s="443"/>
      <c r="M192" s="217">
        <f t="shared" si="499"/>
        <v>0.52790496332729608</v>
      </c>
      <c r="N192" s="172">
        <f t="shared" si="500"/>
        <v>31.696598488064055</v>
      </c>
      <c r="O192" s="172">
        <f t="shared" si="438"/>
        <v>19.68</v>
      </c>
      <c r="P192" s="217">
        <f t="shared" si="501"/>
        <v>7.9241496220160137</v>
      </c>
      <c r="Q192" s="217">
        <f t="shared" si="502"/>
        <v>4</v>
      </c>
      <c r="R192" s="217"/>
      <c r="S192" s="172">
        <f t="shared" si="503"/>
        <v>8.0084548412925134</v>
      </c>
      <c r="T192" s="536">
        <f t="shared" si="504"/>
        <v>4</v>
      </c>
      <c r="U192" s="217">
        <f t="shared" si="505"/>
        <v>5.2108152149574032</v>
      </c>
      <c r="V192" s="217">
        <f t="shared" si="506"/>
        <v>3.4948648747924542</v>
      </c>
      <c r="W192" s="217">
        <f t="shared" si="507"/>
        <v>3.1218778336955229</v>
      </c>
      <c r="X192" s="197">
        <f t="shared" si="508"/>
        <v>350</v>
      </c>
      <c r="Y192" s="443">
        <f t="shared" si="509"/>
        <v>146.69763005061552</v>
      </c>
      <c r="AA192" s="217">
        <f t="shared" si="510"/>
        <v>2.2500562780245992</v>
      </c>
      <c r="AB192" s="173">
        <f t="shared" si="511"/>
        <v>1.3480425862673522</v>
      </c>
      <c r="AC192" s="173">
        <f t="shared" si="512"/>
        <v>2.1232201789927614</v>
      </c>
      <c r="AD192" s="173"/>
      <c r="AE192" s="173">
        <f t="shared" si="513"/>
        <v>0.79882007067002181</v>
      </c>
      <c r="AF192" s="545">
        <f t="shared" si="514"/>
        <v>2309.6565393662167</v>
      </c>
      <c r="AG192" s="528">
        <f t="shared" si="515"/>
        <v>0.74556539929202059</v>
      </c>
      <c r="AI192" s="173">
        <f t="shared" si="516"/>
        <v>3.4251406936626654</v>
      </c>
      <c r="AJ192" s="173">
        <f t="shared" si="517"/>
        <v>5.2108152149574032</v>
      </c>
      <c r="AK192" s="173">
        <f t="shared" si="518"/>
        <v>4.0722088012030149</v>
      </c>
      <c r="AM192" s="545">
        <f t="shared" si="519"/>
        <v>4920</v>
      </c>
      <c r="AN192" s="460">
        <f t="shared" si="520"/>
        <v>146.69763005061552</v>
      </c>
      <c r="AP192">
        <f t="shared" si="521"/>
        <v>4920</v>
      </c>
      <c r="AQ192">
        <f t="shared" si="522"/>
        <v>146.69763005061552</v>
      </c>
      <c r="AS192" s="5">
        <f t="shared" si="439"/>
        <v>6.8167427084879764</v>
      </c>
      <c r="AT192" s="5">
        <f t="shared" si="523"/>
        <v>3.4948648747924542</v>
      </c>
      <c r="AU192" s="5">
        <f t="shared" si="478"/>
        <v>3.3218778336955221</v>
      </c>
      <c r="AV192" s="5"/>
      <c r="AW192" s="173">
        <f t="shared" si="479"/>
        <v>0.51268839447919423</v>
      </c>
      <c r="AX192" s="173">
        <f t="shared" si="435"/>
        <v>23.899328197282912</v>
      </c>
      <c r="AY192" s="173">
        <f t="shared" si="436"/>
        <v>5.0785814569462699</v>
      </c>
      <c r="AZ192" s="173">
        <f t="shared" si="440"/>
        <v>4.7059062456494454</v>
      </c>
      <c r="BA192" s="460">
        <f t="shared" si="594"/>
        <v>429.86837959947189</v>
      </c>
      <c r="BB192" s="5">
        <f t="shared" si="595"/>
        <v>3.0448855626684024</v>
      </c>
      <c r="BD192" s="173">
        <f t="shared" si="441"/>
        <v>2.1541294019706654</v>
      </c>
      <c r="BE192" s="173">
        <f t="shared" si="437"/>
        <v>8.4005633979721708</v>
      </c>
      <c r="BG192" s="528">
        <f t="shared" si="480"/>
        <v>5.661133646130085E-2</v>
      </c>
      <c r="BH192" s="528">
        <f t="shared" si="524"/>
        <v>0.54351923147585202</v>
      </c>
      <c r="BI192" s="528">
        <f t="shared" si="525"/>
        <v>6.5617493384032638E-2</v>
      </c>
      <c r="BJ192" s="528">
        <f t="shared" si="481"/>
        <v>2.1095646720459587E-2</v>
      </c>
      <c r="BK192">
        <f t="shared" si="482"/>
        <v>8.0513562523475239E-3</v>
      </c>
      <c r="BL192" s="460">
        <f t="shared" si="588"/>
        <v>73.668849636380159</v>
      </c>
      <c r="BM192" s="528">
        <f t="shared" si="526"/>
        <v>0.64518962667820745</v>
      </c>
      <c r="BN192" s="460">
        <f t="shared" si="527"/>
        <v>645.18962667820745</v>
      </c>
      <c r="BO192" s="528">
        <f t="shared" si="483"/>
        <v>3.444</v>
      </c>
      <c r="BR192" s="460">
        <f t="shared" si="484"/>
        <v>3444</v>
      </c>
      <c r="BS192" s="528">
        <f t="shared" si="485"/>
        <v>0.13920820441303489</v>
      </c>
      <c r="BT192" s="528">
        <f t="shared" si="486"/>
        <v>2.1170839621004922</v>
      </c>
      <c r="BU192" s="528">
        <f t="shared" si="487"/>
        <v>0.80777783104916467</v>
      </c>
      <c r="BV192" s="528"/>
      <c r="BW192" s="528">
        <f t="shared" si="488"/>
        <v>9.9580534155345471E-2</v>
      </c>
      <c r="BX192" s="460">
        <f t="shared" si="489"/>
        <v>3163.6505317180372</v>
      </c>
      <c r="BY192" s="173">
        <f t="shared" si="490"/>
        <v>7.3025455960120302</v>
      </c>
      <c r="BZ192" s="5">
        <f t="shared" si="491"/>
        <v>19.68</v>
      </c>
      <c r="CA192" s="173">
        <f t="shared" si="492"/>
        <v>0.72936039077457049</v>
      </c>
      <c r="CB192" s="5">
        <f t="shared" si="493"/>
        <v>72.936039077457053</v>
      </c>
      <c r="CE192" s="562">
        <f t="shared" si="528"/>
        <v>-50</v>
      </c>
      <c r="CF192">
        <f t="shared" si="529"/>
        <v>-50</v>
      </c>
      <c r="CG192" s="173">
        <f t="shared" si="530"/>
        <v>0.48017887451588359</v>
      </c>
      <c r="CI192" s="170">
        <v>82</v>
      </c>
      <c r="CJ192" s="217">
        <f t="shared" si="589"/>
        <v>4.92</v>
      </c>
      <c r="CK192" s="217"/>
      <c r="CL192" s="217">
        <f t="shared" si="531"/>
        <v>19.68</v>
      </c>
      <c r="CM192" s="541">
        <f t="shared" si="532"/>
        <v>18</v>
      </c>
      <c r="CN192" s="443">
        <f t="shared" si="533"/>
        <v>18.8</v>
      </c>
      <c r="CO192" s="443">
        <f t="shared" si="534"/>
        <v>36.799999999999997</v>
      </c>
      <c r="CP192" s="443"/>
      <c r="CQ192" s="217">
        <f t="shared" si="535"/>
        <v>0.51086956521739135</v>
      </c>
      <c r="CR192" s="172">
        <f t="shared" si="590"/>
        <v>30.859076086956527</v>
      </c>
      <c r="CS192" s="172">
        <f t="shared" si="536"/>
        <v>19.68</v>
      </c>
      <c r="CT192" s="217">
        <f t="shared" si="537"/>
        <v>7.7147690217391318</v>
      </c>
      <c r="CU192" s="217">
        <f t="shared" si="538"/>
        <v>4</v>
      </c>
      <c r="CV192" s="217"/>
      <c r="CW192" s="172">
        <f t="shared" si="539"/>
        <v>8.0549196562450565</v>
      </c>
      <c r="CX192" s="536">
        <f t="shared" si="540"/>
        <v>4</v>
      </c>
      <c r="CY192" s="217">
        <f t="shared" si="541"/>
        <v>4.2802836879432613</v>
      </c>
      <c r="CZ192" s="217">
        <f t="shared" si="542"/>
        <v>2.853522458628841</v>
      </c>
      <c r="DA192" s="217">
        <f t="shared" si="543"/>
        <v>2.7320959710276136</v>
      </c>
      <c r="DB192" s="197">
        <f t="shared" si="544"/>
        <v>350</v>
      </c>
      <c r="DC192" s="443">
        <f t="shared" si="545"/>
        <v>179.03120533450141</v>
      </c>
      <c r="DE192" s="217">
        <f t="shared" si="546"/>
        <v>2.18944099378882</v>
      </c>
      <c r="DF192" s="173">
        <f t="shared" si="547"/>
        <v>1.3975155279503106</v>
      </c>
      <c r="DG192" s="173">
        <f t="shared" si="548"/>
        <v>2.1418444504455847</v>
      </c>
      <c r="DH192" s="173"/>
      <c r="DI192" s="173">
        <f t="shared" si="549"/>
        <v>0.85106382978723416</v>
      </c>
      <c r="DJ192" s="545">
        <f t="shared" si="550"/>
        <v>2167.8749999999995</v>
      </c>
      <c r="DK192" s="528">
        <f t="shared" si="551"/>
        <v>0.79432624113475192</v>
      </c>
      <c r="DM192" s="173">
        <f t="shared" si="552"/>
        <v>3.3183472650445389</v>
      </c>
      <c r="DN192" s="173">
        <f t="shared" si="553"/>
        <v>4.2802836879432613</v>
      </c>
      <c r="DO192" s="173">
        <f t="shared" si="554"/>
        <v>3.3829261885999466</v>
      </c>
      <c r="DQ192" s="545">
        <f t="shared" si="555"/>
        <v>4920</v>
      </c>
      <c r="DR192" s="460">
        <f t="shared" si="556"/>
        <v>179.03120533450141</v>
      </c>
      <c r="DT192">
        <f t="shared" si="591"/>
        <v>4920</v>
      </c>
      <c r="DU192">
        <f t="shared" si="592"/>
        <v>179.03120533450141</v>
      </c>
      <c r="DW192" s="5">
        <f t="shared" si="557"/>
        <v>5.5856184296564546</v>
      </c>
      <c r="DX192" s="5">
        <f t="shared" si="558"/>
        <v>2.853522458628841</v>
      </c>
      <c r="DY192" s="5">
        <f t="shared" si="559"/>
        <v>2.7320959710276136</v>
      </c>
      <c r="DZ192" s="5"/>
      <c r="EA192" s="173">
        <f t="shared" si="560"/>
        <v>0.51086956521739135</v>
      </c>
      <c r="EB192" s="173">
        <f t="shared" si="561"/>
        <v>19.679999999999996</v>
      </c>
      <c r="EC192" s="173">
        <f t="shared" si="562"/>
        <v>4.1872340425531904</v>
      </c>
      <c r="ED192" s="173">
        <f t="shared" si="563"/>
        <v>4.7</v>
      </c>
      <c r="EE192" s="460">
        <f t="shared" si="564"/>
        <v>350.98326241134748</v>
      </c>
      <c r="EF192" s="5">
        <f t="shared" si="565"/>
        <v>2.4892429958251587</v>
      </c>
      <c r="EH192" s="173">
        <f t="shared" si="566"/>
        <v>1.7663100581251863</v>
      </c>
      <c r="EI192" s="173">
        <f t="shared" si="567"/>
        <v>6.9132818197902965</v>
      </c>
      <c r="EK192" s="528">
        <f t="shared" si="568"/>
        <v>3.8062184901497223E-2</v>
      </c>
      <c r="EL192" s="528">
        <f t="shared" si="569"/>
        <v>0.56400000000000006</v>
      </c>
      <c r="EM192" s="528">
        <f t="shared" si="570"/>
        <v>2.2378900666812675E-2</v>
      </c>
      <c r="EN192" s="528">
        <f t="shared" si="571"/>
        <v>2.4245121951219514E-2</v>
      </c>
      <c r="EO192">
        <f t="shared" si="572"/>
        <v>8.0999999999999996E-3</v>
      </c>
      <c r="EP192" s="460">
        <f t="shared" si="573"/>
        <v>30.478900666812674</v>
      </c>
      <c r="EQ192" s="460"/>
      <c r="ER192" s="460">
        <f t="shared" si="593"/>
        <v>656.78620751952951</v>
      </c>
      <c r="ES192" s="528">
        <f t="shared" si="574"/>
        <v>3.444</v>
      </c>
      <c r="EV192" s="460">
        <f t="shared" si="494"/>
        <v>3444</v>
      </c>
      <c r="EW192" s="528">
        <f t="shared" si="575"/>
        <v>9.3595536643025959E-2</v>
      </c>
      <c r="EX192" s="528">
        <f t="shared" si="576"/>
        <v>1.433803965595291</v>
      </c>
      <c r="EY192" s="528">
        <f t="shared" si="577"/>
        <v>0.81278041177063309</v>
      </c>
      <c r="EZ192" s="528"/>
      <c r="FA192" s="528">
        <f t="shared" si="578"/>
        <v>8.199999999999999E-2</v>
      </c>
      <c r="FB192" s="460">
        <f t="shared" si="579"/>
        <v>2422.1799140089497</v>
      </c>
      <c r="FC192" s="173">
        <f t="shared" si="580"/>
        <v>6.5229661215284791</v>
      </c>
      <c r="FD192" s="5">
        <f t="shared" si="581"/>
        <v>19.68</v>
      </c>
      <c r="FE192" s="173">
        <f t="shared" si="582"/>
        <v>0.7510600101043835</v>
      </c>
      <c r="FF192" s="5">
        <f t="shared" si="583"/>
        <v>75.106001010438348</v>
      </c>
      <c r="FI192" s="562">
        <f t="shared" si="584"/>
        <v>-50</v>
      </c>
      <c r="FJ192">
        <f t="shared" si="585"/>
        <v>-50</v>
      </c>
      <c r="FL192">
        <f t="shared" si="586"/>
        <v>0.48913043478260865</v>
      </c>
    </row>
    <row r="193" spans="5:168">
      <c r="E193" s="170">
        <v>83</v>
      </c>
      <c r="F193" s="217">
        <f t="shared" si="587"/>
        <v>4.9799999999999995</v>
      </c>
      <c r="G193" s="217"/>
      <c r="H193" s="217">
        <f t="shared" si="495"/>
        <v>19.919999999999998</v>
      </c>
      <c r="I193" s="541">
        <f t="shared" si="496"/>
        <v>17.890609093891932</v>
      </c>
      <c r="J193" s="172">
        <f t="shared" si="497"/>
        <v>20.044256751940118</v>
      </c>
      <c r="K193" s="172">
        <f t="shared" si="498"/>
        <v>37.93486584583205</v>
      </c>
      <c r="L193" s="443"/>
      <c r="M193" s="217">
        <f t="shared" si="499"/>
        <v>0.52810627450938452</v>
      </c>
      <c r="N193" s="172">
        <f t="shared" si="500"/>
        <v>31.706392939902059</v>
      </c>
      <c r="O193" s="172">
        <f t="shared" si="438"/>
        <v>19.919999999999998</v>
      </c>
      <c r="P193" s="217">
        <f t="shared" si="501"/>
        <v>7.9265982349755149</v>
      </c>
      <c r="Q193" s="217">
        <f t="shared" si="502"/>
        <v>4</v>
      </c>
      <c r="R193" s="217"/>
      <c r="S193" s="172">
        <f t="shared" si="503"/>
        <v>7.8677440307510622</v>
      </c>
      <c r="T193" s="536">
        <f t="shared" si="504"/>
        <v>4</v>
      </c>
      <c r="U193" s="217">
        <f t="shared" si="505"/>
        <v>5.2766117994283839</v>
      </c>
      <c r="V193" s="217">
        <f t="shared" si="506"/>
        <v>3.5392501876729612</v>
      </c>
      <c r="W193" s="217">
        <f t="shared" si="507"/>
        <v>3.158976777076647</v>
      </c>
      <c r="X193" s="197">
        <f t="shared" si="508"/>
        <v>350</v>
      </c>
      <c r="Y193" s="443">
        <f t="shared" si="509"/>
        <v>144.96478661981774</v>
      </c>
      <c r="AA193" s="217">
        <f t="shared" si="510"/>
        <v>2.25074990620538</v>
      </c>
      <c r="AB193" s="173">
        <f t="shared" si="511"/>
        <v>1.3474682153954305</v>
      </c>
      <c r="AC193" s="173">
        <f t="shared" si="512"/>
        <v>2.122969771591197</v>
      </c>
      <c r="AD193" s="173"/>
      <c r="AE193" s="173">
        <f t="shared" si="513"/>
        <v>0.79823363859332597</v>
      </c>
      <c r="AF193" s="545">
        <f t="shared" si="514"/>
        <v>2339.5405927655102</v>
      </c>
      <c r="AG193" s="528">
        <f t="shared" si="515"/>
        <v>0.74501806268710424</v>
      </c>
      <c r="AI193" s="173">
        <f t="shared" si="516"/>
        <v>3.4472279861723987</v>
      </c>
      <c r="AJ193" s="173">
        <f t="shared" si="517"/>
        <v>5.2766117994283839</v>
      </c>
      <c r="AK193" s="173">
        <f t="shared" si="518"/>
        <v>4.1209470119222598</v>
      </c>
      <c r="AM193" s="545">
        <f t="shared" si="519"/>
        <v>4979.9999999999991</v>
      </c>
      <c r="AN193" s="460">
        <f t="shared" si="520"/>
        <v>144.96478661981774</v>
      </c>
      <c r="AP193">
        <f t="shared" si="521"/>
        <v>4979.9999999999991</v>
      </c>
      <c r="AQ193">
        <f t="shared" si="522"/>
        <v>144.96478661981774</v>
      </c>
      <c r="AS193" s="5">
        <f t="shared" si="439"/>
        <v>6.8982269647496084</v>
      </c>
      <c r="AT193" s="5">
        <f t="shared" si="523"/>
        <v>3.5392501876729612</v>
      </c>
      <c r="AU193" s="5">
        <f t="shared" si="478"/>
        <v>3.3589767770766472</v>
      </c>
      <c r="AV193" s="5"/>
      <c r="AW193" s="173">
        <f t="shared" si="479"/>
        <v>0.51306664825016068</v>
      </c>
      <c r="AX193" s="173">
        <f t="shared" si="435"/>
        <v>24.217207312091514</v>
      </c>
      <c r="AY193" s="173">
        <f t="shared" si="436"/>
        <v>5.1387165387568272</v>
      </c>
      <c r="AZ193" s="173">
        <f t="shared" si="440"/>
        <v>4.7126956954022239</v>
      </c>
      <c r="BA193" s="460">
        <f t="shared" si="594"/>
        <v>440.63664836528358</v>
      </c>
      <c r="BB193" s="5">
        <f t="shared" si="595"/>
        <v>3.1166638434076077</v>
      </c>
      <c r="BD193" s="173">
        <f t="shared" si="441"/>
        <v>2.1821339647774312</v>
      </c>
      <c r="BE193" s="173">
        <f t="shared" si="437"/>
        <v>8.5033346121502333</v>
      </c>
      <c r="BG193" s="528">
        <f t="shared" si="480"/>
        <v>5.8092845410870307E-2</v>
      </c>
      <c r="BH193" s="528">
        <f t="shared" si="524"/>
        <v>0.54407339493191376</v>
      </c>
      <c r="BI193" s="528">
        <f t="shared" si="525"/>
        <v>6.4837708244865372E-2</v>
      </c>
      <c r="BJ193" s="528">
        <f t="shared" si="481"/>
        <v>2.0861216282023417E-2</v>
      </c>
      <c r="BK193">
        <f t="shared" si="482"/>
        <v>8.0507740922513699E-3</v>
      </c>
      <c r="BL193" s="460">
        <f t="shared" si="588"/>
        <v>72.888482337116741</v>
      </c>
      <c r="BM193" s="528">
        <f t="shared" si="526"/>
        <v>0.64765197446307121</v>
      </c>
      <c r="BN193" s="460">
        <f t="shared" si="527"/>
        <v>647.65197446307116</v>
      </c>
      <c r="BO193" s="528">
        <f t="shared" si="483"/>
        <v>3.4859999999999993</v>
      </c>
      <c r="BR193" s="460">
        <f t="shared" si="484"/>
        <v>3485.9999999999995</v>
      </c>
      <c r="BS193" s="528">
        <f t="shared" si="485"/>
        <v>0.14285125920705813</v>
      </c>
      <c r="BT193" s="528">
        <f t="shared" si="486"/>
        <v>2.1692009857857646</v>
      </c>
      <c r="BU193" s="528">
        <f t="shared" si="487"/>
        <v>0.80912229217242582</v>
      </c>
      <c r="BV193" s="528"/>
      <c r="BW193" s="528">
        <f t="shared" si="488"/>
        <v>0.10090503046704799</v>
      </c>
      <c r="BX193" s="460">
        <f t="shared" si="489"/>
        <v>3222.0795676322969</v>
      </c>
      <c r="BY193" s="173">
        <f t="shared" si="490"/>
        <v>7.4039955065942191</v>
      </c>
      <c r="BZ193" s="5">
        <f t="shared" si="491"/>
        <v>19.919999999999998</v>
      </c>
      <c r="CA193" s="173">
        <f t="shared" si="492"/>
        <v>0.72902954456981306</v>
      </c>
      <c r="CB193" s="5">
        <f t="shared" si="493"/>
        <v>72.902954456981305</v>
      </c>
      <c r="CE193" s="562">
        <f t="shared" si="528"/>
        <v>-50</v>
      </c>
      <c r="CF193">
        <f t="shared" si="529"/>
        <v>-50</v>
      </c>
      <c r="CG193" s="173">
        <f t="shared" si="530"/>
        <v>0.48028672463957917</v>
      </c>
      <c r="CI193" s="170">
        <v>83</v>
      </c>
      <c r="CJ193" s="217">
        <f t="shared" si="589"/>
        <v>4.9799999999999995</v>
      </c>
      <c r="CK193" s="217"/>
      <c r="CL193" s="217">
        <f t="shared" si="531"/>
        <v>19.919999999999998</v>
      </c>
      <c r="CM193" s="541">
        <f t="shared" si="532"/>
        <v>18</v>
      </c>
      <c r="CN193" s="443">
        <f t="shared" si="533"/>
        <v>18.8</v>
      </c>
      <c r="CO193" s="443">
        <f t="shared" si="534"/>
        <v>36.799999999999997</v>
      </c>
      <c r="CP193" s="443"/>
      <c r="CQ193" s="217">
        <f t="shared" si="535"/>
        <v>0.51086956521739135</v>
      </c>
      <c r="CR193" s="172">
        <f t="shared" si="590"/>
        <v>30.859076086956527</v>
      </c>
      <c r="CS193" s="172">
        <f t="shared" si="536"/>
        <v>19.919999999999998</v>
      </c>
      <c r="CT193" s="217">
        <f t="shared" si="537"/>
        <v>7.7147690217391318</v>
      </c>
      <c r="CU193" s="217">
        <f t="shared" si="538"/>
        <v>4</v>
      </c>
      <c r="CV193" s="217"/>
      <c r="CW193" s="172">
        <f t="shared" si="539"/>
        <v>7.9138815694058691</v>
      </c>
      <c r="CX193" s="536">
        <f t="shared" si="540"/>
        <v>4</v>
      </c>
      <c r="CY193" s="217">
        <f t="shared" si="541"/>
        <v>4.3324822695035454</v>
      </c>
      <c r="CZ193" s="217">
        <f t="shared" si="542"/>
        <v>2.8883215130023636</v>
      </c>
      <c r="DA193" s="217">
        <f t="shared" si="543"/>
        <v>2.7654142145767313</v>
      </c>
      <c r="DB193" s="197">
        <f t="shared" si="544"/>
        <v>350</v>
      </c>
      <c r="DC193" s="443">
        <f t="shared" si="545"/>
        <v>176.87420286059171</v>
      </c>
      <c r="DE193" s="217">
        <f t="shared" si="546"/>
        <v>2.18944099378882</v>
      </c>
      <c r="DF193" s="173">
        <f t="shared" si="547"/>
        <v>1.3975155279503106</v>
      </c>
      <c r="DG193" s="173">
        <f t="shared" si="548"/>
        <v>2.1418444504455847</v>
      </c>
      <c r="DH193" s="173"/>
      <c r="DI193" s="173">
        <f t="shared" si="549"/>
        <v>0.85106382978723416</v>
      </c>
      <c r="DJ193" s="545">
        <f t="shared" si="550"/>
        <v>2194.3124999999991</v>
      </c>
      <c r="DK193" s="528">
        <f t="shared" si="551"/>
        <v>0.79432624113475192</v>
      </c>
      <c r="DM193" s="173">
        <f t="shared" si="552"/>
        <v>3.3385197746477835</v>
      </c>
      <c r="DN193" s="173">
        <f t="shared" si="553"/>
        <v>4.3324822695035454</v>
      </c>
      <c r="DO193" s="173">
        <f t="shared" si="554"/>
        <v>3.4215918045705269</v>
      </c>
      <c r="DQ193" s="545">
        <f t="shared" si="555"/>
        <v>4979.9999999999991</v>
      </c>
      <c r="DR193" s="460">
        <f t="shared" si="556"/>
        <v>176.87420286059171</v>
      </c>
      <c r="DT193">
        <f t="shared" si="591"/>
        <v>4979.9999999999991</v>
      </c>
      <c r="DU193">
        <f t="shared" si="592"/>
        <v>176.87420286059171</v>
      </c>
      <c r="DW193" s="5">
        <f t="shared" si="557"/>
        <v>5.6537357275790958</v>
      </c>
      <c r="DX193" s="5">
        <f t="shared" si="558"/>
        <v>2.8883215130023636</v>
      </c>
      <c r="DY193" s="5">
        <f t="shared" si="559"/>
        <v>2.7654142145767322</v>
      </c>
      <c r="DZ193" s="5"/>
      <c r="EA193" s="173">
        <f t="shared" si="560"/>
        <v>0.51086956521739124</v>
      </c>
      <c r="EB193" s="173">
        <f t="shared" si="561"/>
        <v>19.919999999999995</v>
      </c>
      <c r="EC193" s="173">
        <f t="shared" si="562"/>
        <v>4.238297872340425</v>
      </c>
      <c r="ED193" s="173">
        <f t="shared" si="563"/>
        <v>4.6999999999999993</v>
      </c>
      <c r="EE193" s="460">
        <f t="shared" si="564"/>
        <v>359.59602836879424</v>
      </c>
      <c r="EF193" s="5">
        <f t="shared" si="565"/>
        <v>2.5503264423318743</v>
      </c>
      <c r="EH193" s="173">
        <f t="shared" si="566"/>
        <v>1.7878504246876885</v>
      </c>
      <c r="EI193" s="173">
        <f t="shared" si="567"/>
        <v>6.9975901346657903</v>
      </c>
      <c r="EK193" s="528">
        <f t="shared" si="568"/>
        <v>3.8996191520882566E-2</v>
      </c>
      <c r="EL193" s="528">
        <f t="shared" si="569"/>
        <v>0.56399999999999995</v>
      </c>
      <c r="EM193" s="528">
        <f t="shared" si="570"/>
        <v>2.2109275357573961E-2</v>
      </c>
      <c r="EN193" s="528">
        <f t="shared" si="571"/>
        <v>2.3953012048192768E-2</v>
      </c>
      <c r="EO193">
        <f t="shared" si="572"/>
        <v>8.0999999999999996E-3</v>
      </c>
      <c r="EP193" s="460">
        <f t="shared" si="573"/>
        <v>30.209275357573961</v>
      </c>
      <c r="EQ193" s="460"/>
      <c r="ER193" s="460">
        <f t="shared" si="593"/>
        <v>657.1584789266492</v>
      </c>
      <c r="ES193" s="528">
        <f t="shared" si="574"/>
        <v>3.4859999999999993</v>
      </c>
      <c r="EV193" s="460">
        <f t="shared" si="494"/>
        <v>3485.9999999999995</v>
      </c>
      <c r="EW193" s="528">
        <f t="shared" si="575"/>
        <v>9.589227423167844E-2</v>
      </c>
      <c r="EX193" s="528">
        <f t="shared" si="576"/>
        <v>1.4689880307831598</v>
      </c>
      <c r="EY193" s="528">
        <f t="shared" si="577"/>
        <v>0.81278041177063232</v>
      </c>
      <c r="EZ193" s="528"/>
      <c r="FA193" s="528">
        <f t="shared" si="578"/>
        <v>8.299999999999999E-2</v>
      </c>
      <c r="FB193" s="460">
        <f t="shared" si="579"/>
        <v>2460.6607167854709</v>
      </c>
      <c r="FC193" s="173">
        <f t="shared" si="580"/>
        <v>6.6038191957121182</v>
      </c>
      <c r="FD193" s="5">
        <f t="shared" si="581"/>
        <v>19.919999999999998</v>
      </c>
      <c r="FE193" s="173">
        <f t="shared" si="582"/>
        <v>0.75102306545734177</v>
      </c>
      <c r="FF193" s="5">
        <f t="shared" si="583"/>
        <v>75.10230654573418</v>
      </c>
      <c r="FI193" s="562">
        <f t="shared" si="584"/>
        <v>-50</v>
      </c>
      <c r="FJ193">
        <f t="shared" si="585"/>
        <v>-50</v>
      </c>
      <c r="FL193">
        <f t="shared" si="586"/>
        <v>0.48913043478260876</v>
      </c>
    </row>
    <row r="194" spans="5:168">
      <c r="E194" s="170">
        <v>84</v>
      </c>
      <c r="F194" s="217">
        <f t="shared" si="587"/>
        <v>5.04</v>
      </c>
      <c r="G194" s="217"/>
      <c r="H194" s="217">
        <f t="shared" si="495"/>
        <v>20.16</v>
      </c>
      <c r="I194" s="541">
        <f t="shared" si="496"/>
        <v>17.889315394020041</v>
      </c>
      <c r="J194" s="172">
        <f t="shared" si="497"/>
        <v>20.058971821572971</v>
      </c>
      <c r="K194" s="172">
        <f t="shared" si="498"/>
        <v>37.948287215593012</v>
      </c>
      <c r="L194" s="443"/>
      <c r="M194" s="217">
        <f t="shared" si="499"/>
        <v>0.52830744330702306</v>
      </c>
      <c r="N194" s="172">
        <f t="shared" si="500"/>
        <v>31.716177076854699</v>
      </c>
      <c r="O194" s="172">
        <f t="shared" si="438"/>
        <v>20.16</v>
      </c>
      <c r="P194" s="217">
        <f t="shared" si="501"/>
        <v>7.9290442692136747</v>
      </c>
      <c r="Q194" s="217">
        <f t="shared" si="502"/>
        <v>4</v>
      </c>
      <c r="R194" s="217"/>
      <c r="S194" s="172">
        <f t="shared" si="503"/>
        <v>7.7305715329623599</v>
      </c>
      <c r="T194" s="536">
        <f t="shared" si="504"/>
        <v>4</v>
      </c>
      <c r="U194" s="217">
        <f t="shared" si="505"/>
        <v>5.3424629332030351</v>
      </c>
      <c r="V194" s="217">
        <f t="shared" si="506"/>
        <v>3.5836785134811069</v>
      </c>
      <c r="W194" s="217">
        <f t="shared" si="507"/>
        <v>3.1960539038939197</v>
      </c>
      <c r="X194" s="197">
        <f t="shared" si="508"/>
        <v>350</v>
      </c>
      <c r="Y194" s="443">
        <f t="shared" si="509"/>
        <v>143.27196806436959</v>
      </c>
      <c r="AA194" s="217">
        <f t="shared" si="510"/>
        <v>2.2514428106384625</v>
      </c>
      <c r="AB194" s="173">
        <f t="shared" si="511"/>
        <v>1.3468942460253641</v>
      </c>
      <c r="AC194" s="173">
        <f t="shared" si="512"/>
        <v>2.1227187568328834</v>
      </c>
      <c r="AD194" s="173"/>
      <c r="AE194" s="173">
        <f t="shared" si="513"/>
        <v>0.79764806204036653</v>
      </c>
      <c r="AF194" s="545">
        <f t="shared" si="514"/>
        <v>2369.4660464233066</v>
      </c>
      <c r="AG194" s="528">
        <f t="shared" si="515"/>
        <v>0.74447152457100896</v>
      </c>
      <c r="AI194" s="173">
        <f t="shared" si="516"/>
        <v>3.469204965542362</v>
      </c>
      <c r="AJ194" s="173">
        <f t="shared" si="517"/>
        <v>5.3424629332030351</v>
      </c>
      <c r="AK194" s="173">
        <f t="shared" si="518"/>
        <v>4.1697256295331124</v>
      </c>
      <c r="AM194" s="545">
        <f t="shared" si="519"/>
        <v>5040</v>
      </c>
      <c r="AN194" s="460">
        <f t="shared" si="520"/>
        <v>143.27196806436959</v>
      </c>
      <c r="AP194">
        <f t="shared" si="521"/>
        <v>5040</v>
      </c>
      <c r="AQ194">
        <f t="shared" si="522"/>
        <v>143.27196806436959</v>
      </c>
      <c r="AS194" s="5">
        <f t="shared" si="439"/>
        <v>6.9797324173750264</v>
      </c>
      <c r="AT194" s="5">
        <f t="shared" si="523"/>
        <v>3.5836785134811069</v>
      </c>
      <c r="AU194" s="5">
        <f t="shared" si="478"/>
        <v>3.3960539038939195</v>
      </c>
      <c r="AV194" s="5"/>
      <c r="AW194" s="173">
        <f t="shared" si="479"/>
        <v>0.51344067353643263</v>
      </c>
      <c r="AX194" s="173">
        <f t="shared" si="435"/>
        <v>24.535533873703336</v>
      </c>
      <c r="AY194" s="173">
        <f t="shared" si="436"/>
        <v>5.1988503328716869</v>
      </c>
      <c r="AZ194" s="173">
        <f t="shared" si="440"/>
        <v>4.7194153135296464</v>
      </c>
      <c r="BA194" s="460">
        <f t="shared" si="594"/>
        <v>451.54349269861945</v>
      </c>
      <c r="BB194" s="5">
        <f t="shared" si="595"/>
        <v>3.1892615412487775</v>
      </c>
      <c r="BD194" s="173">
        <f t="shared" si="441"/>
        <v>2.2101717575284923</v>
      </c>
      <c r="BE194" s="173">
        <f t="shared" si="437"/>
        <v>8.6061474460430123</v>
      </c>
      <c r="BG194" s="528">
        <f t="shared" si="480"/>
        <v>5.9595282212874322E-2</v>
      </c>
      <c r="BH194" s="528">
        <f t="shared" si="524"/>
        <v>0.54462327234913921</v>
      </c>
      <c r="BI194" s="528">
        <f t="shared" si="525"/>
        <v>6.407593559563686E-2</v>
      </c>
      <c r="BJ194" s="528">
        <f t="shared" si="481"/>
        <v>2.0632202160247425E-2</v>
      </c>
      <c r="BK194">
        <f t="shared" si="482"/>
        <v>8.0501919273090177E-3</v>
      </c>
      <c r="BL194" s="460">
        <f t="shared" si="588"/>
        <v>72.126127522945879</v>
      </c>
      <c r="BM194" s="528">
        <f t="shared" si="526"/>
        <v>0.65014746640525767</v>
      </c>
      <c r="BN194" s="460">
        <f t="shared" si="527"/>
        <v>650.14746640525766</v>
      </c>
      <c r="BO194" s="528">
        <f t="shared" si="483"/>
        <v>3.5279999999999996</v>
      </c>
      <c r="BR194" s="460">
        <f t="shared" si="484"/>
        <v>3527.9999999999995</v>
      </c>
      <c r="BS194" s="528">
        <f t="shared" si="485"/>
        <v>0.14654577593329751</v>
      </c>
      <c r="BT194" s="528">
        <f t="shared" si="486"/>
        <v>2.2219732158909795</v>
      </c>
      <c r="BU194" s="528">
        <f t="shared" si="487"/>
        <v>0.81045119146795197</v>
      </c>
      <c r="BV194" s="528"/>
      <c r="BW194" s="528">
        <f t="shared" si="488"/>
        <v>0.10223139114043059</v>
      </c>
      <c r="BX194" s="460">
        <f t="shared" si="489"/>
        <v>3281.2015744326595</v>
      </c>
      <c r="BY194" s="173">
        <f t="shared" si="490"/>
        <v>7.5061784586778675</v>
      </c>
      <c r="BZ194" s="5">
        <f t="shared" si="491"/>
        <v>20.16</v>
      </c>
      <c r="CA194" s="173">
        <f t="shared" si="492"/>
        <v>0.72868755726819745</v>
      </c>
      <c r="CB194" s="5">
        <f t="shared" si="493"/>
        <v>72.868755726819742</v>
      </c>
      <c r="CE194" s="562">
        <f t="shared" si="528"/>
        <v>-50</v>
      </c>
      <c r="CF194">
        <f t="shared" si="529"/>
        <v>-50</v>
      </c>
      <c r="CG194" s="173">
        <f t="shared" si="530"/>
        <v>0.48039200690318667</v>
      </c>
      <c r="CI194" s="170">
        <v>84</v>
      </c>
      <c r="CJ194" s="217">
        <f t="shared" si="589"/>
        <v>5.04</v>
      </c>
      <c r="CK194" s="217"/>
      <c r="CL194" s="217">
        <f t="shared" si="531"/>
        <v>20.16</v>
      </c>
      <c r="CM194" s="541">
        <f t="shared" si="532"/>
        <v>18</v>
      </c>
      <c r="CN194" s="443">
        <f t="shared" si="533"/>
        <v>18.8</v>
      </c>
      <c r="CO194" s="443">
        <f t="shared" si="534"/>
        <v>36.799999999999997</v>
      </c>
      <c r="CP194" s="443"/>
      <c r="CQ194" s="217">
        <f t="shared" si="535"/>
        <v>0.51086956521739135</v>
      </c>
      <c r="CR194" s="172">
        <f t="shared" si="590"/>
        <v>30.859076086956527</v>
      </c>
      <c r="CS194" s="172">
        <f t="shared" si="536"/>
        <v>20.16</v>
      </c>
      <c r="CT194" s="217">
        <f t="shared" si="537"/>
        <v>7.7147690217391318</v>
      </c>
      <c r="CU194" s="217">
        <f t="shared" si="538"/>
        <v>4</v>
      </c>
      <c r="CV194" s="217"/>
      <c r="CW194" s="172">
        <f t="shared" si="539"/>
        <v>7.7763826909904621</v>
      </c>
      <c r="CX194" s="536">
        <f t="shared" si="540"/>
        <v>4</v>
      </c>
      <c r="CY194" s="217">
        <f t="shared" si="541"/>
        <v>4.3846808510638295</v>
      </c>
      <c r="CZ194" s="217">
        <f t="shared" si="542"/>
        <v>2.9231205673758862</v>
      </c>
      <c r="DA194" s="217">
        <f t="shared" si="543"/>
        <v>2.7987324581258486</v>
      </c>
      <c r="DB194" s="197">
        <f t="shared" si="544"/>
        <v>350</v>
      </c>
      <c r="DC194" s="443">
        <f t="shared" si="545"/>
        <v>174.76855758844181</v>
      </c>
      <c r="DE194" s="217">
        <f t="shared" si="546"/>
        <v>2.18944099378882</v>
      </c>
      <c r="DF194" s="173">
        <f t="shared" si="547"/>
        <v>1.3975155279503106</v>
      </c>
      <c r="DG194" s="173">
        <f t="shared" si="548"/>
        <v>2.1418444504455847</v>
      </c>
      <c r="DH194" s="173"/>
      <c r="DI194" s="173">
        <f t="shared" si="549"/>
        <v>0.85106382978723416</v>
      </c>
      <c r="DJ194" s="545">
        <f t="shared" si="550"/>
        <v>2220.7499999999995</v>
      </c>
      <c r="DK194" s="528">
        <f t="shared" si="551"/>
        <v>0.79432624113475192</v>
      </c>
      <c r="DM194" s="173">
        <f t="shared" si="552"/>
        <v>3.3585711247493331</v>
      </c>
      <c r="DN194" s="173">
        <f t="shared" si="553"/>
        <v>4.3846808510638295</v>
      </c>
      <c r="DO194" s="173">
        <f t="shared" si="554"/>
        <v>3.4602574205411081</v>
      </c>
      <c r="DQ194" s="545">
        <f t="shared" si="555"/>
        <v>5040</v>
      </c>
      <c r="DR194" s="460">
        <f t="shared" si="556"/>
        <v>174.76855758844181</v>
      </c>
      <c r="DT194">
        <f t="shared" si="591"/>
        <v>5040</v>
      </c>
      <c r="DU194">
        <f t="shared" si="592"/>
        <v>174.76855758844181</v>
      </c>
      <c r="DW194" s="5">
        <f t="shared" si="557"/>
        <v>5.7218530255017352</v>
      </c>
      <c r="DX194" s="5">
        <f t="shared" si="558"/>
        <v>2.9231205673758862</v>
      </c>
      <c r="DY194" s="5">
        <f t="shared" si="559"/>
        <v>2.798732458125849</v>
      </c>
      <c r="DZ194" s="5"/>
      <c r="EA194" s="173">
        <f t="shared" si="560"/>
        <v>0.51086956521739124</v>
      </c>
      <c r="EB194" s="173">
        <f t="shared" si="561"/>
        <v>20.16</v>
      </c>
      <c r="EC194" s="173">
        <f t="shared" si="562"/>
        <v>4.2893617021276595</v>
      </c>
      <c r="ED194" s="173">
        <f t="shared" si="563"/>
        <v>4.7</v>
      </c>
      <c r="EE194" s="460">
        <f t="shared" si="564"/>
        <v>368.31319148936171</v>
      </c>
      <c r="EF194" s="5">
        <f t="shared" si="565"/>
        <v>2.6121502942507924</v>
      </c>
      <c r="EH194" s="173">
        <f t="shared" si="566"/>
        <v>1.809390791250191</v>
      </c>
      <c r="EI194" s="173">
        <f t="shared" si="567"/>
        <v>7.0818984495412822</v>
      </c>
      <c r="EK194" s="528">
        <f t="shared" si="568"/>
        <v>3.9941519432624105E-2</v>
      </c>
      <c r="EL194" s="528">
        <f t="shared" si="569"/>
        <v>0.56399999999999995</v>
      </c>
      <c r="EM194" s="528">
        <f t="shared" si="570"/>
        <v>2.1846069698555227E-2</v>
      </c>
      <c r="EN194" s="528">
        <f t="shared" si="571"/>
        <v>2.366785714285714E-2</v>
      </c>
      <c r="EO194">
        <f t="shared" si="572"/>
        <v>8.0999999999999996E-3</v>
      </c>
      <c r="EP194" s="460">
        <f t="shared" si="573"/>
        <v>29.946069698555227</v>
      </c>
      <c r="EQ194" s="460"/>
      <c r="ER194" s="460">
        <f t="shared" si="593"/>
        <v>657.5554462740364</v>
      </c>
      <c r="ES194" s="528">
        <f t="shared" si="574"/>
        <v>3.5279999999999996</v>
      </c>
      <c r="EV194" s="460">
        <f t="shared" si="494"/>
        <v>3527.9999999999995</v>
      </c>
      <c r="EW194" s="528">
        <f t="shared" si="575"/>
        <v>9.8216851063829769E-2</v>
      </c>
      <c r="EX194" s="528">
        <f t="shared" si="576"/>
        <v>1.5045985694884565</v>
      </c>
      <c r="EY194" s="528">
        <f t="shared" si="577"/>
        <v>0.81278041177063243</v>
      </c>
      <c r="EZ194" s="528"/>
      <c r="FA194" s="528">
        <f t="shared" si="578"/>
        <v>8.3999999999999991E-2</v>
      </c>
      <c r="FB194" s="460">
        <f t="shared" si="579"/>
        <v>2499.5958323229188</v>
      </c>
      <c r="FC194" s="173">
        <f t="shared" si="580"/>
        <v>6.6851512785969556</v>
      </c>
      <c r="FD194" s="5">
        <f t="shared" si="581"/>
        <v>20.16</v>
      </c>
      <c r="FE194" s="173">
        <f t="shared" si="582"/>
        <v>0.75097360379090594</v>
      </c>
      <c r="FF194" s="5">
        <f t="shared" si="583"/>
        <v>75.097360379090588</v>
      </c>
      <c r="FI194" s="562">
        <f t="shared" si="584"/>
        <v>-50</v>
      </c>
      <c r="FJ194">
        <f t="shared" si="585"/>
        <v>-50</v>
      </c>
      <c r="FL194">
        <f t="shared" si="586"/>
        <v>0.48913043478260876</v>
      </c>
    </row>
    <row r="195" spans="5:168">
      <c r="E195" s="170">
        <v>85</v>
      </c>
      <c r="F195" s="217">
        <f t="shared" si="587"/>
        <v>5.0999999999999996</v>
      </c>
      <c r="G195" s="217"/>
      <c r="H195" s="217">
        <f t="shared" si="495"/>
        <v>20.399999999999999</v>
      </c>
      <c r="I195" s="541">
        <f t="shared" si="496"/>
        <v>17.888021683765761</v>
      </c>
      <c r="J195" s="172">
        <f t="shared" si="497"/>
        <v>20.073687009299412</v>
      </c>
      <c r="K195" s="172">
        <f t="shared" si="498"/>
        <v>37.961708693065177</v>
      </c>
      <c r="L195" s="443"/>
      <c r="M195" s="217">
        <f t="shared" si="499"/>
        <v>0.52850846986615785</v>
      </c>
      <c r="N195" s="172">
        <f t="shared" si="500"/>
        <v>31.725950910201927</v>
      </c>
      <c r="O195" s="172">
        <f t="shared" si="438"/>
        <v>20.399999999999999</v>
      </c>
      <c r="P195" s="217">
        <f t="shared" si="501"/>
        <v>7.9314877275504818</v>
      </c>
      <c r="Q195" s="217">
        <f t="shared" si="502"/>
        <v>4</v>
      </c>
      <c r="R195" s="217"/>
      <c r="S195" s="172">
        <f t="shared" si="503"/>
        <v>7.5968139354429107</v>
      </c>
      <c r="T195" s="536">
        <f t="shared" si="504"/>
        <v>4</v>
      </c>
      <c r="U195" s="217">
        <f t="shared" si="505"/>
        <v>5.4083686281196455</v>
      </c>
      <c r="V195" s="217">
        <f t="shared" si="506"/>
        <v>3.6281498694926113</v>
      </c>
      <c r="W195" s="217">
        <f t="shared" si="507"/>
        <v>3.2331092692323904</v>
      </c>
      <c r="X195" s="197">
        <f t="shared" si="508"/>
        <v>350</v>
      </c>
      <c r="Y195" s="443">
        <f t="shared" si="509"/>
        <v>141.61780220128878</v>
      </c>
      <c r="AA195" s="217">
        <f t="shared" si="510"/>
        <v>2.2521349918725013</v>
      </c>
      <c r="AB195" s="173">
        <f t="shared" si="511"/>
        <v>1.3463206779078514</v>
      </c>
      <c r="AC195" s="173">
        <f t="shared" si="512"/>
        <v>2.1224671362984453</v>
      </c>
      <c r="AD195" s="173"/>
      <c r="AE195" s="173">
        <f t="shared" si="513"/>
        <v>0.79706333931518325</v>
      </c>
      <c r="AF195" s="545">
        <f t="shared" si="514"/>
        <v>2399.4329003303196</v>
      </c>
      <c r="AG195" s="528">
        <f t="shared" si="515"/>
        <v>0.74392578336083781</v>
      </c>
      <c r="AI195" s="173">
        <f t="shared" si="516"/>
        <v>3.4910737150936098</v>
      </c>
      <c r="AJ195" s="173">
        <f t="shared" si="517"/>
        <v>5.4083686281196455</v>
      </c>
      <c r="AK195" s="173">
        <f t="shared" si="518"/>
        <v>4.2185446628046757</v>
      </c>
      <c r="AM195" s="545">
        <f t="shared" si="519"/>
        <v>5100</v>
      </c>
      <c r="AN195" s="460">
        <f t="shared" si="520"/>
        <v>141.61780220128878</v>
      </c>
      <c r="AP195">
        <f t="shared" si="521"/>
        <v>5100</v>
      </c>
      <c r="AQ195">
        <f t="shared" si="522"/>
        <v>141.61780220128878</v>
      </c>
      <c r="AS195" s="5">
        <f t="shared" si="439"/>
        <v>7.061259138725001</v>
      </c>
      <c r="AT195" s="5">
        <f t="shared" si="523"/>
        <v>3.6281498694926113</v>
      </c>
      <c r="AU195" s="5">
        <f t="shared" si="478"/>
        <v>3.4331092692323897</v>
      </c>
      <c r="AV195" s="5"/>
      <c r="AW195" s="173">
        <f t="shared" si="479"/>
        <v>0.51381061057443633</v>
      </c>
      <c r="AX195" s="173">
        <f t="shared" si="435"/>
        <v>24.854307689019596</v>
      </c>
      <c r="AY195" s="173">
        <f t="shared" si="436"/>
        <v>5.2589828821877278</v>
      </c>
      <c r="AZ195" s="173">
        <f t="shared" si="440"/>
        <v>4.7260674251672494</v>
      </c>
      <c r="BA195" s="460">
        <f t="shared" si="594"/>
        <v>462.58910836030793</v>
      </c>
      <c r="BB195" s="5">
        <f t="shared" si="595"/>
        <v>3.2626781546177188</v>
      </c>
      <c r="BD195" s="173">
        <f t="shared" si="441"/>
        <v>2.2382427779925638</v>
      </c>
      <c r="BE195" s="173">
        <f t="shared" si="437"/>
        <v>8.7090019383535697</v>
      </c>
      <c r="BG195" s="528">
        <f t="shared" si="480"/>
        <v>6.1118714945477597E-2</v>
      </c>
      <c r="BH195" s="528">
        <f t="shared" si="524"/>
        <v>0.54516900863181772</v>
      </c>
      <c r="BI195" s="528">
        <f t="shared" si="525"/>
        <v>6.3331557914597603E-2</v>
      </c>
      <c r="BJ195" s="528">
        <f t="shared" si="481"/>
        <v>2.04084186486512E-2</v>
      </c>
      <c r="BK195">
        <f t="shared" si="482"/>
        <v>8.0496097576945921E-3</v>
      </c>
      <c r="BL195" s="460">
        <f t="shared" si="588"/>
        <v>71.381167672292193</v>
      </c>
      <c r="BM195" s="528">
        <f t="shared" si="526"/>
        <v>0.65267623334058356</v>
      </c>
      <c r="BN195" s="460">
        <f t="shared" si="527"/>
        <v>652.67623334058351</v>
      </c>
      <c r="BO195" s="528">
        <f t="shared" si="483"/>
        <v>3.5699999999999994</v>
      </c>
      <c r="BR195" s="460">
        <f t="shared" si="484"/>
        <v>3569.9999999999995</v>
      </c>
      <c r="BS195" s="528">
        <f t="shared" si="485"/>
        <v>0.15029192199707606</v>
      </c>
      <c r="BT195" s="528">
        <f t="shared" si="486"/>
        <v>2.2754014428673872</v>
      </c>
      <c r="BU195" s="528">
        <f t="shared" si="487"/>
        <v>0.81176503701957436</v>
      </c>
      <c r="BV195" s="528"/>
      <c r="BW195" s="528">
        <f t="shared" si="488"/>
        <v>0.10355961537091497</v>
      </c>
      <c r="BX195" s="460">
        <f t="shared" si="489"/>
        <v>3341.0180172549526</v>
      </c>
      <c r="BY195" s="173">
        <f t="shared" si="490"/>
        <v>7.6090953271531907</v>
      </c>
      <c r="BZ195" s="5">
        <f t="shared" si="491"/>
        <v>20.399999999999999</v>
      </c>
      <c r="CA195" s="173">
        <f t="shared" si="492"/>
        <v>0.7283348412979046</v>
      </c>
      <c r="CB195" s="5">
        <f t="shared" si="493"/>
        <v>72.833484129790463</v>
      </c>
      <c r="CE195" s="562">
        <f t="shared" si="528"/>
        <v>-50</v>
      </c>
      <c r="CF195">
        <f t="shared" si="529"/>
        <v>-50</v>
      </c>
      <c r="CG195" s="173">
        <f t="shared" si="530"/>
        <v>0.48049481193706212</v>
      </c>
      <c r="CI195" s="170">
        <v>85</v>
      </c>
      <c r="CJ195" s="217">
        <f t="shared" si="589"/>
        <v>5.0999999999999996</v>
      </c>
      <c r="CK195" s="217"/>
      <c r="CL195" s="217">
        <f t="shared" si="531"/>
        <v>20.399999999999999</v>
      </c>
      <c r="CM195" s="541">
        <f t="shared" si="532"/>
        <v>18</v>
      </c>
      <c r="CN195" s="443">
        <f t="shared" si="533"/>
        <v>18.8</v>
      </c>
      <c r="CO195" s="443">
        <f t="shared" si="534"/>
        <v>36.799999999999997</v>
      </c>
      <c r="CP195" s="443"/>
      <c r="CQ195" s="217">
        <f t="shared" si="535"/>
        <v>0.51086956521739135</v>
      </c>
      <c r="CR195" s="172">
        <f t="shared" si="590"/>
        <v>30.859076086956527</v>
      </c>
      <c r="CS195" s="172">
        <f t="shared" si="536"/>
        <v>20.399999999999999</v>
      </c>
      <c r="CT195" s="217">
        <f t="shared" si="537"/>
        <v>7.7147690217391318</v>
      </c>
      <c r="CU195" s="217">
        <f t="shared" si="538"/>
        <v>4</v>
      </c>
      <c r="CV195" s="217"/>
      <c r="CW195" s="172">
        <f t="shared" si="539"/>
        <v>7.642299609210025</v>
      </c>
      <c r="CX195" s="536">
        <f t="shared" si="540"/>
        <v>4</v>
      </c>
      <c r="CY195" s="217">
        <f t="shared" si="541"/>
        <v>4.4368794326241128</v>
      </c>
      <c r="CZ195" s="217">
        <f t="shared" si="542"/>
        <v>2.9579196217494088</v>
      </c>
      <c r="DA195" s="217">
        <f t="shared" si="543"/>
        <v>2.8320507016749654</v>
      </c>
      <c r="DB195" s="197">
        <f t="shared" si="544"/>
        <v>350</v>
      </c>
      <c r="DC195" s="443">
        <f t="shared" si="545"/>
        <v>172.71245691093077</v>
      </c>
      <c r="DE195" s="217">
        <f t="shared" si="546"/>
        <v>2.18944099378882</v>
      </c>
      <c r="DF195" s="173">
        <f t="shared" si="547"/>
        <v>1.3975155279503106</v>
      </c>
      <c r="DG195" s="173">
        <f t="shared" si="548"/>
        <v>2.1418444504455847</v>
      </c>
      <c r="DH195" s="173"/>
      <c r="DI195" s="173">
        <f t="shared" si="549"/>
        <v>0.85106382978723416</v>
      </c>
      <c r="DJ195" s="545">
        <f t="shared" si="550"/>
        <v>2247.1874999999995</v>
      </c>
      <c r="DK195" s="528">
        <f t="shared" si="551"/>
        <v>0.79432624113475192</v>
      </c>
      <c r="DM195" s="173">
        <f t="shared" si="552"/>
        <v>3.3785034725874881</v>
      </c>
      <c r="DN195" s="173">
        <f t="shared" si="553"/>
        <v>4.4368794326241128</v>
      </c>
      <c r="DO195" s="173">
        <f t="shared" si="554"/>
        <v>3.4989230365116883</v>
      </c>
      <c r="DQ195" s="545">
        <f t="shared" si="555"/>
        <v>5100</v>
      </c>
      <c r="DR195" s="460">
        <f t="shared" si="556"/>
        <v>172.71245691093077</v>
      </c>
      <c r="DT195">
        <f t="shared" si="591"/>
        <v>5100</v>
      </c>
      <c r="DU195">
        <f t="shared" si="592"/>
        <v>172.71245691093077</v>
      </c>
      <c r="DW195" s="5">
        <f t="shared" si="557"/>
        <v>5.7899703234243738</v>
      </c>
      <c r="DX195" s="5">
        <f t="shared" si="558"/>
        <v>2.9579196217494088</v>
      </c>
      <c r="DY195" s="5">
        <f t="shared" si="559"/>
        <v>2.832050701674965</v>
      </c>
      <c r="DZ195" s="5"/>
      <c r="EA195" s="173">
        <f t="shared" si="560"/>
        <v>0.51086956521739135</v>
      </c>
      <c r="EB195" s="173">
        <f t="shared" si="561"/>
        <v>20.399999999999999</v>
      </c>
      <c r="EC195" s="173">
        <f t="shared" si="562"/>
        <v>4.3404255319148923</v>
      </c>
      <c r="ED195" s="173">
        <f t="shared" si="563"/>
        <v>4.7000000000000011</v>
      </c>
      <c r="EE195" s="460">
        <f t="shared" si="564"/>
        <v>377.13475177304957</v>
      </c>
      <c r="EF195" s="5">
        <f t="shared" si="565"/>
        <v>2.6747145515819106</v>
      </c>
      <c r="EH195" s="173">
        <f t="shared" si="566"/>
        <v>1.8309311578126932</v>
      </c>
      <c r="EI195" s="173">
        <f t="shared" si="567"/>
        <v>7.1662067644167715</v>
      </c>
      <c r="EK195" s="528">
        <f t="shared" si="568"/>
        <v>4.089816863672182E-2</v>
      </c>
      <c r="EL195" s="528">
        <f t="shared" si="569"/>
        <v>0.56400000000000006</v>
      </c>
      <c r="EM195" s="528">
        <f t="shared" si="570"/>
        <v>2.1589057113866345E-2</v>
      </c>
      <c r="EN195" s="528">
        <f t="shared" si="571"/>
        <v>2.3389411764705884E-2</v>
      </c>
      <c r="EO195">
        <f t="shared" si="572"/>
        <v>8.0999999999999996E-3</v>
      </c>
      <c r="EP195" s="460">
        <f t="shared" si="573"/>
        <v>29.689057113866344</v>
      </c>
      <c r="EQ195" s="460"/>
      <c r="ER195" s="460">
        <f t="shared" si="593"/>
        <v>657.9766375152941</v>
      </c>
      <c r="ES195" s="528">
        <f t="shared" si="574"/>
        <v>3.5699999999999994</v>
      </c>
      <c r="EV195" s="460">
        <f t="shared" si="494"/>
        <v>3569.9999999999995</v>
      </c>
      <c r="EW195" s="528">
        <f t="shared" si="575"/>
        <v>0.10056926713947988</v>
      </c>
      <c r="EX195" s="528">
        <f t="shared" si="576"/>
        <v>1.5406355817111808</v>
      </c>
      <c r="EY195" s="528">
        <f t="shared" si="577"/>
        <v>0.81278041177063221</v>
      </c>
      <c r="EZ195" s="528"/>
      <c r="FA195" s="528">
        <f t="shared" si="578"/>
        <v>8.5000000000000006E-2</v>
      </c>
      <c r="FB195" s="460">
        <f t="shared" si="579"/>
        <v>2538.985260621293</v>
      </c>
      <c r="FC195" s="173">
        <f t="shared" si="580"/>
        <v>6.7669618981365858</v>
      </c>
      <c r="FD195" s="5">
        <f t="shared" si="581"/>
        <v>20.399999999999999</v>
      </c>
      <c r="FE195" s="173">
        <f t="shared" si="582"/>
        <v>0.75091208492471362</v>
      </c>
      <c r="FF195" s="5">
        <f t="shared" si="583"/>
        <v>75.091208492471367</v>
      </c>
      <c r="FI195" s="562">
        <f t="shared" si="584"/>
        <v>-50</v>
      </c>
      <c r="FJ195">
        <f t="shared" si="585"/>
        <v>-50</v>
      </c>
      <c r="FL195">
        <f t="shared" si="586"/>
        <v>0.48913043478260865</v>
      </c>
    </row>
    <row r="196" spans="5:168">
      <c r="E196" s="170">
        <v>86</v>
      </c>
      <c r="F196" s="217">
        <f t="shared" si="587"/>
        <v>5.16</v>
      </c>
      <c r="G196" s="217"/>
      <c r="H196" s="217">
        <f t="shared" si="495"/>
        <v>20.64</v>
      </c>
      <c r="I196" s="541">
        <f t="shared" si="496"/>
        <v>17.886727963497691</v>
      </c>
      <c r="J196" s="172">
        <f t="shared" si="497"/>
        <v>20.088402310926735</v>
      </c>
      <c r="K196" s="172">
        <f t="shared" si="498"/>
        <v>37.97513027442443</v>
      </c>
      <c r="L196" s="443"/>
      <c r="M196" s="217">
        <f t="shared" si="499"/>
        <v>0.52870935433277566</v>
      </c>
      <c r="N196" s="172">
        <f t="shared" si="500"/>
        <v>31.735714451192131</v>
      </c>
      <c r="O196" s="172">
        <f t="shared" si="438"/>
        <v>20.64</v>
      </c>
      <c r="P196" s="217">
        <f t="shared" si="501"/>
        <v>7.9339286127980326</v>
      </c>
      <c r="Q196" s="217">
        <f t="shared" si="502"/>
        <v>4</v>
      </c>
      <c r="R196" s="217"/>
      <c r="S196" s="172">
        <f t="shared" si="503"/>
        <v>7.4663535591358938</v>
      </c>
      <c r="T196" s="536">
        <f t="shared" si="504"/>
        <v>4</v>
      </c>
      <c r="U196" s="217">
        <f t="shared" si="505"/>
        <v>5.4743288960199825</v>
      </c>
      <c r="V196" s="217">
        <f t="shared" si="506"/>
        <v>3.6726642729905947</v>
      </c>
      <c r="W196" s="217">
        <f t="shared" si="507"/>
        <v>3.2701429280171177</v>
      </c>
      <c r="X196" s="197">
        <f t="shared" si="508"/>
        <v>350</v>
      </c>
      <c r="Y196" s="443">
        <f t="shared" si="509"/>
        <v>140.00097886709295</v>
      </c>
      <c r="AA196" s="217">
        <f t="shared" si="510"/>
        <v>2.2528264504657471</v>
      </c>
      <c r="AB196" s="173">
        <f t="shared" si="511"/>
        <v>1.345747510785581</v>
      </c>
      <c r="AC196" s="173">
        <f t="shared" si="512"/>
        <v>2.1222149115623363</v>
      </c>
      <c r="AD196" s="173"/>
      <c r="AE196" s="173">
        <f t="shared" si="513"/>
        <v>0.7964794687179817</v>
      </c>
      <c r="AF196" s="545">
        <f t="shared" si="514"/>
        <v>2429.4411544777013</v>
      </c>
      <c r="AG196" s="528">
        <f t="shared" si="515"/>
        <v>0.74338083747011641</v>
      </c>
      <c r="AI196" s="173">
        <f t="shared" si="516"/>
        <v>3.5128362561364033</v>
      </c>
      <c r="AJ196" s="173">
        <f t="shared" si="517"/>
        <v>5.4743288960199825</v>
      </c>
      <c r="AK196" s="173">
        <f t="shared" si="518"/>
        <v>4.2674041205086288</v>
      </c>
      <c r="AM196" s="545">
        <f t="shared" si="519"/>
        <v>5160</v>
      </c>
      <c r="AN196" s="460">
        <f t="shared" si="520"/>
        <v>140.00097886709295</v>
      </c>
      <c r="AP196">
        <f t="shared" si="521"/>
        <v>5160</v>
      </c>
      <c r="AQ196">
        <f t="shared" si="522"/>
        <v>140.00097886709295</v>
      </c>
      <c r="AS196" s="5">
        <f t="shared" si="439"/>
        <v>7.1428072010077113</v>
      </c>
      <c r="AT196" s="5">
        <f t="shared" si="523"/>
        <v>3.6726642729905947</v>
      </c>
      <c r="AU196" s="5">
        <f t="shared" si="478"/>
        <v>3.4701429280171165</v>
      </c>
      <c r="AV196" s="5"/>
      <c r="AW196" s="173">
        <f t="shared" si="479"/>
        <v>0.51417659326888354</v>
      </c>
      <c r="AX196" s="173">
        <f t="shared" si="435"/>
        <v>25.173528573671778</v>
      </c>
      <c r="AY196" s="173">
        <f t="shared" si="436"/>
        <v>5.3191142276620393</v>
      </c>
      <c r="AZ196" s="173">
        <f t="shared" si="440"/>
        <v>4.7326542533636351</v>
      </c>
      <c r="BA196" s="460">
        <f t="shared" si="594"/>
        <v>473.7736912157867</v>
      </c>
      <c r="BB196" s="5">
        <f t="shared" si="595"/>
        <v>3.3369131841049655</v>
      </c>
      <c r="BD196" s="173">
        <f t="shared" si="441"/>
        <v>2.2663470242469272</v>
      </c>
      <c r="BE196" s="173">
        <f t="shared" si="437"/>
        <v>8.8118981258631308</v>
      </c>
      <c r="BG196" s="528">
        <f t="shared" si="480"/>
        <v>6.2663211778617403E-2</v>
      </c>
      <c r="BH196" s="528">
        <f t="shared" si="524"/>
        <v>0.54571074213495818</v>
      </c>
      <c r="BI196" s="528">
        <f t="shared" si="525"/>
        <v>6.2603985590477015E-2</v>
      </c>
      <c r="BJ196" s="528">
        <f t="shared" si="481"/>
        <v>2.0189688434486281E-2</v>
      </c>
      <c r="BK196">
        <f t="shared" si="482"/>
        <v>8.0490275835739603E-3</v>
      </c>
      <c r="BL196" s="460">
        <f t="shared" si="588"/>
        <v>70.653013174050983</v>
      </c>
      <c r="BM196" s="528">
        <f t="shared" si="526"/>
        <v>0.65523840947701428</v>
      </c>
      <c r="BN196" s="460">
        <f t="shared" si="527"/>
        <v>655.23840947701433</v>
      </c>
      <c r="BO196" s="528">
        <f t="shared" si="483"/>
        <v>3.6119999999999997</v>
      </c>
      <c r="BR196" s="460">
        <f t="shared" si="484"/>
        <v>3611.9999999999995</v>
      </c>
      <c r="BS196" s="528">
        <f t="shared" si="485"/>
        <v>0.15408986502938707</v>
      </c>
      <c r="BT196" s="528">
        <f t="shared" si="486"/>
        <v>2.3294864574177048</v>
      </c>
      <c r="BU196" s="528">
        <f t="shared" si="487"/>
        <v>0.81306431445994332</v>
      </c>
      <c r="BV196" s="528"/>
      <c r="BW196" s="528">
        <f t="shared" si="488"/>
        <v>0.10488970239029909</v>
      </c>
      <c r="BX196" s="460">
        <f t="shared" si="489"/>
        <v>3401.5303392973342</v>
      </c>
      <c r="BY196" s="173">
        <f t="shared" si="490"/>
        <v>7.7127469948194465</v>
      </c>
      <c r="BZ196" s="5">
        <f t="shared" si="491"/>
        <v>20.64</v>
      </c>
      <c r="CA196" s="173">
        <f t="shared" si="492"/>
        <v>0.72797179066181128</v>
      </c>
      <c r="CB196" s="5">
        <f t="shared" si="493"/>
        <v>72.79717906618113</v>
      </c>
      <c r="CE196" s="562">
        <f t="shared" si="528"/>
        <v>-50</v>
      </c>
      <c r="CF196">
        <f t="shared" si="529"/>
        <v>-50</v>
      </c>
      <c r="CG196" s="173">
        <f t="shared" si="530"/>
        <v>0.48059522615619638</v>
      </c>
      <c r="CI196" s="170">
        <v>86</v>
      </c>
      <c r="CJ196" s="217">
        <f t="shared" si="589"/>
        <v>5.16</v>
      </c>
      <c r="CK196" s="217"/>
      <c r="CL196" s="217">
        <f t="shared" si="531"/>
        <v>20.64</v>
      </c>
      <c r="CM196" s="541">
        <f t="shared" si="532"/>
        <v>18</v>
      </c>
      <c r="CN196" s="443">
        <f t="shared" si="533"/>
        <v>18.8</v>
      </c>
      <c r="CO196" s="443">
        <f t="shared" si="534"/>
        <v>36.799999999999997</v>
      </c>
      <c r="CP196" s="443"/>
      <c r="CQ196" s="217">
        <f t="shared" si="535"/>
        <v>0.51086956521739135</v>
      </c>
      <c r="CR196" s="172">
        <f t="shared" si="590"/>
        <v>30.859076086956527</v>
      </c>
      <c r="CS196" s="172">
        <f t="shared" si="536"/>
        <v>20.64</v>
      </c>
      <c r="CT196" s="217">
        <f t="shared" si="537"/>
        <v>7.7147690217391318</v>
      </c>
      <c r="CU196" s="217">
        <f t="shared" si="538"/>
        <v>4</v>
      </c>
      <c r="CV196" s="217"/>
      <c r="CW196" s="172">
        <f t="shared" si="539"/>
        <v>7.5115146466501317</v>
      </c>
      <c r="CX196" s="536">
        <f t="shared" si="540"/>
        <v>4</v>
      </c>
      <c r="CY196" s="217">
        <f t="shared" si="541"/>
        <v>4.4890780141843969</v>
      </c>
      <c r="CZ196" s="217">
        <f t="shared" si="542"/>
        <v>2.9927186761229314</v>
      </c>
      <c r="DA196" s="217">
        <f t="shared" si="543"/>
        <v>2.8653689452240831</v>
      </c>
      <c r="DB196" s="197">
        <f t="shared" si="544"/>
        <v>350</v>
      </c>
      <c r="DC196" s="443">
        <f t="shared" si="545"/>
        <v>170.70417252824549</v>
      </c>
      <c r="DE196" s="217">
        <f t="shared" si="546"/>
        <v>2.18944099378882</v>
      </c>
      <c r="DF196" s="173">
        <f t="shared" si="547"/>
        <v>1.3975155279503106</v>
      </c>
      <c r="DG196" s="173">
        <f t="shared" si="548"/>
        <v>2.1418444504455847</v>
      </c>
      <c r="DH196" s="173"/>
      <c r="DI196" s="173">
        <f t="shared" si="549"/>
        <v>0.85106382978723416</v>
      </c>
      <c r="DJ196" s="545">
        <f t="shared" si="550"/>
        <v>2273.6249999999995</v>
      </c>
      <c r="DK196" s="528">
        <f t="shared" si="551"/>
        <v>0.79432624113475192</v>
      </c>
      <c r="DM196" s="173">
        <f t="shared" si="552"/>
        <v>3.3983189121345614</v>
      </c>
      <c r="DN196" s="173">
        <f t="shared" si="553"/>
        <v>4.4890780141843969</v>
      </c>
      <c r="DO196" s="173">
        <f t="shared" si="554"/>
        <v>3.5375886524822686</v>
      </c>
      <c r="DQ196" s="545">
        <f t="shared" si="555"/>
        <v>5160</v>
      </c>
      <c r="DR196" s="460">
        <f t="shared" si="556"/>
        <v>170.70417252824549</v>
      </c>
      <c r="DT196">
        <f t="shared" si="591"/>
        <v>5160</v>
      </c>
      <c r="DU196">
        <f t="shared" si="592"/>
        <v>170.70417252824549</v>
      </c>
      <c r="DW196" s="5">
        <f t="shared" si="557"/>
        <v>5.8580876213470141</v>
      </c>
      <c r="DX196" s="5">
        <f t="shared" si="558"/>
        <v>2.9927186761229314</v>
      </c>
      <c r="DY196" s="5">
        <f t="shared" si="559"/>
        <v>2.8653689452240827</v>
      </c>
      <c r="DZ196" s="5"/>
      <c r="EA196" s="173">
        <f t="shared" si="560"/>
        <v>0.51086956521739135</v>
      </c>
      <c r="EB196" s="173">
        <f t="shared" si="561"/>
        <v>20.639999999999997</v>
      </c>
      <c r="EC196" s="173">
        <f t="shared" si="562"/>
        <v>4.3914893617021269</v>
      </c>
      <c r="ED196" s="173">
        <f t="shared" si="563"/>
        <v>4.7</v>
      </c>
      <c r="EE196" s="460">
        <f t="shared" si="564"/>
        <v>386.06070921985815</v>
      </c>
      <c r="EF196" s="5">
        <f t="shared" si="565"/>
        <v>2.7380192143252344</v>
      </c>
      <c r="EH196" s="173">
        <f t="shared" si="566"/>
        <v>1.8524715243751957</v>
      </c>
      <c r="EI196" s="173">
        <f t="shared" si="567"/>
        <v>7.2505150792922644</v>
      </c>
      <c r="EK196" s="528">
        <f t="shared" si="568"/>
        <v>4.1866139133175724E-2</v>
      </c>
      <c r="EL196" s="528">
        <f t="shared" si="569"/>
        <v>0.56399999999999995</v>
      </c>
      <c r="EM196" s="528">
        <f t="shared" si="570"/>
        <v>2.1338021566030686E-2</v>
      </c>
      <c r="EN196" s="528">
        <f t="shared" si="571"/>
        <v>2.3117441860465115E-2</v>
      </c>
      <c r="EO196">
        <f t="shared" si="572"/>
        <v>8.0999999999999996E-3</v>
      </c>
      <c r="EP196" s="460">
        <f t="shared" si="573"/>
        <v>29.438021566030685</v>
      </c>
      <c r="EQ196" s="460"/>
      <c r="ER196" s="460">
        <f t="shared" si="593"/>
        <v>658.42160255967156</v>
      </c>
      <c r="ES196" s="528">
        <f t="shared" si="574"/>
        <v>3.6119999999999997</v>
      </c>
      <c r="EV196" s="460">
        <f t="shared" si="494"/>
        <v>3611.9999999999995</v>
      </c>
      <c r="EW196" s="528">
        <f t="shared" si="575"/>
        <v>0.10294952245862883</v>
      </c>
      <c r="EX196" s="528">
        <f t="shared" si="576"/>
        <v>1.5770990674513352</v>
      </c>
      <c r="EY196" s="528">
        <f t="shared" si="577"/>
        <v>0.81278041177063176</v>
      </c>
      <c r="EZ196" s="528"/>
      <c r="FA196" s="528">
        <f t="shared" si="578"/>
        <v>8.5999999999999993E-2</v>
      </c>
      <c r="FB196" s="460">
        <f t="shared" si="579"/>
        <v>2578.8290016805954</v>
      </c>
      <c r="FC196" s="173">
        <f t="shared" si="580"/>
        <v>6.8492506042402681</v>
      </c>
      <c r="FD196" s="5">
        <f t="shared" si="581"/>
        <v>20.64</v>
      </c>
      <c r="FE196" s="173">
        <f t="shared" si="582"/>
        <v>0.75083894781825156</v>
      </c>
      <c r="FF196" s="5">
        <f t="shared" si="583"/>
        <v>75.083894781825151</v>
      </c>
      <c r="FI196" s="562">
        <f t="shared" si="584"/>
        <v>-50</v>
      </c>
      <c r="FJ196">
        <f t="shared" si="585"/>
        <v>-50</v>
      </c>
      <c r="FL196">
        <f t="shared" si="586"/>
        <v>0.48913043478260865</v>
      </c>
    </row>
    <row r="197" spans="5:168">
      <c r="E197" s="170">
        <v>87</v>
      </c>
      <c r="F197" s="217">
        <f t="shared" si="587"/>
        <v>5.22</v>
      </c>
      <c r="G197" s="217"/>
      <c r="H197" s="217">
        <f t="shared" si="495"/>
        <v>20.88</v>
      </c>
      <c r="I197" s="541">
        <f t="shared" si="496"/>
        <v>17.885434233567199</v>
      </c>
      <c r="J197" s="172">
        <f t="shared" si="497"/>
        <v>20.103117722458386</v>
      </c>
      <c r="K197" s="172">
        <f t="shared" si="498"/>
        <v>37.988551956025589</v>
      </c>
      <c r="L197" s="443"/>
      <c r="M197" s="217">
        <f t="shared" si="499"/>
        <v>0.52891009685288903</v>
      </c>
      <c r="N197" s="172">
        <f t="shared" si="500"/>
        <v>31.745467711043151</v>
      </c>
      <c r="O197" s="172">
        <f t="shared" si="438"/>
        <v>20.88</v>
      </c>
      <c r="P197" s="217">
        <f t="shared" si="501"/>
        <v>7.9363669277607878</v>
      </c>
      <c r="Q197" s="217">
        <f t="shared" si="502"/>
        <v>4</v>
      </c>
      <c r="R197" s="217"/>
      <c r="S197" s="172">
        <f t="shared" si="503"/>
        <v>7.3390781282016588</v>
      </c>
      <c r="T197" s="536">
        <f t="shared" si="504"/>
        <v>4</v>
      </c>
      <c r="U197" s="217">
        <f t="shared" si="505"/>
        <v>5.5403437487492795</v>
      </c>
      <c r="V197" s="217">
        <f t="shared" si="506"/>
        <v>3.7172217412655622</v>
      </c>
      <c r="W197" s="217">
        <f t="shared" si="507"/>
        <v>3.3071549350137861</v>
      </c>
      <c r="X197" s="197">
        <f t="shared" si="508"/>
        <v>350</v>
      </c>
      <c r="Y197" s="443">
        <f t="shared" si="509"/>
        <v>138.4202464530149</v>
      </c>
      <c r="AA197" s="217">
        <f t="shared" si="510"/>
        <v>2.2535171869854276</v>
      </c>
      <c r="AB197" s="173">
        <f t="shared" si="511"/>
        <v>1.3451747443937354</v>
      </c>
      <c r="AC197" s="173">
        <f t="shared" si="512"/>
        <v>2.1219620841930085</v>
      </c>
      <c r="AD197" s="173"/>
      <c r="AE197" s="173">
        <f t="shared" si="513"/>
        <v>0.79589644854566277</v>
      </c>
      <c r="AF197" s="545">
        <f t="shared" si="514"/>
        <v>2459.4908088570173</v>
      </c>
      <c r="AG197" s="528">
        <f t="shared" si="515"/>
        <v>0.74283668530928537</v>
      </c>
      <c r="AI197" s="173">
        <f t="shared" si="516"/>
        <v>3.5344945505019116</v>
      </c>
      <c r="AJ197" s="173">
        <f t="shared" si="517"/>
        <v>5.5403437487492795</v>
      </c>
      <c r="AK197" s="173">
        <f t="shared" si="518"/>
        <v>4.316304011419219</v>
      </c>
      <c r="AM197" s="545">
        <f t="shared" si="519"/>
        <v>5220</v>
      </c>
      <c r="AN197" s="460">
        <f t="shared" si="520"/>
        <v>138.4202464530149</v>
      </c>
      <c r="AP197">
        <f t="shared" si="521"/>
        <v>5220</v>
      </c>
      <c r="AQ197">
        <f t="shared" si="522"/>
        <v>138.4202464530149</v>
      </c>
      <c r="AS197" s="5">
        <f t="shared" si="439"/>
        <v>7.2243766762793475</v>
      </c>
      <c r="AT197" s="5">
        <f t="shared" si="523"/>
        <v>3.7172217412655622</v>
      </c>
      <c r="AU197" s="5">
        <f t="shared" si="478"/>
        <v>3.5071549350137854</v>
      </c>
      <c r="AV197" s="5"/>
      <c r="AW197" s="173">
        <f t="shared" si="479"/>
        <v>0.51453874954648438</v>
      </c>
      <c r="AX197" s="173">
        <f t="shared" ref="AX197:AX210" si="596">0.5*L*AJ197^2*AN197*1000</f>
        <v>25.493196351533911</v>
      </c>
      <c r="AY197" s="173">
        <f t="shared" ref="AY197:AY210" si="597">AJ197*Nps/2*(1-AW197)</f>
        <v>5.3792444084202868</v>
      </c>
      <c r="AZ197" s="173">
        <f t="shared" si="440"/>
        <v>4.7391779246224015</v>
      </c>
      <c r="BA197" s="460">
        <f t="shared" si="594"/>
        <v>485.09743723515584</v>
      </c>
      <c r="BB197" s="5">
        <f t="shared" si="595"/>
        <v>3.4119661324582049</v>
      </c>
      <c r="BD197" s="173">
        <f t="shared" si="441"/>
        <v>2.2944844946604959</v>
      </c>
      <c r="BE197" s="173">
        <f t="shared" ref="BE197:BE210" si="598">AJ197*Nps*SQRT((1-AW197)/3)</f>
        <v>8.9148360435378891</v>
      </c>
      <c r="BG197" s="528">
        <f t="shared" si="480"/>
        <v>6.422884097409666E-2</v>
      </c>
      <c r="BH197" s="528">
        <f t="shared" si="524"/>
        <v>0.54624860503016692</v>
      </c>
      <c r="BI197" s="528">
        <f t="shared" si="525"/>
        <v>6.1892655363239027E-2</v>
      </c>
      <c r="BJ197" s="528">
        <f t="shared" si="481"/>
        <v>1.9975842129800008E-2</v>
      </c>
      <c r="BK197">
        <f t="shared" si="482"/>
        <v>8.0484454051052388E-3</v>
      </c>
      <c r="BL197" s="460">
        <f t="shared" si="588"/>
        <v>69.94110076834427</v>
      </c>
      <c r="BM197" s="528">
        <f t="shared" si="526"/>
        <v>0.65783413230891485</v>
      </c>
      <c r="BN197" s="460">
        <f t="shared" si="527"/>
        <v>657.83413230891483</v>
      </c>
      <c r="BO197" s="528">
        <f t="shared" si="483"/>
        <v>3.6539999999999995</v>
      </c>
      <c r="BR197" s="460">
        <f t="shared" si="484"/>
        <v>3653.9999999999995</v>
      </c>
      <c r="BS197" s="528">
        <f t="shared" si="485"/>
        <v>0.15793977288712294</v>
      </c>
      <c r="BT197" s="528">
        <f t="shared" si="486"/>
        <v>2.3842290504948682</v>
      </c>
      <c r="BU197" s="528">
        <f t="shared" si="487"/>
        <v>0.81434948819625141</v>
      </c>
      <c r="BV197" s="528"/>
      <c r="BW197" s="528">
        <f t="shared" si="488"/>
        <v>0.10622165146472461</v>
      </c>
      <c r="BX197" s="460">
        <f t="shared" si="489"/>
        <v>3462.7399630429672</v>
      </c>
      <c r="BY197" s="173">
        <f t="shared" si="490"/>
        <v>7.8171343519453744</v>
      </c>
      <c r="BZ197" s="5">
        <f t="shared" si="491"/>
        <v>20.88</v>
      </c>
      <c r="CA197" s="173">
        <f t="shared" si="492"/>
        <v>0.7275987819524059</v>
      </c>
      <c r="CB197" s="5">
        <f t="shared" si="493"/>
        <v>72.759878195240589</v>
      </c>
      <c r="CE197" s="562">
        <f t="shared" si="528"/>
        <v>-50</v>
      </c>
      <c r="CF197">
        <f t="shared" si="529"/>
        <v>-50</v>
      </c>
      <c r="CG197" s="173">
        <f t="shared" si="530"/>
        <v>0.48069333200247699</v>
      </c>
      <c r="CI197" s="170">
        <v>87</v>
      </c>
      <c r="CJ197" s="217">
        <f t="shared" si="589"/>
        <v>5.22</v>
      </c>
      <c r="CK197" s="217"/>
      <c r="CL197" s="217">
        <f t="shared" si="531"/>
        <v>20.88</v>
      </c>
      <c r="CM197" s="541">
        <f t="shared" si="532"/>
        <v>18</v>
      </c>
      <c r="CN197" s="443">
        <f t="shared" si="533"/>
        <v>18.8</v>
      </c>
      <c r="CO197" s="443">
        <f t="shared" si="534"/>
        <v>36.799999999999997</v>
      </c>
      <c r="CP197" s="443"/>
      <c r="CQ197" s="217">
        <f t="shared" si="535"/>
        <v>0.51086956521739135</v>
      </c>
      <c r="CR197" s="172">
        <f t="shared" si="590"/>
        <v>30.859076086956527</v>
      </c>
      <c r="CS197" s="172">
        <f t="shared" si="536"/>
        <v>20.88</v>
      </c>
      <c r="CT197" s="217">
        <f t="shared" si="537"/>
        <v>7.7147690217391318</v>
      </c>
      <c r="CU197" s="217">
        <f t="shared" si="538"/>
        <v>4</v>
      </c>
      <c r="CV197" s="217"/>
      <c r="CW197" s="172">
        <f t="shared" si="539"/>
        <v>7.3839155300200225</v>
      </c>
      <c r="CX197" s="536">
        <f t="shared" si="540"/>
        <v>4</v>
      </c>
      <c r="CY197" s="217">
        <f t="shared" si="541"/>
        <v>4.5412765957446801</v>
      </c>
      <c r="CZ197" s="217">
        <f t="shared" si="542"/>
        <v>3.0275177304964531</v>
      </c>
      <c r="DA197" s="217">
        <f t="shared" si="543"/>
        <v>2.8986871887732</v>
      </c>
      <c r="DB197" s="197">
        <f t="shared" si="544"/>
        <v>350</v>
      </c>
      <c r="DC197" s="443">
        <f t="shared" si="545"/>
        <v>168.74205560263354</v>
      </c>
      <c r="DE197" s="217">
        <f t="shared" si="546"/>
        <v>2.18944099378882</v>
      </c>
      <c r="DF197" s="173">
        <f t="shared" si="547"/>
        <v>1.3975155279503106</v>
      </c>
      <c r="DG197" s="173">
        <f t="shared" si="548"/>
        <v>2.1418444504455847</v>
      </c>
      <c r="DH197" s="173"/>
      <c r="DI197" s="173">
        <f t="shared" si="549"/>
        <v>0.85106382978723416</v>
      </c>
      <c r="DJ197" s="545">
        <f t="shared" si="550"/>
        <v>2300.0624999999995</v>
      </c>
      <c r="DK197" s="528">
        <f t="shared" si="551"/>
        <v>0.79432624113475192</v>
      </c>
      <c r="DM197" s="173">
        <f t="shared" si="552"/>
        <v>3.4180194766643948</v>
      </c>
      <c r="DN197" s="173">
        <f t="shared" si="553"/>
        <v>4.5412765957446801</v>
      </c>
      <c r="DO197" s="173">
        <f t="shared" si="554"/>
        <v>3.5762542684528489</v>
      </c>
      <c r="DQ197" s="545">
        <f t="shared" si="555"/>
        <v>5220</v>
      </c>
      <c r="DR197" s="460">
        <f t="shared" si="556"/>
        <v>168.74205560263354</v>
      </c>
      <c r="DT197">
        <f t="shared" si="591"/>
        <v>5220</v>
      </c>
      <c r="DU197">
        <f t="shared" si="592"/>
        <v>168.74205560263354</v>
      </c>
      <c r="DW197" s="5">
        <f t="shared" si="557"/>
        <v>5.9262049192696518</v>
      </c>
      <c r="DX197" s="5">
        <f t="shared" si="558"/>
        <v>3.0275177304964531</v>
      </c>
      <c r="DY197" s="5">
        <f t="shared" si="559"/>
        <v>2.8986871887731986</v>
      </c>
      <c r="DZ197" s="5"/>
      <c r="EA197" s="173">
        <f t="shared" si="560"/>
        <v>0.51086956521739135</v>
      </c>
      <c r="EB197" s="173">
        <f t="shared" si="561"/>
        <v>20.880000000000003</v>
      </c>
      <c r="EC197" s="173">
        <f t="shared" si="562"/>
        <v>4.4425531914893606</v>
      </c>
      <c r="ED197" s="173">
        <f t="shared" si="563"/>
        <v>4.700000000000002</v>
      </c>
      <c r="EE197" s="460">
        <f t="shared" si="564"/>
        <v>395.09106382978712</v>
      </c>
      <c r="EF197" s="5">
        <f t="shared" si="565"/>
        <v>2.802064282480758</v>
      </c>
      <c r="EH197" s="173">
        <f t="shared" si="566"/>
        <v>1.8740118909376979</v>
      </c>
      <c r="EI197" s="173">
        <f t="shared" si="567"/>
        <v>7.3348233941677545</v>
      </c>
      <c r="EK197" s="528">
        <f t="shared" si="568"/>
        <v>4.2845430921985811E-2</v>
      </c>
      <c r="EL197" s="528">
        <f t="shared" si="569"/>
        <v>0.56400000000000006</v>
      </c>
      <c r="EM197" s="528">
        <f t="shared" si="570"/>
        <v>2.1092756950329195E-2</v>
      </c>
      <c r="EN197" s="528">
        <f t="shared" si="571"/>
        <v>2.2851724137931042E-2</v>
      </c>
      <c r="EO197">
        <f t="shared" si="572"/>
        <v>8.0999999999999996E-3</v>
      </c>
      <c r="EP197" s="460">
        <f t="shared" si="573"/>
        <v>29.192756950329194</v>
      </c>
      <c r="EQ197" s="460"/>
      <c r="ER197" s="460">
        <f t="shared" si="593"/>
        <v>658.88991201024601</v>
      </c>
      <c r="ES197" s="528">
        <f t="shared" si="574"/>
        <v>3.6539999999999995</v>
      </c>
      <c r="EV197" s="460">
        <f t="shared" si="494"/>
        <v>3653.9999999999995</v>
      </c>
      <c r="EW197" s="528">
        <f t="shared" si="575"/>
        <v>0.10535761702127658</v>
      </c>
      <c r="EX197" s="528">
        <f t="shared" si="576"/>
        <v>1.6139890267089172</v>
      </c>
      <c r="EY197" s="528">
        <f t="shared" si="577"/>
        <v>0.81278041177063243</v>
      </c>
      <c r="EZ197" s="528"/>
      <c r="FA197" s="528">
        <f t="shared" si="578"/>
        <v>8.7000000000000022E-2</v>
      </c>
      <c r="FB197" s="460">
        <f t="shared" si="579"/>
        <v>2619.1270555008264</v>
      </c>
      <c r="FC197" s="173">
        <f t="shared" si="580"/>
        <v>6.9320169675110712</v>
      </c>
      <c r="FD197" s="5">
        <f t="shared" si="581"/>
        <v>20.88</v>
      </c>
      <c r="FE197" s="173">
        <f t="shared" si="582"/>
        <v>0.75075461173460423</v>
      </c>
      <c r="FF197" s="5">
        <f t="shared" si="583"/>
        <v>75.075461173460425</v>
      </c>
      <c r="FI197" s="562">
        <f t="shared" si="584"/>
        <v>-50</v>
      </c>
      <c r="FJ197">
        <f t="shared" si="585"/>
        <v>-50</v>
      </c>
      <c r="FL197">
        <f t="shared" si="586"/>
        <v>0.48913043478260865</v>
      </c>
    </row>
    <row r="198" spans="5:168">
      <c r="E198" s="170">
        <v>88</v>
      </c>
      <c r="F198" s="217">
        <f t="shared" si="587"/>
        <v>5.28</v>
      </c>
      <c r="G198" s="217"/>
      <c r="H198" s="217">
        <f t="shared" si="495"/>
        <v>21.12</v>
      </c>
      <c r="I198" s="541">
        <f t="shared" si="496"/>
        <v>17.884140494309403</v>
      </c>
      <c r="J198" s="172">
        <f t="shared" si="497"/>
        <v>20.117833240082621</v>
      </c>
      <c r="K198" s="172">
        <f t="shared" si="498"/>
        <v>38.001973734392024</v>
      </c>
      <c r="L198" s="443"/>
      <c r="M198" s="217">
        <f t="shared" si="499"/>
        <v>0.52911069757252216</v>
      </c>
      <c r="N198" s="172">
        <f t="shared" si="500"/>
        <v>31.755210700943117</v>
      </c>
      <c r="O198" s="172">
        <f t="shared" ref="O198:O261" si="599">T198*F198</f>
        <v>21.12</v>
      </c>
      <c r="P198" s="217">
        <f t="shared" si="501"/>
        <v>7.9388026752357792</v>
      </c>
      <c r="Q198" s="217">
        <f t="shared" si="502"/>
        <v>4</v>
      </c>
      <c r="R198" s="217"/>
      <c r="S198" s="172">
        <f t="shared" si="503"/>
        <v>7.2148804623106324</v>
      </c>
      <c r="T198" s="536">
        <f t="shared" si="504"/>
        <v>4</v>
      </c>
      <c r="U198" s="217">
        <f t="shared" si="505"/>
        <v>5.6064131981562477</v>
      </c>
      <c r="V198" s="217">
        <f t="shared" si="506"/>
        <v>3.7618222916154109</v>
      </c>
      <c r="W198" s="217">
        <f t="shared" si="507"/>
        <v>3.3441453448293257</v>
      </c>
      <c r="X198" s="197">
        <f t="shared" si="508"/>
        <v>350</v>
      </c>
      <c r="Y198" s="443">
        <f t="shared" si="509"/>
        <v>136.87440866992733</v>
      </c>
      <c r="AA198" s="217">
        <f t="shared" si="510"/>
        <v>2.2542072020071657</v>
      </c>
      <c r="AB198" s="173">
        <f t="shared" si="511"/>
        <v>1.3446023784604597</v>
      </c>
      <c r="AC198" s="173">
        <f t="shared" si="512"/>
        <v>2.1217086557530735</v>
      </c>
      <c r="AD198" s="173"/>
      <c r="AE198" s="173">
        <f t="shared" si="513"/>
        <v>0.79531427709231239</v>
      </c>
      <c r="AF198" s="545">
        <f t="shared" si="514"/>
        <v>2489.5818634602242</v>
      </c>
      <c r="AG198" s="528">
        <f t="shared" si="515"/>
        <v>0.74229332528615821</v>
      </c>
      <c r="AI198" s="173">
        <f t="shared" si="516"/>
        <v>3.5560505029429073</v>
      </c>
      <c r="AJ198" s="173">
        <f t="shared" si="517"/>
        <v>5.6064131981562477</v>
      </c>
      <c r="AK198" s="173">
        <f t="shared" si="518"/>
        <v>4.36524434431327</v>
      </c>
      <c r="AM198" s="545">
        <f t="shared" si="519"/>
        <v>5280</v>
      </c>
      <c r="AN198" s="460">
        <f t="shared" si="520"/>
        <v>136.87440866992733</v>
      </c>
      <c r="AP198">
        <f t="shared" si="521"/>
        <v>5280</v>
      </c>
      <c r="AQ198">
        <f t="shared" si="522"/>
        <v>136.87440866992733</v>
      </c>
      <c r="AS198" s="5">
        <f t="shared" ref="AS198:AS262" si="600">1/AN198*1000</f>
        <v>7.3059676364447368</v>
      </c>
      <c r="AT198" s="5">
        <f t="shared" si="523"/>
        <v>3.7618222916154109</v>
      </c>
      <c r="AU198" s="5">
        <f t="shared" si="478"/>
        <v>3.5441453448293259</v>
      </c>
      <c r="AV198" s="5"/>
      <c r="AW198" s="173">
        <f t="shared" si="479"/>
        <v>0.51489720168621034</v>
      </c>
      <c r="AX198" s="173">
        <f t="shared" si="596"/>
        <v>25.813310854267147</v>
      </c>
      <c r="AY198" s="173">
        <f t="shared" si="597"/>
        <v>5.439373461857917</v>
      </c>
      <c r="AZ198" s="173">
        <f t="shared" ref="AZ198:AZ210" si="601">AX198/AY198</f>
        <v>4.7456404740869074</v>
      </c>
      <c r="BA198" s="460">
        <f t="shared" si="594"/>
        <v>496.56054249323427</v>
      </c>
      <c r="BB198" s="5">
        <f t="shared" si="595"/>
        <v>3.4878365045747657</v>
      </c>
      <c r="BD198" s="173">
        <f t="shared" ref="BD198:BD210" si="602">AJ198*SQRT(AW198/3)</f>
        <v>2.3226551878780191</v>
      </c>
      <c r="BE198" s="173">
        <f t="shared" si="598"/>
        <v>9.0178157246288215</v>
      </c>
      <c r="BG198" s="528">
        <f t="shared" si="480"/>
        <v>6.5815670885675442E-2</v>
      </c>
      <c r="BH198" s="528">
        <f t="shared" si="524"/>
        <v>0.5467827236472681</v>
      </c>
      <c r="BI198" s="528">
        <f t="shared" si="525"/>
        <v>6.1197028868212537E-2</v>
      </c>
      <c r="BJ198" s="528">
        <f t="shared" si="481"/>
        <v>1.9766717833589804E-2</v>
      </c>
      <c r="BK198">
        <f t="shared" si="482"/>
        <v>8.0478632224392308E-3</v>
      </c>
      <c r="BL198" s="460">
        <f t="shared" si="588"/>
        <v>69.24489209065176</v>
      </c>
      <c r="BM198" s="528">
        <f t="shared" si="526"/>
        <v>0.66046354253835737</v>
      </c>
      <c r="BN198" s="460">
        <f t="shared" si="527"/>
        <v>660.46354253835739</v>
      </c>
      <c r="BO198" s="528">
        <f t="shared" si="483"/>
        <v>3.6959999999999997</v>
      </c>
      <c r="BR198" s="460">
        <f t="shared" si="484"/>
        <v>3695.9999999999995</v>
      </c>
      <c r="BS198" s="528">
        <f t="shared" si="485"/>
        <v>0.16184181365330028</v>
      </c>
      <c r="BT198" s="528">
        <f t="shared" si="486"/>
        <v>2.439630013300885</v>
      </c>
      <c r="BU198" s="528">
        <f t="shared" si="487"/>
        <v>0.81562100255652736</v>
      </c>
      <c r="BV198" s="528"/>
      <c r="BW198" s="528">
        <f t="shared" si="488"/>
        <v>0.10755546189277977</v>
      </c>
      <c r="BX198" s="460">
        <f t="shared" si="489"/>
        <v>3524.6482914034923</v>
      </c>
      <c r="BY198" s="173">
        <f t="shared" si="490"/>
        <v>7.9222582958606775</v>
      </c>
      <c r="BZ198" s="5">
        <f t="shared" si="491"/>
        <v>21.12</v>
      </c>
      <c r="CA198" s="173">
        <f t="shared" si="492"/>
        <v>0.72721617530032723</v>
      </c>
      <c r="CB198" s="5">
        <f t="shared" si="493"/>
        <v>72.721617530032717</v>
      </c>
      <c r="CE198" s="562">
        <f t="shared" si="528"/>
        <v>-50</v>
      </c>
      <c r="CF198">
        <f t="shared" si="529"/>
        <v>-50</v>
      </c>
      <c r="CG198" s="173">
        <f t="shared" si="530"/>
        <v>0.48078920817043302</v>
      </c>
      <c r="CI198" s="170">
        <v>88</v>
      </c>
      <c r="CJ198" s="217">
        <f t="shared" si="589"/>
        <v>5.28</v>
      </c>
      <c r="CK198" s="217"/>
      <c r="CL198" s="217">
        <f t="shared" si="531"/>
        <v>21.12</v>
      </c>
      <c r="CM198" s="541">
        <f t="shared" si="532"/>
        <v>18</v>
      </c>
      <c r="CN198" s="443">
        <f t="shared" si="533"/>
        <v>18.8</v>
      </c>
      <c r="CO198" s="443">
        <f t="shared" si="534"/>
        <v>36.799999999999997</v>
      </c>
      <c r="CP198" s="443"/>
      <c r="CQ198" s="217">
        <f t="shared" si="535"/>
        <v>0.51086956521739135</v>
      </c>
      <c r="CR198" s="172">
        <f t="shared" si="590"/>
        <v>30.859076086956527</v>
      </c>
      <c r="CS198" s="172">
        <f t="shared" si="536"/>
        <v>21.12</v>
      </c>
      <c r="CT198" s="217">
        <f t="shared" si="537"/>
        <v>7.7147690217391318</v>
      </c>
      <c r="CU198" s="217">
        <f t="shared" si="538"/>
        <v>4</v>
      </c>
      <c r="CV198" s="217"/>
      <c r="CW198" s="172">
        <f t="shared" si="539"/>
        <v>7.2593950824066766</v>
      </c>
      <c r="CX198" s="536">
        <f t="shared" si="540"/>
        <v>4</v>
      </c>
      <c r="CY198" s="217">
        <f t="shared" si="541"/>
        <v>4.5934751773049642</v>
      </c>
      <c r="CZ198" s="217">
        <f t="shared" si="542"/>
        <v>3.0623167848699762</v>
      </c>
      <c r="DA198" s="217">
        <f t="shared" si="543"/>
        <v>2.9320054323223177</v>
      </c>
      <c r="DB198" s="197">
        <f t="shared" si="544"/>
        <v>350</v>
      </c>
      <c r="DC198" s="443">
        <f t="shared" si="545"/>
        <v>166.82453224351266</v>
      </c>
      <c r="DE198" s="217">
        <f t="shared" si="546"/>
        <v>2.18944099378882</v>
      </c>
      <c r="DF198" s="173">
        <f t="shared" si="547"/>
        <v>1.3975155279503106</v>
      </c>
      <c r="DG198" s="173">
        <f t="shared" si="548"/>
        <v>2.1418444504455847</v>
      </c>
      <c r="DH198" s="173"/>
      <c r="DI198" s="173">
        <f t="shared" si="549"/>
        <v>0.85106382978723416</v>
      </c>
      <c r="DJ198" s="545">
        <f t="shared" si="550"/>
        <v>2326.4999999999995</v>
      </c>
      <c r="DK198" s="528">
        <f t="shared" si="551"/>
        <v>0.79432624113475192</v>
      </c>
      <c r="DM198" s="173">
        <f t="shared" si="552"/>
        <v>3.4376071411874363</v>
      </c>
      <c r="DN198" s="173">
        <f t="shared" si="553"/>
        <v>4.5934751773049642</v>
      </c>
      <c r="DO198" s="173">
        <f t="shared" si="554"/>
        <v>3.61491988442343</v>
      </c>
      <c r="DQ198" s="545">
        <f t="shared" si="555"/>
        <v>5280</v>
      </c>
      <c r="DR198" s="460">
        <f t="shared" si="556"/>
        <v>166.82453224351266</v>
      </c>
      <c r="DT198">
        <f t="shared" si="591"/>
        <v>5280</v>
      </c>
      <c r="DU198">
        <f t="shared" si="592"/>
        <v>166.82453224351266</v>
      </c>
      <c r="DW198" s="5">
        <f t="shared" si="557"/>
        <v>5.994322217192293</v>
      </c>
      <c r="DX198" s="5">
        <f t="shared" si="558"/>
        <v>3.0623167848699762</v>
      </c>
      <c r="DY198" s="5">
        <f t="shared" si="559"/>
        <v>2.9320054323223168</v>
      </c>
      <c r="DZ198" s="5"/>
      <c r="EA198" s="173">
        <f t="shared" si="560"/>
        <v>0.51086956521739135</v>
      </c>
      <c r="EB198" s="173">
        <f t="shared" si="561"/>
        <v>21.120000000000005</v>
      </c>
      <c r="EC198" s="173">
        <f t="shared" si="562"/>
        <v>4.4936170212765951</v>
      </c>
      <c r="ED198" s="173">
        <f t="shared" si="563"/>
        <v>4.700000000000002</v>
      </c>
      <c r="EE198" s="460">
        <f t="shared" si="564"/>
        <v>404.2258156028368</v>
      </c>
      <c r="EF198" s="5">
        <f t="shared" si="565"/>
        <v>2.8668497560484871</v>
      </c>
      <c r="EH198" s="173">
        <f t="shared" si="566"/>
        <v>1.8955522575002004</v>
      </c>
      <c r="EI198" s="173">
        <f t="shared" si="567"/>
        <v>7.4191317090432474</v>
      </c>
      <c r="EK198" s="528">
        <f t="shared" si="568"/>
        <v>4.3836044003152094E-2</v>
      </c>
      <c r="EL198" s="528">
        <f t="shared" si="569"/>
        <v>0.56400000000000006</v>
      </c>
      <c r="EM198" s="528">
        <f t="shared" si="570"/>
        <v>2.0853066530439082E-2</v>
      </c>
      <c r="EN198" s="528">
        <f t="shared" si="571"/>
        <v>2.2592045454545455E-2</v>
      </c>
      <c r="EO198">
        <f t="shared" si="572"/>
        <v>8.0999999999999996E-3</v>
      </c>
      <c r="EP198" s="460">
        <f t="shared" si="573"/>
        <v>28.953066530439081</v>
      </c>
      <c r="EQ198" s="460"/>
      <c r="ER198" s="460">
        <f t="shared" si="593"/>
        <v>659.38115598813658</v>
      </c>
      <c r="ES198" s="528">
        <f t="shared" si="574"/>
        <v>3.6959999999999997</v>
      </c>
      <c r="EV198" s="460">
        <f t="shared" si="494"/>
        <v>3695.9999999999995</v>
      </c>
      <c r="EW198" s="528">
        <f t="shared" si="575"/>
        <v>0.10779355082742319</v>
      </c>
      <c r="EX198" s="528">
        <f t="shared" si="576"/>
        <v>1.6513054594839294</v>
      </c>
      <c r="EY198" s="528">
        <f t="shared" si="577"/>
        <v>0.81278041177063287</v>
      </c>
      <c r="EZ198" s="528"/>
      <c r="FA198" s="528">
        <f t="shared" si="578"/>
        <v>8.8000000000000023E-2</v>
      </c>
      <c r="FB198" s="460">
        <f t="shared" si="579"/>
        <v>2659.8794220819855</v>
      </c>
      <c r="FC198" s="173">
        <f t="shared" si="580"/>
        <v>7.0152605780701212</v>
      </c>
      <c r="FD198" s="5">
        <f t="shared" si="581"/>
        <v>21.12</v>
      </c>
      <c r="FE198" s="173">
        <f t="shared" si="582"/>
        <v>0.75065947732724647</v>
      </c>
      <c r="FF198" s="5">
        <f t="shared" si="583"/>
        <v>75.065947732724652</v>
      </c>
      <c r="FI198" s="562">
        <f t="shared" si="584"/>
        <v>-50</v>
      </c>
      <c r="FJ198">
        <f t="shared" si="585"/>
        <v>-50</v>
      </c>
      <c r="FL198">
        <f t="shared" si="586"/>
        <v>0.48913043478260865</v>
      </c>
    </row>
    <row r="199" spans="5:168">
      <c r="E199" s="170">
        <v>89</v>
      </c>
      <c r="F199" s="217">
        <f t="shared" si="587"/>
        <v>5.34</v>
      </c>
      <c r="G199" s="217"/>
      <c r="H199" s="217">
        <f t="shared" si="495"/>
        <v>21.36</v>
      </c>
      <c r="I199" s="541">
        <f t="shared" si="496"/>
        <v>17.882846746044095</v>
      </c>
      <c r="J199" s="172">
        <f t="shared" si="497"/>
        <v>20.132548860161958</v>
      </c>
      <c r="K199" s="172">
        <f t="shared" si="498"/>
        <v>38.015395606206056</v>
      </c>
      <c r="L199" s="443"/>
      <c r="M199" s="217">
        <f t="shared" si="499"/>
        <v>0.5293111566376999</v>
      </c>
      <c r="N199" s="172">
        <f t="shared" si="500"/>
        <v>31.764943432051368</v>
      </c>
      <c r="O199" s="172">
        <f t="shared" si="599"/>
        <v>21.36</v>
      </c>
      <c r="P199" s="217">
        <f t="shared" si="501"/>
        <v>7.9412358580128419</v>
      </c>
      <c r="Q199" s="217">
        <f t="shared" si="502"/>
        <v>4</v>
      </c>
      <c r="R199" s="217"/>
      <c r="S199" s="172">
        <f t="shared" si="503"/>
        <v>7.0936581896693731</v>
      </c>
      <c r="T199" s="536">
        <f t="shared" si="504"/>
        <v>4</v>
      </c>
      <c r="U199" s="217">
        <f t="shared" si="505"/>
        <v>5.6725372560930625</v>
      </c>
      <c r="V199" s="217">
        <f t="shared" si="506"/>
        <v>3.806465941345428</v>
      </c>
      <c r="W199" s="217">
        <f t="shared" si="507"/>
        <v>3.3811142119125179</v>
      </c>
      <c r="X199" s="197">
        <f t="shared" si="508"/>
        <v>350</v>
      </c>
      <c r="Y199" s="443">
        <f t="shared" si="509"/>
        <v>135.36232152540461</v>
      </c>
      <c r="AA199" s="217">
        <f t="shared" si="510"/>
        <v>2.2548964961144407</v>
      </c>
      <c r="AB199" s="173">
        <f t="shared" si="511"/>
        <v>1.3440304127072964</v>
      </c>
      <c r="AC199" s="173">
        <f t="shared" si="512"/>
        <v>2.1214546277994497</v>
      </c>
      <c r="AD199" s="173"/>
      <c r="AE199" s="173">
        <f t="shared" si="513"/>
        <v>0.79473295264965715</v>
      </c>
      <c r="AF199" s="545">
        <f t="shared" si="514"/>
        <v>2519.7143182796444</v>
      </c>
      <c r="AG199" s="528">
        <f t="shared" si="515"/>
        <v>0.74175075580634675</v>
      </c>
      <c r="AI199" s="173">
        <f t="shared" si="516"/>
        <v>3.5775059634116357</v>
      </c>
      <c r="AJ199" s="173">
        <f t="shared" si="517"/>
        <v>5.6725372560930625</v>
      </c>
      <c r="AK199" s="173">
        <f t="shared" si="518"/>
        <v>4.4142251279701696</v>
      </c>
      <c r="AM199" s="545">
        <f t="shared" si="519"/>
        <v>5340</v>
      </c>
      <c r="AN199" s="460">
        <f t="shared" si="520"/>
        <v>135.36232152540461</v>
      </c>
      <c r="AP199">
        <f t="shared" si="521"/>
        <v>5340</v>
      </c>
      <c r="AQ199">
        <f t="shared" si="522"/>
        <v>135.36232152540461</v>
      </c>
      <c r="AS199" s="5">
        <f t="shared" si="600"/>
        <v>7.3875801532579466</v>
      </c>
      <c r="AT199" s="5">
        <f t="shared" si="523"/>
        <v>3.806465941345428</v>
      </c>
      <c r="AU199" s="5">
        <f t="shared" si="478"/>
        <v>3.5811142119125186</v>
      </c>
      <c r="AV199" s="5"/>
      <c r="AW199" s="173">
        <f t="shared" si="479"/>
        <v>0.51525206662790179</v>
      </c>
      <c r="AX199" s="173">
        <f t="shared" si="596"/>
        <v>26.133871920894162</v>
      </c>
      <c r="AY199" s="173">
        <f t="shared" si="597"/>
        <v>5.4995014237346895</v>
      </c>
      <c r="AZ199" s="173">
        <f t="shared" si="601"/>
        <v>4.7520438503944877</v>
      </c>
      <c r="BA199" s="460">
        <f t="shared" si="594"/>
        <v>508.16320316961463</v>
      </c>
      <c r="BB199" s="5">
        <f t="shared" si="595"/>
        <v>3.5645238074941141</v>
      </c>
      <c r="BD199" s="173">
        <f t="shared" si="602"/>
        <v>2.3508591028053183</v>
      </c>
      <c r="BE199" s="173">
        <f t="shared" si="598"/>
        <v>9.1208372007649761</v>
      </c>
      <c r="BG199" s="528">
        <f t="shared" si="480"/>
        <v>6.7423769959160038E-2</v>
      </c>
      <c r="BH199" s="528">
        <f t="shared" si="524"/>
        <v>0.54731321879352324</v>
      </c>
      <c r="BI199" s="528">
        <f t="shared" si="525"/>
        <v>6.0516591275688904E-2</v>
      </c>
      <c r="BJ199" s="528">
        <f t="shared" si="481"/>
        <v>1.9562160722669465E-2</v>
      </c>
      <c r="BK199">
        <f t="shared" si="482"/>
        <v>8.0472810357198419E-3</v>
      </c>
      <c r="BL199" s="460">
        <f t="shared" si="588"/>
        <v>68.563872311408744</v>
      </c>
      <c r="BM199" s="528">
        <f t="shared" si="526"/>
        <v>0.66312678400296354</v>
      </c>
      <c r="BN199" s="460">
        <f t="shared" si="527"/>
        <v>663.12678400296352</v>
      </c>
      <c r="BO199" s="528">
        <f t="shared" si="483"/>
        <v>3.7379999999999995</v>
      </c>
      <c r="BR199" s="460">
        <f t="shared" si="484"/>
        <v>3737.9999999999995</v>
      </c>
      <c r="BS199" s="528">
        <f t="shared" si="485"/>
        <v>0.16579615563727879</v>
      </c>
      <c r="BT199" s="528">
        <f t="shared" si="486"/>
        <v>2.4956901372857483</v>
      </c>
      <c r="BU199" s="528">
        <f t="shared" si="487"/>
        <v>0.816879282862503</v>
      </c>
      <c r="BV199" s="528"/>
      <c r="BW199" s="528">
        <f t="shared" si="488"/>
        <v>0.10889113300372569</v>
      </c>
      <c r="BX199" s="460">
        <f t="shared" si="489"/>
        <v>3587.2567087892558</v>
      </c>
      <c r="BY199" s="173">
        <f t="shared" si="490"/>
        <v>8.0281197305760159</v>
      </c>
      <c r="BZ199" s="5">
        <f t="shared" si="491"/>
        <v>21.36</v>
      </c>
      <c r="CA199" s="173">
        <f t="shared" si="492"/>
        <v>0.72682431526153779</v>
      </c>
      <c r="CB199" s="5">
        <f t="shared" si="493"/>
        <v>72.682431526153778</v>
      </c>
      <c r="CE199" s="562">
        <f t="shared" si="528"/>
        <v>-50</v>
      </c>
      <c r="CF199">
        <f t="shared" si="529"/>
        <v>-50</v>
      </c>
      <c r="CG199" s="173">
        <f t="shared" si="530"/>
        <v>0.48088292981776093</v>
      </c>
      <c r="CI199" s="170">
        <v>89</v>
      </c>
      <c r="CJ199" s="217">
        <f t="shared" si="589"/>
        <v>5.34</v>
      </c>
      <c r="CK199" s="217"/>
      <c r="CL199" s="217">
        <f t="shared" si="531"/>
        <v>21.36</v>
      </c>
      <c r="CM199" s="541">
        <f t="shared" si="532"/>
        <v>18</v>
      </c>
      <c r="CN199" s="443">
        <f t="shared" si="533"/>
        <v>18.8</v>
      </c>
      <c r="CO199" s="443">
        <f t="shared" si="534"/>
        <v>36.799999999999997</v>
      </c>
      <c r="CP199" s="443"/>
      <c r="CQ199" s="217">
        <f t="shared" si="535"/>
        <v>0.51086956521739135</v>
      </c>
      <c r="CR199" s="172">
        <f t="shared" si="590"/>
        <v>30.859076086956527</v>
      </c>
      <c r="CS199" s="172">
        <f t="shared" si="536"/>
        <v>21.36</v>
      </c>
      <c r="CT199" s="217">
        <f t="shared" si="537"/>
        <v>7.7147690217391318</v>
      </c>
      <c r="CU199" s="217">
        <f t="shared" si="538"/>
        <v>4</v>
      </c>
      <c r="CV199" s="217"/>
      <c r="CW199" s="172">
        <f t="shared" si="539"/>
        <v>7.1378509362641474</v>
      </c>
      <c r="CX199" s="536">
        <f t="shared" si="540"/>
        <v>4</v>
      </c>
      <c r="CY199" s="217">
        <f t="shared" si="541"/>
        <v>4.6456737588652475</v>
      </c>
      <c r="CZ199" s="217">
        <f t="shared" si="542"/>
        <v>3.0971158392434983</v>
      </c>
      <c r="DA199" s="217">
        <f t="shared" si="543"/>
        <v>2.9653236758714345</v>
      </c>
      <c r="DB199" s="197">
        <f t="shared" si="544"/>
        <v>350</v>
      </c>
      <c r="DC199" s="443">
        <f t="shared" si="545"/>
        <v>164.95009929695632</v>
      </c>
      <c r="DE199" s="217">
        <f t="shared" si="546"/>
        <v>2.18944099378882</v>
      </c>
      <c r="DF199" s="173">
        <f t="shared" si="547"/>
        <v>1.3975155279503106</v>
      </c>
      <c r="DG199" s="173">
        <f t="shared" si="548"/>
        <v>2.1418444504455847</v>
      </c>
      <c r="DH199" s="173"/>
      <c r="DI199" s="173">
        <f t="shared" si="549"/>
        <v>0.85106382978723416</v>
      </c>
      <c r="DJ199" s="545">
        <f t="shared" si="550"/>
        <v>2352.9374999999995</v>
      </c>
      <c r="DK199" s="528">
        <f t="shared" si="551"/>
        <v>0.79432624113475192</v>
      </c>
      <c r="DM199" s="173">
        <f t="shared" si="552"/>
        <v>3.4570838247616402</v>
      </c>
      <c r="DN199" s="173">
        <f t="shared" si="553"/>
        <v>4.6456737588652475</v>
      </c>
      <c r="DO199" s="173">
        <f t="shared" si="554"/>
        <v>3.6535855003940103</v>
      </c>
      <c r="DQ199" s="545">
        <f t="shared" si="555"/>
        <v>5340</v>
      </c>
      <c r="DR199" s="460">
        <f t="shared" si="556"/>
        <v>164.95009929695632</v>
      </c>
      <c r="DT199">
        <f t="shared" si="591"/>
        <v>5340</v>
      </c>
      <c r="DU199">
        <f t="shared" si="592"/>
        <v>164.95009929695632</v>
      </c>
      <c r="DW199" s="5">
        <f t="shared" si="557"/>
        <v>6.0624395151149333</v>
      </c>
      <c r="DX199" s="5">
        <f t="shared" si="558"/>
        <v>3.0971158392434983</v>
      </c>
      <c r="DY199" s="5">
        <f t="shared" si="559"/>
        <v>2.965323675871435</v>
      </c>
      <c r="DZ199" s="5"/>
      <c r="EA199" s="173">
        <f t="shared" si="560"/>
        <v>0.51086956521739124</v>
      </c>
      <c r="EB199" s="173">
        <f t="shared" si="561"/>
        <v>21.359999999999996</v>
      </c>
      <c r="EC199" s="173">
        <f t="shared" si="562"/>
        <v>4.5446808510638297</v>
      </c>
      <c r="ED199" s="173">
        <f t="shared" si="563"/>
        <v>4.6999999999999993</v>
      </c>
      <c r="EE199" s="460">
        <f t="shared" si="564"/>
        <v>413.46496453900698</v>
      </c>
      <c r="EF199" s="5">
        <f t="shared" si="565"/>
        <v>2.9323756350284182</v>
      </c>
      <c r="EH199" s="173">
        <f t="shared" si="566"/>
        <v>1.9170926240627022</v>
      </c>
      <c r="EI199" s="173">
        <f t="shared" si="567"/>
        <v>7.5034400239187384</v>
      </c>
      <c r="EK199" s="528">
        <f t="shared" si="568"/>
        <v>4.4837978376674525E-2</v>
      </c>
      <c r="EL199" s="528">
        <f t="shared" si="569"/>
        <v>0.56399999999999983</v>
      </c>
      <c r="EM199" s="528">
        <f t="shared" si="570"/>
        <v>2.0618762412119539E-2</v>
      </c>
      <c r="EN199" s="528">
        <f t="shared" si="571"/>
        <v>2.2338202247191012E-2</v>
      </c>
      <c r="EO199">
        <f t="shared" si="572"/>
        <v>8.0999999999999996E-3</v>
      </c>
      <c r="EP199" s="460">
        <f t="shared" si="573"/>
        <v>28.718762412119538</v>
      </c>
      <c r="EQ199" s="460"/>
      <c r="ER199" s="460">
        <f t="shared" si="593"/>
        <v>659.89494303598497</v>
      </c>
      <c r="ES199" s="528">
        <f t="shared" si="574"/>
        <v>3.7379999999999995</v>
      </c>
      <c r="EV199" s="460">
        <f t="shared" si="494"/>
        <v>3737.9999999999995</v>
      </c>
      <c r="EW199" s="528">
        <f t="shared" si="575"/>
        <v>0.11025732387706851</v>
      </c>
      <c r="EX199" s="528">
        <f t="shared" si="576"/>
        <v>1.6890483657763691</v>
      </c>
      <c r="EY199" s="528">
        <f t="shared" si="577"/>
        <v>0.81278041177063143</v>
      </c>
      <c r="EZ199" s="528"/>
      <c r="FA199" s="528">
        <f t="shared" si="578"/>
        <v>8.8999999999999996E-2</v>
      </c>
      <c r="FB199" s="460">
        <f t="shared" si="579"/>
        <v>2701.0861014240686</v>
      </c>
      <c r="FC199" s="173">
        <f t="shared" si="580"/>
        <v>7.0989810444600536</v>
      </c>
      <c r="FD199" s="5">
        <f t="shared" si="581"/>
        <v>21.36</v>
      </c>
      <c r="FE199" s="173">
        <f t="shared" si="582"/>
        <v>0.75055392765574891</v>
      </c>
      <c r="FF199" s="5">
        <f t="shared" si="583"/>
        <v>75.055392765574894</v>
      </c>
      <c r="FI199" s="562">
        <f t="shared" si="584"/>
        <v>-50</v>
      </c>
      <c r="FJ199">
        <f t="shared" si="585"/>
        <v>-50</v>
      </c>
      <c r="FL199">
        <f t="shared" si="586"/>
        <v>0.48913043478260876</v>
      </c>
    </row>
    <row r="200" spans="5:168">
      <c r="E200" s="170">
        <v>90</v>
      </c>
      <c r="F200" s="217">
        <f t="shared" si="587"/>
        <v>5.4</v>
      </c>
      <c r="G200" s="217"/>
      <c r="H200" s="217">
        <f t="shared" si="495"/>
        <v>21.6</v>
      </c>
      <c r="I200" s="541">
        <f t="shared" si="496"/>
        <v>17.881552989076617</v>
      </c>
      <c r="J200" s="172">
        <f t="shared" si="497"/>
        <v>20.147264579223311</v>
      </c>
      <c r="K200" s="172">
        <f t="shared" si="498"/>
        <v>38.028817568299928</v>
      </c>
      <c r="L200" s="443"/>
      <c r="M200" s="217">
        <f t="shared" si="499"/>
        <v>0.52951147419443423</v>
      </c>
      <c r="N200" s="172">
        <f t="shared" si="500"/>
        <v>31.774665915499138</v>
      </c>
      <c r="O200" s="172">
        <f t="shared" si="599"/>
        <v>21.6</v>
      </c>
      <c r="P200" s="217">
        <f t="shared" si="501"/>
        <v>7.9436664788747846</v>
      </c>
      <c r="Q200" s="217">
        <f t="shared" si="502"/>
        <v>4</v>
      </c>
      <c r="R200" s="217"/>
      <c r="S200" s="172">
        <f t="shared" si="503"/>
        <v>6.9753134791676459</v>
      </c>
      <c r="T200" s="536">
        <f t="shared" si="504"/>
        <v>4</v>
      </c>
      <c r="U200" s="217">
        <f t="shared" si="505"/>
        <v>5.7387159344153762</v>
      </c>
      <c r="V200" s="217">
        <f t="shared" si="506"/>
        <v>3.851152707768287</v>
      </c>
      <c r="W200" s="217">
        <f t="shared" si="507"/>
        <v>3.4180615905546063</v>
      </c>
      <c r="X200" s="197">
        <f t="shared" si="508"/>
        <v>350</v>
      </c>
      <c r="Y200" s="443">
        <f t="shared" si="509"/>
        <v>133.88289049686736</v>
      </c>
      <c r="AA200" s="217">
        <f t="shared" si="510"/>
        <v>2.2555850698980833</v>
      </c>
      <c r="AB200" s="173">
        <f t="shared" si="511"/>
        <v>1.3434588468495929</v>
      </c>
      <c r="AC200" s="173">
        <f t="shared" si="512"/>
        <v>2.1212000018835062</v>
      </c>
      <c r="AD200" s="173"/>
      <c r="AE200" s="173">
        <f t="shared" si="513"/>
        <v>0.79415247350748863</v>
      </c>
      <c r="AF200" s="545">
        <f t="shared" si="514"/>
        <v>2549.8881733079493</v>
      </c>
      <c r="AG200" s="528">
        <f t="shared" si="515"/>
        <v>0.74120897527365615</v>
      </c>
      <c r="AI200" s="173">
        <f t="shared" si="516"/>
        <v>3.5988627292224433</v>
      </c>
      <c r="AJ200" s="173">
        <f t="shared" si="517"/>
        <v>5.7387159344153762</v>
      </c>
      <c r="AK200" s="173">
        <f t="shared" si="518"/>
        <v>4.4632463711718833</v>
      </c>
      <c r="AM200" s="545">
        <f t="shared" si="519"/>
        <v>5400</v>
      </c>
      <c r="AN200" s="460">
        <f t="shared" si="520"/>
        <v>133.88289049686736</v>
      </c>
      <c r="AP200">
        <f t="shared" si="521"/>
        <v>5400</v>
      </c>
      <c r="AQ200">
        <f t="shared" si="522"/>
        <v>133.88289049686736</v>
      </c>
      <c r="AS200" s="5">
        <f t="shared" si="600"/>
        <v>7.4692142983228944</v>
      </c>
      <c r="AT200" s="5">
        <f t="shared" si="523"/>
        <v>3.851152707768287</v>
      </c>
      <c r="AU200" s="5">
        <f t="shared" si="478"/>
        <v>3.6180615905546074</v>
      </c>
      <c r="AV200" s="5"/>
      <c r="AW200" s="173">
        <f t="shared" si="479"/>
        <v>0.5156034562608558</v>
      </c>
      <c r="AX200" s="173">
        <f t="shared" si="596"/>
        <v>26.454879397401321</v>
      </c>
      <c r="AY200" s="173">
        <f t="shared" si="597"/>
        <v>5.5596283282631234</v>
      </c>
      <c r="AZ200" s="173">
        <f t="shared" si="601"/>
        <v>4.758389920224408</v>
      </c>
      <c r="BA200" s="460">
        <f t="shared" si="594"/>
        <v>519.90561554871886</v>
      </c>
      <c r="BB200" s="5">
        <f t="shared" si="595"/>
        <v>3.6420275503904049</v>
      </c>
      <c r="BD200" s="173">
        <f t="shared" si="602"/>
        <v>2.3790962385954875</v>
      </c>
      <c r="BE200" s="173">
        <f t="shared" si="598"/>
        <v>9.2239005020408005</v>
      </c>
      <c r="BG200" s="528">
        <f t="shared" si="480"/>
        <v>6.9053206732490199E-2</v>
      </c>
      <c r="BH200" s="528">
        <f t="shared" si="524"/>
        <v>0.5478402060521449</v>
      </c>
      <c r="BI200" s="528">
        <f t="shared" si="525"/>
        <v>5.9850850018761899E-2</v>
      </c>
      <c r="BJ200" s="528">
        <f t="shared" si="481"/>
        <v>1.9362022669074563E-2</v>
      </c>
      <c r="BK200">
        <f t="shared" si="482"/>
        <v>8.0466988450844778E-3</v>
      </c>
      <c r="BL200" s="460">
        <f t="shared" si="588"/>
        <v>67.897548863846367</v>
      </c>
      <c r="BM200" s="528">
        <f t="shared" si="526"/>
        <v>0.66582400360981053</v>
      </c>
      <c r="BN200" s="460">
        <f t="shared" si="527"/>
        <v>665.82400360981057</v>
      </c>
      <c r="BO200" s="528">
        <f t="shared" si="483"/>
        <v>3.78</v>
      </c>
      <c r="BR200" s="460">
        <f t="shared" si="484"/>
        <v>3780</v>
      </c>
      <c r="BS200" s="528">
        <f t="shared" si="485"/>
        <v>0.16980296737497588</v>
      </c>
      <c r="BT200" s="528">
        <f t="shared" si="486"/>
        <v>2.5524102141464557</v>
      </c>
      <c r="BU200" s="528">
        <f t="shared" si="487"/>
        <v>0.81812473643440708</v>
      </c>
      <c r="BV200" s="528"/>
      <c r="BW200" s="528">
        <f t="shared" si="488"/>
        <v>0.11022866415583885</v>
      </c>
      <c r="BX200" s="460">
        <f t="shared" si="489"/>
        <v>3650.5665821116777</v>
      </c>
      <c r="BY200" s="173">
        <f t="shared" si="490"/>
        <v>8.1347195664292329</v>
      </c>
      <c r="BZ200" s="5">
        <f t="shared" si="491"/>
        <v>21.6</v>
      </c>
      <c r="CA200" s="173">
        <f t="shared" si="492"/>
        <v>0.72642353164771711</v>
      </c>
      <c r="CB200" s="5">
        <f t="shared" si="493"/>
        <v>72.642353164771706</v>
      </c>
      <c r="CE200" s="562">
        <f t="shared" si="528"/>
        <v>-50</v>
      </c>
      <c r="CF200">
        <f t="shared" si="529"/>
        <v>-50</v>
      </c>
      <c r="CG200" s="173">
        <f t="shared" si="530"/>
        <v>0.48097456876181471</v>
      </c>
      <c r="CI200" s="170">
        <v>90</v>
      </c>
      <c r="CJ200" s="217">
        <f t="shared" si="589"/>
        <v>5.4</v>
      </c>
      <c r="CK200" s="217"/>
      <c r="CL200" s="217">
        <f t="shared" si="531"/>
        <v>21.6</v>
      </c>
      <c r="CM200" s="541">
        <f t="shared" si="532"/>
        <v>18</v>
      </c>
      <c r="CN200" s="443">
        <f t="shared" si="533"/>
        <v>18.8</v>
      </c>
      <c r="CO200" s="443">
        <f t="shared" si="534"/>
        <v>36.799999999999997</v>
      </c>
      <c r="CP200" s="443"/>
      <c r="CQ200" s="217">
        <f t="shared" si="535"/>
        <v>0.51086956521739135</v>
      </c>
      <c r="CR200" s="172">
        <f t="shared" si="590"/>
        <v>30.859076086956527</v>
      </c>
      <c r="CS200" s="172">
        <f t="shared" si="536"/>
        <v>21.6</v>
      </c>
      <c r="CT200" s="217">
        <f t="shared" si="537"/>
        <v>7.7147690217391318</v>
      </c>
      <c r="CU200" s="217">
        <f t="shared" si="538"/>
        <v>4</v>
      </c>
      <c r="CV200" s="217"/>
      <c r="CW200" s="172">
        <f t="shared" si="539"/>
        <v>7.0191852655258273</v>
      </c>
      <c r="CX200" s="536">
        <f t="shared" si="540"/>
        <v>4</v>
      </c>
      <c r="CY200" s="217">
        <f t="shared" si="541"/>
        <v>4.6978723404255316</v>
      </c>
      <c r="CZ200" s="217">
        <f t="shared" si="542"/>
        <v>3.1319148936170214</v>
      </c>
      <c r="DA200" s="217">
        <f t="shared" si="543"/>
        <v>2.9986419194205518</v>
      </c>
      <c r="DB200" s="197">
        <f t="shared" si="544"/>
        <v>350</v>
      </c>
      <c r="DC200" s="443">
        <f t="shared" si="545"/>
        <v>163.11732041587902</v>
      </c>
      <c r="DE200" s="217">
        <f t="shared" si="546"/>
        <v>2.18944099378882</v>
      </c>
      <c r="DF200" s="173">
        <f t="shared" si="547"/>
        <v>1.3975155279503106</v>
      </c>
      <c r="DG200" s="173">
        <f t="shared" si="548"/>
        <v>2.1418444504455847</v>
      </c>
      <c r="DH200" s="173"/>
      <c r="DI200" s="173">
        <f t="shared" si="549"/>
        <v>0.85106382978723416</v>
      </c>
      <c r="DJ200" s="545">
        <f t="shared" si="550"/>
        <v>2379.3749999999995</v>
      </c>
      <c r="DK200" s="528">
        <f t="shared" si="551"/>
        <v>0.79432624113475192</v>
      </c>
      <c r="DM200" s="173">
        <f t="shared" si="552"/>
        <v>3.4764513926868426</v>
      </c>
      <c r="DN200" s="173">
        <f t="shared" si="553"/>
        <v>4.6978723404255316</v>
      </c>
      <c r="DO200" s="173">
        <f t="shared" si="554"/>
        <v>3.6922511163645915</v>
      </c>
      <c r="DQ200" s="545">
        <f t="shared" si="555"/>
        <v>5400</v>
      </c>
      <c r="DR200" s="460">
        <f t="shared" si="556"/>
        <v>163.11732041587902</v>
      </c>
      <c r="DT200">
        <f t="shared" si="591"/>
        <v>5400</v>
      </c>
      <c r="DU200">
        <f t="shared" si="592"/>
        <v>163.11732041587902</v>
      </c>
      <c r="DW200" s="5">
        <f t="shared" si="557"/>
        <v>6.1305568130375736</v>
      </c>
      <c r="DX200" s="5">
        <f t="shared" si="558"/>
        <v>3.1319148936170214</v>
      </c>
      <c r="DY200" s="5">
        <f t="shared" si="559"/>
        <v>2.9986419194205522</v>
      </c>
      <c r="DZ200" s="5"/>
      <c r="EA200" s="173">
        <f t="shared" si="560"/>
        <v>0.51086956521739135</v>
      </c>
      <c r="EB200" s="173">
        <f t="shared" si="561"/>
        <v>21.599999999999998</v>
      </c>
      <c r="EC200" s="173">
        <f t="shared" si="562"/>
        <v>4.5957446808510634</v>
      </c>
      <c r="ED200" s="173">
        <f t="shared" si="563"/>
        <v>4.7</v>
      </c>
      <c r="EE200" s="460">
        <f t="shared" si="564"/>
        <v>422.80851063829789</v>
      </c>
      <c r="EF200" s="5">
        <f t="shared" si="565"/>
        <v>2.9986419194205522</v>
      </c>
      <c r="EH200" s="173">
        <f t="shared" si="566"/>
        <v>1.9386329906252049</v>
      </c>
      <c r="EI200" s="173">
        <f t="shared" si="567"/>
        <v>7.5877483387942295</v>
      </c>
      <c r="EK200" s="528">
        <f t="shared" si="568"/>
        <v>4.5851234042553195E-2</v>
      </c>
      <c r="EL200" s="528">
        <f t="shared" si="569"/>
        <v>0.56399999999999995</v>
      </c>
      <c r="EM200" s="528">
        <f t="shared" si="570"/>
        <v>2.0389665051984879E-2</v>
      </c>
      <c r="EN200" s="528">
        <f t="shared" si="571"/>
        <v>2.2089999999999999E-2</v>
      </c>
      <c r="EO200">
        <f t="shared" si="572"/>
        <v>8.0999999999999996E-3</v>
      </c>
      <c r="EP200" s="460">
        <f t="shared" si="573"/>
        <v>28.489665051984879</v>
      </c>
      <c r="EQ200" s="460"/>
      <c r="ER200" s="460">
        <f t="shared" si="593"/>
        <v>660.43089909453795</v>
      </c>
      <c r="ES200" s="528">
        <f t="shared" si="574"/>
        <v>3.78</v>
      </c>
      <c r="EV200" s="460">
        <f t="shared" si="494"/>
        <v>3780</v>
      </c>
      <c r="EW200" s="528">
        <f t="shared" si="575"/>
        <v>0.11274893617021277</v>
      </c>
      <c r="EX200" s="528">
        <f t="shared" si="576"/>
        <v>1.7272177455862376</v>
      </c>
      <c r="EY200" s="528">
        <f t="shared" si="577"/>
        <v>0.81278041177063065</v>
      </c>
      <c r="EZ200" s="528"/>
      <c r="FA200" s="528">
        <f t="shared" si="578"/>
        <v>0.09</v>
      </c>
      <c r="FB200" s="460">
        <f t="shared" si="579"/>
        <v>2742.7470935270808</v>
      </c>
      <c r="FC200" s="173">
        <f t="shared" si="580"/>
        <v>7.1831779926216193</v>
      </c>
      <c r="FD200" s="5">
        <f t="shared" si="581"/>
        <v>21.6</v>
      </c>
      <c r="FE200" s="173">
        <f t="shared" si="582"/>
        <v>0.75043832913575492</v>
      </c>
      <c r="FF200" s="5">
        <f t="shared" si="583"/>
        <v>75.043832913575486</v>
      </c>
      <c r="FI200" s="562">
        <f t="shared" si="584"/>
        <v>-50</v>
      </c>
      <c r="FJ200">
        <f t="shared" si="585"/>
        <v>-50</v>
      </c>
      <c r="FL200">
        <f t="shared" si="586"/>
        <v>0.48913043478260865</v>
      </c>
    </row>
    <row r="201" spans="5:168">
      <c r="E201" s="170">
        <v>91</v>
      </c>
      <c r="F201" s="217">
        <f t="shared" si="587"/>
        <v>5.46</v>
      </c>
      <c r="G201" s="217"/>
      <c r="H201" s="217">
        <f t="shared" si="495"/>
        <v>21.84</v>
      </c>
      <c r="I201" s="541">
        <f t="shared" si="496"/>
        <v>17.880259223698665</v>
      </c>
      <c r="J201" s="172">
        <f t="shared" si="497"/>
        <v>20.161980393948824</v>
      </c>
      <c r="K201" s="172">
        <f t="shared" si="498"/>
        <v>38.042239617647489</v>
      </c>
      <c r="L201" s="443"/>
      <c r="M201" s="217">
        <f t="shared" si="499"/>
        <v>0.52971165038871515</v>
      </c>
      <c r="N201" s="172">
        <f t="shared" si="500"/>
        <v>31.7843781623904</v>
      </c>
      <c r="O201" s="172">
        <f t="shared" si="599"/>
        <v>21.84</v>
      </c>
      <c r="P201" s="217">
        <f t="shared" si="501"/>
        <v>7.9460945405976</v>
      </c>
      <c r="Q201" s="217">
        <f t="shared" si="502"/>
        <v>4</v>
      </c>
      <c r="R201" s="217"/>
      <c r="S201" s="172">
        <f t="shared" si="503"/>
        <v>6.8597527901763273</v>
      </c>
      <c r="T201" s="536">
        <f t="shared" si="504"/>
        <v>4</v>
      </c>
      <c r="U201" s="217">
        <f t="shared" si="505"/>
        <v>5.804949244982299</v>
      </c>
      <c r="V201" s="217">
        <f t="shared" si="506"/>
        <v>3.8958826082040452</v>
      </c>
      <c r="W201" s="217">
        <f t="shared" si="507"/>
        <v>3.4549875348898924</v>
      </c>
      <c r="X201" s="197">
        <f t="shared" si="508"/>
        <v>350</v>
      </c>
      <c r="Y201" s="443">
        <f t="shared" si="509"/>
        <v>132.4350678861303</v>
      </c>
      <c r="AA201" s="217">
        <f t="shared" si="510"/>
        <v>2.2562729239558066</v>
      </c>
      <c r="AB201" s="173">
        <f t="shared" si="511"/>
        <v>1.3428876805968788</v>
      </c>
      <c r="AC201" s="173">
        <f t="shared" si="512"/>
        <v>2.1209447795511855</v>
      </c>
      <c r="AD201" s="173"/>
      <c r="AE201" s="173">
        <f t="shared" si="513"/>
        <v>0.79357283795405598</v>
      </c>
      <c r="AF201" s="545">
        <f t="shared" si="514"/>
        <v>2580.1034285381375</v>
      </c>
      <c r="AG201" s="528">
        <f t="shared" si="515"/>
        <v>0.74066798209045237</v>
      </c>
      <c r="AI201" s="173">
        <f t="shared" si="516"/>
        <v>3.6201225471062073</v>
      </c>
      <c r="AJ201" s="173">
        <f t="shared" si="517"/>
        <v>5.804949244982299</v>
      </c>
      <c r="AK201" s="173">
        <f t="shared" si="518"/>
        <v>4.5123080827029378</v>
      </c>
      <c r="AM201" s="545">
        <f t="shared" si="519"/>
        <v>5460</v>
      </c>
      <c r="AN201" s="460">
        <f t="shared" si="520"/>
        <v>132.4350678861303</v>
      </c>
      <c r="AP201">
        <f t="shared" si="521"/>
        <v>5460</v>
      </c>
      <c r="AQ201">
        <f t="shared" si="522"/>
        <v>132.4350678861303</v>
      </c>
      <c r="AS201" s="5">
        <f t="shared" si="600"/>
        <v>7.5508701430939373</v>
      </c>
      <c r="AT201" s="5">
        <f t="shared" si="523"/>
        <v>3.8958826082040452</v>
      </c>
      <c r="AU201" s="5">
        <f t="shared" si="478"/>
        <v>3.6549875348898921</v>
      </c>
      <c r="AV201" s="5"/>
      <c r="AW201" s="173">
        <f t="shared" si="479"/>
        <v>0.51595147769389704</v>
      </c>
      <c r="AX201" s="173">
        <f t="shared" si="596"/>
        <v>26.77633313636607</v>
      </c>
      <c r="AY201" s="173">
        <f t="shared" si="597"/>
        <v>5.6197542081912202</v>
      </c>
      <c r="AZ201" s="173">
        <f t="shared" si="601"/>
        <v>4.7646804725618646</v>
      </c>
      <c r="BA201" s="460">
        <f t="shared" si="594"/>
        <v>531.78797601985218</v>
      </c>
      <c r="BB201" s="5">
        <f t="shared" si="595"/>
        <v>3.7203472445650432</v>
      </c>
      <c r="BD201" s="173">
        <f t="shared" si="602"/>
        <v>2.4073665946359801</v>
      </c>
      <c r="BE201" s="173">
        <f t="shared" si="598"/>
        <v>9.3270056570978479</v>
      </c>
      <c r="BG201" s="528">
        <f t="shared" si="480"/>
        <v>7.0704049835824678E-2</v>
      </c>
      <c r="BH201" s="528">
        <f t="shared" si="524"/>
        <v>0.54836379606165409</v>
      </c>
      <c r="BI201" s="528">
        <f t="shared" si="525"/>
        <v>5.9199333602803501E-2</v>
      </c>
      <c r="BJ201" s="528">
        <f t="shared" si="481"/>
        <v>1.9166161882020118E-2</v>
      </c>
      <c r="BK201">
        <f t="shared" si="482"/>
        <v>8.0461166506643998E-3</v>
      </c>
      <c r="BL201" s="460">
        <f t="shared" si="588"/>
        <v>67.245450253467894</v>
      </c>
      <c r="BM201" s="528">
        <f t="shared" si="526"/>
        <v>0.66855535127496524</v>
      </c>
      <c r="BN201" s="460">
        <f t="shared" si="527"/>
        <v>668.55535127496523</v>
      </c>
      <c r="BO201" s="528">
        <f t="shared" si="483"/>
        <v>3.8219999999999996</v>
      </c>
      <c r="BR201" s="460">
        <f t="shared" si="484"/>
        <v>3821.9999999999995</v>
      </c>
      <c r="BS201" s="528">
        <f t="shared" si="485"/>
        <v>0.17386241762907706</v>
      </c>
      <c r="BT201" s="528">
        <f t="shared" si="486"/>
        <v>2.6097910358260576</v>
      </c>
      <c r="BU201" s="528">
        <f t="shared" si="487"/>
        <v>0.81935775353274654</v>
      </c>
      <c r="BV201" s="528"/>
      <c r="BW201" s="528">
        <f t="shared" si="488"/>
        <v>0.11156805473485863</v>
      </c>
      <c r="BX201" s="460">
        <f t="shared" si="489"/>
        <v>3714.5792617227398</v>
      </c>
      <c r="BY201" s="173">
        <f t="shared" si="490"/>
        <v>8.2420587197557058</v>
      </c>
      <c r="BZ201" s="5">
        <f t="shared" si="491"/>
        <v>21.84</v>
      </c>
      <c r="CA201" s="173">
        <f t="shared" si="492"/>
        <v>0.72601414030407019</v>
      </c>
      <c r="CB201" s="5">
        <f t="shared" si="493"/>
        <v>72.601414030407014</v>
      </c>
      <c r="CE201" s="562">
        <f t="shared" si="528"/>
        <v>-50</v>
      </c>
      <c r="CF201">
        <f t="shared" si="529"/>
        <v>-50</v>
      </c>
      <c r="CG201" s="173">
        <f t="shared" si="530"/>
        <v>0.48106419366314224</v>
      </c>
      <c r="CI201" s="170">
        <v>91</v>
      </c>
      <c r="CJ201" s="217">
        <f t="shared" si="589"/>
        <v>5.46</v>
      </c>
      <c r="CK201" s="217"/>
      <c r="CL201" s="217">
        <f t="shared" si="531"/>
        <v>21.84</v>
      </c>
      <c r="CM201" s="541">
        <f t="shared" si="532"/>
        <v>18</v>
      </c>
      <c r="CN201" s="443">
        <f t="shared" si="533"/>
        <v>18.8</v>
      </c>
      <c r="CO201" s="443">
        <f t="shared" si="534"/>
        <v>36.799999999999997</v>
      </c>
      <c r="CP201" s="443"/>
      <c r="CQ201" s="217">
        <f t="shared" si="535"/>
        <v>0.51086956521739135</v>
      </c>
      <c r="CR201" s="172">
        <f t="shared" si="590"/>
        <v>30.859076086956527</v>
      </c>
      <c r="CS201" s="172">
        <f t="shared" si="536"/>
        <v>21.84</v>
      </c>
      <c r="CT201" s="217">
        <f t="shared" si="537"/>
        <v>7.7147690217391318</v>
      </c>
      <c r="CU201" s="217">
        <f t="shared" si="538"/>
        <v>4</v>
      </c>
      <c r="CV201" s="217"/>
      <c r="CW201" s="172">
        <f t="shared" si="539"/>
        <v>6.9033045353692533</v>
      </c>
      <c r="CX201" s="536">
        <f t="shared" si="540"/>
        <v>4</v>
      </c>
      <c r="CY201" s="217">
        <f t="shared" si="541"/>
        <v>4.7500709219858148</v>
      </c>
      <c r="CZ201" s="217">
        <f t="shared" si="542"/>
        <v>3.1667139479905431</v>
      </c>
      <c r="DA201" s="217">
        <f t="shared" si="543"/>
        <v>3.0319601629696691</v>
      </c>
      <c r="DB201" s="197">
        <f t="shared" si="544"/>
        <v>350</v>
      </c>
      <c r="DC201" s="443">
        <f t="shared" si="545"/>
        <v>161.32482238933093</v>
      </c>
      <c r="DE201" s="217">
        <f t="shared" si="546"/>
        <v>2.18944099378882</v>
      </c>
      <c r="DF201" s="173">
        <f t="shared" si="547"/>
        <v>1.3975155279503106</v>
      </c>
      <c r="DG201" s="173">
        <f t="shared" si="548"/>
        <v>2.1418444504455847</v>
      </c>
      <c r="DH201" s="173"/>
      <c r="DI201" s="173">
        <f t="shared" si="549"/>
        <v>0.85106382978723416</v>
      </c>
      <c r="DJ201" s="545">
        <f t="shared" si="550"/>
        <v>2405.8124999999995</v>
      </c>
      <c r="DK201" s="528">
        <f t="shared" si="551"/>
        <v>0.79432624113475192</v>
      </c>
      <c r="DM201" s="173">
        <f t="shared" si="552"/>
        <v>3.4957116585897072</v>
      </c>
      <c r="DN201" s="173">
        <f t="shared" si="553"/>
        <v>4.7500709219858148</v>
      </c>
      <c r="DO201" s="173">
        <f t="shared" si="554"/>
        <v>3.7309167323351717</v>
      </c>
      <c r="DQ201" s="545">
        <f t="shared" si="555"/>
        <v>5460</v>
      </c>
      <c r="DR201" s="460">
        <f t="shared" si="556"/>
        <v>161.32482238933093</v>
      </c>
      <c r="DT201">
        <f t="shared" si="591"/>
        <v>5460</v>
      </c>
      <c r="DU201">
        <f t="shared" si="592"/>
        <v>161.32482238933093</v>
      </c>
      <c r="DW201" s="5">
        <f t="shared" si="557"/>
        <v>6.1986741109602121</v>
      </c>
      <c r="DX201" s="5">
        <f t="shared" si="558"/>
        <v>3.1667139479905431</v>
      </c>
      <c r="DY201" s="5">
        <f t="shared" si="559"/>
        <v>3.0319601629696691</v>
      </c>
      <c r="DZ201" s="5"/>
      <c r="EA201" s="173">
        <f t="shared" si="560"/>
        <v>0.51086956521739124</v>
      </c>
      <c r="EB201" s="173">
        <f t="shared" si="561"/>
        <v>21.84</v>
      </c>
      <c r="EC201" s="173">
        <f t="shared" si="562"/>
        <v>4.6468085106382979</v>
      </c>
      <c r="ED201" s="173">
        <f t="shared" si="563"/>
        <v>4.7</v>
      </c>
      <c r="EE201" s="460">
        <f t="shared" si="564"/>
        <v>432.25645390070912</v>
      </c>
      <c r="EF201" s="5">
        <f t="shared" si="565"/>
        <v>3.0656486092248874</v>
      </c>
      <c r="EH201" s="173">
        <f t="shared" si="566"/>
        <v>1.9601733571877067</v>
      </c>
      <c r="EI201" s="173">
        <f t="shared" si="567"/>
        <v>7.6720566536697214</v>
      </c>
      <c r="EK201" s="528">
        <f t="shared" si="568"/>
        <v>4.6875811000787998E-2</v>
      </c>
      <c r="EL201" s="528">
        <f t="shared" si="569"/>
        <v>0.56399999999999995</v>
      </c>
      <c r="EM201" s="528">
        <f t="shared" si="570"/>
        <v>2.0165602798666363E-2</v>
      </c>
      <c r="EN201" s="528">
        <f t="shared" si="571"/>
        <v>2.184725274725275E-2</v>
      </c>
      <c r="EO201">
        <f t="shared" si="572"/>
        <v>8.0999999999999996E-3</v>
      </c>
      <c r="EP201" s="460">
        <f t="shared" si="573"/>
        <v>28.265602798666364</v>
      </c>
      <c r="EQ201" s="460"/>
      <c r="ER201" s="460">
        <f t="shared" si="593"/>
        <v>660.98866654670712</v>
      </c>
      <c r="ES201" s="528">
        <f t="shared" si="574"/>
        <v>3.8219999999999996</v>
      </c>
      <c r="EV201" s="460">
        <f t="shared" si="494"/>
        <v>3821.9999999999995</v>
      </c>
      <c r="EW201" s="528">
        <f t="shared" si="575"/>
        <v>0.11526838770685574</v>
      </c>
      <c r="EX201" s="528">
        <f t="shared" si="576"/>
        <v>1.7658135989135353</v>
      </c>
      <c r="EY201" s="528">
        <f t="shared" si="577"/>
        <v>0.81278041177063154</v>
      </c>
      <c r="EZ201" s="528"/>
      <c r="FA201" s="528">
        <f t="shared" si="578"/>
        <v>9.0999999999999998E-2</v>
      </c>
      <c r="FB201" s="460">
        <f t="shared" si="579"/>
        <v>2784.8623983910229</v>
      </c>
      <c r="FC201" s="173">
        <f t="shared" si="580"/>
        <v>7.2678510649377293</v>
      </c>
      <c r="FD201" s="5">
        <f t="shared" si="581"/>
        <v>21.84</v>
      </c>
      <c r="FE201" s="173">
        <f t="shared" si="582"/>
        <v>0.75031303242813685</v>
      </c>
      <c r="FF201" s="5">
        <f t="shared" si="583"/>
        <v>75.031303242813692</v>
      </c>
      <c r="FI201" s="562">
        <f t="shared" si="584"/>
        <v>-50</v>
      </c>
      <c r="FJ201">
        <f t="shared" si="585"/>
        <v>-50</v>
      </c>
      <c r="FL201">
        <f t="shared" si="586"/>
        <v>0.48913043478260876</v>
      </c>
    </row>
    <row r="202" spans="5:168">
      <c r="E202" s="170">
        <v>92</v>
      </c>
      <c r="F202" s="217">
        <f t="shared" si="587"/>
        <v>5.5200000000000005</v>
      </c>
      <c r="G202" s="217"/>
      <c r="H202" s="217">
        <f t="shared" si="495"/>
        <v>22.080000000000002</v>
      </c>
      <c r="I202" s="541">
        <f t="shared" si="496"/>
        <v>17.878965450189042</v>
      </c>
      <c r="J202" s="172">
        <f t="shared" si="497"/>
        <v>20.176696301167286</v>
      </c>
      <c r="K202" s="172">
        <f t="shared" si="498"/>
        <v>38.055661751356325</v>
      </c>
      <c r="L202" s="443"/>
      <c r="M202" s="217">
        <f t="shared" si="499"/>
        <v>0.52991168536649924</v>
      </c>
      <c r="N202" s="172">
        <f t="shared" si="500"/>
        <v>31.794080183802468</v>
      </c>
      <c r="O202" s="172">
        <f t="shared" si="599"/>
        <v>22.080000000000002</v>
      </c>
      <c r="P202" s="217">
        <f t="shared" si="501"/>
        <v>7.9485200459506169</v>
      </c>
      <c r="Q202" s="217">
        <f t="shared" si="502"/>
        <v>4</v>
      </c>
      <c r="R202" s="217"/>
      <c r="S202" s="172">
        <f t="shared" si="503"/>
        <v>6.7468866386536144</v>
      </c>
      <c r="T202" s="536">
        <f t="shared" si="504"/>
        <v>4</v>
      </c>
      <c r="U202" s="217">
        <f t="shared" si="505"/>
        <v>5.8712371996564183</v>
      </c>
      <c r="V202" s="217">
        <f t="shared" si="506"/>
        <v>3.9406556599801514</v>
      </c>
      <c r="W202" s="217">
        <f t="shared" si="507"/>
        <v>3.4918920988963387</v>
      </c>
      <c r="X202" s="197">
        <f t="shared" si="508"/>
        <v>350</v>
      </c>
      <c r="Y202" s="443">
        <f t="shared" si="509"/>
        <v>131.01785034191516</v>
      </c>
      <c r="AA202" s="217">
        <f t="shared" si="510"/>
        <v>2.2569600588917691</v>
      </c>
      <c r="AB202" s="173">
        <f t="shared" si="511"/>
        <v>1.3423169136532209</v>
      </c>
      <c r="AC202" s="173">
        <f t="shared" si="512"/>
        <v>2.120688962343134</v>
      </c>
      <c r="AD202" s="173"/>
      <c r="AE202" s="173">
        <f t="shared" si="513"/>
        <v>0.7929940442764335</v>
      </c>
      <c r="AF202" s="545">
        <f t="shared" si="514"/>
        <v>2610.3600839635169</v>
      </c>
      <c r="AG202" s="528">
        <f t="shared" si="515"/>
        <v>0.74012777465800461</v>
      </c>
      <c r="AI202" s="173">
        <f t="shared" si="516"/>
        <v>3.641287115163097</v>
      </c>
      <c r="AJ202" s="173">
        <f t="shared" si="517"/>
        <v>5.8712371996564183</v>
      </c>
      <c r="AK202" s="173">
        <f t="shared" si="518"/>
        <v>4.5614102713504332</v>
      </c>
      <c r="AM202" s="545">
        <f t="shared" si="519"/>
        <v>5520.0000000000009</v>
      </c>
      <c r="AN202" s="460">
        <f t="shared" si="520"/>
        <v>131.01785034191516</v>
      </c>
      <c r="AP202">
        <f t="shared" si="521"/>
        <v>5520.0000000000009</v>
      </c>
      <c r="AQ202">
        <f t="shared" si="522"/>
        <v>131.01785034191516</v>
      </c>
      <c r="AS202" s="5">
        <f t="shared" si="600"/>
        <v>7.6325477588764903</v>
      </c>
      <c r="AT202" s="5">
        <f t="shared" si="523"/>
        <v>3.9406556599801514</v>
      </c>
      <c r="AU202" s="5">
        <f t="shared" si="478"/>
        <v>3.6918920988963388</v>
      </c>
      <c r="AV202" s="5"/>
      <c r="AW202" s="173">
        <f t="shared" si="479"/>
        <v>0.51629623350830045</v>
      </c>
      <c r="AX202" s="173">
        <f t="shared" si="596"/>
        <v>27.098232996608356</v>
      </c>
      <c r="AY202" s="173">
        <f t="shared" si="597"/>
        <v>5.6798790948799764</v>
      </c>
      <c r="AZ202" s="173">
        <f t="shared" si="601"/>
        <v>4.7709172226985546</v>
      </c>
      <c r="BA202" s="460">
        <f t="shared" si="594"/>
        <v>543.81048107726099</v>
      </c>
      <c r="BB202" s="5">
        <f t="shared" si="595"/>
        <v>3.7994824034393093</v>
      </c>
      <c r="BD202" s="173">
        <f t="shared" si="602"/>
        <v>2.4356701705365249</v>
      </c>
      <c r="BE202" s="173">
        <f t="shared" si="598"/>
        <v>9.4301526932014053</v>
      </c>
      <c r="BG202" s="528">
        <f t="shared" si="480"/>
        <v>7.2376367991625376E-2</v>
      </c>
      <c r="BH202" s="528">
        <f t="shared" si="524"/>
        <v>0.54888409477750166</v>
      </c>
      <c r="BI202" s="528">
        <f t="shared" si="525"/>
        <v>5.8561590490528496E-2</v>
      </c>
      <c r="BJ202" s="528">
        <f t="shared" si="481"/>
        <v>1.8974442572591572E-2</v>
      </c>
      <c r="BK202">
        <f t="shared" si="482"/>
        <v>8.0455344525850684E-3</v>
      </c>
      <c r="BL202" s="460">
        <f t="shared" si="588"/>
        <v>66.607124943113561</v>
      </c>
      <c r="BM202" s="528">
        <f t="shared" si="526"/>
        <v>0.67132097986825323</v>
      </c>
      <c r="BN202" s="460">
        <f t="shared" si="527"/>
        <v>671.32097986825318</v>
      </c>
      <c r="BO202" s="528">
        <f t="shared" si="483"/>
        <v>3.8639999999999999</v>
      </c>
      <c r="BR202" s="460">
        <f t="shared" si="484"/>
        <v>3864</v>
      </c>
      <c r="BS202" s="528">
        <f t="shared" si="485"/>
        <v>0.17797467538924275</v>
      </c>
      <c r="BT202" s="528">
        <f t="shared" si="486"/>
        <v>2.6678333945128117</v>
      </c>
      <c r="BU202" s="528">
        <f t="shared" si="487"/>
        <v>0.82057870824157841</v>
      </c>
      <c r="BV202" s="528"/>
      <c r="BW202" s="528">
        <f t="shared" si="488"/>
        <v>0.11290930415253481</v>
      </c>
      <c r="BX202" s="460">
        <f t="shared" si="489"/>
        <v>3779.2960822961677</v>
      </c>
      <c r="BY202" s="173">
        <f t="shared" si="490"/>
        <v>8.3501381125809999</v>
      </c>
      <c r="BZ202" s="5">
        <f t="shared" si="491"/>
        <v>22.080000000000002</v>
      </c>
      <c r="CA202" s="173">
        <f t="shared" si="492"/>
        <v>0.72559644383839561</v>
      </c>
      <c r="CB202" s="5">
        <f t="shared" si="493"/>
        <v>72.559644383839554</v>
      </c>
      <c r="CE202" s="562">
        <f t="shared" si="528"/>
        <v>-50</v>
      </c>
      <c r="CF202">
        <f t="shared" si="529"/>
        <v>-50</v>
      </c>
      <c r="CG202" s="173">
        <f t="shared" si="530"/>
        <v>0.48115187019704936</v>
      </c>
      <c r="CI202" s="170">
        <v>92</v>
      </c>
      <c r="CJ202" s="217">
        <f t="shared" si="589"/>
        <v>5.5200000000000005</v>
      </c>
      <c r="CK202" s="217"/>
      <c r="CL202" s="217">
        <f t="shared" si="531"/>
        <v>22.080000000000002</v>
      </c>
      <c r="CM202" s="541">
        <f t="shared" si="532"/>
        <v>18</v>
      </c>
      <c r="CN202" s="443">
        <f t="shared" si="533"/>
        <v>18.8</v>
      </c>
      <c r="CO202" s="443">
        <f t="shared" si="534"/>
        <v>36.799999999999997</v>
      </c>
      <c r="CP202" s="443"/>
      <c r="CQ202" s="217">
        <f t="shared" si="535"/>
        <v>0.51086956521739135</v>
      </c>
      <c r="CR202" s="172">
        <f t="shared" si="590"/>
        <v>30.859076086956527</v>
      </c>
      <c r="CS202" s="172">
        <f t="shared" si="536"/>
        <v>22.080000000000002</v>
      </c>
      <c r="CT202" s="217">
        <f t="shared" si="537"/>
        <v>7.7147690217391318</v>
      </c>
      <c r="CU202" s="217">
        <f t="shared" si="538"/>
        <v>4</v>
      </c>
      <c r="CV202" s="217"/>
      <c r="CW202" s="172">
        <f t="shared" si="539"/>
        <v>6.7901192682907912</v>
      </c>
      <c r="CX202" s="536">
        <f t="shared" si="540"/>
        <v>4</v>
      </c>
      <c r="CY202" s="217">
        <f t="shared" si="541"/>
        <v>4.8022695035460989</v>
      </c>
      <c r="CZ202" s="217">
        <f t="shared" si="542"/>
        <v>3.2015130023640661</v>
      </c>
      <c r="DA202" s="217">
        <f t="shared" si="543"/>
        <v>3.0652784065187864</v>
      </c>
      <c r="DB202" s="197">
        <f t="shared" si="544"/>
        <v>350</v>
      </c>
      <c r="DC202" s="443">
        <f t="shared" si="545"/>
        <v>159.57129171118601</v>
      </c>
      <c r="DE202" s="217">
        <f t="shared" si="546"/>
        <v>2.18944099378882</v>
      </c>
      <c r="DF202" s="173">
        <f t="shared" si="547"/>
        <v>1.3975155279503106</v>
      </c>
      <c r="DG202" s="173">
        <f t="shared" si="548"/>
        <v>2.1418444504455847</v>
      </c>
      <c r="DH202" s="173"/>
      <c r="DI202" s="173">
        <f t="shared" si="549"/>
        <v>0.85106382978723416</v>
      </c>
      <c r="DJ202" s="545">
        <f t="shared" si="550"/>
        <v>2432.2499999999995</v>
      </c>
      <c r="DK202" s="528">
        <f t="shared" si="551"/>
        <v>0.79432624113475192</v>
      </c>
      <c r="DM202" s="173">
        <f t="shared" si="552"/>
        <v>3.5148663864058496</v>
      </c>
      <c r="DN202" s="173">
        <f t="shared" si="553"/>
        <v>4.8022695035460989</v>
      </c>
      <c r="DO202" s="173">
        <f t="shared" si="554"/>
        <v>3.769582348305752</v>
      </c>
      <c r="DQ202" s="545">
        <f t="shared" si="555"/>
        <v>5520.0000000000009</v>
      </c>
      <c r="DR202" s="460">
        <f t="shared" si="556"/>
        <v>159.57129171118601</v>
      </c>
      <c r="DT202">
        <f t="shared" si="591"/>
        <v>5520.0000000000009</v>
      </c>
      <c r="DU202">
        <f t="shared" si="592"/>
        <v>159.57129171118601</v>
      </c>
      <c r="DW202" s="5">
        <f t="shared" si="557"/>
        <v>6.2667914088828525</v>
      </c>
      <c r="DX202" s="5">
        <f t="shared" si="558"/>
        <v>3.2015130023640661</v>
      </c>
      <c r="DY202" s="5">
        <f t="shared" si="559"/>
        <v>3.0652784065187864</v>
      </c>
      <c r="DZ202" s="5"/>
      <c r="EA202" s="173">
        <f t="shared" si="560"/>
        <v>0.51086956521739135</v>
      </c>
      <c r="EB202" s="173">
        <f t="shared" si="561"/>
        <v>22.080000000000002</v>
      </c>
      <c r="EC202" s="173">
        <f t="shared" si="562"/>
        <v>4.6978723404255307</v>
      </c>
      <c r="ED202" s="173">
        <f t="shared" si="563"/>
        <v>4.700000000000002</v>
      </c>
      <c r="EE202" s="460">
        <f t="shared" si="564"/>
        <v>441.80879432624107</v>
      </c>
      <c r="EF202" s="5">
        <f t="shared" si="565"/>
        <v>3.1333957044414258</v>
      </c>
      <c r="EH202" s="173">
        <f t="shared" si="566"/>
        <v>1.9817137237502094</v>
      </c>
      <c r="EI202" s="173">
        <f t="shared" si="567"/>
        <v>7.7563649685452125</v>
      </c>
      <c r="EK202" s="528">
        <f t="shared" si="568"/>
        <v>4.7911709251379032E-2</v>
      </c>
      <c r="EL202" s="528">
        <f t="shared" si="569"/>
        <v>0.56400000000000006</v>
      </c>
      <c r="EM202" s="528">
        <f t="shared" si="570"/>
        <v>1.994641146389825E-2</v>
      </c>
      <c r="EN202" s="528">
        <f t="shared" si="571"/>
        <v>2.160978260869565E-2</v>
      </c>
      <c r="EO202">
        <f t="shared" si="572"/>
        <v>8.0999999999999996E-3</v>
      </c>
      <c r="EP202" s="460">
        <f t="shared" si="573"/>
        <v>28.046411463898249</v>
      </c>
      <c r="EQ202" s="460"/>
      <c r="ER202" s="460">
        <f t="shared" si="593"/>
        <v>661.56790332397293</v>
      </c>
      <c r="ES202" s="528">
        <f t="shared" si="574"/>
        <v>3.8639999999999999</v>
      </c>
      <c r="EV202" s="460">
        <f t="shared" si="494"/>
        <v>3864</v>
      </c>
      <c r="EW202" s="528">
        <f t="shared" si="575"/>
        <v>0.11781567848699763</v>
      </c>
      <c r="EX202" s="528">
        <f t="shared" si="576"/>
        <v>1.8048359257582611</v>
      </c>
      <c r="EY202" s="528">
        <f t="shared" si="577"/>
        <v>0.81278041177063187</v>
      </c>
      <c r="EZ202" s="528"/>
      <c r="FA202" s="528">
        <f t="shared" si="578"/>
        <v>9.1999999999999998E-2</v>
      </c>
      <c r="FB202" s="460">
        <f t="shared" si="579"/>
        <v>2827.4320160158909</v>
      </c>
      <c r="FC202" s="173">
        <f t="shared" si="580"/>
        <v>7.3529999193398625</v>
      </c>
      <c r="FD202" s="5">
        <f t="shared" si="581"/>
        <v>22.080000000000002</v>
      </c>
      <c r="FE202" s="173">
        <f t="shared" si="582"/>
        <v>0.75017837327182046</v>
      </c>
      <c r="FF202" s="5">
        <f t="shared" si="583"/>
        <v>75.01783732718205</v>
      </c>
      <c r="FI202" s="562">
        <f t="shared" si="584"/>
        <v>-50</v>
      </c>
      <c r="FJ202">
        <f t="shared" si="585"/>
        <v>-50</v>
      </c>
      <c r="FL202">
        <f t="shared" si="586"/>
        <v>0.48913043478260865</v>
      </c>
    </row>
    <row r="203" spans="5:168">
      <c r="E203" s="170">
        <v>93</v>
      </c>
      <c r="F203" s="217">
        <f t="shared" si="587"/>
        <v>5.58</v>
      </c>
      <c r="G203" s="217"/>
      <c r="H203" s="217">
        <f t="shared" si="495"/>
        <v>22.32</v>
      </c>
      <c r="I203" s="541">
        <f t="shared" si="496"/>
        <v>17.877671668814362</v>
      </c>
      <c r="J203" s="172">
        <f t="shared" si="497"/>
        <v>20.191412297846117</v>
      </c>
      <c r="K203" s="172">
        <f t="shared" si="498"/>
        <v>38.069083966660479</v>
      </c>
      <c r="L203" s="443"/>
      <c r="M203" s="217">
        <f t="shared" si="499"/>
        <v>0.53011157927370134</v>
      </c>
      <c r="N203" s="172">
        <f t="shared" si="500"/>
        <v>31.8037719907867</v>
      </c>
      <c r="O203" s="172">
        <f t="shared" si="599"/>
        <v>22.32</v>
      </c>
      <c r="P203" s="217">
        <f t="shared" si="501"/>
        <v>7.950942997696675</v>
      </c>
      <c r="Q203" s="217">
        <f t="shared" si="502"/>
        <v>4</v>
      </c>
      <c r="R203" s="217"/>
      <c r="S203" s="172">
        <f t="shared" si="503"/>
        <v>6.6366293783327936</v>
      </c>
      <c r="T203" s="536">
        <f t="shared" si="504"/>
        <v>4</v>
      </c>
      <c r="U203" s="217">
        <f t="shared" si="505"/>
        <v>5.9375798103037818</v>
      </c>
      <c r="V203" s="217">
        <f t="shared" si="506"/>
        <v>3.9854718804314362</v>
      </c>
      <c r="W203" s="217">
        <f t="shared" si="507"/>
        <v>3.528775336396154</v>
      </c>
      <c r="X203" s="197">
        <f t="shared" si="508"/>
        <v>350</v>
      </c>
      <c r="Y203" s="443">
        <f t="shared" si="509"/>
        <v>129.63027653801851</v>
      </c>
      <c r="AA203" s="217">
        <f t="shared" si="510"/>
        <v>2.2576464753161622</v>
      </c>
      <c r="AB203" s="173">
        <f t="shared" si="511"/>
        <v>1.341746545717553</v>
      </c>
      <c r="AC203" s="173">
        <f t="shared" si="512"/>
        <v>2.1204325517948086</v>
      </c>
      <c r="AD203" s="173"/>
      <c r="AE203" s="173">
        <f t="shared" si="513"/>
        <v>0.7924160907608615</v>
      </c>
      <c r="AF203" s="545">
        <f t="shared" si="514"/>
        <v>2640.6581395776866</v>
      </c>
      <c r="AG203" s="528">
        <f t="shared" si="515"/>
        <v>0.73958835137680412</v>
      </c>
      <c r="AI203" s="173">
        <f t="shared" si="516"/>
        <v>3.662358084719743</v>
      </c>
      <c r="AJ203" s="173">
        <f t="shared" si="517"/>
        <v>5.9375798103037818</v>
      </c>
      <c r="AK203" s="173">
        <f t="shared" si="518"/>
        <v>4.6105529459040362</v>
      </c>
      <c r="AM203" s="545">
        <f t="shared" si="519"/>
        <v>5580</v>
      </c>
      <c r="AN203" s="460">
        <f t="shared" si="520"/>
        <v>129.63027653801851</v>
      </c>
      <c r="AP203">
        <f t="shared" si="521"/>
        <v>5580</v>
      </c>
      <c r="AQ203">
        <f t="shared" si="522"/>
        <v>129.63027653801851</v>
      </c>
      <c r="AS203" s="5">
        <f t="shared" si="600"/>
        <v>7.7142472168275891</v>
      </c>
      <c r="AT203" s="5">
        <f t="shared" si="523"/>
        <v>3.9854718804314362</v>
      </c>
      <c r="AU203" s="5">
        <f t="shared" si="478"/>
        <v>3.7287753363961529</v>
      </c>
      <c r="AV203" s="5"/>
      <c r="AW203" s="173">
        <f t="shared" si="479"/>
        <v>0.51663782199482366</v>
      </c>
      <c r="AX203" s="173">
        <f t="shared" si="596"/>
        <v>27.420578842863677</v>
      </c>
      <c r="AY203" s="173">
        <f t="shared" si="597"/>
        <v>5.7400030183759956</v>
      </c>
      <c r="AZ203" s="173">
        <f t="shared" si="601"/>
        <v>4.7771018159885417</v>
      </c>
      <c r="BA203" s="460">
        <f t="shared" si="594"/>
        <v>555.97332732018538</v>
      </c>
      <c r="BB203" s="5">
        <f t="shared" si="595"/>
        <v>3.87943254254697</v>
      </c>
      <c r="BD203" s="173">
        <f t="shared" si="602"/>
        <v>2.4640069661177946</v>
      </c>
      <c r="BE203" s="173">
        <f t="shared" si="598"/>
        <v>9.5333416363122936</v>
      </c>
      <c r="BG203" s="528">
        <f t="shared" si="480"/>
        <v>7.4070230014739627E-2</v>
      </c>
      <c r="BH203" s="528">
        <f t="shared" si="524"/>
        <v>0.54940120371725343</v>
      </c>
      <c r="BI203" s="528">
        <f t="shared" si="525"/>
        <v>5.7937188057107611E-2</v>
      </c>
      <c r="BJ203" s="528">
        <f t="shared" si="481"/>
        <v>1.8786734639503016E-2</v>
      </c>
      <c r="BK203">
        <f t="shared" si="482"/>
        <v>8.0449522509664622E-3</v>
      </c>
      <c r="BL203" s="460">
        <f t="shared" si="588"/>
        <v>65.982140308074079</v>
      </c>
      <c r="BM203" s="528">
        <f t="shared" si="526"/>
        <v>0.67412104516289872</v>
      </c>
      <c r="BN203" s="460">
        <f t="shared" si="527"/>
        <v>674.12104516289878</v>
      </c>
      <c r="BO203" s="528">
        <f t="shared" si="483"/>
        <v>3.9059999999999997</v>
      </c>
      <c r="BR203" s="460">
        <f t="shared" si="484"/>
        <v>3905.9999999999995</v>
      </c>
      <c r="BS203" s="528">
        <f t="shared" si="485"/>
        <v>0.18213990987231055</v>
      </c>
      <c r="BT203" s="528">
        <f t="shared" si="486"/>
        <v>2.7265380826393666</v>
      </c>
      <c r="BU203" s="528">
        <f t="shared" si="487"/>
        <v>0.82178795929749282</v>
      </c>
      <c r="BV203" s="528"/>
      <c r="BW203" s="528">
        <f t="shared" si="488"/>
        <v>0.11425241184526531</v>
      </c>
      <c r="BX203" s="460">
        <f t="shared" si="489"/>
        <v>3844.7183636544355</v>
      </c>
      <c r="BY203" s="173">
        <f t="shared" si="490"/>
        <v>8.4589586723340062</v>
      </c>
      <c r="BZ203" s="5">
        <f t="shared" si="491"/>
        <v>22.32</v>
      </c>
      <c r="CA203" s="173">
        <f t="shared" si="492"/>
        <v>0.72517073230494211</v>
      </c>
      <c r="CB203" s="5">
        <f t="shared" si="493"/>
        <v>72.517073230494205</v>
      </c>
      <c r="CE203" s="562">
        <f t="shared" si="528"/>
        <v>-50</v>
      </c>
      <c r="CF203">
        <f t="shared" si="529"/>
        <v>-50</v>
      </c>
      <c r="CG203" s="173">
        <f t="shared" si="530"/>
        <v>0.48123766121409839</v>
      </c>
      <c r="CI203" s="170">
        <v>93</v>
      </c>
      <c r="CJ203" s="217">
        <f t="shared" si="589"/>
        <v>5.58</v>
      </c>
      <c r="CK203" s="217"/>
      <c r="CL203" s="217">
        <f t="shared" si="531"/>
        <v>22.32</v>
      </c>
      <c r="CM203" s="541">
        <f t="shared" si="532"/>
        <v>18</v>
      </c>
      <c r="CN203" s="443">
        <f t="shared" si="533"/>
        <v>18.8</v>
      </c>
      <c r="CO203" s="443">
        <f t="shared" si="534"/>
        <v>36.799999999999997</v>
      </c>
      <c r="CP203" s="443"/>
      <c r="CQ203" s="217">
        <f t="shared" si="535"/>
        <v>0.51086956521739135</v>
      </c>
      <c r="CR203" s="172">
        <f t="shared" si="590"/>
        <v>30.859076086956527</v>
      </c>
      <c r="CS203" s="172">
        <f t="shared" si="536"/>
        <v>22.32</v>
      </c>
      <c r="CT203" s="217">
        <f t="shared" si="537"/>
        <v>7.7147690217391318</v>
      </c>
      <c r="CU203" s="217">
        <f t="shared" si="538"/>
        <v>4</v>
      </c>
      <c r="CV203" s="217"/>
      <c r="CW203" s="172">
        <f t="shared" si="539"/>
        <v>6.6795438252632344</v>
      </c>
      <c r="CX203" s="536">
        <f t="shared" si="540"/>
        <v>4</v>
      </c>
      <c r="CY203" s="217">
        <f t="shared" si="541"/>
        <v>4.8544680851063822</v>
      </c>
      <c r="CZ203" s="217">
        <f t="shared" si="542"/>
        <v>3.2363120567375883</v>
      </c>
      <c r="DA203" s="217">
        <f t="shared" si="543"/>
        <v>3.0985966500679036</v>
      </c>
      <c r="DB203" s="197">
        <f t="shared" si="544"/>
        <v>350</v>
      </c>
      <c r="DC203" s="443">
        <f t="shared" si="545"/>
        <v>157.85547137020552</v>
      </c>
      <c r="DE203" s="217">
        <f t="shared" si="546"/>
        <v>2.18944099378882</v>
      </c>
      <c r="DF203" s="173">
        <f t="shared" si="547"/>
        <v>1.3975155279503106</v>
      </c>
      <c r="DG203" s="173">
        <f t="shared" si="548"/>
        <v>2.1418444504455847</v>
      </c>
      <c r="DH203" s="173"/>
      <c r="DI203" s="173">
        <f t="shared" si="549"/>
        <v>0.85106382978723416</v>
      </c>
      <c r="DJ203" s="545">
        <f t="shared" si="550"/>
        <v>2458.6874999999995</v>
      </c>
      <c r="DK203" s="528">
        <f t="shared" si="551"/>
        <v>0.79432624113475192</v>
      </c>
      <c r="DM203" s="173">
        <f t="shared" si="552"/>
        <v>3.5339172922652602</v>
      </c>
      <c r="DN203" s="173">
        <f t="shared" si="553"/>
        <v>4.8544680851063822</v>
      </c>
      <c r="DO203" s="173">
        <f t="shared" si="554"/>
        <v>3.8082479642763323</v>
      </c>
      <c r="DQ203" s="545">
        <f t="shared" si="555"/>
        <v>5580</v>
      </c>
      <c r="DR203" s="460">
        <f t="shared" si="556"/>
        <v>157.85547137020552</v>
      </c>
      <c r="DT203">
        <f t="shared" si="591"/>
        <v>5580</v>
      </c>
      <c r="DU203">
        <f t="shared" si="592"/>
        <v>157.85547137020552</v>
      </c>
      <c r="DW203" s="5">
        <f t="shared" si="557"/>
        <v>6.3349087068054919</v>
      </c>
      <c r="DX203" s="5">
        <f t="shared" si="558"/>
        <v>3.2363120567375883</v>
      </c>
      <c r="DY203" s="5">
        <f t="shared" si="559"/>
        <v>3.0985966500679036</v>
      </c>
      <c r="DZ203" s="5"/>
      <c r="EA203" s="173">
        <f t="shared" si="560"/>
        <v>0.51086956521739135</v>
      </c>
      <c r="EB203" s="173">
        <f t="shared" si="561"/>
        <v>22.319999999999997</v>
      </c>
      <c r="EC203" s="173">
        <f t="shared" si="562"/>
        <v>4.7489361702127644</v>
      </c>
      <c r="ED203" s="173">
        <f t="shared" si="563"/>
        <v>4.7000000000000011</v>
      </c>
      <c r="EE203" s="460">
        <f t="shared" si="564"/>
        <v>451.46553191489357</v>
      </c>
      <c r="EF203" s="5">
        <f t="shared" si="565"/>
        <v>3.2018832050701667</v>
      </c>
      <c r="EH203" s="173">
        <f t="shared" si="566"/>
        <v>2.0032540903127116</v>
      </c>
      <c r="EI203" s="173">
        <f t="shared" si="567"/>
        <v>7.8406732834207036</v>
      </c>
      <c r="EK203" s="528">
        <f t="shared" si="568"/>
        <v>4.8958928794326242E-2</v>
      </c>
      <c r="EL203" s="528">
        <f t="shared" si="569"/>
        <v>0.56400000000000006</v>
      </c>
      <c r="EM203" s="528">
        <f t="shared" si="570"/>
        <v>1.9731933921275691E-2</v>
      </c>
      <c r="EN203" s="528">
        <f t="shared" si="571"/>
        <v>2.1377419354838709E-2</v>
      </c>
      <c r="EO203">
        <f t="shared" si="572"/>
        <v>8.0999999999999996E-3</v>
      </c>
      <c r="EP203" s="460">
        <f t="shared" si="573"/>
        <v>27.831933921275692</v>
      </c>
      <c r="EQ203" s="460"/>
      <c r="ER203" s="460">
        <f t="shared" si="593"/>
        <v>662.1682820704408</v>
      </c>
      <c r="ES203" s="528">
        <f t="shared" si="574"/>
        <v>3.9059999999999997</v>
      </c>
      <c r="EV203" s="460">
        <f t="shared" si="494"/>
        <v>3905.9999999999995</v>
      </c>
      <c r="EW203" s="528">
        <f t="shared" si="575"/>
        <v>0.1203908085106383</v>
      </c>
      <c r="EX203" s="528">
        <f t="shared" si="576"/>
        <v>1.8442847261204158</v>
      </c>
      <c r="EY203" s="528">
        <f t="shared" si="577"/>
        <v>0.81278041177063254</v>
      </c>
      <c r="EZ203" s="528"/>
      <c r="FA203" s="528">
        <f t="shared" si="578"/>
        <v>9.2999999999999985E-2</v>
      </c>
      <c r="FB203" s="460">
        <f t="shared" si="579"/>
        <v>2870.4559464016866</v>
      </c>
      <c r="FC203" s="173">
        <f t="shared" si="580"/>
        <v>7.4386242284721282</v>
      </c>
      <c r="FD203" s="5">
        <f t="shared" si="581"/>
        <v>22.32</v>
      </c>
      <c r="FE203" s="173">
        <f t="shared" si="582"/>
        <v>0.75003467326439488</v>
      </c>
      <c r="FF203" s="5">
        <f t="shared" si="583"/>
        <v>75.003467326439491</v>
      </c>
      <c r="FI203" s="562">
        <f t="shared" si="584"/>
        <v>-50</v>
      </c>
      <c r="FJ203">
        <f t="shared" si="585"/>
        <v>-50</v>
      </c>
      <c r="FL203">
        <f t="shared" si="586"/>
        <v>0.48913043478260865</v>
      </c>
    </row>
    <row r="204" spans="5:168">
      <c r="E204" s="170">
        <v>94</v>
      </c>
      <c r="F204" s="217">
        <f t="shared" si="587"/>
        <v>5.64</v>
      </c>
      <c r="G204" s="217"/>
      <c r="H204" s="217">
        <f t="shared" si="495"/>
        <v>22.56</v>
      </c>
      <c r="I204" s="541">
        <f>VIN_min-F204*(Rdcr_pri+RON/1000)/CG204/Nps</f>
        <v>17.876377879829707</v>
      </c>
      <c r="J204" s="172">
        <f t="shared" si="497"/>
        <v>20.206128381083879</v>
      </c>
      <c r="K204" s="172">
        <f t="shared" si="498"/>
        <v>38.08250626091359</v>
      </c>
      <c r="L204" s="443"/>
      <c r="M204" s="217">
        <f t="shared" si="499"/>
        <v>0.53031133225618488</v>
      </c>
      <c r="N204" s="172">
        <f t="shared" si="500"/>
        <v>31.813453594369054</v>
      </c>
      <c r="O204" s="172">
        <f t="shared" si="599"/>
        <v>22.56</v>
      </c>
      <c r="P204" s="217">
        <f t="shared" si="501"/>
        <v>7.9533633985922636</v>
      </c>
      <c r="Q204" s="217">
        <f t="shared" si="502"/>
        <v>4</v>
      </c>
      <c r="R204" s="217"/>
      <c r="S204" s="172">
        <f>(SQRT(Isw_max^2*Nps^2*I204^2+4*Isw_max*F204/Efficiency*(Nps^2*Vfwd1*I204-Nps*I204^2)+4*(F204/Efficiency)^2*Nps^2*Vfwd1^2+8*(F204/Efficiency)^2*Nps*Vfwd1*I204+4*(F204/Efficiency)^2*I204^2)-2*0*F204/Efficiency*I204-2*F204/Efficiency*Nps*Vfwd1+Isw_max*Nps*I204)/(4*F204/Efficiency*Nps)</f>
        <v>8.7634462308477001</v>
      </c>
      <c r="T204" s="536">
        <f t="shared" si="504"/>
        <v>4</v>
      </c>
      <c r="U204" s="217">
        <f t="shared" si="505"/>
        <v>6.0039770887939081</v>
      </c>
      <c r="V204" s="217">
        <f t="shared" si="506"/>
        <v>4.03033128690012</v>
      </c>
      <c r="W204" s="217">
        <f t="shared" si="507"/>
        <v>3.5656373010563929</v>
      </c>
      <c r="X204" s="197">
        <f t="shared" si="508"/>
        <v>350</v>
      </c>
      <c r="Y204" s="443">
        <f t="shared" si="509"/>
        <v>128.27142499584147</v>
      </c>
      <c r="AA204" s="217">
        <f t="shared" si="510"/>
        <v>2.2583321738448308</v>
      </c>
      <c r="AB204" s="173">
        <f t="shared" si="511"/>
        <v>1.3411765764839851</v>
      </c>
      <c r="AC204" s="173">
        <f t="shared" si="512"/>
        <v>2.1201755494365924</v>
      </c>
      <c r="AD204" s="173"/>
      <c r="AE204" s="173">
        <f t="shared" si="513"/>
        <v>0.79183897569306372</v>
      </c>
      <c r="AF204" s="545">
        <f t="shared" si="514"/>
        <v>2670.9975953745243</v>
      </c>
      <c r="AG204" s="528">
        <f t="shared" si="515"/>
        <v>0.73904971064685954</v>
      </c>
      <c r="AI204" s="173">
        <f t="shared" si="516"/>
        <v>3.6833370620964705</v>
      </c>
      <c r="AJ204" s="173">
        <f t="shared" si="517"/>
        <v>6.0039770887939081</v>
      </c>
      <c r="AK204" s="173">
        <f t="shared" si="518"/>
        <v>4.6597361151559813</v>
      </c>
      <c r="AM204" s="545">
        <f t="shared" si="519"/>
        <v>5640</v>
      </c>
      <c r="AN204" s="460">
        <f t="shared" si="520"/>
        <v>128.27142499584147</v>
      </c>
      <c r="AP204">
        <f t="shared" si="521"/>
        <v>5640</v>
      </c>
      <c r="AQ204">
        <f t="shared" si="522"/>
        <v>128.27142499584147</v>
      </c>
      <c r="AS204" s="5">
        <f t="shared" si="600"/>
        <v>7.795968587956513</v>
      </c>
      <c r="AT204" s="5">
        <f t="shared" si="523"/>
        <v>4.03033128690012</v>
      </c>
      <c r="AU204" s="5">
        <f t="shared" si="478"/>
        <v>3.765637301056393</v>
      </c>
      <c r="AV204" s="5"/>
      <c r="AW204" s="173">
        <f t="shared" si="479"/>
        <v>0.51697633737600202</v>
      </c>
      <c r="AX204" s="173">
        <f t="shared" si="596"/>
        <v>27.743370545476534</v>
      </c>
      <c r="AY204" s="173">
        <f t="shared" si="597"/>
        <v>5.8001260074796042</v>
      </c>
      <c r="AZ204" s="173">
        <f t="shared" si="601"/>
        <v>4.7832358313767358</v>
      </c>
      <c r="BA204" s="460">
        <f t="shared" si="594"/>
        <v>568.27671145291686</v>
      </c>
      <c r="BB204" s="5">
        <f t="shared" si="595"/>
        <v>3.9601971795269839</v>
      </c>
      <c r="BD204" s="173">
        <f t="shared" si="602"/>
        <v>2.4923769814007914</v>
      </c>
      <c r="BE204" s="173">
        <f t="shared" si="598"/>
        <v>9.6365725111542613</v>
      </c>
      <c r="BG204" s="528">
        <f t="shared" si="480"/>
        <v>7.578570481248155E-2</v>
      </c>
      <c r="BH204" s="528">
        <f t="shared" si="524"/>
        <v>0.54991522019052796</v>
      </c>
      <c r="BI204" s="528">
        <f t="shared" si="525"/>
        <v>5.7325711610247396E-2</v>
      </c>
      <c r="BJ204" s="528">
        <f t="shared" si="481"/>
        <v>1.860291337439407E-2</v>
      </c>
      <c r="BK204">
        <f t="shared" si="482"/>
        <v>8.0443700459233679E-3</v>
      </c>
      <c r="BL204" s="460">
        <f t="shared" si="588"/>
        <v>65.370081656170768</v>
      </c>
      <c r="BM204" s="528">
        <f t="shared" si="526"/>
        <v>0.67695570578970221</v>
      </c>
      <c r="BN204" s="460">
        <f t="shared" si="527"/>
        <v>676.95570578970217</v>
      </c>
      <c r="BO204" s="528">
        <f t="shared" si="483"/>
        <v>3.9479999999999995</v>
      </c>
      <c r="BR204" s="460">
        <f t="shared" si="484"/>
        <v>3947.9999999999995</v>
      </c>
      <c r="BS204" s="528">
        <f t="shared" si="485"/>
        <v>0.18635829052249564</v>
      </c>
      <c r="BT204" s="528">
        <f t="shared" si="486"/>
        <v>2.7859058928820182</v>
      </c>
      <c r="BU204" s="528">
        <f t="shared" si="487"/>
        <v>0.82298585086816256</v>
      </c>
      <c r="BV204" s="528"/>
      <c r="BW204" s="528">
        <f t="shared" si="488"/>
        <v>0.11559737727281889</v>
      </c>
      <c r="BX204" s="460">
        <f t="shared" si="489"/>
        <v>3910.8474115454956</v>
      </c>
      <c r="BY204" s="173">
        <f t="shared" si="490"/>
        <v>8.5685213315790687</v>
      </c>
      <c r="BZ204" s="5">
        <f t="shared" si="491"/>
        <v>22.56</v>
      </c>
      <c r="CA204" s="173">
        <f t="shared" si="492"/>
        <v>0.72473728384629288</v>
      </c>
      <c r="CB204" s="5">
        <f t="shared" si="493"/>
        <v>72.473728384629283</v>
      </c>
      <c r="CE204" s="562">
        <f t="shared" si="528"/>
        <v>-50</v>
      </c>
      <c r="CF204">
        <f t="shared" si="529"/>
        <v>-50</v>
      </c>
      <c r="CG204" s="173">
        <f t="shared" si="530"/>
        <v>0.48132162689035912</v>
      </c>
      <c r="CI204" s="170">
        <v>94</v>
      </c>
      <c r="CJ204" s="217">
        <f t="shared" si="589"/>
        <v>5.64</v>
      </c>
      <c r="CK204" s="217"/>
      <c r="CL204" s="217">
        <f t="shared" si="531"/>
        <v>22.56</v>
      </c>
      <c r="CM204" s="541">
        <f t="shared" si="532"/>
        <v>18</v>
      </c>
      <c r="CN204" s="443">
        <f t="shared" si="533"/>
        <v>18.8</v>
      </c>
      <c r="CO204" s="443">
        <f t="shared" si="534"/>
        <v>36.799999999999997</v>
      </c>
      <c r="CP204" s="443"/>
      <c r="CQ204" s="217">
        <f t="shared" si="535"/>
        <v>0.51086956521739135</v>
      </c>
      <c r="CR204" s="172">
        <f t="shared" si="590"/>
        <v>30.859076086956527</v>
      </c>
      <c r="CS204" s="172">
        <f t="shared" si="536"/>
        <v>22.56</v>
      </c>
      <c r="CT204" s="217">
        <f t="shared" si="537"/>
        <v>7.7147690217391318</v>
      </c>
      <c r="CU204" s="217">
        <f t="shared" si="538"/>
        <v>4</v>
      </c>
      <c r="CV204" s="217"/>
      <c r="CW204" s="172">
        <f t="shared" si="539"/>
        <v>6.5714962008536419</v>
      </c>
      <c r="CX204" s="536">
        <f t="shared" si="540"/>
        <v>4</v>
      </c>
      <c r="CY204" s="217">
        <f t="shared" si="541"/>
        <v>4.9066666666666654</v>
      </c>
      <c r="CZ204" s="217">
        <f t="shared" si="542"/>
        <v>3.2711111111111104</v>
      </c>
      <c r="DA204" s="217">
        <f t="shared" si="543"/>
        <v>3.1319148936170205</v>
      </c>
      <c r="DB204" s="197">
        <f t="shared" si="544"/>
        <v>350</v>
      </c>
      <c r="DC204" s="443">
        <f t="shared" si="545"/>
        <v>156.1761578449906</v>
      </c>
      <c r="DE204" s="217">
        <f t="shared" si="546"/>
        <v>2.18944099378882</v>
      </c>
      <c r="DF204" s="173">
        <f t="shared" si="547"/>
        <v>1.3975155279503106</v>
      </c>
      <c r="DG204" s="173">
        <f t="shared" si="548"/>
        <v>2.1418444504455847</v>
      </c>
      <c r="DH204" s="173"/>
      <c r="DI204" s="173">
        <f t="shared" si="549"/>
        <v>0.85106382978723416</v>
      </c>
      <c r="DJ204" s="545">
        <f t="shared" si="550"/>
        <v>2485.1249999999991</v>
      </c>
      <c r="DK204" s="528">
        <f t="shared" si="551"/>
        <v>0.79432624113475192</v>
      </c>
      <c r="DM204" s="173">
        <f t="shared" si="552"/>
        <v>3.5528660462867361</v>
      </c>
      <c r="DN204" s="173">
        <f t="shared" si="553"/>
        <v>4.9066666666666654</v>
      </c>
      <c r="DO204" s="173">
        <f t="shared" si="554"/>
        <v>3.8469135802469125</v>
      </c>
      <c r="DQ204" s="545">
        <f t="shared" si="555"/>
        <v>5640</v>
      </c>
      <c r="DR204" s="460">
        <f t="shared" si="556"/>
        <v>156.1761578449906</v>
      </c>
      <c r="DT204">
        <f t="shared" si="591"/>
        <v>5640</v>
      </c>
      <c r="DU204">
        <f t="shared" si="592"/>
        <v>156.1761578449906</v>
      </c>
      <c r="DW204" s="5">
        <f t="shared" si="557"/>
        <v>6.4030260047281304</v>
      </c>
      <c r="DX204" s="5">
        <f t="shared" si="558"/>
        <v>3.2711111111111104</v>
      </c>
      <c r="DY204" s="5">
        <f t="shared" si="559"/>
        <v>3.13191489361702</v>
      </c>
      <c r="DZ204" s="5"/>
      <c r="EA204" s="173">
        <f t="shared" si="560"/>
        <v>0.51086956521739135</v>
      </c>
      <c r="EB204" s="173">
        <f t="shared" si="561"/>
        <v>22.559999999999995</v>
      </c>
      <c r="EC204" s="173">
        <f t="shared" si="562"/>
        <v>4.799999999999998</v>
      </c>
      <c r="ED204" s="173">
        <f t="shared" si="563"/>
        <v>4.7000000000000011</v>
      </c>
      <c r="EE204" s="460">
        <f t="shared" si="564"/>
        <v>461.22666666666657</v>
      </c>
      <c r="EF204" s="5">
        <f t="shared" si="565"/>
        <v>3.2711111111111091</v>
      </c>
      <c r="EH204" s="173">
        <f t="shared" si="566"/>
        <v>2.0247944568752136</v>
      </c>
      <c r="EI204" s="173">
        <f t="shared" si="567"/>
        <v>7.9249815982961938</v>
      </c>
      <c r="EK204" s="528">
        <f t="shared" si="568"/>
        <v>5.0017469629629614E-2</v>
      </c>
      <c r="EL204" s="528">
        <f t="shared" si="569"/>
        <v>0.56400000000000006</v>
      </c>
      <c r="EM204" s="528">
        <f t="shared" si="570"/>
        <v>1.9522019730623823E-2</v>
      </c>
      <c r="EN204" s="528">
        <f t="shared" si="571"/>
        <v>2.1150000000000002E-2</v>
      </c>
      <c r="EO204">
        <f t="shared" si="572"/>
        <v>8.0999999999999996E-3</v>
      </c>
      <c r="EP204" s="460">
        <f t="shared" si="573"/>
        <v>27.622019730623823</v>
      </c>
      <c r="EQ204" s="460"/>
      <c r="ER204" s="460">
        <f t="shared" si="593"/>
        <v>662.78948936025347</v>
      </c>
      <c r="ES204" s="528">
        <f t="shared" si="574"/>
        <v>3.9479999999999995</v>
      </c>
      <c r="EV204" s="460">
        <f t="shared" si="494"/>
        <v>3947.9999999999995</v>
      </c>
      <c r="EW204" s="528">
        <f t="shared" si="575"/>
        <v>0.12299377777777774</v>
      </c>
      <c r="EX204" s="528">
        <f t="shared" si="576"/>
        <v>1.8841599999999987</v>
      </c>
      <c r="EY204" s="528">
        <f t="shared" si="577"/>
        <v>0.81278041177063065</v>
      </c>
      <c r="EZ204" s="528"/>
      <c r="FA204" s="528">
        <f t="shared" si="578"/>
        <v>9.4E-2</v>
      </c>
      <c r="FB204" s="460">
        <f t="shared" si="579"/>
        <v>2913.9341895484072</v>
      </c>
      <c r="FC204" s="173">
        <f t="shared" si="580"/>
        <v>7.5247236789086607</v>
      </c>
      <c r="FD204" s="5">
        <f t="shared" si="581"/>
        <v>22.56</v>
      </c>
      <c r="FE204" s="173">
        <f t="shared" si="582"/>
        <v>0.7498822405942861</v>
      </c>
      <c r="FF204" s="5">
        <f t="shared" si="583"/>
        <v>74.988224059428603</v>
      </c>
      <c r="FI204" s="562">
        <f t="shared" si="584"/>
        <v>-50</v>
      </c>
      <c r="FJ204">
        <f t="shared" si="585"/>
        <v>-50</v>
      </c>
      <c r="FL204">
        <f t="shared" si="586"/>
        <v>0.48913043478260865</v>
      </c>
    </row>
    <row r="205" spans="5:168">
      <c r="E205" s="170">
        <v>95</v>
      </c>
      <c r="F205" s="217">
        <f t="shared" si="587"/>
        <v>5.6999999999999993</v>
      </c>
      <c r="G205" s="217"/>
      <c r="H205" s="217">
        <f t="shared" si="495"/>
        <v>22.799999999999997</v>
      </c>
      <c r="I205" s="541">
        <f t="shared" si="496"/>
        <v>17.875084083479255</v>
      </c>
      <c r="J205" s="172">
        <f t="shared" si="497"/>
        <v>20.220844548103262</v>
      </c>
      <c r="K205" s="172">
        <f t="shared" si="498"/>
        <v>38.095928631582517</v>
      </c>
      <c r="L205" s="443"/>
      <c r="M205" s="217">
        <f t="shared" si="499"/>
        <v>0.53051094445975422</v>
      </c>
      <c r="N205" s="172">
        <f t="shared" si="500"/>
        <v>31.823125005550708</v>
      </c>
      <c r="O205" s="172">
        <f t="shared" si="599"/>
        <v>22.799999999999997</v>
      </c>
      <c r="P205" s="217">
        <f t="shared" si="501"/>
        <v>7.9557812513876769</v>
      </c>
      <c r="Q205" s="217">
        <f t="shared" si="502"/>
        <v>4</v>
      </c>
      <c r="R205" s="217"/>
      <c r="S205" s="172">
        <f t="shared" si="503"/>
        <v>6.4236169189171122</v>
      </c>
      <c r="T205" s="536">
        <f t="shared" si="504"/>
        <v>4</v>
      </c>
      <c r="U205" s="217">
        <f t="shared" si="505"/>
        <v>6.0704290469997773</v>
      </c>
      <c r="V205" s="217">
        <f t="shared" si="506"/>
        <v>4.0752338967358046</v>
      </c>
      <c r="W205" s="217">
        <f t="shared" si="507"/>
        <v>3.6024780463895256</v>
      </c>
      <c r="X205" s="197">
        <f t="shared" si="508"/>
        <v>350</v>
      </c>
      <c r="Y205" s="443">
        <f t="shared" si="509"/>
        <v>126.94041204091924</v>
      </c>
      <c r="AA205" s="217">
        <f t="shared" si="510"/>
        <v>2.2590171550989133</v>
      </c>
      <c r="AB205" s="173">
        <f t="shared" si="511"/>
        <v>1.3406070056420933</v>
      </c>
      <c r="AC205" s="173">
        <f t="shared" si="512"/>
        <v>2.1199179567938922</v>
      </c>
      <c r="AD205" s="173"/>
      <c r="AE205" s="173">
        <f t="shared" si="513"/>
        <v>0.79126269735854438</v>
      </c>
      <c r="AF205" s="545">
        <f t="shared" si="514"/>
        <v>2701.3784513481692</v>
      </c>
      <c r="AG205" s="528">
        <f t="shared" si="515"/>
        <v>0.73851185086797477</v>
      </c>
      <c r="AI205" s="173">
        <f t="shared" si="516"/>
        <v>3.7042256102898499</v>
      </c>
      <c r="AJ205" s="173">
        <f t="shared" si="517"/>
        <v>6.0704290469997773</v>
      </c>
      <c r="AK205" s="173">
        <f t="shared" si="518"/>
        <v>4.7089597879010689</v>
      </c>
      <c r="AM205" s="545">
        <f t="shared" si="519"/>
        <v>5699.9999999999991</v>
      </c>
      <c r="AN205" s="460">
        <f t="shared" si="520"/>
        <v>126.94041204091924</v>
      </c>
      <c r="AP205">
        <f t="shared" si="521"/>
        <v>5699.9999999999991</v>
      </c>
      <c r="AQ205">
        <f t="shared" si="522"/>
        <v>126.94041204091924</v>
      </c>
      <c r="AS205" s="5">
        <f t="shared" si="600"/>
        <v>7.8777119431253304</v>
      </c>
      <c r="AT205" s="5">
        <f t="shared" si="523"/>
        <v>4.0752338967358046</v>
      </c>
      <c r="AU205" s="5">
        <f t="shared" si="478"/>
        <v>3.8024780463895258</v>
      </c>
      <c r="AV205" s="5"/>
      <c r="AW205" s="173">
        <f t="shared" si="479"/>
        <v>0.51731187001476397</v>
      </c>
      <c r="AX205" s="173">
        <f t="shared" si="596"/>
        <v>28.06660798011286</v>
      </c>
      <c r="AY205" s="173">
        <f t="shared" si="597"/>
        <v>5.8602480898087617</v>
      </c>
      <c r="AZ205" s="173">
        <f t="shared" si="601"/>
        <v>4.789320784715918</v>
      </c>
      <c r="BA205" s="460">
        <f t="shared" si="594"/>
        <v>580.72083028485213</v>
      </c>
      <c r="BB205" s="5">
        <f t="shared" si="595"/>
        <v>4.0417758341161658</v>
      </c>
      <c r="BD205" s="173">
        <f t="shared" si="602"/>
        <v>2.5207802165968767</v>
      </c>
      <c r="BE205" s="173">
        <f t="shared" si="598"/>
        <v>9.7398453412772508</v>
      </c>
      <c r="BG205" s="528">
        <f t="shared" si="480"/>
        <v>7.7522861384711581E-2</v>
      </c>
      <c r="BH205" s="528">
        <f t="shared" si="524"/>
        <v>0.55042623751478903</v>
      </c>
      <c r="BI205" s="528">
        <f t="shared" si="525"/>
        <v>5.6726763470573351E-2</v>
      </c>
      <c r="BJ205" s="528">
        <f t="shared" si="481"/>
        <v>1.8422859185263044E-2</v>
      </c>
      <c r="BK205">
        <f t="shared" si="482"/>
        <v>8.0437878375656646E-3</v>
      </c>
      <c r="BL205" s="460">
        <f t="shared" si="588"/>
        <v>64.770551308139005</v>
      </c>
      <c r="BM205" s="528">
        <f t="shared" si="526"/>
        <v>0.67982512319545485</v>
      </c>
      <c r="BN205" s="460">
        <f t="shared" si="527"/>
        <v>679.82512319545481</v>
      </c>
      <c r="BO205" s="528">
        <f t="shared" si="483"/>
        <v>3.9899999999999993</v>
      </c>
      <c r="BR205" s="460">
        <f t="shared" si="484"/>
        <v>3989.9999999999995</v>
      </c>
      <c r="BS205" s="528">
        <f t="shared" si="485"/>
        <v>0.19062998701158587</v>
      </c>
      <c r="BT205" s="528">
        <f t="shared" si="486"/>
        <v>2.8459376181600047</v>
      </c>
      <c r="BU205" s="528">
        <f t="shared" si="487"/>
        <v>0.82417271328399444</v>
      </c>
      <c r="BV205" s="528"/>
      <c r="BW205" s="528">
        <f t="shared" si="488"/>
        <v>0.11694419991713691</v>
      </c>
      <c r="BX205" s="460">
        <f t="shared" si="489"/>
        <v>3977.6845183727214</v>
      </c>
      <c r="BY205" s="173">
        <f t="shared" si="490"/>
        <v>8.6788270277656245</v>
      </c>
      <c r="BZ205" s="5">
        <f t="shared" si="491"/>
        <v>22.799999999999997</v>
      </c>
      <c r="CA205" s="173">
        <f t="shared" si="492"/>
        <v>0.72429636529625008</v>
      </c>
      <c r="CB205" s="5">
        <f t="shared" si="493"/>
        <v>72.429636529625014</v>
      </c>
      <c r="CE205" s="562">
        <f t="shared" si="528"/>
        <v>-50</v>
      </c>
      <c r="CF205">
        <f t="shared" si="529"/>
        <v>-50</v>
      </c>
      <c r="CG205" s="173">
        <f t="shared" si="530"/>
        <v>0.48140382486817229</v>
      </c>
      <c r="CI205" s="170">
        <v>95</v>
      </c>
      <c r="CJ205" s="217">
        <f t="shared" si="589"/>
        <v>5.6999999999999993</v>
      </c>
      <c r="CK205" s="217"/>
      <c r="CL205" s="217">
        <f t="shared" si="531"/>
        <v>22.799999999999997</v>
      </c>
      <c r="CM205" s="541">
        <f t="shared" si="532"/>
        <v>18</v>
      </c>
      <c r="CN205" s="443">
        <f t="shared" si="533"/>
        <v>18.8</v>
      </c>
      <c r="CO205" s="443">
        <f t="shared" si="534"/>
        <v>36.799999999999997</v>
      </c>
      <c r="CP205" s="443"/>
      <c r="CQ205" s="217">
        <f t="shared" si="535"/>
        <v>0.51086956521739135</v>
      </c>
      <c r="CR205" s="172">
        <f t="shared" si="590"/>
        <v>30.859076086956527</v>
      </c>
      <c r="CS205" s="172">
        <f t="shared" si="536"/>
        <v>22.799999999999997</v>
      </c>
      <c r="CT205" s="217">
        <f t="shared" si="537"/>
        <v>7.7147690217391318</v>
      </c>
      <c r="CU205" s="217">
        <f t="shared" si="538"/>
        <v>4</v>
      </c>
      <c r="CV205" s="217"/>
      <c r="CW205" s="172">
        <f t="shared" si="539"/>
        <v>6.4658978312734909</v>
      </c>
      <c r="CX205" s="536">
        <f t="shared" si="540"/>
        <v>4</v>
      </c>
      <c r="CY205" s="217">
        <f t="shared" si="541"/>
        <v>4.9588652482269486</v>
      </c>
      <c r="CZ205" s="217">
        <f t="shared" si="542"/>
        <v>3.3059101654846321</v>
      </c>
      <c r="DA205" s="217">
        <f t="shared" si="543"/>
        <v>3.1652331371661369</v>
      </c>
      <c r="DB205" s="197">
        <f t="shared" si="544"/>
        <v>350</v>
      </c>
      <c r="DC205" s="443">
        <f t="shared" si="545"/>
        <v>154.53219828872756</v>
      </c>
      <c r="DE205" s="217">
        <f t="shared" si="546"/>
        <v>2.18944099378882</v>
      </c>
      <c r="DF205" s="173">
        <f t="shared" si="547"/>
        <v>1.3975155279503106</v>
      </c>
      <c r="DG205" s="173">
        <f t="shared" si="548"/>
        <v>2.1418444504455847</v>
      </c>
      <c r="DH205" s="173"/>
      <c r="DI205" s="173">
        <f t="shared" si="549"/>
        <v>0.85106382978723416</v>
      </c>
      <c r="DJ205" s="545">
        <f t="shared" si="550"/>
        <v>2511.5624999999991</v>
      </c>
      <c r="DK205" s="528">
        <f t="shared" si="551"/>
        <v>0.79432624113475192</v>
      </c>
      <c r="DM205" s="173">
        <f t="shared" si="552"/>
        <v>3.5717142742866281</v>
      </c>
      <c r="DN205" s="173">
        <f t="shared" si="553"/>
        <v>4.9588652482269486</v>
      </c>
      <c r="DO205" s="173">
        <f t="shared" si="554"/>
        <v>3.8855791962174928</v>
      </c>
      <c r="DQ205" s="545">
        <f t="shared" si="555"/>
        <v>5699.9999999999991</v>
      </c>
      <c r="DR205" s="460">
        <f t="shared" si="556"/>
        <v>154.53219828872756</v>
      </c>
      <c r="DT205">
        <f t="shared" si="591"/>
        <v>5699.9999999999991</v>
      </c>
      <c r="DU205">
        <f t="shared" si="592"/>
        <v>154.53219828872756</v>
      </c>
      <c r="DW205" s="5">
        <f t="shared" si="557"/>
        <v>6.471143302650769</v>
      </c>
      <c r="DX205" s="5">
        <f t="shared" si="558"/>
        <v>3.3059101654846321</v>
      </c>
      <c r="DY205" s="5">
        <f t="shared" si="559"/>
        <v>3.1652331371661369</v>
      </c>
      <c r="DZ205" s="5"/>
      <c r="EA205" s="173">
        <f t="shared" si="560"/>
        <v>0.51086956521739135</v>
      </c>
      <c r="EB205" s="173">
        <f t="shared" si="561"/>
        <v>22.799999999999997</v>
      </c>
      <c r="EC205" s="173">
        <f t="shared" si="562"/>
        <v>4.8510638297872317</v>
      </c>
      <c r="ED205" s="173">
        <f t="shared" si="563"/>
        <v>4.700000000000002</v>
      </c>
      <c r="EE205" s="460">
        <f t="shared" si="564"/>
        <v>471.09219858156001</v>
      </c>
      <c r="EF205" s="5">
        <f t="shared" si="565"/>
        <v>3.3410794225642553</v>
      </c>
      <c r="EH205" s="173">
        <f t="shared" si="566"/>
        <v>2.0463348234377157</v>
      </c>
      <c r="EI205" s="173">
        <f t="shared" si="567"/>
        <v>8.0092899131716848</v>
      </c>
      <c r="EK205" s="528">
        <f t="shared" si="568"/>
        <v>5.1087331757289169E-2</v>
      </c>
      <c r="EL205" s="528">
        <f t="shared" si="569"/>
        <v>0.56400000000000006</v>
      </c>
      <c r="EM205" s="528">
        <f t="shared" si="570"/>
        <v>1.931652478609094E-2</v>
      </c>
      <c r="EN205" s="528">
        <f t="shared" si="571"/>
        <v>2.0927368421052639E-2</v>
      </c>
      <c r="EO205">
        <f t="shared" si="572"/>
        <v>8.0999999999999996E-3</v>
      </c>
      <c r="EP205" s="460">
        <f t="shared" si="573"/>
        <v>27.416524786090939</v>
      </c>
      <c r="EQ205" s="460"/>
      <c r="ER205" s="460">
        <f t="shared" si="593"/>
        <v>663.43122496443277</v>
      </c>
      <c r="ES205" s="528">
        <f t="shared" si="574"/>
        <v>3.9899999999999993</v>
      </c>
      <c r="EV205" s="460">
        <f t="shared" si="494"/>
        <v>3989.9999999999995</v>
      </c>
      <c r="EW205" s="528">
        <f t="shared" si="575"/>
        <v>0.125624586288416</v>
      </c>
      <c r="EX205" s="528">
        <f t="shared" si="576"/>
        <v>1.9244617473970107</v>
      </c>
      <c r="EY205" s="528">
        <f t="shared" si="577"/>
        <v>0.81278041177063254</v>
      </c>
      <c r="EZ205" s="528"/>
      <c r="FA205" s="528">
        <f t="shared" si="578"/>
        <v>9.4999999999999973E-2</v>
      </c>
      <c r="FB205" s="460">
        <f t="shared" si="579"/>
        <v>2957.8667454560587</v>
      </c>
      <c r="FC205" s="173">
        <f t="shared" si="580"/>
        <v>7.6112979704204919</v>
      </c>
      <c r="FD205" s="5">
        <f t="shared" si="581"/>
        <v>22.799999999999997</v>
      </c>
      <c r="FE205" s="173">
        <f t="shared" si="582"/>
        <v>0.74972137072795741</v>
      </c>
      <c r="FF205" s="5">
        <f t="shared" si="583"/>
        <v>74.972137072795746</v>
      </c>
      <c r="FI205" s="562">
        <f t="shared" si="584"/>
        <v>-50</v>
      </c>
      <c r="FJ205">
        <f t="shared" si="585"/>
        <v>-50</v>
      </c>
      <c r="FL205">
        <f t="shared" si="586"/>
        <v>0.48913043478260865</v>
      </c>
    </row>
    <row r="206" spans="5:168">
      <c r="E206" s="170">
        <v>96</v>
      </c>
      <c r="F206" s="217">
        <f t="shared" si="587"/>
        <v>5.76</v>
      </c>
      <c r="G206" s="217"/>
      <c r="H206" s="217">
        <f>F206*Vout</f>
        <v>23.04</v>
      </c>
      <c r="I206" s="541">
        <f t="shared" si="496"/>
        <v>17.873790279996836</v>
      </c>
      <c r="J206" s="172">
        <f t="shared" si="497"/>
        <v>20.23556079624451</v>
      </c>
      <c r="K206" s="172">
        <f t="shared" si="498"/>
        <v>38.109351076241346</v>
      </c>
      <c r="L206" s="443"/>
      <c r="M206" s="217">
        <f t="shared" si="499"/>
        <v>0.5307104160301469</v>
      </c>
      <c r="N206" s="172">
        <f>M206*I206*(Isw_max+VIN_min/Lmag*ILIM_delay)*0.5*Efficiency</f>
        <v>31.832786235308539</v>
      </c>
      <c r="O206" s="172">
        <f t="shared" si="599"/>
        <v>23.04</v>
      </c>
      <c r="P206" s="217">
        <f>N206/Vout</f>
        <v>7.9581965588271348</v>
      </c>
      <c r="Q206" s="217">
        <f t="shared" si="502"/>
        <v>4</v>
      </c>
      <c r="R206" s="217"/>
      <c r="S206" s="172">
        <f t="shared" si="503"/>
        <v>6.3207078361987827</v>
      </c>
      <c r="T206" s="536">
        <f>MIN(Vout, S206)</f>
        <v>4</v>
      </c>
      <c r="U206" s="217">
        <f t="shared" si="505"/>
        <v>6.1369356967978428</v>
      </c>
      <c r="V206" s="217">
        <f>L*U206/I206*1000000</f>
        <v>4.1201797272954881</v>
      </c>
      <c r="W206" s="217">
        <f t="shared" si="507"/>
        <v>3.639297625754037</v>
      </c>
      <c r="X206" s="197">
        <f t="shared" si="508"/>
        <v>350</v>
      </c>
      <c r="Y206" s="443">
        <f t="shared" si="509"/>
        <v>125.63638988392481</v>
      </c>
      <c r="AA206" s="217">
        <f t="shared" si="510"/>
        <v>2.2597014197045064</v>
      </c>
      <c r="AB206" s="173">
        <f>L*AA206/J206*1000000</f>
        <v>1.340037832877188</v>
      </c>
      <c r="AC206" s="173">
        <f>0.5*AB206*AA206*Nps*X206/1000</f>
        <v>2.1196597753872326</v>
      </c>
      <c r="AD206" s="173"/>
      <c r="AE206" s="173">
        <f t="shared" si="513"/>
        <v>0.790687254042864</v>
      </c>
      <c r="AF206" s="545">
        <f>MAX(12000,F206/(0.5*AE206/1000000*Isw_min*Nps))/1000</f>
        <v>2731.8007074930078</v>
      </c>
      <c r="AG206" s="528">
        <f t="shared" si="515"/>
        <v>0.73797477044000659</v>
      </c>
      <c r="AI206" s="173">
        <f t="shared" si="516"/>
        <v>3.7250252505754653</v>
      </c>
      <c r="AJ206" s="173">
        <f>MAX(IF(F206&gt;AC206,U206,AI206),Isw_min)</f>
        <v>6.1369356967978428</v>
      </c>
      <c r="AK206" s="173">
        <f>IF(F206&gt;AG206, (AJ206-Isw_min)/1.08*0.8+1.2, AF206*0.2/350+1)</f>
        <v>4.7582239729366735</v>
      </c>
      <c r="AM206" s="545">
        <f t="shared" si="519"/>
        <v>5760</v>
      </c>
      <c r="AN206" s="460">
        <f t="shared" si="520"/>
        <v>125.63638988392481</v>
      </c>
      <c r="AP206">
        <f t="shared" si="521"/>
        <v>5760</v>
      </c>
      <c r="AQ206">
        <f t="shared" si="522"/>
        <v>125.63638988392481</v>
      </c>
      <c r="AS206" s="5">
        <f t="shared" si="600"/>
        <v>7.9594773530495253</v>
      </c>
      <c r="AT206" s="5">
        <f t="shared" si="523"/>
        <v>4.1201797272954881</v>
      </c>
      <c r="AU206" s="5">
        <f t="shared" si="478"/>
        <v>3.8392976257540372</v>
      </c>
      <c r="AV206" s="5"/>
      <c r="AW206" s="173">
        <f t="shared" si="479"/>
        <v>0.51764450661033889</v>
      </c>
      <c r="AX206" s="173">
        <f t="shared" si="596"/>
        <v>28.390291027489742</v>
      </c>
      <c r="AY206" s="173">
        <f t="shared" si="597"/>
        <v>5.9203692918590942</v>
      </c>
      <c r="AZ206" s="173">
        <f t="shared" si="601"/>
        <v>4.7953581318868572</v>
      </c>
      <c r="BA206" s="460">
        <f t="shared" si="594"/>
        <v>593.30588073055026</v>
      </c>
      <c r="BB206" s="5">
        <f t="shared" si="595"/>
        <v>4.1241680281419617</v>
      </c>
      <c r="BD206" s="173">
        <f t="shared" si="602"/>
        <v>2.5492166720984248</v>
      </c>
      <c r="BE206" s="173">
        <f t="shared" si="598"/>
        <v>9.8431601491168603</v>
      </c>
      <c r="BG206" s="528">
        <f t="shared" si="480"/>
        <v>7.928176882391573E-2</v>
      </c>
      <c r="BH206" s="528">
        <f t="shared" si="524"/>
        <v>0.55093434521798901</v>
      </c>
      <c r="BI206" s="528">
        <f t="shared" si="525"/>
        <v>5.6139962108029698E-2</v>
      </c>
      <c r="BJ206" s="528">
        <f t="shared" si="481"/>
        <v>1.8246457336746954E-2</v>
      </c>
      <c r="BK206">
        <f t="shared" si="482"/>
        <v>8.0432056259985753E-3</v>
      </c>
      <c r="BL206" s="460">
        <f t="shared" si="588"/>
        <v>64.183167734028274</v>
      </c>
      <c r="BM206" s="528">
        <f t="shared" si="526"/>
        <v>0.68272946160530701</v>
      </c>
      <c r="BN206" s="460">
        <f t="shared" si="527"/>
        <v>682.72946160530705</v>
      </c>
      <c r="BO206" s="528">
        <f t="shared" si="483"/>
        <v>4.032</v>
      </c>
      <c r="BR206" s="460">
        <f t="shared" si="484"/>
        <v>4032</v>
      </c>
      <c r="BS206" s="528">
        <f t="shared" si="485"/>
        <v>0.19495516923913705</v>
      </c>
      <c r="BT206" s="528">
        <f t="shared" si="486"/>
        <v>2.9066340516348674</v>
      </c>
      <c r="BU206" s="528">
        <f t="shared" si="487"/>
        <v>0.82534886372612781</v>
      </c>
      <c r="BV206" s="528"/>
      <c r="BW206" s="528">
        <f t="shared" si="488"/>
        <v>0.11829287928120727</v>
      </c>
      <c r="BX206" s="460">
        <f t="shared" si="489"/>
        <v>4045.2309638813404</v>
      </c>
      <c r="BY206" s="173">
        <f t="shared" si="490"/>
        <v>8.7898767029940199</v>
      </c>
      <c r="BZ206" s="5">
        <f t="shared" si="491"/>
        <v>23.04</v>
      </c>
      <c r="CA206" s="173">
        <f t="shared" si="492"/>
        <v>0.72384823274646182</v>
      </c>
      <c r="CB206" s="5">
        <f t="shared" si="493"/>
        <v>72.38482327464618</v>
      </c>
      <c r="CE206" s="562">
        <f t="shared" si="528"/>
        <v>-50</v>
      </c>
      <c r="CF206">
        <f t="shared" si="529"/>
        <v>-50</v>
      </c>
      <c r="CG206" s="173">
        <f t="shared" si="530"/>
        <v>0.48148431038811434</v>
      </c>
      <c r="CI206" s="170">
        <v>96</v>
      </c>
      <c r="CJ206" s="217">
        <f t="shared" si="589"/>
        <v>5.76</v>
      </c>
      <c r="CK206" s="217"/>
      <c r="CL206" s="217">
        <f t="shared" si="531"/>
        <v>23.04</v>
      </c>
      <c r="CM206" s="541">
        <f t="shared" si="532"/>
        <v>18</v>
      </c>
      <c r="CN206" s="443">
        <f t="shared" si="533"/>
        <v>18.8</v>
      </c>
      <c r="CO206" s="443">
        <f t="shared" si="534"/>
        <v>36.799999999999997</v>
      </c>
      <c r="CP206" s="443"/>
      <c r="CQ206" s="217">
        <f t="shared" si="535"/>
        <v>0.51086956521739135</v>
      </c>
      <c r="CR206" s="172">
        <f t="shared" si="590"/>
        <v>30.859076086956527</v>
      </c>
      <c r="CS206" s="172">
        <f t="shared" si="536"/>
        <v>23.04</v>
      </c>
      <c r="CT206" s="217">
        <f t="shared" si="537"/>
        <v>7.7147690217391318</v>
      </c>
      <c r="CU206" s="217">
        <f t="shared" si="538"/>
        <v>4</v>
      </c>
      <c r="CV206" s="217"/>
      <c r="CW206" s="172">
        <f t="shared" si="539"/>
        <v>6.36267341441875</v>
      </c>
      <c r="CX206" s="536">
        <f t="shared" si="540"/>
        <v>4</v>
      </c>
      <c r="CY206" s="217">
        <f t="shared" si="541"/>
        <v>5.0110638297872327</v>
      </c>
      <c r="CZ206" s="217">
        <f t="shared" si="542"/>
        <v>3.3407092198581552</v>
      </c>
      <c r="DA206" s="217">
        <f t="shared" si="543"/>
        <v>3.198551380715255</v>
      </c>
      <c r="DB206" s="197">
        <f t="shared" si="544"/>
        <v>350</v>
      </c>
      <c r="DC206" s="443">
        <f t="shared" si="545"/>
        <v>152.92248788988661</v>
      </c>
      <c r="DE206" s="217">
        <f t="shared" si="546"/>
        <v>2.18944099378882</v>
      </c>
      <c r="DF206" s="173">
        <f t="shared" si="547"/>
        <v>1.3975155279503106</v>
      </c>
      <c r="DG206" s="173">
        <f t="shared" si="548"/>
        <v>2.1418444504455847</v>
      </c>
      <c r="DH206" s="173"/>
      <c r="DI206" s="173">
        <f t="shared" si="549"/>
        <v>0.85106382978723416</v>
      </c>
      <c r="DJ206" s="545">
        <f t="shared" si="550"/>
        <v>2537.9999999999995</v>
      </c>
      <c r="DK206" s="528">
        <f t="shared" si="551"/>
        <v>0.79432624113475192</v>
      </c>
      <c r="DM206" s="173">
        <f t="shared" si="552"/>
        <v>3.5904635594068592</v>
      </c>
      <c r="DN206" s="173">
        <f t="shared" si="553"/>
        <v>5.0110638297872327</v>
      </c>
      <c r="DO206" s="173">
        <f t="shared" si="554"/>
        <v>3.924244812188074</v>
      </c>
      <c r="DQ206" s="545">
        <f t="shared" si="555"/>
        <v>5760</v>
      </c>
      <c r="DR206" s="460">
        <f t="shared" si="556"/>
        <v>152.92248788988661</v>
      </c>
      <c r="DT206">
        <f t="shared" si="591"/>
        <v>5760</v>
      </c>
      <c r="DU206">
        <f t="shared" si="592"/>
        <v>152.92248788988661</v>
      </c>
      <c r="DW206" s="5">
        <f t="shared" si="557"/>
        <v>6.5392606005734102</v>
      </c>
      <c r="DX206" s="5">
        <f t="shared" si="558"/>
        <v>3.3407092198581552</v>
      </c>
      <c r="DY206" s="5">
        <f t="shared" si="559"/>
        <v>3.198551380715255</v>
      </c>
      <c r="DZ206" s="5"/>
      <c r="EA206" s="173">
        <f t="shared" si="560"/>
        <v>0.51086956521739135</v>
      </c>
      <c r="EB206" s="173">
        <f t="shared" si="561"/>
        <v>23.039999999999992</v>
      </c>
      <c r="EC206" s="173">
        <f t="shared" si="562"/>
        <v>4.9021276595744663</v>
      </c>
      <c r="ED206" s="173">
        <f t="shared" si="563"/>
        <v>4.7</v>
      </c>
      <c r="EE206" s="460">
        <f t="shared" si="564"/>
        <v>481.06212765957429</v>
      </c>
      <c r="EF206" s="5">
        <f t="shared" si="565"/>
        <v>3.4117881394296052</v>
      </c>
      <c r="EH206" s="173">
        <f t="shared" si="566"/>
        <v>2.0678751900002181</v>
      </c>
      <c r="EI206" s="173">
        <f t="shared" si="567"/>
        <v>8.0935982280471777</v>
      </c>
      <c r="EK206" s="528">
        <f t="shared" si="568"/>
        <v>5.216851517730494E-2</v>
      </c>
      <c r="EL206" s="528">
        <f t="shared" si="569"/>
        <v>0.56399999999999995</v>
      </c>
      <c r="EM206" s="528">
        <f t="shared" si="570"/>
        <v>1.9115310986235826E-2</v>
      </c>
      <c r="EN206" s="528">
        <f t="shared" si="571"/>
        <v>2.0709374999999999E-2</v>
      </c>
      <c r="EO206">
        <f t="shared" si="572"/>
        <v>8.0999999999999996E-3</v>
      </c>
      <c r="EP206" s="460">
        <f t="shared" si="573"/>
        <v>27.215310986235824</v>
      </c>
      <c r="EQ206" s="460"/>
      <c r="ER206" s="460">
        <f t="shared" si="593"/>
        <v>664.09320116354081</v>
      </c>
      <c r="ES206" s="528">
        <f t="shared" si="574"/>
        <v>4.032</v>
      </c>
      <c r="EV206" s="460">
        <f t="shared" si="494"/>
        <v>4032</v>
      </c>
      <c r="EW206" s="528">
        <f t="shared" si="575"/>
        <v>0.12828323404255312</v>
      </c>
      <c r="EX206" s="528">
        <f t="shared" si="576"/>
        <v>1.9651899683114524</v>
      </c>
      <c r="EY206" s="528">
        <f t="shared" si="577"/>
        <v>0.81278041177063021</v>
      </c>
      <c r="EZ206" s="528"/>
      <c r="FA206" s="528">
        <f t="shared" si="578"/>
        <v>9.5999999999999974E-2</v>
      </c>
      <c r="FB206" s="460">
        <f t="shared" si="579"/>
        <v>3002.2536141246355</v>
      </c>
      <c r="FC206" s="173">
        <f t="shared" si="580"/>
        <v>7.6983468152881755</v>
      </c>
      <c r="FD206" s="5">
        <f t="shared" si="581"/>
        <v>23.04</v>
      </c>
      <c r="FE206" s="173">
        <f t="shared" si="582"/>
        <v>0.74955234705533069</v>
      </c>
      <c r="FF206" s="5">
        <f t="shared" si="583"/>
        <v>74.955234705533073</v>
      </c>
      <c r="FI206" s="562">
        <f t="shared" si="584"/>
        <v>-50</v>
      </c>
      <c r="FJ206">
        <f t="shared" si="585"/>
        <v>-50</v>
      </c>
      <c r="FL206">
        <f t="shared" si="586"/>
        <v>0.48913043478260865</v>
      </c>
    </row>
    <row r="207" spans="5:168">
      <c r="E207" s="170">
        <v>97</v>
      </c>
      <c r="F207" s="217">
        <f>IF(PLOT_TYPE=1, E207/100*Iout_max, min_I*EXP(N207*rr/100))</f>
        <v>5.82</v>
      </c>
      <c r="G207" s="217"/>
      <c r="H207" s="217">
        <f>F207*Vout</f>
        <v>23.28</v>
      </c>
      <c r="I207" s="541">
        <f t="shared" si="496"/>
        <v>17.872496469606496</v>
      </c>
      <c r="J207" s="172">
        <f t="shared" si="497"/>
        <v>20.250277122959275</v>
      </c>
      <c r="K207" s="172">
        <f t="shared" si="498"/>
        <v>38.122773592565771</v>
      </c>
      <c r="L207" s="443"/>
      <c r="M207" s="217">
        <f t="shared" si="499"/>
        <v>0.53090974711302641</v>
      </c>
      <c r="N207" s="172">
        <f>M207*I207*(Isw_max+VIN_min/Lmag*ILIM_delay)*0.5*Efficiency</f>
        <v>31.84243729459568</v>
      </c>
      <c r="O207" s="172">
        <f t="shared" si="599"/>
        <v>23.28</v>
      </c>
      <c r="P207" s="217">
        <f>N207/Vout</f>
        <v>7.9606093236489199</v>
      </c>
      <c r="Q207" s="217">
        <f t="shared" si="502"/>
        <v>4</v>
      </c>
      <c r="R207" s="217"/>
      <c r="S207" s="172">
        <f t="shared" si="503"/>
        <v>6.2200995286937548</v>
      </c>
      <c r="T207" s="536">
        <f>MIN(Vout, S207)</f>
        <v>4</v>
      </c>
      <c r="U207" s="217">
        <f t="shared" si="505"/>
        <v>6.2034970500680142</v>
      </c>
      <c r="V207" s="217">
        <f>L*U207/I207*1000000</f>
        <v>4.1651687959435462</v>
      </c>
      <c r="W207" s="217">
        <f t="shared" si="507"/>
        <v>3.676096092354987</v>
      </c>
      <c r="X207" s="197">
        <f t="shared" si="508"/>
        <v>350</v>
      </c>
      <c r="Y207" s="443">
        <f t="shared" si="509"/>
        <v>124.35854481739277</v>
      </c>
      <c r="AA207" s="217">
        <f t="shared" si="510"/>
        <v>2.2603849682923522</v>
      </c>
      <c r="AB207" s="173">
        <f>L*AA207/J207*1000000</f>
        <v>1.3394690578705706</v>
      </c>
      <c r="AC207" s="173">
        <f>0.5*AB207*AA207*Nps*X207/1000</f>
        <v>2.1194010067323497</v>
      </c>
      <c r="AD207" s="173"/>
      <c r="AE207" s="173">
        <f t="shared" si="513"/>
        <v>0.79011264403189763</v>
      </c>
      <c r="AF207" s="545">
        <f>MAX(12000,F207/(0.5*AE207/1000000*Isw_min*Nps))/1000</f>
        <v>2762.2643638036629</v>
      </c>
      <c r="AG207" s="528">
        <f t="shared" si="515"/>
        <v>0.73743846776310462</v>
      </c>
      <c r="AI207" s="173">
        <f t="shared" si="516"/>
        <v>3.7457374640354772</v>
      </c>
      <c r="AJ207" s="173">
        <f>MAX(IF(F207&gt;AC207,U207,AI207),Isw_min)</f>
        <v>6.2034970500680142</v>
      </c>
      <c r="AK207" s="173">
        <f>IF(F207&gt;AG207, (AJ207-Isw_min)/1.08*0.8+1.2, AF207*0.2/350+1)</f>
        <v>4.8075286790627265</v>
      </c>
      <c r="AM207" s="545">
        <f t="shared" si="519"/>
        <v>5820</v>
      </c>
      <c r="AN207" s="460">
        <f t="shared" si="520"/>
        <v>124.35854481739277</v>
      </c>
      <c r="AP207">
        <f t="shared" si="521"/>
        <v>5820</v>
      </c>
      <c r="AQ207">
        <f t="shared" si="522"/>
        <v>124.35854481739277</v>
      </c>
      <c r="AS207" s="5">
        <f t="shared" si="600"/>
        <v>8.0412648882985334</v>
      </c>
      <c r="AT207" s="5">
        <f t="shared" si="523"/>
        <v>4.1651687959435462</v>
      </c>
      <c r="AU207" s="5">
        <f t="shared" si="478"/>
        <v>3.8760960923549872</v>
      </c>
      <c r="AV207" s="5"/>
      <c r="AW207" s="173">
        <f t="shared" si="479"/>
        <v>0.5179743303823513</v>
      </c>
      <c r="AX207" s="173">
        <f t="shared" si="596"/>
        <v>28.714419573121656</v>
      </c>
      <c r="AY207" s="173">
        <f t="shared" si="597"/>
        <v>5.980489639060286</v>
      </c>
      <c r="AZ207" s="173">
        <f t="shared" si="601"/>
        <v>4.8013492717351403</v>
      </c>
      <c r="BA207" s="460">
        <f t="shared" si="594"/>
        <v>606.03205980978601</v>
      </c>
      <c r="BB207" s="5">
        <f t="shared" si="595"/>
        <v>4.2073732855151809</v>
      </c>
      <c r="BD207" s="173">
        <f t="shared" si="602"/>
        <v>2.5776863484700225</v>
      </c>
      <c r="BE207" s="173">
        <f t="shared" si="598"/>
        <v>9.9465169560502016</v>
      </c>
      <c r="BG207" s="528">
        <f t="shared" si="480"/>
        <v>8.1062496315282367E-2</v>
      </c>
      <c r="BH207" s="528">
        <f t="shared" si="524"/>
        <v>0.5514396292289957</v>
      </c>
      <c r="BI207" s="528">
        <f t="shared" si="525"/>
        <v>5.5564941330356332E-2</v>
      </c>
      <c r="BJ207" s="528">
        <f t="shared" si="481"/>
        <v>1.8073597706063708E-2</v>
      </c>
      <c r="BK207">
        <f t="shared" si="482"/>
        <v>8.0426234113229224E-3</v>
      </c>
      <c r="BL207" s="460">
        <f t="shared" si="588"/>
        <v>63.607564741679248</v>
      </c>
      <c r="BM207" s="528">
        <f t="shared" si="526"/>
        <v>0.68566888798883718</v>
      </c>
      <c r="BN207" s="460">
        <f t="shared" si="527"/>
        <v>685.66888798883713</v>
      </c>
      <c r="BO207" s="528">
        <f t="shared" si="483"/>
        <v>4.0739999999999998</v>
      </c>
      <c r="BR207" s="460">
        <f t="shared" si="484"/>
        <v>4074</v>
      </c>
      <c r="BS207" s="528">
        <f t="shared" si="485"/>
        <v>0.19933400733266154</v>
      </c>
      <c r="BT207" s="528">
        <f t="shared" si="486"/>
        <v>2.9679959867098251</v>
      </c>
      <c r="BU207" s="528">
        <f t="shared" si="487"/>
        <v>0.82651460687383072</v>
      </c>
      <c r="BV207" s="528"/>
      <c r="BW207" s="528">
        <f t="shared" si="488"/>
        <v>0.11964341488800691</v>
      </c>
      <c r="BX207" s="460">
        <f t="shared" si="489"/>
        <v>4113.4880158043243</v>
      </c>
      <c r="BY207" s="173">
        <f t="shared" si="490"/>
        <v>8.9016713037963449</v>
      </c>
      <c r="BZ207" s="5">
        <f t="shared" si="491"/>
        <v>23.28</v>
      </c>
      <c r="CA207" s="173">
        <f t="shared" si="492"/>
        <v>0.72339313207930711</v>
      </c>
      <c r="CB207" s="5">
        <f t="shared" si="493"/>
        <v>72.339313207930715</v>
      </c>
      <c r="CE207" s="562">
        <f t="shared" si="528"/>
        <v>-50</v>
      </c>
      <c r="CF207">
        <f t="shared" si="529"/>
        <v>-50</v>
      </c>
      <c r="CG207" s="173">
        <f t="shared" si="530"/>
        <v>0.48156313641279985</v>
      </c>
      <c r="CI207" s="170">
        <v>97</v>
      </c>
      <c r="CJ207" s="217">
        <f t="shared" si="589"/>
        <v>5.82</v>
      </c>
      <c r="CK207" s="217"/>
      <c r="CL207" s="217">
        <f t="shared" si="531"/>
        <v>23.28</v>
      </c>
      <c r="CM207" s="541">
        <f t="shared" si="532"/>
        <v>18</v>
      </c>
      <c r="CN207" s="443">
        <f t="shared" si="533"/>
        <v>18.8</v>
      </c>
      <c r="CO207" s="443">
        <f t="shared" si="534"/>
        <v>36.799999999999997</v>
      </c>
      <c r="CP207" s="443"/>
      <c r="CQ207" s="217">
        <f t="shared" si="535"/>
        <v>0.51086956521739135</v>
      </c>
      <c r="CR207" s="172">
        <f t="shared" si="590"/>
        <v>30.859076086956527</v>
      </c>
      <c r="CS207" s="172">
        <f t="shared" si="536"/>
        <v>23.28</v>
      </c>
      <c r="CT207" s="217">
        <f t="shared" si="537"/>
        <v>7.7147690217391318</v>
      </c>
      <c r="CU207" s="217">
        <f t="shared" si="538"/>
        <v>4</v>
      </c>
      <c r="CV207" s="217"/>
      <c r="CW207" s="172">
        <f t="shared" si="539"/>
        <v>6.2617507410353692</v>
      </c>
      <c r="CX207" s="536">
        <f t="shared" si="540"/>
        <v>4</v>
      </c>
      <c r="CY207" s="217">
        <f t="shared" si="541"/>
        <v>5.0632624113475169</v>
      </c>
      <c r="CZ207" s="217">
        <f t="shared" si="542"/>
        <v>3.3755082742316782</v>
      </c>
      <c r="DA207" s="217">
        <f t="shared" si="543"/>
        <v>3.2318696242643723</v>
      </c>
      <c r="DB207" s="197">
        <f t="shared" si="544"/>
        <v>350</v>
      </c>
      <c r="DC207" s="443">
        <f t="shared" si="545"/>
        <v>151.34596739617643</v>
      </c>
      <c r="DE207" s="217">
        <f t="shared" si="546"/>
        <v>2.18944099378882</v>
      </c>
      <c r="DF207" s="173">
        <f t="shared" si="547"/>
        <v>1.3975155279503106</v>
      </c>
      <c r="DG207" s="173">
        <f t="shared" si="548"/>
        <v>2.1418444504455847</v>
      </c>
      <c r="DH207" s="173"/>
      <c r="DI207" s="173">
        <f t="shared" si="549"/>
        <v>0.85106382978723416</v>
      </c>
      <c r="DJ207" s="545">
        <f t="shared" si="550"/>
        <v>2564.4374999999995</v>
      </c>
      <c r="DK207" s="528">
        <f t="shared" si="551"/>
        <v>0.79432624113475192</v>
      </c>
      <c r="DM207" s="173">
        <f t="shared" si="552"/>
        <v>3.6091154436668118</v>
      </c>
      <c r="DN207" s="173">
        <f t="shared" si="553"/>
        <v>5.0632624113475169</v>
      </c>
      <c r="DO207" s="173">
        <f t="shared" si="554"/>
        <v>3.9629104281586542</v>
      </c>
      <c r="DQ207" s="545">
        <f t="shared" si="555"/>
        <v>5820</v>
      </c>
      <c r="DR207" s="460">
        <f t="shared" si="556"/>
        <v>151.34596739617643</v>
      </c>
      <c r="DT207">
        <f t="shared" si="591"/>
        <v>5820</v>
      </c>
      <c r="DU207">
        <f t="shared" si="592"/>
        <v>151.34596739617643</v>
      </c>
      <c r="DW207" s="5">
        <f t="shared" si="557"/>
        <v>6.6073778984960505</v>
      </c>
      <c r="DX207" s="5">
        <f t="shared" si="558"/>
        <v>3.3755082742316782</v>
      </c>
      <c r="DY207" s="5">
        <f t="shared" si="559"/>
        <v>3.2318696242643723</v>
      </c>
      <c r="DZ207" s="5"/>
      <c r="EA207" s="173">
        <f t="shared" si="560"/>
        <v>0.51086956521739135</v>
      </c>
      <c r="EB207" s="173">
        <f t="shared" si="561"/>
        <v>23.279999999999998</v>
      </c>
      <c r="EC207" s="173">
        <f t="shared" si="562"/>
        <v>4.9531914893617008</v>
      </c>
      <c r="ED207" s="173">
        <f t="shared" si="563"/>
        <v>4.7000000000000011</v>
      </c>
      <c r="EE207" s="460">
        <f t="shared" si="564"/>
        <v>491.13645390070923</v>
      </c>
      <c r="EF207" s="5">
        <f t="shared" si="565"/>
        <v>3.4832372617071568</v>
      </c>
      <c r="EH207" s="173">
        <f t="shared" si="566"/>
        <v>2.0894155565627206</v>
      </c>
      <c r="EI207" s="173">
        <f t="shared" si="567"/>
        <v>8.1779065429226687</v>
      </c>
      <c r="EK207" s="528">
        <f t="shared" si="568"/>
        <v>5.3261019889676894E-2</v>
      </c>
      <c r="EL207" s="528">
        <f t="shared" si="569"/>
        <v>0.56400000000000006</v>
      </c>
      <c r="EM207" s="528">
        <f t="shared" si="570"/>
        <v>1.8918245924522053E-2</v>
      </c>
      <c r="EN207" s="528">
        <f t="shared" si="571"/>
        <v>2.0495876288659794E-2</v>
      </c>
      <c r="EO207">
        <f t="shared" si="572"/>
        <v>8.0999999999999996E-3</v>
      </c>
      <c r="EP207" s="460">
        <f t="shared" si="573"/>
        <v>27.018245924522052</v>
      </c>
      <c r="EQ207" s="460"/>
      <c r="ER207" s="460">
        <f t="shared" si="593"/>
        <v>664.77514210285881</v>
      </c>
      <c r="ES207" s="528">
        <f t="shared" si="574"/>
        <v>4.0739999999999998</v>
      </c>
      <c r="EV207" s="460">
        <f t="shared" si="494"/>
        <v>4074</v>
      </c>
      <c r="EW207" s="528">
        <f t="shared" si="575"/>
        <v>0.13096972104018909</v>
      </c>
      <c r="EX207" s="528">
        <f t="shared" si="576"/>
        <v>2.0063446627433215</v>
      </c>
      <c r="EY207" s="528">
        <f t="shared" si="577"/>
        <v>0.81278041177063032</v>
      </c>
      <c r="EZ207" s="528"/>
      <c r="FA207" s="528">
        <f t="shared" si="578"/>
        <v>9.6999999999999989E-2</v>
      </c>
      <c r="FB207" s="460">
        <f t="shared" si="579"/>
        <v>3047.0947955541405</v>
      </c>
      <c r="FC207" s="173">
        <f t="shared" si="580"/>
        <v>7.785869937657</v>
      </c>
      <c r="FD207" s="5">
        <f t="shared" si="581"/>
        <v>23.28</v>
      </c>
      <c r="FE207" s="173">
        <f t="shared" si="582"/>
        <v>0.74937544149635316</v>
      </c>
      <c r="FF207" s="5">
        <f t="shared" si="583"/>
        <v>74.937544149635315</v>
      </c>
      <c r="FI207" s="562">
        <f t="shared" si="584"/>
        <v>-50</v>
      </c>
      <c r="FJ207">
        <f t="shared" si="585"/>
        <v>-50</v>
      </c>
      <c r="FL207">
        <f t="shared" si="586"/>
        <v>0.48913043478260865</v>
      </c>
    </row>
    <row r="208" spans="5:168">
      <c r="E208" s="170">
        <v>98</v>
      </c>
      <c r="F208" s="217">
        <f>IF(PLOT_TYPE=1, E208/100*Iout_max, min_I*EXP(N208*rr/100))</f>
        <v>5.88</v>
      </c>
      <c r="G208" s="217"/>
      <c r="H208" s="217">
        <f>F208*Vout</f>
        <v>23.52</v>
      </c>
      <c r="I208" s="541">
        <f t="shared" si="496"/>
        <v>17.871202652522992</v>
      </c>
      <c r="J208" s="172">
        <f t="shared" si="497"/>
        <v>20.26499352580484</v>
      </c>
      <c r="K208" s="172">
        <f t="shared" si="498"/>
        <v>38.136196178327836</v>
      </c>
      <c r="L208" s="443"/>
      <c r="M208" s="217">
        <f t="shared" si="499"/>
        <v>0.53110893785397539</v>
      </c>
      <c r="N208" s="172">
        <f>M208*I208*(Isw_max+VIN_min/Lmag*ILIM_delay)*0.5*Efficiency</f>
        <v>31.852078194341928</v>
      </c>
      <c r="O208" s="172">
        <f t="shared" si="599"/>
        <v>23.52</v>
      </c>
      <c r="P208" s="217">
        <f>N208/Vout</f>
        <v>7.963019548585482</v>
      </c>
      <c r="Q208" s="217">
        <f t="shared" si="502"/>
        <v>4</v>
      </c>
      <c r="R208" s="217"/>
      <c r="S208" s="172">
        <f t="shared" si="503"/>
        <v>6.1217227111620343</v>
      </c>
      <c r="T208" s="536">
        <f>MIN(Vout, S208)</f>
        <v>4</v>
      </c>
      <c r="U208" s="217">
        <f t="shared" si="505"/>
        <v>6.2701131186936738</v>
      </c>
      <c r="V208" s="217">
        <f>L*U208/I208*1000000</f>
        <v>4.2102011200517486</v>
      </c>
      <c r="W208" s="217">
        <f t="shared" si="507"/>
        <v>3.7128734992445955</v>
      </c>
      <c r="X208" s="197">
        <f t="shared" si="508"/>
        <v>350</v>
      </c>
      <c r="Y208" s="443">
        <f t="shared" si="509"/>
        <v>123.10609552010054</v>
      </c>
      <c r="AA208" s="217">
        <f t="shared" si="510"/>
        <v>2.2610678014975414</v>
      </c>
      <c r="AB208" s="173">
        <f>L*AA208/J208*1000000</f>
        <v>1.3389006802997681</v>
      </c>
      <c r="AC208" s="173">
        <f>0.5*AB208*AA208*Nps*X208/1000</f>
        <v>2.1191416523402715</v>
      </c>
      <c r="AD208" s="173"/>
      <c r="AE208" s="173">
        <f t="shared" si="513"/>
        <v>0.78953886561207531</v>
      </c>
      <c r="AF208" s="545">
        <f>MAX(12000,F208/(0.5*AE208/1000000*Isw_min*Nps))/1000</f>
        <v>2792.7694202749785</v>
      </c>
      <c r="AG208" s="528">
        <f t="shared" si="515"/>
        <v>0.73690294123793709</v>
      </c>
      <c r="AI208" s="173">
        <f t="shared" si="516"/>
        <v>3.7663636930152387</v>
      </c>
      <c r="AJ208" s="173">
        <f>MAX(IF(F208&gt;AC208,U208,AI208),Isw_min)</f>
        <v>6.2701131186936738</v>
      </c>
      <c r="AK208" s="173">
        <f>IF(F208&gt;AG208, (AJ208-Isw_min)/1.08*0.8+1.2, AF208*0.2/350+1)</f>
        <v>4.8568739150817333</v>
      </c>
      <c r="AM208" s="545">
        <f t="shared" si="519"/>
        <v>5880</v>
      </c>
      <c r="AN208" s="460">
        <f t="shared" si="520"/>
        <v>123.10609552010054</v>
      </c>
      <c r="AP208">
        <f t="shared" si="521"/>
        <v>5880</v>
      </c>
      <c r="AQ208">
        <f t="shared" si="522"/>
        <v>123.10609552010054</v>
      </c>
      <c r="AS208" s="5">
        <f t="shared" si="600"/>
        <v>8.1230746192963448</v>
      </c>
      <c r="AT208" s="5">
        <f t="shared" si="523"/>
        <v>4.2102011200517486</v>
      </c>
      <c r="AU208" s="5">
        <f t="shared" si="478"/>
        <v>3.9128734992445962</v>
      </c>
      <c r="AV208" s="5"/>
      <c r="AW208" s="173">
        <f t="shared" si="479"/>
        <v>0.51830142124392475</v>
      </c>
      <c r="AX208" s="173">
        <f t="shared" si="596"/>
        <v>29.038993507081749</v>
      </c>
      <c r="AY208" s="173">
        <f t="shared" si="597"/>
        <v>6.0406091558291308</v>
      </c>
      <c r="AZ208" s="173">
        <f t="shared" si="601"/>
        <v>4.8072955488370566</v>
      </c>
      <c r="BA208" s="460">
        <f t="shared" si="594"/>
        <v>618.89956464760701</v>
      </c>
      <c r="BB208" s="5">
        <f t="shared" si="595"/>
        <v>4.2913911322228175</v>
      </c>
      <c r="BD208" s="173">
        <f t="shared" si="602"/>
        <v>2.6061892464402141</v>
      </c>
      <c r="BE208" s="173">
        <f t="shared" si="598"/>
        <v>10.049915782448506</v>
      </c>
      <c r="BG208" s="528">
        <f t="shared" si="480"/>
        <v>8.2865113136779453E-2</v>
      </c>
      <c r="BH208" s="528">
        <f t="shared" si="524"/>
        <v>0.55194217205664975</v>
      </c>
      <c r="BI208" s="528">
        <f t="shared" si="525"/>
        <v>5.5001349520014231E-2</v>
      </c>
      <c r="BJ208" s="528">
        <f t="shared" si="481"/>
        <v>1.7904174553525037E-2</v>
      </c>
      <c r="BK208">
        <f t="shared" si="482"/>
        <v>8.0420411936353471E-3</v>
      </c>
      <c r="BL208" s="460">
        <f t="shared" si="588"/>
        <v>63.043390713649572</v>
      </c>
      <c r="BM208" s="528">
        <f t="shared" si="526"/>
        <v>0.68864357202958282</v>
      </c>
      <c r="BN208" s="460">
        <f t="shared" si="527"/>
        <v>688.64357202958286</v>
      </c>
      <c r="BO208" s="528">
        <f t="shared" si="483"/>
        <v>4.1159999999999997</v>
      </c>
      <c r="BR208" s="460">
        <f t="shared" si="484"/>
        <v>4116</v>
      </c>
      <c r="BS208" s="528">
        <f t="shared" si="485"/>
        <v>0.20376667164781831</v>
      </c>
      <c r="BT208" s="528">
        <f t="shared" si="486"/>
        <v>3.0300242170292271</v>
      </c>
      <c r="BU208" s="528">
        <f t="shared" si="487"/>
        <v>0.82767023551400887</v>
      </c>
      <c r="BV208" s="528"/>
      <c r="BW208" s="528">
        <f t="shared" si="488"/>
        <v>0.12099580627950729</v>
      </c>
      <c r="BX208" s="460">
        <f t="shared" si="489"/>
        <v>4182.456930470561</v>
      </c>
      <c r="BY208" s="173">
        <f t="shared" si="490"/>
        <v>9.0142117809311664</v>
      </c>
      <c r="BZ208" s="5">
        <f t="shared" si="491"/>
        <v>23.52</v>
      </c>
      <c r="CA208" s="173">
        <f t="shared" si="492"/>
        <v>0.72293129946936219</v>
      </c>
      <c r="CB208" s="5">
        <f t="shared" si="493"/>
        <v>72.293129946936219</v>
      </c>
      <c r="CE208" s="562">
        <f t="shared" si="528"/>
        <v>-50</v>
      </c>
      <c r="CF208">
        <f t="shared" si="529"/>
        <v>-50</v>
      </c>
      <c r="CG208" s="173">
        <f t="shared" si="530"/>
        <v>0.4816403537431041</v>
      </c>
      <c r="CI208" s="170">
        <v>98</v>
      </c>
      <c r="CJ208" s="217">
        <f t="shared" si="589"/>
        <v>5.88</v>
      </c>
      <c r="CK208" s="217"/>
      <c r="CL208" s="217">
        <f t="shared" si="531"/>
        <v>23.52</v>
      </c>
      <c r="CM208" s="541">
        <f t="shared" si="532"/>
        <v>18</v>
      </c>
      <c r="CN208" s="443">
        <f t="shared" si="533"/>
        <v>18.8</v>
      </c>
      <c r="CO208" s="443">
        <f t="shared" si="534"/>
        <v>36.799999999999997</v>
      </c>
      <c r="CP208" s="443"/>
      <c r="CQ208" s="217">
        <f t="shared" si="535"/>
        <v>0.51086956521739135</v>
      </c>
      <c r="CR208" s="172">
        <f t="shared" si="590"/>
        <v>30.859076086956527</v>
      </c>
      <c r="CS208" s="172">
        <f t="shared" si="536"/>
        <v>23.52</v>
      </c>
      <c r="CT208" s="217">
        <f t="shared" si="537"/>
        <v>7.7147690217391318</v>
      </c>
      <c r="CU208" s="217">
        <f t="shared" si="538"/>
        <v>4</v>
      </c>
      <c r="CV208" s="217"/>
      <c r="CW208" s="172">
        <f t="shared" si="539"/>
        <v>6.1630605362162063</v>
      </c>
      <c r="CX208" s="536">
        <f t="shared" si="540"/>
        <v>4</v>
      </c>
      <c r="CY208" s="217">
        <f t="shared" si="541"/>
        <v>5.115460992907801</v>
      </c>
      <c r="CZ208" s="217">
        <f t="shared" si="542"/>
        <v>3.4103073286052004</v>
      </c>
      <c r="DA208" s="217">
        <f t="shared" si="543"/>
        <v>3.26518786781349</v>
      </c>
      <c r="DB208" s="197">
        <f t="shared" si="544"/>
        <v>350</v>
      </c>
      <c r="DC208" s="443">
        <f t="shared" si="545"/>
        <v>149.80162079009298</v>
      </c>
      <c r="DE208" s="217">
        <f t="shared" si="546"/>
        <v>2.18944099378882</v>
      </c>
      <c r="DF208" s="173">
        <f t="shared" si="547"/>
        <v>1.3975155279503106</v>
      </c>
      <c r="DG208" s="173">
        <f t="shared" si="548"/>
        <v>2.1418444504455847</v>
      </c>
      <c r="DH208" s="173"/>
      <c r="DI208" s="173">
        <f t="shared" si="549"/>
        <v>0.85106382978723416</v>
      </c>
      <c r="DJ208" s="545">
        <f t="shared" si="550"/>
        <v>2590.8749999999995</v>
      </c>
      <c r="DK208" s="528">
        <f t="shared" si="551"/>
        <v>0.79432624113475192</v>
      </c>
      <c r="DM208" s="173">
        <f t="shared" si="552"/>
        <v>3.6276714294434109</v>
      </c>
      <c r="DN208" s="173">
        <f t="shared" si="553"/>
        <v>5.115460992907801</v>
      </c>
      <c r="DO208" s="173">
        <f t="shared" si="554"/>
        <v>4.0015760441292354</v>
      </c>
      <c r="DQ208" s="545">
        <f t="shared" si="555"/>
        <v>5880</v>
      </c>
      <c r="DR208" s="460">
        <f t="shared" si="556"/>
        <v>149.80162079009298</v>
      </c>
      <c r="DT208">
        <f t="shared" si="591"/>
        <v>5880</v>
      </c>
      <c r="DU208">
        <f t="shared" si="592"/>
        <v>149.80162079009298</v>
      </c>
      <c r="DW208" s="5">
        <f t="shared" si="557"/>
        <v>6.6754951964186908</v>
      </c>
      <c r="DX208" s="5">
        <f t="shared" si="558"/>
        <v>3.4103073286052004</v>
      </c>
      <c r="DY208" s="5">
        <f t="shared" si="559"/>
        <v>3.2651878678134905</v>
      </c>
      <c r="DZ208" s="5"/>
      <c r="EA208" s="173">
        <f t="shared" si="560"/>
        <v>0.51086956521739124</v>
      </c>
      <c r="EB208" s="173">
        <f t="shared" si="561"/>
        <v>23.52</v>
      </c>
      <c r="EC208" s="173">
        <f t="shared" si="562"/>
        <v>5.0042553191489363</v>
      </c>
      <c r="ED208" s="173">
        <f t="shared" si="563"/>
        <v>4.7</v>
      </c>
      <c r="EE208" s="460">
        <f t="shared" si="564"/>
        <v>501.31517730496444</v>
      </c>
      <c r="EF208" s="5">
        <f t="shared" si="565"/>
        <v>3.5554267893969111</v>
      </c>
      <c r="EH208" s="173">
        <f t="shared" si="566"/>
        <v>2.1109559231252226</v>
      </c>
      <c r="EI208" s="173">
        <f t="shared" si="567"/>
        <v>8.2622148577981616</v>
      </c>
      <c r="EK208" s="528">
        <f t="shared" si="568"/>
        <v>5.4364845894405017E-2</v>
      </c>
      <c r="EL208" s="528">
        <f t="shared" si="569"/>
        <v>0.56399999999999995</v>
      </c>
      <c r="EM208" s="528">
        <f t="shared" si="570"/>
        <v>1.872520259876162E-2</v>
      </c>
      <c r="EN208" s="528">
        <f t="shared" si="571"/>
        <v>2.028673469387755E-2</v>
      </c>
      <c r="EO208">
        <f t="shared" si="572"/>
        <v>8.0999999999999996E-3</v>
      </c>
      <c r="EP208" s="460">
        <f t="shared" si="573"/>
        <v>26.825202598761621</v>
      </c>
      <c r="EQ208" s="460"/>
      <c r="ER208" s="460">
        <f t="shared" si="593"/>
        <v>665.47678318704413</v>
      </c>
      <c r="ES208" s="528">
        <f t="shared" si="574"/>
        <v>4.1159999999999997</v>
      </c>
      <c r="EV208" s="460">
        <f t="shared" si="494"/>
        <v>4116</v>
      </c>
      <c r="EW208" s="528">
        <f t="shared" si="575"/>
        <v>0.13368404728132383</v>
      </c>
      <c r="EX208" s="528">
        <f t="shared" si="576"/>
        <v>2.0479258306926207</v>
      </c>
      <c r="EY208" s="528">
        <f t="shared" si="577"/>
        <v>0.81278041177063187</v>
      </c>
      <c r="EZ208" s="528"/>
      <c r="FA208" s="528">
        <f t="shared" si="578"/>
        <v>9.8000000000000004E-2</v>
      </c>
      <c r="FB208" s="460">
        <f t="shared" si="579"/>
        <v>3092.3902897445764</v>
      </c>
      <c r="FC208" s="173">
        <f t="shared" si="580"/>
        <v>7.8738670729316196</v>
      </c>
      <c r="FD208" s="5">
        <f t="shared" si="581"/>
        <v>23.52</v>
      </c>
      <c r="FE208" s="173">
        <f t="shared" si="582"/>
        <v>0.74919091507141478</v>
      </c>
      <c r="FF208" s="5">
        <f t="shared" si="583"/>
        <v>74.919091507141474</v>
      </c>
      <c r="FI208" s="562">
        <f t="shared" si="584"/>
        <v>-50</v>
      </c>
      <c r="FJ208">
        <f t="shared" si="585"/>
        <v>-50</v>
      </c>
      <c r="FL208">
        <f t="shared" si="586"/>
        <v>0.48913043478260876</v>
      </c>
    </row>
    <row r="209" spans="5:168">
      <c r="E209" s="170">
        <v>99</v>
      </c>
      <c r="F209" s="217">
        <f>IF(PLOT_TYPE=1, E209/100*Iout_max, min_I*EXP(N209*rr/100))</f>
        <v>5.9399999999999995</v>
      </c>
      <c r="G209" s="217"/>
      <c r="H209" s="217">
        <f>F209*Vout</f>
        <v>23.759999999999998</v>
      </c>
      <c r="I209" s="541">
        <f t="shared" si="496"/>
        <v>17.869908828952266</v>
      </c>
      <c r="J209" s="172">
        <f t="shared" si="497"/>
        <v>20.279710002438701</v>
      </c>
      <c r="K209" s="172">
        <f t="shared" si="498"/>
        <v>38.149618831390967</v>
      </c>
      <c r="L209" s="443"/>
      <c r="M209" s="217">
        <f t="shared" si="499"/>
        <v>0.53130798839848981</v>
      </c>
      <c r="N209" s="172">
        <f>M209*I209*(Isw_max+VIN_min/Lmag*ILIM_delay)*0.5*Efficiency</f>
        <v>31.861708945454243</v>
      </c>
      <c r="O209" s="172">
        <f t="shared" si="599"/>
        <v>23.759999999999998</v>
      </c>
      <c r="P209" s="217">
        <f>N209/Vout</f>
        <v>7.9654272363635608</v>
      </c>
      <c r="Q209" s="217">
        <f t="shared" si="502"/>
        <v>4</v>
      </c>
      <c r="R209" s="217"/>
      <c r="S209" s="172">
        <f t="shared" si="503"/>
        <v>6.0255108832669588</v>
      </c>
      <c r="T209" s="536">
        <f>MIN(Vout, S209)</f>
        <v>4</v>
      </c>
      <c r="U209" s="217">
        <f t="shared" si="505"/>
        <v>6.3367839145616669</v>
      </c>
      <c r="V209" s="217">
        <f>L*U209/I209*1000000</f>
        <v>4.2552767169992549</v>
      </c>
      <c r="W209" s="217">
        <f t="shared" si="507"/>
        <v>3.7496298993228097</v>
      </c>
      <c r="X209" s="197">
        <f t="shared" si="508"/>
        <v>350</v>
      </c>
      <c r="Y209" s="443">
        <f t="shared" si="509"/>
        <v>121.87829146168403</v>
      </c>
      <c r="AA209" s="217">
        <f t="shared" si="510"/>
        <v>2.2617499199592399</v>
      </c>
      <c r="AB209" s="173">
        <f>L*AA209/J209*1000000</f>
        <v>1.3383326998387592</v>
      </c>
      <c r="AC209" s="173">
        <f>0.5*AB209*AA209*Nps*X209/1000</f>
        <v>2.118881713717403</v>
      </c>
      <c r="AD209" s="173"/>
      <c r="AE209" s="173">
        <f t="shared" si="513"/>
        <v>0.78896591707060659</v>
      </c>
      <c r="AF209" s="545">
        <f>MAX(12000,F209/(0.5*AE209/1000000*Isw_min*Nps))/1000</f>
        <v>2823.315876902012</v>
      </c>
      <c r="AG209" s="528">
        <f t="shared" si="515"/>
        <v>0.73636818926589953</v>
      </c>
      <c r="AI209" s="173">
        <f t="shared" si="516"/>
        <v>3.7869053425129442</v>
      </c>
      <c r="AJ209" s="173">
        <f>MAX(IF(F209&gt;AC209,U209,AI209),Isw_min)</f>
        <v>6.3367839145616669</v>
      </c>
      <c r="AK209" s="173">
        <f>IF(F209&gt;AG209, (AJ209-Isw_min)/1.08*0.8+1.2, AF209*0.2/350+1)</f>
        <v>4.9062596897987651</v>
      </c>
      <c r="AM209" s="545">
        <f t="shared" si="519"/>
        <v>5939.9999999999991</v>
      </c>
      <c r="AN209" s="460">
        <f t="shared" si="520"/>
        <v>121.87829146168403</v>
      </c>
      <c r="AP209">
        <f t="shared" si="521"/>
        <v>5939.9999999999991</v>
      </c>
      <c r="AQ209">
        <f t="shared" si="522"/>
        <v>121.87829146168403</v>
      </c>
      <c r="AS209" s="5">
        <f t="shared" si="600"/>
        <v>8.204906616322063</v>
      </c>
      <c r="AT209" s="5">
        <f t="shared" si="523"/>
        <v>4.2552767169992549</v>
      </c>
      <c r="AU209" s="5">
        <f t="shared" si="478"/>
        <v>3.9496298993228081</v>
      </c>
      <c r="AV209" s="5"/>
      <c r="AW209" s="173">
        <f t="shared" si="479"/>
        <v>0.51862585596455313</v>
      </c>
      <c r="AX209" s="173">
        <f t="shared" si="596"/>
        <v>29.364012723777218</v>
      </c>
      <c r="AY209" s="173">
        <f t="shared" si="597"/>
        <v>6.1007278656194215</v>
      </c>
      <c r="AZ209" s="173">
        <f t="shared" si="601"/>
        <v>4.8131982561060882</v>
      </c>
      <c r="BA209" s="460">
        <f t="shared" si="594"/>
        <v>631.90859247438937</v>
      </c>
      <c r="BB209" s="5">
        <f t="shared" si="595"/>
        <v>4.376221096320875</v>
      </c>
      <c r="BD209" s="173">
        <f t="shared" si="602"/>
        <v>2.6347253668937265</v>
      </c>
      <c r="BE209" s="173">
        <f t="shared" si="598"/>
        <v>10.153356647726607</v>
      </c>
      <c r="BG209" s="528">
        <f t="shared" si="480"/>
        <v>8.4689688659230031E-2</v>
      </c>
      <c r="BH209" s="528">
        <f t="shared" si="524"/>
        <v>0.55244205295823567</v>
      </c>
      <c r="BI209" s="528">
        <f t="shared" si="525"/>
        <v>5.4448848916219122E-2</v>
      </c>
      <c r="BJ209" s="528">
        <f t="shared" si="481"/>
        <v>1.7738086306615591E-2</v>
      </c>
      <c r="BK209">
        <f t="shared" si="482"/>
        <v>8.0414589730285185E-3</v>
      </c>
      <c r="BL209" s="460">
        <f t="shared" si="588"/>
        <v>62.490307889247646</v>
      </c>
      <c r="BM209" s="528">
        <f t="shared" si="526"/>
        <v>0.69165368609781985</v>
      </c>
      <c r="BN209" s="460">
        <f t="shared" si="527"/>
        <v>691.6536860978199</v>
      </c>
      <c r="BO209" s="528">
        <f t="shared" si="483"/>
        <v>4.1579999999999995</v>
      </c>
      <c r="BR209" s="460">
        <f t="shared" si="484"/>
        <v>4157.9999999999991</v>
      </c>
      <c r="BS209" s="528">
        <f t="shared" si="485"/>
        <v>0.20825333276859845</v>
      </c>
      <c r="BT209" s="528">
        <f t="shared" si="486"/>
        <v>3.0927195364780227</v>
      </c>
      <c r="BU209" s="528">
        <f t="shared" si="487"/>
        <v>0.82881603111544178</v>
      </c>
      <c r="BV209" s="528"/>
      <c r="BW209" s="528">
        <f t="shared" si="488"/>
        <v>0.12235005301573841</v>
      </c>
      <c r="BX209" s="460">
        <f t="shared" si="489"/>
        <v>4252.138953377801</v>
      </c>
      <c r="BY209" s="173">
        <f t="shared" si="490"/>
        <v>9.1274990891911294</v>
      </c>
      <c r="BZ209" s="5">
        <f t="shared" si="491"/>
        <v>23.759999999999998</v>
      </c>
      <c r="CA209" s="173">
        <f t="shared" si="492"/>
        <v>0.72246296185558878</v>
      </c>
      <c r="CB209" s="5">
        <f t="shared" si="493"/>
        <v>72.246296185558876</v>
      </c>
      <c r="CE209" s="562">
        <f t="shared" si="528"/>
        <v>-50</v>
      </c>
      <c r="CF209">
        <f t="shared" si="529"/>
        <v>-50</v>
      </c>
      <c r="CG209" s="173">
        <f t="shared" si="530"/>
        <v>0.48171601112734141</v>
      </c>
      <c r="CI209" s="170">
        <v>99</v>
      </c>
      <c r="CJ209" s="217">
        <f t="shared" si="589"/>
        <v>5.9399999999999995</v>
      </c>
      <c r="CK209" s="217"/>
      <c r="CL209" s="217">
        <f t="shared" si="531"/>
        <v>23.759999999999998</v>
      </c>
      <c r="CM209" s="541">
        <f t="shared" si="532"/>
        <v>18</v>
      </c>
      <c r="CN209" s="443">
        <f t="shared" si="533"/>
        <v>18.8</v>
      </c>
      <c r="CO209" s="443">
        <f t="shared" si="534"/>
        <v>36.799999999999997</v>
      </c>
      <c r="CP209" s="443"/>
      <c r="CQ209" s="217">
        <f t="shared" si="535"/>
        <v>0.51086956521739135</v>
      </c>
      <c r="CR209" s="172">
        <f t="shared" si="590"/>
        <v>30.859076086956527</v>
      </c>
      <c r="CS209" s="172">
        <f t="shared" si="536"/>
        <v>23.759999999999998</v>
      </c>
      <c r="CT209" s="217">
        <f t="shared" si="537"/>
        <v>7.7147690217391318</v>
      </c>
      <c r="CU209" s="217">
        <f t="shared" si="538"/>
        <v>4</v>
      </c>
      <c r="CV209" s="217"/>
      <c r="CW209" s="172">
        <f t="shared" si="539"/>
        <v>6.0665363104996093</v>
      </c>
      <c r="CX209" s="536">
        <f t="shared" si="540"/>
        <v>4</v>
      </c>
      <c r="CY209" s="217">
        <f t="shared" si="541"/>
        <v>5.1676595744680842</v>
      </c>
      <c r="CZ209" s="217">
        <f t="shared" si="542"/>
        <v>3.4451063829787234</v>
      </c>
      <c r="DA209" s="217">
        <f t="shared" si="543"/>
        <v>3.2985061113626069</v>
      </c>
      <c r="DB209" s="197">
        <f t="shared" si="544"/>
        <v>350</v>
      </c>
      <c r="DC209" s="443">
        <f t="shared" si="545"/>
        <v>148.28847310534456</v>
      </c>
      <c r="DE209" s="217">
        <f t="shared" si="546"/>
        <v>2.18944099378882</v>
      </c>
      <c r="DF209" s="173">
        <f t="shared" si="547"/>
        <v>1.3975155279503106</v>
      </c>
      <c r="DG209" s="173">
        <f t="shared" si="548"/>
        <v>2.1418444504455847</v>
      </c>
      <c r="DH209" s="173"/>
      <c r="DI209" s="173">
        <f t="shared" si="549"/>
        <v>0.85106382978723416</v>
      </c>
      <c r="DJ209" s="545">
        <f t="shared" si="550"/>
        <v>2617.3124999999991</v>
      </c>
      <c r="DK209" s="528">
        <f t="shared" si="551"/>
        <v>0.79432624113475192</v>
      </c>
      <c r="DM209" s="173">
        <f t="shared" si="552"/>
        <v>3.6461329808834062</v>
      </c>
      <c r="DN209" s="173">
        <f t="shared" si="553"/>
        <v>5.1676595744680842</v>
      </c>
      <c r="DO209" s="173">
        <f t="shared" si="554"/>
        <v>4.0402416600998157</v>
      </c>
      <c r="DQ209" s="545">
        <f t="shared" si="555"/>
        <v>5939.9999999999991</v>
      </c>
      <c r="DR209" s="460">
        <f t="shared" si="556"/>
        <v>148.28847310534456</v>
      </c>
      <c r="DT209">
        <f t="shared" si="591"/>
        <v>5939.9999999999991</v>
      </c>
      <c r="DU209">
        <f t="shared" si="592"/>
        <v>148.28847310534456</v>
      </c>
      <c r="DW209" s="5">
        <f t="shared" si="557"/>
        <v>6.7436124943413303</v>
      </c>
      <c r="DX209" s="5">
        <f t="shared" si="558"/>
        <v>3.4451063829787234</v>
      </c>
      <c r="DY209" s="5">
        <f t="shared" si="559"/>
        <v>3.2985061113626069</v>
      </c>
      <c r="DZ209" s="5"/>
      <c r="EA209" s="173">
        <f t="shared" si="560"/>
        <v>0.51086956521739135</v>
      </c>
      <c r="EB209" s="173">
        <f t="shared" si="561"/>
        <v>23.759999999999994</v>
      </c>
      <c r="EC209" s="173">
        <f t="shared" si="562"/>
        <v>5.0553191489361691</v>
      </c>
      <c r="ED209" s="173">
        <f t="shared" si="563"/>
        <v>4.7</v>
      </c>
      <c r="EE209" s="460">
        <f t="shared" si="564"/>
        <v>511.59829787234037</v>
      </c>
      <c r="EF209" s="5">
        <f t="shared" si="565"/>
        <v>3.6283567224988666</v>
      </c>
      <c r="EH209" s="173">
        <f t="shared" si="566"/>
        <v>2.1324962896877251</v>
      </c>
      <c r="EI209" s="173">
        <f t="shared" si="567"/>
        <v>8.3465231726736526</v>
      </c>
      <c r="EK209" s="528">
        <f t="shared" si="568"/>
        <v>5.547999319148935E-2</v>
      </c>
      <c r="EL209" s="528">
        <f t="shared" si="569"/>
        <v>0.56399999999999983</v>
      </c>
      <c r="EM209" s="528">
        <f t="shared" si="570"/>
        <v>1.8536059138168071E-2</v>
      </c>
      <c r="EN209" s="528">
        <f t="shared" si="571"/>
        <v>2.008181818181818E-2</v>
      </c>
      <c r="EO209">
        <f t="shared" si="572"/>
        <v>8.0999999999999996E-3</v>
      </c>
      <c r="EP209" s="460">
        <f t="shared" si="573"/>
        <v>26.636059138168072</v>
      </c>
      <c r="EQ209" s="460"/>
      <c r="ER209" s="460">
        <f t="shared" si="593"/>
        <v>666.19787051147534</v>
      </c>
      <c r="ES209" s="528">
        <f t="shared" si="574"/>
        <v>4.1579999999999995</v>
      </c>
      <c r="EV209" s="460">
        <f t="shared" si="494"/>
        <v>4157.9999999999991</v>
      </c>
      <c r="EW209" s="528">
        <f t="shared" si="575"/>
        <v>0.13642621276595743</v>
      </c>
      <c r="EX209" s="528">
        <f t="shared" si="576"/>
        <v>2.0899334721593474</v>
      </c>
      <c r="EY209" s="528">
        <f t="shared" si="577"/>
        <v>0.81278041177063176</v>
      </c>
      <c r="EZ209" s="528"/>
      <c r="FA209" s="528">
        <f t="shared" si="578"/>
        <v>9.8999999999999977E-2</v>
      </c>
      <c r="FB209" s="460">
        <f t="shared" si="579"/>
        <v>3138.1400966959363</v>
      </c>
      <c r="FC209" s="173">
        <f t="shared" si="580"/>
        <v>7.9623379672074117</v>
      </c>
      <c r="FD209" s="5">
        <f t="shared" si="581"/>
        <v>23.759999999999998</v>
      </c>
      <c r="FE209" s="173">
        <f t="shared" si="582"/>
        <v>0.74899901843809924</v>
      </c>
      <c r="FF209" s="5">
        <f t="shared" si="583"/>
        <v>74.899901843809928</v>
      </c>
      <c r="FI209" s="562">
        <f t="shared" si="584"/>
        <v>-50</v>
      </c>
      <c r="FJ209">
        <f t="shared" si="585"/>
        <v>-50</v>
      </c>
      <c r="FL209">
        <f t="shared" si="586"/>
        <v>0.48913043478260865</v>
      </c>
    </row>
    <row r="210" spans="5:168">
      <c r="E210" s="170">
        <v>100</v>
      </c>
      <c r="F210" s="217">
        <f>IF(PLOT_TYPE=1, E210/100*Iout_max, min_I*EXP(N210*rr/100))</f>
        <v>6</v>
      </c>
      <c r="G210" s="217"/>
      <c r="H210" s="217">
        <f>F210*Vout</f>
        <v>24</v>
      </c>
      <c r="I210" s="541">
        <f t="shared" si="496"/>
        <v>17.868614999091896</v>
      </c>
      <c r="J210" s="172">
        <f t="shared" si="497"/>
        <v>20.294426550613487</v>
      </c>
      <c r="K210" s="172">
        <f t="shared" si="498"/>
        <v>38.163041549705383</v>
      </c>
      <c r="L210" s="443"/>
      <c r="M210" s="217">
        <f>(Vout+Vfwd1+F210/FL210*Rdcr_sec)*Nps/((Vout+Vfwd1+F210/FL210*Rdcr_sec)*Nps+I210)</f>
        <v>0.53150689889197289</v>
      </c>
      <c r="N210" s="172">
        <f>M210*I210*(Isw_max+VIN_min/Lmag*ILIM_delay)*0.5*Efficiency</f>
        <v>31.871329558817152</v>
      </c>
      <c r="O210" s="172">
        <f t="shared" si="599"/>
        <v>24</v>
      </c>
      <c r="P210" s="217">
        <f>N210/Vout</f>
        <v>7.967832389704288</v>
      </c>
      <c r="Q210" s="217">
        <f t="shared" si="502"/>
        <v>4</v>
      </c>
      <c r="R210" s="217"/>
      <c r="S210" s="172">
        <f t="shared" si="503"/>
        <v>5.9314001896280457</v>
      </c>
      <c r="T210" s="536">
        <f>MIN(Vout, S210)</f>
        <v>4</v>
      </c>
      <c r="U210" s="217">
        <f>MIN(2*(Vout+Vfwd1+F210/FL210*Rdcr_sec)*F210/(I210*M210), Isw_max)</f>
        <v>6.4035094495623044</v>
      </c>
      <c r="V210" s="217">
        <f>L*U210/I210*1000000</f>
        <v>4.3003956041726159</v>
      </c>
      <c r="W210" s="217">
        <f t="shared" si="507"/>
        <v>3.7863653453378694</v>
      </c>
      <c r="X210" s="197">
        <f t="shared" si="508"/>
        <v>350</v>
      </c>
      <c r="Y210" s="443">
        <f>MIN(1/(V210+W210+0.2)*1000, 350)</f>
        <v>120.67441140064166</v>
      </c>
      <c r="AA210" s="217">
        <f t="shared" si="510"/>
        <v>2.2624313243204277</v>
      </c>
      <c r="AB210" s="173">
        <f>L*AA210/J210*1000000</f>
        <v>1.3377651161581816</v>
      </c>
      <c r="AC210" s="173">
        <f>0.5*AB210*AA210*Nps*X210/1000</f>
        <v>2.1186211923655978</v>
      </c>
      <c r="AD210" s="173"/>
      <c r="AE210" s="173">
        <f t="shared" si="513"/>
        <v>0.78839379669569098</v>
      </c>
      <c r="AF210" s="545">
        <f>MAX(12000,F210/(0.5*AE210/1000000*Isw_min*Nps))/1000</f>
        <v>2853.9037336800207</v>
      </c>
      <c r="AG210" s="528">
        <f t="shared" si="515"/>
        <v>0.73583421024931173</v>
      </c>
      <c r="AI210" s="173">
        <f t="shared" si="516"/>
        <v>3.8073637815060328</v>
      </c>
      <c r="AJ210" s="173">
        <f>MAX(IF(F210&gt;AC210,U210,AI210),Isw_min)</f>
        <v>6.4035094495623044</v>
      </c>
      <c r="AK210" s="173">
        <f>IF(F210&gt;AG210, (AJ210-Isw_min)/1.08*0.8+1.2, AF210*0.2/350+1)</f>
        <v>4.9556860120214603</v>
      </c>
      <c r="AM210" s="545">
        <f t="shared" si="519"/>
        <v>6000</v>
      </c>
      <c r="AN210" s="460">
        <f t="shared" si="520"/>
        <v>120.67441140064166</v>
      </c>
      <c r="AP210">
        <f t="shared" si="521"/>
        <v>6000</v>
      </c>
      <c r="AQ210">
        <f t="shared" si="522"/>
        <v>120.67441140064166</v>
      </c>
      <c r="AS210" s="5">
        <f t="shared" si="600"/>
        <v>8.2867609495104837</v>
      </c>
      <c r="AT210" s="5">
        <f t="shared" si="523"/>
        <v>4.3003956041726159</v>
      </c>
      <c r="AU210" s="5">
        <f t="shared" si="478"/>
        <v>3.9863653453378678</v>
      </c>
      <c r="AV210" s="5"/>
      <c r="AW210" s="173">
        <f t="shared" si="479"/>
        <v>0.51894770832343717</v>
      </c>
      <c r="AX210" s="173">
        <f t="shared" si="596"/>
        <v>29.68947712173788</v>
      </c>
      <c r="AY210" s="173">
        <f t="shared" si="597"/>
        <v>6.1608457909689438</v>
      </c>
      <c r="AZ210" s="173">
        <f t="shared" si="601"/>
        <v>4.8190586372505981</v>
      </c>
      <c r="BA210" s="460">
        <f t="shared" si="594"/>
        <v>645.05934062589245</v>
      </c>
      <c r="BB210" s="5">
        <f t="shared" si="595"/>
        <v>4.4618627079272333</v>
      </c>
      <c r="BD210" s="173">
        <f t="shared" si="602"/>
        <v>2.663294710864148</v>
      </c>
      <c r="BE210" s="173">
        <f t="shared" si="598"/>
        <v>10.256839570389543</v>
      </c>
      <c r="BG210" s="528">
        <f t="shared" si="480"/>
        <v>8.653629234638674E-2</v>
      </c>
      <c r="BH210" s="528">
        <f t="shared" si="524"/>
        <v>0.55293934809809453</v>
      </c>
      <c r="BI210" s="528">
        <f t="shared" si="525"/>
        <v>5.3907114939002292E-2</v>
      </c>
      <c r="BJ210" s="528">
        <f t="shared" si="481"/>
        <v>1.7575235356711634E-2</v>
      </c>
      <c r="BK210">
        <f t="shared" si="482"/>
        <v>8.0408767495913532E-3</v>
      </c>
      <c r="BL210" s="460">
        <f t="shared" si="588"/>
        <v>61.947991688593646</v>
      </c>
      <c r="BM210" s="528">
        <f t="shared" si="526"/>
        <v>0.69469940522638862</v>
      </c>
      <c r="BN210" s="460">
        <f t="shared" si="527"/>
        <v>694.69940522638865</v>
      </c>
      <c r="BO210" s="528">
        <f t="shared" si="483"/>
        <v>4.1999999999999993</v>
      </c>
      <c r="BR210" s="460">
        <f t="shared" si="484"/>
        <v>4199.9999999999991</v>
      </c>
      <c r="BS210" s="528">
        <f t="shared" si="485"/>
        <v>0.21279416150750838</v>
      </c>
      <c r="BT210" s="528">
        <f t="shared" si="486"/>
        <v>3.156082739181262</v>
      </c>
      <c r="BU210" s="528">
        <f t="shared" si="487"/>
        <v>0.82995226437004421</v>
      </c>
      <c r="BV210" s="528"/>
      <c r="BW210" s="528">
        <f t="shared" si="488"/>
        <v>0.12370615467390783</v>
      </c>
      <c r="BX210" s="460">
        <f t="shared" si="489"/>
        <v>4322.5353197327222</v>
      </c>
      <c r="BY210" s="173">
        <f t="shared" si="490"/>
        <v>9.2415341872225092</v>
      </c>
      <c r="BZ210" s="5">
        <f t="shared" si="491"/>
        <v>24</v>
      </c>
      <c r="CA210" s="173">
        <f t="shared" si="492"/>
        <v>0.72198833738622081</v>
      </c>
      <c r="CB210" s="5">
        <f t="shared" si="493"/>
        <v>72.198833738622085</v>
      </c>
      <c r="CE210" s="562">
        <f t="shared" si="528"/>
        <v>-50</v>
      </c>
      <c r="CF210">
        <f t="shared" si="529"/>
        <v>-50</v>
      </c>
      <c r="CG210" s="173">
        <f t="shared" si="530"/>
        <v>0.48179015536389408</v>
      </c>
      <c r="CI210" s="170">
        <v>100</v>
      </c>
      <c r="CJ210" s="217">
        <f t="shared" si="589"/>
        <v>6</v>
      </c>
      <c r="CK210" s="217"/>
      <c r="CL210" s="217">
        <f t="shared" si="531"/>
        <v>24</v>
      </c>
      <c r="CM210" s="541">
        <f t="shared" si="532"/>
        <v>18</v>
      </c>
      <c r="CN210" s="443">
        <f t="shared" si="533"/>
        <v>18.8</v>
      </c>
      <c r="CO210" s="443">
        <f t="shared" si="534"/>
        <v>36.799999999999997</v>
      </c>
      <c r="CP210" s="443"/>
      <c r="CQ210" s="217">
        <f t="shared" si="535"/>
        <v>0.51086956521739135</v>
      </c>
      <c r="CR210" s="172">
        <f t="shared" si="590"/>
        <v>30.859076086956527</v>
      </c>
      <c r="CS210" s="172">
        <f t="shared" si="536"/>
        <v>24</v>
      </c>
      <c r="CT210" s="217">
        <f t="shared" si="537"/>
        <v>7.7147690217391318</v>
      </c>
      <c r="CU210" s="217">
        <f t="shared" si="538"/>
        <v>4</v>
      </c>
      <c r="CV210" s="217"/>
      <c r="CW210" s="172">
        <f t="shared" si="539"/>
        <v>5.9721142198983515</v>
      </c>
      <c r="CX210" s="536">
        <f t="shared" si="540"/>
        <v>4</v>
      </c>
      <c r="CY210" s="217">
        <f t="shared" si="541"/>
        <v>5.2198581560283683</v>
      </c>
      <c r="CZ210" s="217">
        <f t="shared" si="542"/>
        <v>3.4799054373522456</v>
      </c>
      <c r="DA210" s="217">
        <f t="shared" si="543"/>
        <v>3.3318243549117241</v>
      </c>
      <c r="DB210" s="197">
        <f t="shared" si="544"/>
        <v>350</v>
      </c>
      <c r="DC210" s="443">
        <f t="shared" si="545"/>
        <v>146.80558837429115</v>
      </c>
      <c r="DE210" s="217">
        <f t="shared" si="546"/>
        <v>2.18944099378882</v>
      </c>
      <c r="DF210" s="173">
        <f t="shared" si="547"/>
        <v>1.3975155279503106</v>
      </c>
      <c r="DG210" s="173">
        <f t="shared" si="548"/>
        <v>2.1418444504455847</v>
      </c>
      <c r="DH210" s="173"/>
      <c r="DI210" s="173">
        <f t="shared" si="549"/>
        <v>0.85106382978723416</v>
      </c>
      <c r="DJ210" s="545">
        <f t="shared" si="550"/>
        <v>2643.7499999999995</v>
      </c>
      <c r="DK210" s="528">
        <f t="shared" si="551"/>
        <v>0.79432624113475192</v>
      </c>
      <c r="DM210" s="173">
        <f t="shared" si="552"/>
        <v>3.6645015252516173</v>
      </c>
      <c r="DN210" s="173">
        <f t="shared" si="553"/>
        <v>5.2198581560283683</v>
      </c>
      <c r="DO210" s="173">
        <f t="shared" si="554"/>
        <v>4.0789072760703959</v>
      </c>
      <c r="DQ210" s="545">
        <f t="shared" si="555"/>
        <v>6000</v>
      </c>
      <c r="DR210" s="460">
        <f t="shared" si="556"/>
        <v>146.80558837429115</v>
      </c>
      <c r="DT210">
        <f>IF(CL210&gt;CR210, " ",DQ210)</f>
        <v>6000</v>
      </c>
      <c r="DU210">
        <f>IF(CL210&gt;CR210, " ",DR210)</f>
        <v>146.80558837429115</v>
      </c>
      <c r="DW210" s="5">
        <f t="shared" si="557"/>
        <v>6.8117297922639688</v>
      </c>
      <c r="DX210" s="5">
        <f t="shared" si="558"/>
        <v>3.4799054373522456</v>
      </c>
      <c r="DY210" s="5">
        <f t="shared" si="559"/>
        <v>3.3318243549117232</v>
      </c>
      <c r="DZ210" s="5"/>
      <c r="EA210" s="173">
        <f t="shared" si="560"/>
        <v>0.51086956521739135</v>
      </c>
      <c r="EB210" s="173">
        <f t="shared" si="561"/>
        <v>24.000000000000004</v>
      </c>
      <c r="EC210" s="173">
        <f t="shared" si="562"/>
        <v>5.1063829787234036</v>
      </c>
      <c r="ED210" s="173">
        <f t="shared" si="563"/>
        <v>4.7000000000000011</v>
      </c>
      <c r="EE210" s="460">
        <f t="shared" si="564"/>
        <v>521.98581560283685</v>
      </c>
      <c r="EF210" s="5">
        <f t="shared" si="565"/>
        <v>3.7020270610130246</v>
      </c>
      <c r="EH210" s="173">
        <f t="shared" si="566"/>
        <v>2.1540366562502276</v>
      </c>
      <c r="EI210" s="173">
        <f t="shared" si="567"/>
        <v>8.4308314875491437</v>
      </c>
      <c r="EK210" s="528">
        <f t="shared" si="568"/>
        <v>5.6606461780929859E-2</v>
      </c>
      <c r="EL210" s="528">
        <f t="shared" si="569"/>
        <v>0.56400000000000006</v>
      </c>
      <c r="EM210" s="528">
        <f t="shared" si="570"/>
        <v>1.8350698546786393E-2</v>
      </c>
      <c r="EN210" s="528">
        <f t="shared" si="571"/>
        <v>1.9881000000000003E-2</v>
      </c>
      <c r="EO210">
        <f t="shared" si="572"/>
        <v>8.0999999999999996E-3</v>
      </c>
      <c r="EP210" s="460">
        <f t="shared" si="573"/>
        <v>26.450698546786391</v>
      </c>
      <c r="EQ210" s="460"/>
      <c r="ER210" s="460">
        <f t="shared" si="593"/>
        <v>666.93816032771633</v>
      </c>
      <c r="ES210" s="528">
        <f t="shared" si="574"/>
        <v>4.1999999999999993</v>
      </c>
      <c r="EV210" s="460">
        <f t="shared" si="494"/>
        <v>4199.9999999999991</v>
      </c>
      <c r="EW210" s="528">
        <f t="shared" si="575"/>
        <v>0.13919621749408981</v>
      </c>
      <c r="EX210" s="528">
        <f t="shared" si="576"/>
        <v>2.1323675871435031</v>
      </c>
      <c r="EY210" s="528">
        <f t="shared" si="577"/>
        <v>0.81278041177063187</v>
      </c>
      <c r="EZ210" s="528"/>
      <c r="FA210" s="528">
        <f t="shared" si="578"/>
        <v>0.10000000000000002</v>
      </c>
      <c r="FB210" s="460">
        <f t="shared" si="579"/>
        <v>3184.3442164082248</v>
      </c>
      <c r="FC210" s="173">
        <f t="shared" si="580"/>
        <v>8.0512823767359407</v>
      </c>
      <c r="FD210" s="5">
        <f t="shared" si="581"/>
        <v>24</v>
      </c>
      <c r="FE210" s="173">
        <f t="shared" si="582"/>
        <v>0.74879999239656403</v>
      </c>
      <c r="FF210" s="5">
        <f t="shared" si="583"/>
        <v>74.879999239656399</v>
      </c>
      <c r="FI210" s="562">
        <f t="shared" si="584"/>
        <v>-50</v>
      </c>
      <c r="FJ210">
        <f t="shared" si="585"/>
        <v>-50</v>
      </c>
      <c r="FL210">
        <f t="shared" si="586"/>
        <v>0.48913043478260865</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7.7147802406605273</v>
      </c>
      <c r="G212" s="217"/>
      <c r="H212" s="217">
        <f>F212*Vout</f>
        <v>30.859120962642109</v>
      </c>
      <c r="I212" s="541">
        <f>VIN_min-F212*(Rdcr_pri+RON/1000)/CG212/Nps</f>
        <v>17.831065598512502</v>
      </c>
      <c r="J212" s="172">
        <f>(T212+Vfwd1+F212/CG212*Rdcr_sec)*Nps</f>
        <v>20.408300322038407</v>
      </c>
      <c r="K212" s="172">
        <f>(Vout+Vfwd1+F212/CG212*Rdcr_sec)*Nps++I212</f>
        <v>38.552594335811065</v>
      </c>
      <c r="L212" s="443"/>
      <c r="M212" s="217">
        <f>(Vout+Vfwd1+F212/FL212*Rdcr_sec)*Nps/((Vout+Vfwd1+F212/FL212*Rdcr_sec)*Nps+I212)</f>
        <v>0.53714106925651139</v>
      </c>
      <c r="N212" s="172">
        <f>M212*I212*(Isw_max+VIN_min/Lmag*ILIM_delay)*0.5*Efficiency</f>
        <v>32.141492585495293</v>
      </c>
      <c r="O212" s="172">
        <f>T212*F212</f>
        <v>30.254998865426487</v>
      </c>
      <c r="P212" s="217">
        <f>N212/Vout</f>
        <v>8.0353731463738232</v>
      </c>
      <c r="Q212" s="217">
        <f>MIN(Vout,N212/F212)</f>
        <v>4</v>
      </c>
      <c r="R212" s="217"/>
      <c r="S212" s="172">
        <f>(SQRT(Isw_max^2*Nps^2*I212^2+4*Isw_max*F212/Efficiency*(Nps^2*Vfwd1*I212-Nps*I212^2)+4*(F212/Efficiency)^2*Nps^2*Vfwd1^2+8*(F212/Efficiency)^2*Nps*Vfwd1*I212+4*(F212/Efficiency)^2*I212^2)-2*F212/Efficiency*I212-2*F212/Efficiency*Nps*Vfwd1+Isw_max*Nps*I212)/(4*F212/Efficiency*Nps)</f>
        <v>3.9216928961849602</v>
      </c>
      <c r="T212" s="536">
        <f>MIN(Vout, S212)</f>
        <v>3.9216928961849602</v>
      </c>
      <c r="U212" s="217">
        <f>MIN(2*(Vout+Vfwd1+F212/FL212*Rdcr_sec)*F212/(I212*M212), Isw_max)</f>
        <v>6.666666666666667</v>
      </c>
      <c r="V212" s="217">
        <f>L*U212/I212*1000000</f>
        <v>4.4865518304567136</v>
      </c>
      <c r="W212" s="217">
        <f>L*U212/J212*1000000</f>
        <v>3.9199736743196607</v>
      </c>
      <c r="X212" s="197">
        <f>IF(1/((350000*L)*(1/I212+1/J212))&gt;Isw_min, 350, 0.001/((Isw_min*L)*(1/I212+1/J212)))</f>
        <v>350</v>
      </c>
      <c r="Y212" s="443">
        <f>MIN(1/(V212+W212+0.2)*1000, 350)</f>
        <v>116.19090647497981</v>
      </c>
      <c r="AA212" s="217">
        <f>1/((X212*1000*L)*(1/I212+1/J212))</f>
        <v>2.2658135084223172</v>
      </c>
      <c r="AB212" s="173">
        <f>L*AA212/J212*1000000</f>
        <v>1.3322893955900026</v>
      </c>
      <c r="AC212" s="173">
        <f>0.5*AB212*AA212*Nps*X212/1000</f>
        <v>2.1131035167589425</v>
      </c>
      <c r="AD212" s="173"/>
      <c r="AE212" s="173">
        <f>L*Isw_min/J212*1000000</f>
        <v>0.78399473486393223</v>
      </c>
      <c r="AF212" s="545">
        <f>MAX(12000,F212/(0.5*AE212/1000000*Isw_min*Nps))/1000</f>
        <v>3690.1301266389314</v>
      </c>
      <c r="AG212" s="528">
        <f>0.5*AE212/1000000*Isw_min*Nps*X212*1000</f>
        <v>0.7317284192063368</v>
      </c>
      <c r="AI212" s="173">
        <f>SQRT(F212/(0.5*L/J212*Fsw_DCM*Nps))</f>
        <v>4.3293784892941423</v>
      </c>
      <c r="AJ212" s="173">
        <f>MAX(IF(F212&gt;AC212,U212,AI212),Isw_min)</f>
        <v>6.666666666666667</v>
      </c>
      <c r="AK212" s="173">
        <f>IF(F212&gt;AG212, (AJ212-Isw_min)/1.08*0.8+1.2, AF212*0.2/350+1)</f>
        <v>5.1506172839506181</v>
      </c>
      <c r="AM212" s="545">
        <f>F212*1000</f>
        <v>7714.7802406605269</v>
      </c>
      <c r="AN212" s="460">
        <f>IF(F212&gt;AG212, Y212, AF212)</f>
        <v>116.19090647497981</v>
      </c>
      <c r="AP212">
        <f>IF(H212&gt;N212, "",AM212)</f>
        <v>7714.7802406605269</v>
      </c>
      <c r="AQ212">
        <f>IF(H212&gt;N212, "",AN212)</f>
        <v>116.19090647497981</v>
      </c>
      <c r="AS212" s="5">
        <f>1/AN212*1000</f>
        <v>8.6065255047763731</v>
      </c>
      <c r="AT212" s="5">
        <f>L*AJ212/I212*1000000</f>
        <v>4.4865518304567136</v>
      </c>
      <c r="AU212" s="5">
        <f>AS212-AT212</f>
        <v>4.1199736743196596</v>
      </c>
      <c r="AV212" s="5"/>
      <c r="AW212" s="173">
        <f>AT212/AS212</f>
        <v>0.52129652412774552</v>
      </c>
      <c r="AX212" s="173">
        <f>0.5*L*AJ212^2*AN212*1000</f>
        <v>30.984241726661288</v>
      </c>
      <c r="AY212" s="173">
        <f>AJ212*Nps/2*(1-AW212)</f>
        <v>6.3827130116300603</v>
      </c>
      <c r="AZ212" s="173">
        <f>AX212/AY212</f>
        <v>4.8543999503352762</v>
      </c>
      <c r="BA212" s="460">
        <f>F212*AT212/Vout_ripple*1000</f>
        <v>865.31903525766938</v>
      </c>
      <c r="BB212" s="5">
        <f>H212/Efficiency/I212*AU212/Vinripple1</f>
        <v>5.9418194085821368</v>
      </c>
      <c r="BD212" s="173">
        <f>AJ212*SQRT(AW212/3)</f>
        <v>2.7790126787330771</v>
      </c>
      <c r="BE212" s="173">
        <f>AJ212*Nps*SQRT((1-AW212)/3)</f>
        <v>10.652251102001395</v>
      </c>
      <c r="BG212" s="528">
        <f>Rdson*BD212^2</f>
        <v>9.4219519916422148E-2</v>
      </c>
      <c r="BH212" s="528">
        <f>0.5*K212*AJ212*AN212*1000*Tfall</f>
        <v>0.55993261035500752</v>
      </c>
      <c r="BI212" s="528">
        <f>Qg*Vdd*AN212*1000*0+Qg*I212*AN212*1000</f>
        <v>5.1795191882649902E-2</v>
      </c>
      <c r="BJ212" s="528">
        <f>0.5*(Coss+Csw)*K212^2*AN212*1000</f>
        <v>1.7269483825926694E-2</v>
      </c>
      <c r="BK212">
        <f>I212*IQ</f>
        <v>8.0239795193306259E-3</v>
      </c>
      <c r="BL212" s="460">
        <f>(BK212+BI212)*1000</f>
        <v>59.819171401980526</v>
      </c>
      <c r="BM212" s="528">
        <f>(BH212+BI212*0+BJ212+BK212*0+BG212*(1+RdsonTC*(Ta-25)))/(1-BG212*RdsonTC*ThetaJA)</f>
        <v>0.71281843568024505</v>
      </c>
      <c r="BN212" s="460">
        <f>BM212*1000</f>
        <v>712.8184356802451</v>
      </c>
      <c r="BO212" s="528">
        <f>Vfwd2*F212</f>
        <v>5.4003461684623684</v>
      </c>
      <c r="BR212" s="460">
        <f>SUM(BO212:BQ212)*1000</f>
        <v>5400.346168462368</v>
      </c>
      <c r="BS212" s="528">
        <f>Rdcr_pri*BD212^2</f>
        <v>0.2316873440567758</v>
      </c>
      <c r="BT212" s="528">
        <f>Rdcr_sec*BE212^2</f>
        <v>3.4041136062026984</v>
      </c>
      <c r="BU212" s="528">
        <f>AJ212^2.5*AN212^2.5*k_core</f>
        <v>0.83497256601700964</v>
      </c>
      <c r="BV212" s="528"/>
      <c r="BW212" s="528">
        <f>0.5*Lleak*0.000000001*AJ212^2*AN212*1000</f>
        <v>0.12910100719442205</v>
      </c>
      <c r="BX212" s="460">
        <f>SUM(BS212:BW212)*1000</f>
        <v>4599.8745234709068</v>
      </c>
      <c r="BY212" s="173">
        <f>SUM(BG212:BK212,BO212:BQ212,BS212:BW212)</f>
        <v>10.731461477432612</v>
      </c>
      <c r="BZ212" s="5">
        <f>MIN(H212,O212)</f>
        <v>30.254998865426487</v>
      </c>
      <c r="CA212" s="173">
        <f>BZ212/(BZ212+BY212)</f>
        <v>0.73817057175315925</v>
      </c>
      <c r="CB212" s="5">
        <f>CA212*100</f>
        <v>73.817057175315924</v>
      </c>
      <c r="CE212" s="562">
        <f>IF(ABS(F212-Ioutmax_Vinmin)&lt;Iout/200, AN212, -50)</f>
        <v>116.19090647497981</v>
      </c>
      <c r="CF212">
        <f>IF(ABS(F212-Ioutmax_Vinmin)&lt;Iout/200, N212*CA212, -50)</f>
        <v>23.725903958834991</v>
      </c>
      <c r="CG212" s="173">
        <f>MIN(SQRT(2*DU212*1000*Ls1_*CL212)/CU212,1-EA212-0.00000005*DU212*1000)</f>
        <v>0.48179015536389408</v>
      </c>
      <c r="CI212" s="170">
        <v>100</v>
      </c>
      <c r="CJ212" s="217">
        <f>IF(PLOT_TYPE=1, CI212/100*Iout_max, min_I*EXP(CR212*rr/100))</f>
        <v>6</v>
      </c>
      <c r="CK212" s="217"/>
      <c r="CL212" s="217">
        <f>CJ212*Vout</f>
        <v>24</v>
      </c>
      <c r="CM212" s="541">
        <f t="shared" si="532"/>
        <v>18</v>
      </c>
      <c r="CN212" s="443">
        <f>(CX212+Vfwd1)*Nps</f>
        <v>18.8</v>
      </c>
      <c r="CO212" s="443">
        <f>(Vout+Vfwd1)*Nps+CM212</f>
        <v>36.799999999999997</v>
      </c>
      <c r="CP212" s="443"/>
      <c r="CQ212" s="217">
        <f>(Vout+Vfwd1)*Nps/((Vout+Vfwd1)*Nps+CM212)</f>
        <v>0.51086956521739135</v>
      </c>
      <c r="CR212" s="172">
        <f>CQ212*CM212*(Isw_max+VIN_min/Lmag*ILIM_delay)*0.5*Efficiency</f>
        <v>30.859076086956527</v>
      </c>
      <c r="CS212" s="172">
        <f>CX212*CJ212</f>
        <v>24</v>
      </c>
      <c r="CT212" s="217">
        <f>CR212/Vout</f>
        <v>7.7147690217391318</v>
      </c>
      <c r="CU212" s="217">
        <f>MIN(Vout,CR212/CJ212)</f>
        <v>4</v>
      </c>
      <c r="CV212" s="217"/>
      <c r="CW212" s="172">
        <f>(SQRT(Isw_max^2*Nps^2*CM212^2+4*Isw_max*CJ212/Efficiency*(Nps^2*Vfwd1*CM212-Nps*CM212^2)+4*(CJ212/Efficiency)^2*Nps^2*Vfwd1^2+8*(CJ212/Efficiency)^2*Nps*Vfwd1*CM212+4*(CJ212/Efficiency)^2*CM212^2)-2*CJ212/Efficiency*CM212-2*CJ212/Efficiency*Nps*Vfwd1+Isw_max*Nps*CM212)/(4*CJ212/Efficiency*Nps)</f>
        <v>5.9721142198983515</v>
      </c>
      <c r="CX212" s="536">
        <f>MIN(Vout, CW212)</f>
        <v>4</v>
      </c>
      <c r="CY212" s="217">
        <f>MIN(2*Vout*CJ212/(Efficiency*CM212*CQ212), Isw_max)</f>
        <v>5.2198581560283683</v>
      </c>
      <c r="CZ212" s="217">
        <f>L*CY212/CM212*1000000</f>
        <v>3.4799054373522456</v>
      </c>
      <c r="DA212" s="217">
        <f>L*CY212/CN212*1000000</f>
        <v>3.3318243549117241</v>
      </c>
      <c r="DB212" s="197">
        <f>IF(1/((350000*L)*(1/CM212+1/CN212))&gt;Isw_min, 350, 0.001/((Isw_min*L)*(1/CM212+1/CN212)))</f>
        <v>350</v>
      </c>
      <c r="DC212" s="443">
        <f>MIN(1/(CZ212+DA212)*1000, 350)</f>
        <v>146.80558837429115</v>
      </c>
      <c r="DE212" s="217">
        <f>1/((DB212*1000*L)*(1/CM212+1/CN212))</f>
        <v>2.18944099378882</v>
      </c>
      <c r="DF212" s="173">
        <f>L*DE212/CN212*1000000</f>
        <v>1.3975155279503106</v>
      </c>
      <c r="DG212" s="173">
        <f>0.5*DF212*DE212*Nps*DB212/1000</f>
        <v>2.1418444504455847</v>
      </c>
      <c r="DH212" s="173"/>
      <c r="DI212" s="173">
        <f>L*Isw_min/CN212*1000000</f>
        <v>0.85106382978723416</v>
      </c>
      <c r="DJ212" s="545">
        <f>MAX(12000,CJ212/(0.5*DI212/1000000*Isw_min*Nps))/1000</f>
        <v>2643.7499999999995</v>
      </c>
      <c r="DK212" s="528">
        <f>0.5*DI212/1000000*Isw_min*Nps*DB212*1000</f>
        <v>0.79432624113475192</v>
      </c>
      <c r="DM212" s="173">
        <f>SQRT(CJ212/(0.5*L/CN212*Fsw_DCM*Nps))</f>
        <v>3.6645015252516173</v>
      </c>
      <c r="DN212" s="173">
        <f>MAX(IF(CJ212&gt;DG212,CY212,DM212),Isw_min)</f>
        <v>5.2198581560283683</v>
      </c>
      <c r="DO212" s="173">
        <f>IF(CJ212&gt;DK212, (DN212-Isw_min)/1.08*0.8+1.2, DJ212*0.2/350+1)</f>
        <v>4.0789072760703959</v>
      </c>
      <c r="DQ212" s="545">
        <f>CJ212*1000</f>
        <v>6000</v>
      </c>
      <c r="DR212" s="460">
        <f>IF(CJ212&gt;DK212, DC212, DJ212)</f>
        <v>146.80558837429115</v>
      </c>
      <c r="DT212">
        <f>IF(CL212&gt;CR212, " ",DQ212)</f>
        <v>6000</v>
      </c>
      <c r="DU212">
        <f>IF(CL212&gt;CR212, " ",DR212)</f>
        <v>146.80558837429115</v>
      </c>
      <c r="DW212" s="5">
        <f>1/DR212*1000</f>
        <v>6.8117297922639688</v>
      </c>
      <c r="DX212" s="5">
        <f>L*DN212/CM212*1000000</f>
        <v>3.4799054373522456</v>
      </c>
      <c r="DY212" s="5">
        <f>DW212-DX212</f>
        <v>3.3318243549117232</v>
      </c>
      <c r="DZ212" s="5"/>
      <c r="EA212" s="173">
        <f>DX212/DW212</f>
        <v>0.51086956521739135</v>
      </c>
      <c r="EB212" s="173">
        <f>0.5*L*DN212^2*DR212*1000</f>
        <v>24.000000000000004</v>
      </c>
      <c r="EC212" s="173">
        <f>DN212*Nps/2*(1-EA212)</f>
        <v>5.1063829787234036</v>
      </c>
      <c r="ED212" s="173">
        <f>EB212/EC212</f>
        <v>4.7000000000000011</v>
      </c>
      <c r="EE212" s="460">
        <f>CJ212*DX212/Vout_ripple*1000</f>
        <v>521.98581560283685</v>
      </c>
      <c r="EF212" s="5">
        <f>CL212/Efficiency/CM212*DY212/Vinripple1</f>
        <v>3.7020270610130246</v>
      </c>
      <c r="EH212" s="173">
        <f>DN212*SQRT(EA212/3)</f>
        <v>2.1540366562502276</v>
      </c>
      <c r="EI212" s="173">
        <f>DN212*Nps*SQRT((1-EA212)/3)</f>
        <v>8.4308314875491437</v>
      </c>
      <c r="EK212" s="528">
        <f>Rdson*EH212^2</f>
        <v>5.6606461780929859E-2</v>
      </c>
      <c r="EL212" s="528">
        <f>0.5*CO212*DN212*DR212*1000*Trise</f>
        <v>0.56400000000000006</v>
      </c>
      <c r="EM212" s="528">
        <f>Qg*Vdd*DR212*1000</f>
        <v>1.8350698546786393E-2</v>
      </c>
      <c r="EN212" s="528">
        <f>0.5*(Coss+Csw)*CO212^2*DR212*1000</f>
        <v>1.9881000000000003E-2</v>
      </c>
      <c r="EO212">
        <f>CM212*IQ</f>
        <v>8.0999999999999996E-3</v>
      </c>
      <c r="EP212" s="460">
        <f>(EO212+EM212)*1000</f>
        <v>26.450698546786391</v>
      </c>
      <c r="EQ212" s="460"/>
      <c r="ER212" s="460">
        <f>SUM(EK212:EO212)*1000</f>
        <v>666.93816032771633</v>
      </c>
      <c r="ES212" s="528">
        <f>Vfwd2*CJ212</f>
        <v>4.1999999999999993</v>
      </c>
      <c r="EV212" s="460">
        <f>SUM(ES212:EU212)*1000</f>
        <v>4199.9999999999991</v>
      </c>
      <c r="EW212" s="528">
        <f>Rdcr_pri*EH212^2</f>
        <v>0.13919621749408981</v>
      </c>
      <c r="EX212" s="528">
        <f>Rdcr_sec*EI212^2</f>
        <v>2.1323675871435031</v>
      </c>
      <c r="EY212" s="528">
        <f>DN212^2.5*DR212^2.5*k_core</f>
        <v>0.81278041177063187</v>
      </c>
      <c r="EZ212" s="528"/>
      <c r="FA212" s="528">
        <f>0.5*Lleak*0.000000001*DN212^2*DR212*1000</f>
        <v>0.10000000000000002</v>
      </c>
      <c r="FB212" s="460">
        <f>SUM(EW212:FA212)*1000</f>
        <v>3184.3442164082248</v>
      </c>
      <c r="FC212" s="173">
        <f>SUM(EK212:EO212,ES212:EU212,EW212:FA212)</f>
        <v>8.0512823767359407</v>
      </c>
      <c r="FD212" s="5">
        <f>MIN(CL212,CS212)</f>
        <v>24</v>
      </c>
      <c r="FE212" s="173">
        <f>FD212/(FD212+FC212)</f>
        <v>0.74879999239656403</v>
      </c>
      <c r="FF212" s="5">
        <f>FE212*100</f>
        <v>74.879999239656399</v>
      </c>
      <c r="FI212" s="562">
        <f>IF(ABS(CJ212-Ioutmax_Vinmin)&lt;Iout/200, DR212, -50)</f>
        <v>-50</v>
      </c>
      <c r="FJ212">
        <f>IF(ABS(CJ212-Ioutmax_Vinmin)&lt;Iout/200, CR212*FE212, -50)</f>
        <v>-50</v>
      </c>
      <c r="FL212">
        <f>MIN(SQRT(2*L*DR212*1000*CJ212*(CX212+Vfwd1))/(Nps*(CX212+Vfwd1)), 1-EA212)</f>
        <v>0.48913043478260865</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4.0000000000000002E-9</v>
      </c>
      <c r="I216" s="541">
        <f t="shared" ref="I216:I247" si="604">VIN_max-F216*(Rdcr_pri+RON/1000)/CG216/Nps</f>
        <v>35.999995026682306</v>
      </c>
      <c r="J216" s="172">
        <f t="shared" ref="J216:J247" si="605">(T216+Vfwd1+F216/CG216*Rdcr_sec)*Nps</f>
        <v>18.800056568542495</v>
      </c>
      <c r="K216" s="172">
        <f t="shared" ref="K216:K247" si="606">(Vout+Vfwd1+F216/CG216*Rdcr_sec)*Nps+I216</f>
        <v>54.800051595224801</v>
      </c>
      <c r="L216" s="443"/>
      <c r="M216" s="217">
        <f t="shared" ref="M216:M247" si="607">(Vout+Vfwd1+F216/FL216*Rdcr_sec)*Nps/((Vout+Vfwd1+F216/FL216*Rdcr_sec)*Nps+I216)</f>
        <v>0.34306645964562776</v>
      </c>
      <c r="N216" s="172">
        <f t="shared" ref="N216:N247" si="608">M216*I216*(Isw_max+VIN_max/Lmag*ILIM_delay)*0.5*Efficiency</f>
        <v>41.723737058061573</v>
      </c>
      <c r="O216" s="172">
        <f t="shared" si="599"/>
        <v>4.0000000000000002E-9</v>
      </c>
      <c r="P216" s="217">
        <f t="shared" ref="P216:P247" si="609">N216/Vout</f>
        <v>10.430934264515393</v>
      </c>
      <c r="Q216" s="217">
        <f t="shared" ref="Q216:Q247" si="610">MIN(Vout,N216/F216)</f>
        <v>4</v>
      </c>
      <c r="R216" s="217"/>
      <c r="S216" s="172">
        <f t="shared" ref="S216:S247" si="611">(SQRT(Isw_max^2*Nps^2*I216^2+4*Isw_max*F216/Efficiency*(Nps^2*Vfwd1*I216-Nps*I216^2)+4*(F216/Efficiency)^2*Nps^2*Vfwd1^2+8*(F216/Efficiency)^2*Nps*Vfwd1*I216+4*(F216/Efficiency)^2*I216^2)-2*F216/Efficiency*I216-2*F216/Efficiency*Nps*Vfwd1+Isw_max*Nps*I216)/(4*F216/Efficiency*Nps)</f>
        <v>119999983413.27435</v>
      </c>
      <c r="T216" s="172">
        <f t="shared" ref="T216:T247" si="612">MIN(Vout, S216)</f>
        <v>4</v>
      </c>
      <c r="U216" s="217">
        <f t="shared" ref="U216:U247" si="613">MIN(2*(Vout+Vfwd1+F216/FL216*Rdcr_sec)*F216/(I216*M216), Isw_max)</f>
        <v>7.6111199883367656E-10</v>
      </c>
      <c r="V216" s="217">
        <f t="shared" ref="V216:V247" si="614">L*U216/I216*1000000</f>
        <v>2.5370403465985785E-10</v>
      </c>
      <c r="W216" s="217">
        <f t="shared" ref="W216:W247" si="615">L*U216/J216*1000000</f>
        <v>4.8581470766883959E-10</v>
      </c>
      <c r="X216" s="197">
        <f t="shared" ref="X216:X247" si="616">IF(1/((350000*L)*(1/I216+1/J216))&gt;Isw_min, 350, 0.001/((Isw_min*L)*(1/I216+1/J216)))</f>
        <v>350</v>
      </c>
      <c r="Y216" s="443">
        <f>MIN(1/(V216+W216+0.2)*1000, 350)</f>
        <v>350</v>
      </c>
      <c r="AA216" s="217">
        <f t="shared" ref="AA216:AA247" si="617">1/((X216*1000*L)*(1/I216+1/J216))</f>
        <v>2.9405687597662049</v>
      </c>
      <c r="AB216" s="173">
        <f t="shared" ref="AB216:AB247" si="618">L*AA216/J216*1000000</f>
        <v>1.876953135143153</v>
      </c>
      <c r="AC216" s="173">
        <f t="shared" ref="AC216:AC247" si="619">0.5*AB216*AA216*Nps*X216/1000</f>
        <v>3.8635168269230338</v>
      </c>
      <c r="AD216" s="173"/>
      <c r="AE216" s="173">
        <f t="shared" ref="AE216:AE247" si="620">L*Isw_min/J216*1000000</f>
        <v>0.85106126897364065</v>
      </c>
      <c r="AF216" s="545">
        <f t="shared" ref="AF216:AF247" si="621">MAX(12000,F216/(0.5*AE216/1000000*Isw_min*Nps))/1000</f>
        <v>12</v>
      </c>
      <c r="AG216" s="528">
        <f t="shared" ref="AG216:AG247" si="622">0.5*AE216/1000000*Isw_min*Nps*X216*1000</f>
        <v>0.79432385104206471</v>
      </c>
      <c r="AI216" s="173">
        <f t="shared" ref="AI216:AI247" si="623">SQRT(F216/(0.5*L/J216*Fsw_DCM*Nps))</f>
        <v>4.7308582439611686E-5</v>
      </c>
      <c r="AJ216" s="173">
        <f t="shared" ref="AJ216:AJ247" si="624">MAX(IF(F216&gt;AC216,U216,AI216),Isw_min)</f>
        <v>1.3333333333333335</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0.44444450584343687</v>
      </c>
      <c r="AU216" s="5">
        <f t="shared" si="478"/>
        <v>82.888888827489893</v>
      </c>
      <c r="AV216" s="5"/>
      <c r="AW216" s="173">
        <f t="shared" si="479"/>
        <v>5.3333340701212425E-3</v>
      </c>
      <c r="AX216" s="173">
        <f t="shared" ref="AX216:AX279" si="631">0.5*L*AJ216^2*AN216*1000</f>
        <v>0.12800000000000003</v>
      </c>
      <c r="AY216" s="173">
        <f t="shared" ref="AY216:AY279" si="632">AJ216*Nps/2*(1-AW216)</f>
        <v>2.6524444424796769</v>
      </c>
      <c r="AZ216" s="173">
        <f t="shared" ref="AZ216:AZ279" si="633">AX216/AY216</f>
        <v>4.8257372689901601E-2</v>
      </c>
      <c r="BA216" s="460">
        <f t="shared" si="594"/>
        <v>1.1111112646085922E-8</v>
      </c>
      <c r="BB216" s="5">
        <f t="shared" si="595"/>
        <v>7.6748981739261056E-9</v>
      </c>
      <c r="BD216" s="173">
        <f>AJ216*SQRT(AW216/3)</f>
        <v>5.6218273397317636E-2</v>
      </c>
      <c r="BE216" s="173">
        <f>AJ216*Nps*SQRT((1-AW216)/3)</f>
        <v>3.0709792531472879</v>
      </c>
      <c r="BG216" s="528">
        <f>Rdson*BD216^2</f>
        <v>3.8558030018061732E-5</v>
      </c>
      <c r="BH216" s="528">
        <f t="shared" ref="BH216:BH247" si="634">0.5*K216*AJ216*AN216*1000*Tfall</f>
        <v>1.6440015478567441E-2</v>
      </c>
      <c r="BI216" s="528">
        <f t="shared" ref="BI216:BI247" si="635">Qg*Vdd*AN216*1000*0+Qg*I216*AN216*1000</f>
        <v>1.0799998508004692E-2</v>
      </c>
      <c r="BJ216" s="528">
        <f>0.5*(Coss+Csw)*K216^2*AN216*1000</f>
        <v>3.6036547858071602E-3</v>
      </c>
      <c r="BK216">
        <f>I216*IQ</f>
        <v>1.6199997762007038E-2</v>
      </c>
      <c r="BL216" s="460">
        <f>(BK216+BI216)*1000</f>
        <v>26.999996270011732</v>
      </c>
      <c r="BM216" s="528">
        <f t="shared" ref="BM216:BM247" si="636">(BH216+BI216*0+BJ216+BK216*0+BG216*(1+RdsonTC*(Ta-25)))/(1-BG216*RdsonTC*ThetaJA)</f>
        <v>2.0092823040644071E-2</v>
      </c>
      <c r="BN216" s="460">
        <f>BM216*1000</f>
        <v>20.09282304064407</v>
      </c>
      <c r="BO216" s="528">
        <f t="shared" ref="BO216:BO279" si="637">Vfwd2*F216</f>
        <v>6.9999999999999996E-10</v>
      </c>
      <c r="BR216" s="460">
        <f>SUM(BO216:BQ216)*1000</f>
        <v>6.9999999999999997E-7</v>
      </c>
      <c r="BS216" s="528">
        <f>Rdcr_pri*BD216^2</f>
        <v>9.4814827913266553E-5</v>
      </c>
      <c r="BT216" s="528">
        <f>Rdcr_sec*BE216^2</f>
        <v>0.28292740719783221</v>
      </c>
      <c r="BU216" s="528">
        <f>AJ216^2.5*AN216^2.5*k_core</f>
        <v>5.1199999999999998E-5</v>
      </c>
      <c r="BV216" s="528"/>
      <c r="BW216" s="528">
        <f>0.5*Lleak*0.000000001*AJ216^2*AN216*1000</f>
        <v>5.3333333333333347E-4</v>
      </c>
      <c r="BX216" s="460">
        <f>SUM(BS216:BW216)*1000</f>
        <v>283.60675535907882</v>
      </c>
      <c r="BY216" s="173">
        <f>SUM(BG216:BK216,BO216:BQ216,BS216:BW216)</f>
        <v>0.33068898062348318</v>
      </c>
      <c r="BZ216" s="5">
        <f>MIN(H216,O216)</f>
        <v>4.0000000000000002E-9</v>
      </c>
      <c r="CA216" s="173">
        <f>BZ216/(BZ216+BY216)</f>
        <v>1.2095957791138195E-8</v>
      </c>
      <c r="CB216" s="5">
        <f>CA216*100</f>
        <v>1.2095957791138195E-6</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2.1213203435596428E-6</v>
      </c>
      <c r="CI216" s="170">
        <v>0.1</v>
      </c>
      <c r="CJ216" s="217">
        <v>1.0000000000000001E-9</v>
      </c>
      <c r="CK216" s="217"/>
      <c r="CL216" s="217">
        <f t="shared" ref="CL216:CL279" si="641">CJ216*Vout</f>
        <v>4.0000000000000002E-9</v>
      </c>
      <c r="CM216" s="541">
        <f t="shared" ref="CM216:CM279" si="642">VIN_max</f>
        <v>36</v>
      </c>
      <c r="CN216" s="443">
        <f t="shared" ref="CN216:CN279" si="643">(CX216+Vfwd1)*Nps</f>
        <v>18.8</v>
      </c>
      <c r="CO216" s="443">
        <f t="shared" ref="CO216:CO279" si="644">(Vout+Vfwd1)*Nps+CM216</f>
        <v>54.8</v>
      </c>
      <c r="CP216" s="443"/>
      <c r="CQ216" s="217">
        <f t="shared" ref="CQ216:CQ279" si="645">(Vout+Vfwd1)*Nps/((Vout+Vfwd1)*Nps+CM216)</f>
        <v>0.34306569343065696</v>
      </c>
      <c r="CR216" s="172">
        <f t="shared" ref="CR216:CR279" si="646">CQ216*CM216*(Isw_max+VIN_max/Lmag*ILIM_delay)*0.5*Efficiency</f>
        <v>41.723649635036502</v>
      </c>
      <c r="CS216" s="172">
        <f t="shared" ref="CS216:CS279" si="647">CX216*CJ216</f>
        <v>4.0000000000000002E-9</v>
      </c>
      <c r="CT216" s="217">
        <f t="shared" ref="CT216:CT279" si="648">CR216/Vout</f>
        <v>10.430912408759125</v>
      </c>
      <c r="CU216" s="217">
        <f t="shared" ref="CU216:CU279" si="649">MIN(Vout,CR216/CJ216)</f>
        <v>4</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119999999991</v>
      </c>
      <c r="CX216" s="172">
        <f t="shared" ref="CX216:CX279" si="651">MIN(Vout, CW216)</f>
        <v>4</v>
      </c>
      <c r="CY216" s="217">
        <f t="shared" ref="CY216:CY279" si="652">MIN(2*Vout*CJ216/(Efficiency*CM216*CQ216), Isw_max)</f>
        <v>6.4775413711583916E-10</v>
      </c>
      <c r="CZ216" s="217">
        <f t="shared" ref="CZ216:CZ279" si="653">L*CY216/CM216*1000000</f>
        <v>2.1591804570527975E-10</v>
      </c>
      <c r="DA216" s="217">
        <f t="shared" ref="DA216:DA279" si="654">L*CY216/CN216*1000000</f>
        <v>4.1346008752074839E-10</v>
      </c>
      <c r="DB216" s="197">
        <f t="shared" ref="DB216:DB279" si="655">IF(1/((350000*L)*(1/CM216+1/CN216))&gt;Isw_min, 350, 0.001/((Isw_min*L)*(1/CM216+1/CN216)))</f>
        <v>350</v>
      </c>
      <c r="DC216" s="443">
        <f t="shared" ref="DC216:DC279" si="656">MIN(1/(CZ216+DA216)*1000, 350)</f>
        <v>350</v>
      </c>
      <c r="DE216" s="217">
        <f t="shared" ref="DE216:DE279" si="657">1/((DB216*1000*L)*(1/CM216+1/CN216))</f>
        <v>2.940563086548488</v>
      </c>
      <c r="DF216" s="173">
        <f t="shared" ref="DF216:DF279" si="658">L*DE216/CN216*1000000</f>
        <v>1.8769551616266944</v>
      </c>
      <c r="DG216" s="173">
        <f t="shared" ref="DG216:DG279" si="659">0.5*DF216*DE216*Nps*DB216/1000</f>
        <v>3.8635135443702762</v>
      </c>
      <c r="DH216" s="173"/>
      <c r="DI216" s="173">
        <f t="shared" ref="DI216:DI279" si="660">L*Isw_min/CN216*1000000</f>
        <v>0.85106382978723416</v>
      </c>
      <c r="DJ216" s="545">
        <f t="shared" ref="DJ216:DJ279" si="661">MAX(12000,CJ216/(0.5*DI216/1000000*Isw_min*Nps))/1000</f>
        <v>12</v>
      </c>
      <c r="DK216" s="528">
        <f t="shared" ref="DK216:DK279" si="662">0.5*DI216/1000000*Isw_min*Nps*DB216*1000</f>
        <v>0.79432624113475192</v>
      </c>
      <c r="DM216" s="173">
        <f t="shared" ref="DM216:DM279" si="663">SQRT(CJ216/(0.5*L/CN216*Fsw_DCM*Nps))</f>
        <v>4.7308511264837305E-5</v>
      </c>
      <c r="DN216" s="173">
        <f t="shared" ref="DN216:DN279" si="664">MAX(IF(CJ216&gt;DG216,CY216,DM216),Isw_min)</f>
        <v>1.3333333333333335</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0.44444444444444453</v>
      </c>
      <c r="DY216" s="5">
        <f t="shared" ref="DY216:DY279" si="672">DW216-DX216</f>
        <v>82.888888888888886</v>
      </c>
      <c r="DZ216" s="5"/>
      <c r="EA216" s="173">
        <f t="shared" ref="EA216:EA279" si="673">DX216/DW216</f>
        <v>5.3333333333333349E-3</v>
      </c>
      <c r="EB216" s="173">
        <f>0.5*L*DN216^2*DR216*1000</f>
        <v>0.12800000000000003</v>
      </c>
      <c r="EC216" s="173">
        <f>DN216*Nps/2*(1-EA216)</f>
        <v>2.6524444444444448</v>
      </c>
      <c r="ED216" s="173">
        <f>EB216/EC216</f>
        <v>4.82573726541555E-2</v>
      </c>
      <c r="EE216" s="460">
        <f t="shared" ref="EE216:EE279" si="674">CJ216*DX216/Vout_ripple*1000</f>
        <v>1.1111111111111114E-8</v>
      </c>
      <c r="EF216" s="5">
        <f t="shared" ref="EF216:EF279" si="675">CL216/Efficiency/CM216*DY216/Vinripple1</f>
        <v>7.6748971193415634E-9</v>
      </c>
      <c r="EH216" s="173">
        <f>DN216*SQRT(EA216/3)</f>
        <v>5.6218269514104538E-2</v>
      </c>
      <c r="EI216" s="173">
        <f>DN216*Nps*SQRT((1-EA216)/3)</f>
        <v>3.0709792542846843</v>
      </c>
      <c r="EK216" s="528">
        <f>Rdson*EH216^2</f>
        <v>3.8558024691358047E-5</v>
      </c>
      <c r="EL216" s="528">
        <f>0.5*CO216*DN216*DR216*1000*Trise</f>
        <v>1.7536000000000006E-2</v>
      </c>
      <c r="EM216" s="528">
        <f>Qg*Vdd*DR216*1000</f>
        <v>1.5E-3</v>
      </c>
      <c r="EN216" s="528">
        <f>0.5*(Coss+Csw)*CO216^2*DR216*1000</f>
        <v>3.6036479999999992E-3</v>
      </c>
      <c r="EO216">
        <f>CM216*IQ</f>
        <v>1.6199999999999999E-2</v>
      </c>
      <c r="EP216" s="460">
        <f>(EO216+EM216)*1000</f>
        <v>17.7</v>
      </c>
      <c r="EQ216" s="460"/>
      <c r="ER216" s="460">
        <f>SUM(EK216:EO216)*1000</f>
        <v>38.878206024691366</v>
      </c>
      <c r="ES216" s="528">
        <f>Vfwd2*CJ216</f>
        <v>6.9999999999999996E-10</v>
      </c>
      <c r="EV216" s="460">
        <f>SUM(ES216:EU216)*1000</f>
        <v>6.9999999999999997E-7</v>
      </c>
      <c r="EW216" s="528">
        <f>Rdcr_pri*EH216^2</f>
        <v>9.4814814814814867E-5</v>
      </c>
      <c r="EX216" s="528">
        <f>Rdcr_sec*EI216^2</f>
        <v>0.28292740740740746</v>
      </c>
      <c r="EY216" s="528">
        <f>DN216^2.5*DR216^2.5*k_core</f>
        <v>5.1199999999999998E-5</v>
      </c>
      <c r="EZ216" s="528"/>
      <c r="FA216" s="528">
        <f>0.5*Lleak*0.000000001*DN216^2*DR216*1000</f>
        <v>5.3333333333333347E-4</v>
      </c>
      <c r="FB216" s="460">
        <f>SUM(EW216:FA216)*1000</f>
        <v>283.60675555555559</v>
      </c>
      <c r="FC216" s="173">
        <f>SUM(EK216:EO216,ES216:EU216,EW216:FA216)</f>
        <v>0.32248496228024692</v>
      </c>
      <c r="FD216" s="5">
        <f>MIN(CL216,CS216)</f>
        <v>4.0000000000000002E-9</v>
      </c>
      <c r="FE216" s="173">
        <f>FD216/(FD216+FC216)</f>
        <v>1.240367898739164E-8</v>
      </c>
      <c r="FF216" s="5">
        <f>FE216*100</f>
        <v>1.240367898739164E-6</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1.9569842191603265E-6</v>
      </c>
    </row>
    <row r="217" spans="5:168">
      <c r="E217" s="170">
        <v>1</v>
      </c>
      <c r="F217" s="217">
        <f t="shared" ref="F217:F248" si="679">IF(PLOT_TYPE=1, E217/100*Iout_max, min_I*EXP(N217*rr/100))</f>
        <v>0.06</v>
      </c>
      <c r="G217" s="217"/>
      <c r="H217" s="217">
        <f t="shared" si="603"/>
        <v>0.24</v>
      </c>
      <c r="I217" s="541">
        <f t="shared" si="604"/>
        <v>35.974046122014123</v>
      </c>
      <c r="J217" s="172">
        <f t="shared" si="605"/>
        <v>19.095209986569245</v>
      </c>
      <c r="K217" s="172">
        <f t="shared" si="606"/>
        <v>55.069256108583367</v>
      </c>
      <c r="L217" s="443"/>
      <c r="M217" s="217">
        <f t="shared" si="607"/>
        <v>0.3470429446705704</v>
      </c>
      <c r="N217" s="172">
        <f t="shared" si="608"/>
        <v>42.17693391006776</v>
      </c>
      <c r="O217" s="172">
        <f t="shared" si="599"/>
        <v>0.24</v>
      </c>
      <c r="P217" s="217">
        <f t="shared" si="609"/>
        <v>10.54423347751694</v>
      </c>
      <c r="Q217" s="217">
        <f t="shared" si="610"/>
        <v>4</v>
      </c>
      <c r="R217" s="217"/>
      <c r="S217" s="172">
        <f t="shared" si="611"/>
        <v>1989.5677694803178</v>
      </c>
      <c r="T217" s="172">
        <f t="shared" si="612"/>
        <v>4</v>
      </c>
      <c r="U217" s="217">
        <f t="shared" si="613"/>
        <v>4.5944828614899354E-2</v>
      </c>
      <c r="V217" s="217">
        <f t="shared" si="614"/>
        <v>1.532599200848314E-2</v>
      </c>
      <c r="W217" s="217">
        <f t="shared" si="615"/>
        <v>2.8873101880868546E-2</v>
      </c>
      <c r="X217" s="197">
        <f t="shared" si="616"/>
        <v>350</v>
      </c>
      <c r="Y217" s="443">
        <f t="shared" ref="Y217:Y280" si="680">MIN(1/(V217+W217+0.2)*1000, 350)</f>
        <v>350</v>
      </c>
      <c r="AA217" s="217">
        <f t="shared" si="617"/>
        <v>2.9699916298813052</v>
      </c>
      <c r="AB217" s="173">
        <f t="shared" si="618"/>
        <v>1.8664314026210367</v>
      </c>
      <c r="AC217" s="173">
        <f t="shared" si="619"/>
        <v>3.8802999504724722</v>
      </c>
      <c r="AD217" s="173"/>
      <c r="AE217" s="173">
        <f t="shared" si="620"/>
        <v>0.83790647032704646</v>
      </c>
      <c r="AF217" s="545">
        <f t="shared" si="621"/>
        <v>26.852639043612992</v>
      </c>
      <c r="AG217" s="528">
        <f t="shared" si="622"/>
        <v>0.78204603897191016</v>
      </c>
      <c r="AI217" s="173">
        <f t="shared" si="623"/>
        <v>0.36931606659732957</v>
      </c>
      <c r="AJ217" s="173">
        <f t="shared" si="624"/>
        <v>1.3333333333333335</v>
      </c>
      <c r="AK217" s="173">
        <f t="shared" si="625"/>
        <v>1.0153443651677789</v>
      </c>
      <c r="AM217" s="545">
        <f t="shared" si="626"/>
        <v>60</v>
      </c>
      <c r="AN217" s="460">
        <f t="shared" si="627"/>
        <v>26.852639043612992</v>
      </c>
      <c r="AP217">
        <f t="shared" si="628"/>
        <v>60</v>
      </c>
      <c r="AQ217">
        <f t="shared" si="629"/>
        <v>26.852639043612992</v>
      </c>
      <c r="AS217" s="5">
        <f t="shared" si="600"/>
        <v>37.240287570090956</v>
      </c>
      <c r="AT217" s="5">
        <f t="shared" si="630"/>
        <v>0.44476509386051211</v>
      </c>
      <c r="AU217" s="5">
        <f t="shared" si="478"/>
        <v>36.795522476230445</v>
      </c>
      <c r="AV217" s="5"/>
      <c r="AW217" s="173">
        <f t="shared" si="479"/>
        <v>1.1943116524634985E-2</v>
      </c>
      <c r="AX217" s="173">
        <f t="shared" si="631"/>
        <v>0.28642814979853864</v>
      </c>
      <c r="AY217" s="173">
        <f t="shared" si="632"/>
        <v>2.634818355934307</v>
      </c>
      <c r="AZ217" s="173">
        <f t="shared" si="633"/>
        <v>0.10870887898341333</v>
      </c>
      <c r="BA217" s="460">
        <f t="shared" si="594"/>
        <v>0.66714764079076816</v>
      </c>
      <c r="BB217" s="5">
        <f t="shared" si="595"/>
        <v>0.20456705009734014</v>
      </c>
      <c r="BD217" s="173">
        <f t="shared" ref="BD217:BD280" si="681">AJ217*SQRT(AW217/3)</f>
        <v>8.4127298690549204E-2</v>
      </c>
      <c r="BE217" s="173">
        <f t="shared" ref="BE217:BE280" si="682">AJ217*Nps*SQRT((1-AW217)/3)</f>
        <v>3.0607585731844287</v>
      </c>
      <c r="BG217" s="528">
        <f t="shared" ref="BG217:BG280" si="683">Rdson*BD217^2</f>
        <v>8.6344309096620354E-5</v>
      </c>
      <c r="BH217" s="528">
        <f t="shared" si="634"/>
        <v>3.6968871417101722E-2</v>
      </c>
      <c r="BI217" s="528">
        <f t="shared" si="635"/>
        <v>2.4149951886318275E-2</v>
      </c>
      <c r="BJ217" s="528">
        <f t="shared" ref="BJ217:BJ280" si="684">0.5*(Coss+Csw)*K217^2*AN217*1000</f>
        <v>8.1433929924546507E-3</v>
      </c>
      <c r="BK217">
        <f t="shared" ref="BK217:BK280" si="685">I217*IQ</f>
        <v>1.6188320754906355E-2</v>
      </c>
      <c r="BL217" s="460">
        <f t="shared" ref="BL217:BL280" si="686">(BK217+BI217)*1000</f>
        <v>40.338272641224627</v>
      </c>
      <c r="BM217" s="528">
        <f t="shared" si="636"/>
        <v>4.5222849447309241E-2</v>
      </c>
      <c r="BN217" s="460">
        <f t="shared" ref="BN217:BN280" si="687">BM217*1000</f>
        <v>45.222849447309244</v>
      </c>
      <c r="BO217" s="528">
        <f t="shared" si="637"/>
        <v>4.1999999999999996E-2</v>
      </c>
      <c r="BR217" s="460">
        <f t="shared" ref="BR217:BR280" si="688">SUM(BO217:BQ217)*1000</f>
        <v>41.999999999999993</v>
      </c>
      <c r="BS217" s="528">
        <f t="shared" ref="BS217:BS280" si="689">Rdcr_pri*BD217^2</f>
        <v>2.1232207154906645E-4</v>
      </c>
      <c r="BT217" s="528">
        <f t="shared" ref="BT217:BT280" si="690">Rdcr_sec*BE217^2</f>
        <v>0.28104729129965939</v>
      </c>
      <c r="BU217" s="528">
        <f t="shared" ref="BU217:BU280" si="691">AJ217^2.5*AN217^2.5*k_core</f>
        <v>3.8351670105507286E-4</v>
      </c>
      <c r="BV217" s="528"/>
      <c r="BW217" s="528">
        <f t="shared" ref="BW217:BW280" si="692">0.5*Lleak*0.000000001*AJ217^2*AN217*1000</f>
        <v>1.1934506241605776E-3</v>
      </c>
      <c r="BX217" s="460">
        <f t="shared" ref="BX217:BX280" si="693">SUM(BS217:BW217)*1000</f>
        <v>282.83658069642416</v>
      </c>
      <c r="BY217" s="173">
        <f t="shared" ref="BY217:BY280" si="694">SUM(BG217:BK217,BO217:BQ217,BS217:BW217)</f>
        <v>0.41037346205630171</v>
      </c>
      <c r="BZ217" s="5">
        <f t="shared" ref="BZ217:BZ280" si="695">MIN(H217,O217)</f>
        <v>0.24</v>
      </c>
      <c r="CA217" s="173">
        <f t="shared" ref="CA217:CA280" si="696">BZ217/(BZ217+BY217)</f>
        <v>0.36901874692301573</v>
      </c>
      <c r="CB217" s="5">
        <f t="shared" ref="CB217:CB280" si="697">CA217*100</f>
        <v>36.901874692301575</v>
      </c>
      <c r="CE217" s="562">
        <f t="shared" si="638"/>
        <v>-50</v>
      </c>
      <c r="CF217">
        <f t="shared" si="639"/>
        <v>-50</v>
      </c>
      <c r="CG217" s="173">
        <f t="shared" si="640"/>
        <v>2.4389418812263645E-2</v>
      </c>
      <c r="CI217" s="170">
        <v>1</v>
      </c>
      <c r="CJ217" s="217">
        <f t="shared" ref="CJ217:CJ280" si="698">IF(PLOT_TYPE=1, CI217/100*Iout_max, min_I*EXP(CR217*rr/100))</f>
        <v>0.06</v>
      </c>
      <c r="CK217" s="217"/>
      <c r="CL217" s="217">
        <f t="shared" si="641"/>
        <v>0.24</v>
      </c>
      <c r="CM217" s="541">
        <f t="shared" si="642"/>
        <v>36</v>
      </c>
      <c r="CN217" s="443">
        <f t="shared" si="643"/>
        <v>18.8</v>
      </c>
      <c r="CO217" s="443">
        <f t="shared" si="644"/>
        <v>54.8</v>
      </c>
      <c r="CP217" s="443"/>
      <c r="CQ217" s="217">
        <f t="shared" si="645"/>
        <v>0.34306569343065696</v>
      </c>
      <c r="CR217" s="172">
        <f t="shared" si="646"/>
        <v>41.723649635036502</v>
      </c>
      <c r="CS217" s="172">
        <f t="shared" si="647"/>
        <v>0.24</v>
      </c>
      <c r="CT217" s="217">
        <f t="shared" si="648"/>
        <v>10.430912408759125</v>
      </c>
      <c r="CU217" s="217">
        <f t="shared" si="649"/>
        <v>4</v>
      </c>
      <c r="CV217" s="217"/>
      <c r="CW217" s="172">
        <f t="shared" si="650"/>
        <v>1991.0031631219535</v>
      </c>
      <c r="CX217" s="172">
        <f t="shared" si="651"/>
        <v>4</v>
      </c>
      <c r="CY217" s="217">
        <f t="shared" si="652"/>
        <v>3.8865248226950345E-2</v>
      </c>
      <c r="CZ217" s="217">
        <f t="shared" si="653"/>
        <v>1.2955082742316782E-2</v>
      </c>
      <c r="DA217" s="217">
        <f t="shared" si="654"/>
        <v>2.48076052512449E-2</v>
      </c>
      <c r="DB217" s="197">
        <f t="shared" si="655"/>
        <v>350</v>
      </c>
      <c r="DC217" s="443">
        <f t="shared" si="656"/>
        <v>350</v>
      </c>
      <c r="DE217" s="217">
        <f t="shared" si="657"/>
        <v>2.940563086548488</v>
      </c>
      <c r="DF217" s="173">
        <f t="shared" si="658"/>
        <v>1.8769551616266944</v>
      </c>
      <c r="DG217" s="173">
        <f t="shared" si="659"/>
        <v>3.8635135443702762</v>
      </c>
      <c r="DH217" s="173"/>
      <c r="DI217" s="173">
        <f t="shared" si="660"/>
        <v>0.85106382978723416</v>
      </c>
      <c r="DJ217" s="545">
        <f t="shared" si="661"/>
        <v>26.437499999999993</v>
      </c>
      <c r="DK217" s="528">
        <f t="shared" si="662"/>
        <v>0.79432624113475192</v>
      </c>
      <c r="DM217" s="173">
        <f t="shared" si="663"/>
        <v>0.36645015252516172</v>
      </c>
      <c r="DN217" s="173">
        <f t="shared" si="664"/>
        <v>1.3333333333333335</v>
      </c>
      <c r="DO217" s="173">
        <f t="shared" si="665"/>
        <v>1.0151071428571428</v>
      </c>
      <c r="DQ217" s="545">
        <f t="shared" si="666"/>
        <v>60</v>
      </c>
      <c r="DR217" s="460">
        <f t="shared" si="667"/>
        <v>26.437499999999993</v>
      </c>
      <c r="DT217">
        <f t="shared" si="668"/>
        <v>60</v>
      </c>
      <c r="DU217">
        <f t="shared" si="669"/>
        <v>26.437499999999993</v>
      </c>
      <c r="DW217" s="5">
        <f t="shared" si="670"/>
        <v>37.825059101654858</v>
      </c>
      <c r="DX217" s="5">
        <f t="shared" si="671"/>
        <v>0.44444444444444453</v>
      </c>
      <c r="DY217" s="5">
        <f t="shared" si="672"/>
        <v>37.380614657210415</v>
      </c>
      <c r="DZ217" s="5"/>
      <c r="EA217" s="173">
        <f t="shared" si="673"/>
        <v>1.1749999999999998E-2</v>
      </c>
      <c r="EB217" s="173">
        <f t="shared" ref="EB217:EB280" si="699">0.5*L*DN217^2*DR217*1000</f>
        <v>0.28199999999999997</v>
      </c>
      <c r="EC217" s="173">
        <f t="shared" ref="EC217:EC280" si="700">DN217*Nps/2*(1-EA217)</f>
        <v>2.6353333333333335</v>
      </c>
      <c r="ED217" s="173">
        <f t="shared" ref="ED217:ED280" si="701">EB217/EC217</f>
        <v>0.10700733620035414</v>
      </c>
      <c r="EE217" s="460">
        <f t="shared" si="674"/>
        <v>0.66666666666666674</v>
      </c>
      <c r="EF217" s="5">
        <f t="shared" si="675"/>
        <v>0.20767008142894672</v>
      </c>
      <c r="EH217" s="173">
        <f t="shared" ref="EH217:EH280" si="702">DN217*SQRT(EA217/3)</f>
        <v>8.3444370468971504E-2</v>
      </c>
      <c r="EI217" s="173">
        <f t="shared" ref="EI217:EI280" si="703">DN217*Nps*SQRT((1-EA217)/3)</f>
        <v>3.0610576724514802</v>
      </c>
      <c r="EK217" s="528">
        <f t="shared" ref="EK217:EK280" si="704">Rdson*EH217^2</f>
        <v>8.4948148148148141E-5</v>
      </c>
      <c r="EL217" s="528">
        <f t="shared" ref="EL217:EL280" si="705">0.5*CO217*DN217*DR217*1000*Trise</f>
        <v>3.8633999999999995E-2</v>
      </c>
      <c r="EM217" s="528">
        <f t="shared" ref="EM217:EM280" si="706">Qg*Vdd*DR217*1000</f>
        <v>3.304687499999999E-3</v>
      </c>
      <c r="EN217" s="528">
        <f t="shared" ref="EN217:EN280" si="707">0.5*(Coss+Csw)*CO217^2*DR217*1000</f>
        <v>7.9392869999999963E-3</v>
      </c>
      <c r="EO217">
        <f t="shared" ref="EO217:EO280" si="708">CM217*IQ</f>
        <v>1.6199999999999999E-2</v>
      </c>
      <c r="EP217" s="460">
        <f t="shared" ref="EP217:EP280" si="709">(EO217+EM217)*1000</f>
        <v>19.504687499999999</v>
      </c>
      <c r="EQ217" s="460"/>
      <c r="ER217" s="460">
        <f t="shared" ref="ER217:ER280" si="710">SUM(EK217:EO217)*1000</f>
        <v>66.162922648148125</v>
      </c>
      <c r="ES217" s="528">
        <f t="shared" ref="ES217:ES280" si="711">Vfwd2*CJ217</f>
        <v>4.1999999999999996E-2</v>
      </c>
      <c r="EV217" s="460">
        <f t="shared" ref="EV217:EV280" si="712">SUM(ES217:EU217)*1000</f>
        <v>41.999999999999993</v>
      </c>
      <c r="EW217" s="528">
        <f t="shared" ref="EW217:EW280" si="713">Rdcr_pri*EH217^2</f>
        <v>2.0888888888888888E-4</v>
      </c>
      <c r="EX217" s="528">
        <f t="shared" ref="EX217:EX280" si="714">Rdcr_sec*EI217^2</f>
        <v>0.2811022222222222</v>
      </c>
      <c r="EY217" s="528">
        <f t="shared" ref="EY217:EY280" si="715">DN217^2.5*DR217^2.5*k_core</f>
        <v>3.6886530473812629E-4</v>
      </c>
      <c r="EZ217" s="528"/>
      <c r="FA217" s="528">
        <f t="shared" ref="FA217:FA280" si="716">0.5*Lleak*0.000000001*DN217^2*DR217*1000</f>
        <v>1.175E-3</v>
      </c>
      <c r="FB217" s="460">
        <f t="shared" ref="FB217:FB280" si="717">SUM(EW217:FA217)*1000</f>
        <v>282.85497641584919</v>
      </c>
      <c r="FC217" s="173">
        <f t="shared" ref="FC217:FC280" si="718">SUM(EK217:EO217,ES217:EU217,EW217:FA217)</f>
        <v>0.39101789906399731</v>
      </c>
      <c r="FD217" s="5">
        <f t="shared" ref="FD217:FD280" si="719">MIN(CL217,CS217)</f>
        <v>0.24</v>
      </c>
      <c r="FE217" s="173">
        <f t="shared" ref="FE217:FE280" si="720">FD217/(FD217+FC217)</f>
        <v>0.38033786419687504</v>
      </c>
      <c r="FF217" s="5">
        <f t="shared" ref="FF217:FF280" si="721">FE217*100</f>
        <v>38.033786419687502</v>
      </c>
      <c r="FI217" s="562">
        <f t="shared" si="676"/>
        <v>-50</v>
      </c>
      <c r="FJ217">
        <f t="shared" si="677"/>
        <v>-50</v>
      </c>
      <c r="FL217">
        <f t="shared" si="678"/>
        <v>2.2499999999999996E-2</v>
      </c>
    </row>
    <row r="218" spans="5:168">
      <c r="E218" s="170">
        <v>2</v>
      </c>
      <c r="F218" s="217">
        <f t="shared" si="679"/>
        <v>0.12</v>
      </c>
      <c r="G218" s="217"/>
      <c r="H218" s="217">
        <f t="shared" si="603"/>
        <v>0.48</v>
      </c>
      <c r="I218" s="541">
        <f t="shared" si="604"/>
        <v>35.974046122014123</v>
      </c>
      <c r="J218" s="172">
        <f t="shared" si="605"/>
        <v>19.095209986569245</v>
      </c>
      <c r="K218" s="172">
        <f t="shared" si="606"/>
        <v>55.069256108583367</v>
      </c>
      <c r="L218" s="443"/>
      <c r="M218" s="217">
        <f t="shared" si="607"/>
        <v>0.3470429446705704</v>
      </c>
      <c r="N218" s="172">
        <f t="shared" si="608"/>
        <v>42.17693391006776</v>
      </c>
      <c r="O218" s="172">
        <f t="shared" si="599"/>
        <v>0.48</v>
      </c>
      <c r="P218" s="217">
        <f t="shared" si="609"/>
        <v>10.54423347751694</v>
      </c>
      <c r="Q218" s="217">
        <f t="shared" si="610"/>
        <v>4</v>
      </c>
      <c r="R218" s="217"/>
      <c r="S218" s="172">
        <f t="shared" si="611"/>
        <v>990.2919000980138</v>
      </c>
      <c r="T218" s="172">
        <f t="shared" si="612"/>
        <v>4</v>
      </c>
      <c r="U218" s="217">
        <f t="shared" si="613"/>
        <v>9.1889657229798707E-2</v>
      </c>
      <c r="V218" s="217">
        <f t="shared" si="614"/>
        <v>3.0651984016966279E-2</v>
      </c>
      <c r="W218" s="217">
        <f t="shared" si="615"/>
        <v>5.7746203761737093E-2</v>
      </c>
      <c r="X218" s="197">
        <f t="shared" si="616"/>
        <v>350</v>
      </c>
      <c r="Y218" s="443">
        <f t="shared" si="680"/>
        <v>350</v>
      </c>
      <c r="AA218" s="217">
        <f t="shared" si="617"/>
        <v>2.9699916298813052</v>
      </c>
      <c r="AB218" s="173">
        <f t="shared" si="618"/>
        <v>1.8664314026210367</v>
      </c>
      <c r="AC218" s="173">
        <f t="shared" si="619"/>
        <v>3.8802999504724722</v>
      </c>
      <c r="AD218" s="173"/>
      <c r="AE218" s="173">
        <f t="shared" si="620"/>
        <v>0.83790647032704646</v>
      </c>
      <c r="AF218" s="545">
        <f t="shared" si="621"/>
        <v>53.705278087225985</v>
      </c>
      <c r="AG218" s="528">
        <f t="shared" si="622"/>
        <v>0.78204603897191016</v>
      </c>
      <c r="AI218" s="173">
        <f t="shared" si="623"/>
        <v>0.52229179018422867</v>
      </c>
      <c r="AJ218" s="173">
        <f t="shared" si="624"/>
        <v>1.3333333333333335</v>
      </c>
      <c r="AK218" s="173">
        <f t="shared" si="625"/>
        <v>1.0306887303355576</v>
      </c>
      <c r="AM218" s="545">
        <f t="shared" si="626"/>
        <v>120</v>
      </c>
      <c r="AN218" s="460">
        <f t="shared" si="627"/>
        <v>53.705278087225985</v>
      </c>
      <c r="AP218">
        <f t="shared" si="628"/>
        <v>120</v>
      </c>
      <c r="AQ218">
        <f t="shared" si="629"/>
        <v>53.705278087225985</v>
      </c>
      <c r="AS218" s="5">
        <f t="shared" si="600"/>
        <v>18.620143785045478</v>
      </c>
      <c r="AT218" s="5">
        <f t="shared" si="630"/>
        <v>0.44476509386051211</v>
      </c>
      <c r="AU218" s="5">
        <f t="shared" si="478"/>
        <v>18.175378691184967</v>
      </c>
      <c r="AV218" s="5"/>
      <c r="AW218" s="173">
        <f t="shared" si="479"/>
        <v>2.388623304926997E-2</v>
      </c>
      <c r="AX218" s="173">
        <f t="shared" si="631"/>
        <v>0.57285629959707729</v>
      </c>
      <c r="AY218" s="173">
        <f t="shared" si="632"/>
        <v>2.6029700452019471</v>
      </c>
      <c r="AZ218" s="173">
        <f t="shared" si="633"/>
        <v>0.22007794544275411</v>
      </c>
      <c r="BA218" s="460">
        <f t="shared" si="594"/>
        <v>1.3342952815815363</v>
      </c>
      <c r="BB218" s="5">
        <f t="shared" si="595"/>
        <v>0.20209435023838077</v>
      </c>
      <c r="BD218" s="173">
        <f t="shared" si="681"/>
        <v>0.118973966773987</v>
      </c>
      <c r="BE218" s="173">
        <f t="shared" si="682"/>
        <v>3.0422039059146706</v>
      </c>
      <c r="BG218" s="528">
        <f t="shared" si="683"/>
        <v>1.7268861819324068E-4</v>
      </c>
      <c r="BH218" s="528">
        <f t="shared" si="634"/>
        <v>7.3937742834203443E-2</v>
      </c>
      <c r="BI218" s="528">
        <f t="shared" si="635"/>
        <v>4.829990377263655E-2</v>
      </c>
      <c r="BJ218" s="528">
        <f t="shared" si="684"/>
        <v>1.6286785984909301E-2</v>
      </c>
      <c r="BK218">
        <f t="shared" si="685"/>
        <v>1.6188320754906355E-2</v>
      </c>
      <c r="BL218" s="460">
        <f t="shared" si="686"/>
        <v>64.488224527542911</v>
      </c>
      <c r="BM218" s="528">
        <f t="shared" si="636"/>
        <v>9.0447554501155852E-2</v>
      </c>
      <c r="BN218" s="460">
        <f t="shared" si="687"/>
        <v>90.447554501155849</v>
      </c>
      <c r="BO218" s="528">
        <f t="shared" si="637"/>
        <v>8.3999999999999991E-2</v>
      </c>
      <c r="BR218" s="460">
        <f t="shared" si="688"/>
        <v>83.999999999999986</v>
      </c>
      <c r="BS218" s="528">
        <f t="shared" si="689"/>
        <v>4.2464414309813285E-4</v>
      </c>
      <c r="BT218" s="528">
        <f t="shared" si="690"/>
        <v>0.27765013815487433</v>
      </c>
      <c r="BU218" s="528">
        <f t="shared" si="691"/>
        <v>2.1694980801146863E-3</v>
      </c>
      <c r="BV218" s="528"/>
      <c r="BW218" s="528">
        <f t="shared" si="692"/>
        <v>2.3869012483211552E-3</v>
      </c>
      <c r="BX218" s="460">
        <f t="shared" si="693"/>
        <v>282.63118162640825</v>
      </c>
      <c r="BY218" s="173">
        <f t="shared" si="694"/>
        <v>0.52151662359125717</v>
      </c>
      <c r="BZ218" s="5">
        <f t="shared" si="695"/>
        <v>0.48</v>
      </c>
      <c r="CA218" s="173">
        <f t="shared" si="696"/>
        <v>0.47927312307488912</v>
      </c>
      <c r="CB218" s="5">
        <f t="shared" si="697"/>
        <v>47.927312307488911</v>
      </c>
      <c r="CE218" s="562">
        <f t="shared" si="638"/>
        <v>-50</v>
      </c>
      <c r="CF218">
        <f t="shared" si="639"/>
        <v>-50</v>
      </c>
      <c r="CG218" s="173">
        <f t="shared" si="640"/>
        <v>4.8778837624527289E-2</v>
      </c>
      <c r="CI218" s="170">
        <v>2</v>
      </c>
      <c r="CJ218" s="217">
        <f t="shared" si="698"/>
        <v>0.12</v>
      </c>
      <c r="CK218" s="217"/>
      <c r="CL218" s="217">
        <f t="shared" si="641"/>
        <v>0.48</v>
      </c>
      <c r="CM218" s="541">
        <f t="shared" si="642"/>
        <v>36</v>
      </c>
      <c r="CN218" s="443">
        <f t="shared" si="643"/>
        <v>18.8</v>
      </c>
      <c r="CO218" s="443">
        <f t="shared" si="644"/>
        <v>54.8</v>
      </c>
      <c r="CP218" s="443"/>
      <c r="CQ218" s="217">
        <f t="shared" si="645"/>
        <v>0.34306569343065696</v>
      </c>
      <c r="CR218" s="172">
        <f t="shared" si="646"/>
        <v>41.723649635036502</v>
      </c>
      <c r="CS218" s="172">
        <f t="shared" si="647"/>
        <v>0.48</v>
      </c>
      <c r="CT218" s="217">
        <f t="shared" si="648"/>
        <v>10.430912408759125</v>
      </c>
      <c r="CU218" s="217">
        <f t="shared" si="649"/>
        <v>4</v>
      </c>
      <c r="CV218" s="217"/>
      <c r="CW218" s="172">
        <f t="shared" si="650"/>
        <v>991.00635268694509</v>
      </c>
      <c r="CX218" s="172">
        <f t="shared" si="651"/>
        <v>4</v>
      </c>
      <c r="CY218" s="217">
        <f t="shared" si="652"/>
        <v>7.7730496453900691E-2</v>
      </c>
      <c r="CZ218" s="217">
        <f t="shared" si="653"/>
        <v>2.5910165484633565E-2</v>
      </c>
      <c r="DA218" s="217">
        <f t="shared" si="654"/>
        <v>4.96152105024898E-2</v>
      </c>
      <c r="DB218" s="197">
        <f t="shared" si="655"/>
        <v>350</v>
      </c>
      <c r="DC218" s="443">
        <f t="shared" si="656"/>
        <v>350</v>
      </c>
      <c r="DE218" s="217">
        <f t="shared" si="657"/>
        <v>2.940563086548488</v>
      </c>
      <c r="DF218" s="173">
        <f t="shared" si="658"/>
        <v>1.8769551616266944</v>
      </c>
      <c r="DG218" s="173">
        <f t="shared" si="659"/>
        <v>3.8635135443702762</v>
      </c>
      <c r="DH218" s="173"/>
      <c r="DI218" s="173">
        <f t="shared" si="660"/>
        <v>0.85106382978723416</v>
      </c>
      <c r="DJ218" s="545">
        <f t="shared" si="661"/>
        <v>52.874999999999986</v>
      </c>
      <c r="DK218" s="528">
        <f t="shared" si="662"/>
        <v>0.79432624113475192</v>
      </c>
      <c r="DM218" s="173">
        <f t="shared" si="663"/>
        <v>0.51823877563477294</v>
      </c>
      <c r="DN218" s="173">
        <f t="shared" si="664"/>
        <v>1.3333333333333335</v>
      </c>
      <c r="DO218" s="173">
        <f t="shared" si="665"/>
        <v>1.0302142857142857</v>
      </c>
      <c r="DQ218" s="545">
        <f t="shared" si="666"/>
        <v>120</v>
      </c>
      <c r="DR218" s="460">
        <f t="shared" si="667"/>
        <v>52.874999999999986</v>
      </c>
      <c r="DT218">
        <f t="shared" si="668"/>
        <v>120</v>
      </c>
      <c r="DU218">
        <f t="shared" si="669"/>
        <v>52.874999999999986</v>
      </c>
      <c r="DW218" s="5">
        <f t="shared" si="670"/>
        <v>18.912529550827429</v>
      </c>
      <c r="DX218" s="5">
        <f t="shared" si="671"/>
        <v>0.44444444444444453</v>
      </c>
      <c r="DY218" s="5">
        <f t="shared" si="672"/>
        <v>18.468085106382986</v>
      </c>
      <c r="DZ218" s="5"/>
      <c r="EA218" s="173">
        <f t="shared" si="673"/>
        <v>2.3499999999999997E-2</v>
      </c>
      <c r="EB218" s="173">
        <f t="shared" si="699"/>
        <v>0.56399999999999995</v>
      </c>
      <c r="EC218" s="173">
        <f t="shared" si="700"/>
        <v>2.6040000000000005</v>
      </c>
      <c r="ED218" s="173">
        <f t="shared" si="701"/>
        <v>0.216589861751152</v>
      </c>
      <c r="EE218" s="460">
        <f t="shared" si="674"/>
        <v>1.3333333333333335</v>
      </c>
      <c r="EF218" s="5">
        <f t="shared" si="675"/>
        <v>0.20520094562647759</v>
      </c>
      <c r="EH218" s="173">
        <f t="shared" si="702"/>
        <v>0.11800816042090448</v>
      </c>
      <c r="EI218" s="173">
        <f t="shared" si="703"/>
        <v>3.042805722793795</v>
      </c>
      <c r="EK218" s="528">
        <f t="shared" si="704"/>
        <v>1.6989629629629628E-4</v>
      </c>
      <c r="EL218" s="528">
        <f t="shared" si="705"/>
        <v>7.7267999999999989E-2</v>
      </c>
      <c r="EM218" s="528">
        <f t="shared" si="706"/>
        <v>6.6093749999999981E-3</v>
      </c>
      <c r="EN218" s="528">
        <f t="shared" si="707"/>
        <v>1.5878573999999993E-2</v>
      </c>
      <c r="EO218">
        <f t="shared" si="708"/>
        <v>1.6199999999999999E-2</v>
      </c>
      <c r="EP218" s="460">
        <f t="shared" si="709"/>
        <v>22.809374999999996</v>
      </c>
      <c r="EQ218" s="460"/>
      <c r="ER218" s="460">
        <f t="shared" si="710"/>
        <v>116.12584529629628</v>
      </c>
      <c r="ES218" s="528">
        <f t="shared" si="711"/>
        <v>8.3999999999999991E-2</v>
      </c>
      <c r="EV218" s="460">
        <f t="shared" si="712"/>
        <v>83.999999999999986</v>
      </c>
      <c r="EW218" s="528">
        <f t="shared" si="713"/>
        <v>4.1777777777777777E-4</v>
      </c>
      <c r="EX218" s="528">
        <f t="shared" si="714"/>
        <v>0.27776000000000012</v>
      </c>
      <c r="EY218" s="528">
        <f t="shared" si="715"/>
        <v>2.08661726659817E-3</v>
      </c>
      <c r="EZ218" s="528"/>
      <c r="FA218" s="528">
        <f t="shared" si="716"/>
        <v>2.3500000000000001E-3</v>
      </c>
      <c r="FB218" s="460">
        <f t="shared" si="717"/>
        <v>282.61439504437607</v>
      </c>
      <c r="FC218" s="173">
        <f t="shared" si="718"/>
        <v>0.48274024034067231</v>
      </c>
      <c r="FD218" s="5">
        <f t="shared" si="719"/>
        <v>0.48</v>
      </c>
      <c r="FE218" s="173">
        <f t="shared" si="720"/>
        <v>0.49857685374213573</v>
      </c>
      <c r="FF218" s="5">
        <f t="shared" si="721"/>
        <v>49.857685374213574</v>
      </c>
      <c r="FI218" s="562">
        <f t="shared" si="676"/>
        <v>-50</v>
      </c>
      <c r="FJ218">
        <f t="shared" si="677"/>
        <v>-50</v>
      </c>
      <c r="FL218">
        <f t="shared" si="678"/>
        <v>4.4999999999999991E-2</v>
      </c>
    </row>
    <row r="219" spans="5:168">
      <c r="E219" s="170">
        <v>3</v>
      </c>
      <c r="F219" s="217">
        <f t="shared" si="679"/>
        <v>0.18</v>
      </c>
      <c r="G219" s="217"/>
      <c r="H219" s="217">
        <f t="shared" si="603"/>
        <v>0.72</v>
      </c>
      <c r="I219" s="541">
        <f t="shared" si="604"/>
        <v>35.974046122014123</v>
      </c>
      <c r="J219" s="172">
        <f t="shared" si="605"/>
        <v>19.095209986569245</v>
      </c>
      <c r="K219" s="172">
        <f t="shared" si="606"/>
        <v>55.069256108583367</v>
      </c>
      <c r="L219" s="443"/>
      <c r="M219" s="217">
        <f t="shared" si="607"/>
        <v>0.3470429446705704</v>
      </c>
      <c r="N219" s="172">
        <f t="shared" si="608"/>
        <v>42.17693391006776</v>
      </c>
      <c r="O219" s="172">
        <f t="shared" si="599"/>
        <v>0.72</v>
      </c>
      <c r="P219" s="217">
        <f t="shared" si="609"/>
        <v>10.54423347751694</v>
      </c>
      <c r="Q219" s="217">
        <f t="shared" si="610"/>
        <v>4</v>
      </c>
      <c r="R219" s="217"/>
      <c r="S219" s="172">
        <f t="shared" si="611"/>
        <v>657.20209675527383</v>
      </c>
      <c r="T219" s="172">
        <f t="shared" si="612"/>
        <v>4</v>
      </c>
      <c r="U219" s="217">
        <f t="shared" si="613"/>
        <v>0.13783448584469807</v>
      </c>
      <c r="V219" s="217">
        <f t="shared" si="614"/>
        <v>4.5977976025449417E-2</v>
      </c>
      <c r="W219" s="217">
        <f t="shared" si="615"/>
        <v>8.6619305642605629E-2</v>
      </c>
      <c r="X219" s="197">
        <f t="shared" si="616"/>
        <v>350</v>
      </c>
      <c r="Y219" s="443">
        <f t="shared" si="680"/>
        <v>350</v>
      </c>
      <c r="AA219" s="217">
        <f t="shared" si="617"/>
        <v>2.9699916298813052</v>
      </c>
      <c r="AB219" s="173">
        <f t="shared" si="618"/>
        <v>1.8664314026210367</v>
      </c>
      <c r="AC219" s="173">
        <f t="shared" si="619"/>
        <v>3.8802999504724722</v>
      </c>
      <c r="AD219" s="173"/>
      <c r="AE219" s="173">
        <f t="shared" si="620"/>
        <v>0.83790647032704646</v>
      </c>
      <c r="AF219" s="545">
        <f t="shared" si="621"/>
        <v>80.557917130838959</v>
      </c>
      <c r="AG219" s="528">
        <f t="shared" si="622"/>
        <v>0.78204603897191016</v>
      </c>
      <c r="AI219" s="173">
        <f t="shared" si="623"/>
        <v>0.63967419139806592</v>
      </c>
      <c r="AJ219" s="173">
        <f t="shared" si="624"/>
        <v>1.3333333333333335</v>
      </c>
      <c r="AK219" s="173">
        <f t="shared" si="625"/>
        <v>1.0460330955033366</v>
      </c>
      <c r="AM219" s="545">
        <f t="shared" si="626"/>
        <v>180</v>
      </c>
      <c r="AN219" s="460">
        <f t="shared" si="627"/>
        <v>80.557917130838959</v>
      </c>
      <c r="AP219">
        <f t="shared" si="628"/>
        <v>180</v>
      </c>
      <c r="AQ219">
        <f t="shared" si="629"/>
        <v>80.557917130838959</v>
      </c>
      <c r="AS219" s="5">
        <f t="shared" si="600"/>
        <v>12.413429190030321</v>
      </c>
      <c r="AT219" s="5">
        <f t="shared" si="630"/>
        <v>0.44476509386051211</v>
      </c>
      <c r="AU219" s="5">
        <f t="shared" si="478"/>
        <v>11.968664096169809</v>
      </c>
      <c r="AV219" s="5"/>
      <c r="AW219" s="173">
        <f t="shared" si="479"/>
        <v>3.5829349573904948E-2</v>
      </c>
      <c r="AX219" s="173">
        <f t="shared" si="631"/>
        <v>0.85928444939561577</v>
      </c>
      <c r="AY219" s="173">
        <f t="shared" si="632"/>
        <v>2.5711217344695871</v>
      </c>
      <c r="AZ219" s="173">
        <f t="shared" si="633"/>
        <v>0.33420605406413517</v>
      </c>
      <c r="BA219" s="460">
        <f t="shared" si="594"/>
        <v>2.0014429223723043</v>
      </c>
      <c r="BB219" s="5">
        <f t="shared" si="595"/>
        <v>0.19962165037942142</v>
      </c>
      <c r="BD219" s="173">
        <f t="shared" si="681"/>
        <v>0.14571275563555389</v>
      </c>
      <c r="BE219" s="173">
        <f t="shared" si="682"/>
        <v>3.0235353755170413</v>
      </c>
      <c r="BG219" s="528">
        <f t="shared" si="683"/>
        <v>2.5903292728986102E-4</v>
      </c>
      <c r="BH219" s="528">
        <f t="shared" si="634"/>
        <v>0.11090661425130514</v>
      </c>
      <c r="BI219" s="528">
        <f t="shared" si="635"/>
        <v>7.2449855658954801E-2</v>
      </c>
      <c r="BJ219" s="528">
        <f t="shared" si="684"/>
        <v>2.4430178977363944E-2</v>
      </c>
      <c r="BK219">
        <f t="shared" si="685"/>
        <v>1.6188320754906355E-2</v>
      </c>
      <c r="BL219" s="460">
        <f t="shared" si="686"/>
        <v>88.638176413861146</v>
      </c>
      <c r="BM219" s="528">
        <f t="shared" si="636"/>
        <v>0.1356741152757524</v>
      </c>
      <c r="BN219" s="460">
        <f t="shared" si="687"/>
        <v>135.6741152757524</v>
      </c>
      <c r="BO219" s="528">
        <f t="shared" si="637"/>
        <v>0.126</v>
      </c>
      <c r="BR219" s="460">
        <f t="shared" si="688"/>
        <v>126</v>
      </c>
      <c r="BS219" s="528">
        <f t="shared" si="689"/>
        <v>6.3696621464719931E-4</v>
      </c>
      <c r="BT219" s="528">
        <f t="shared" si="690"/>
        <v>0.27425298501008927</v>
      </c>
      <c r="BU219" s="528">
        <f t="shared" si="691"/>
        <v>5.9784337060073021E-3</v>
      </c>
      <c r="BV219" s="528"/>
      <c r="BW219" s="528">
        <f t="shared" si="692"/>
        <v>3.5803518724817321E-3</v>
      </c>
      <c r="BX219" s="460">
        <f t="shared" si="693"/>
        <v>284.44873680322553</v>
      </c>
      <c r="BY219" s="173">
        <f t="shared" si="694"/>
        <v>0.63468273937304553</v>
      </c>
      <c r="BZ219" s="5">
        <f t="shared" si="695"/>
        <v>0.72</v>
      </c>
      <c r="CA219" s="173">
        <f t="shared" si="696"/>
        <v>0.53148975702843892</v>
      </c>
      <c r="CB219" s="5">
        <f t="shared" si="697"/>
        <v>53.148975702843892</v>
      </c>
      <c r="CE219" s="562">
        <f t="shared" si="638"/>
        <v>-50</v>
      </c>
      <c r="CF219">
        <f t="shared" si="639"/>
        <v>-50</v>
      </c>
      <c r="CG219" s="173">
        <f t="shared" si="640"/>
        <v>7.3168256436790938E-2</v>
      </c>
      <c r="CI219" s="170">
        <v>3</v>
      </c>
      <c r="CJ219" s="217">
        <f t="shared" si="698"/>
        <v>0.18</v>
      </c>
      <c r="CK219" s="217"/>
      <c r="CL219" s="217">
        <f t="shared" si="641"/>
        <v>0.72</v>
      </c>
      <c r="CM219" s="541">
        <f t="shared" si="642"/>
        <v>36</v>
      </c>
      <c r="CN219" s="443">
        <f t="shared" si="643"/>
        <v>18.8</v>
      </c>
      <c r="CO219" s="443">
        <f t="shared" si="644"/>
        <v>54.8</v>
      </c>
      <c r="CP219" s="443"/>
      <c r="CQ219" s="217">
        <f t="shared" si="645"/>
        <v>0.34306569343065696</v>
      </c>
      <c r="CR219" s="172">
        <f t="shared" si="646"/>
        <v>41.723649635036502</v>
      </c>
      <c r="CS219" s="172">
        <f t="shared" si="647"/>
        <v>0.72</v>
      </c>
      <c r="CT219" s="217">
        <f t="shared" si="648"/>
        <v>10.430912408759125</v>
      </c>
      <c r="CU219" s="217">
        <f t="shared" si="649"/>
        <v>4</v>
      </c>
      <c r="CV219" s="217"/>
      <c r="CW219" s="172">
        <f t="shared" si="650"/>
        <v>657.67623566332657</v>
      </c>
      <c r="CX219" s="172">
        <f t="shared" si="651"/>
        <v>4</v>
      </c>
      <c r="CY219" s="217">
        <f t="shared" si="652"/>
        <v>0.11659574468085104</v>
      </c>
      <c r="CZ219" s="217">
        <f t="shared" si="653"/>
        <v>3.8865248226950345E-2</v>
      </c>
      <c r="DA219" s="217">
        <f t="shared" si="654"/>
        <v>7.4422815753734703E-2</v>
      </c>
      <c r="DB219" s="197">
        <f t="shared" si="655"/>
        <v>350</v>
      </c>
      <c r="DC219" s="443">
        <f t="shared" si="656"/>
        <v>350</v>
      </c>
      <c r="DE219" s="217">
        <f t="shared" si="657"/>
        <v>2.940563086548488</v>
      </c>
      <c r="DF219" s="173">
        <f t="shared" si="658"/>
        <v>1.8769551616266944</v>
      </c>
      <c r="DG219" s="173">
        <f t="shared" si="659"/>
        <v>3.8635135443702762</v>
      </c>
      <c r="DH219" s="173"/>
      <c r="DI219" s="173">
        <f t="shared" si="660"/>
        <v>0.85106382978723416</v>
      </c>
      <c r="DJ219" s="545">
        <f t="shared" si="661"/>
        <v>79.312499999999986</v>
      </c>
      <c r="DK219" s="528">
        <f t="shared" si="662"/>
        <v>0.79432624113475192</v>
      </c>
      <c r="DM219" s="173">
        <f t="shared" si="663"/>
        <v>0.63471028261494467</v>
      </c>
      <c r="DN219" s="173">
        <f t="shared" si="664"/>
        <v>1.3333333333333335</v>
      </c>
      <c r="DO219" s="173">
        <f t="shared" si="665"/>
        <v>1.0453214285714285</v>
      </c>
      <c r="DQ219" s="545">
        <f t="shared" si="666"/>
        <v>180</v>
      </c>
      <c r="DR219" s="460">
        <f t="shared" si="667"/>
        <v>79.312499999999986</v>
      </c>
      <c r="DT219">
        <f t="shared" si="668"/>
        <v>180</v>
      </c>
      <c r="DU219">
        <f t="shared" si="669"/>
        <v>79.312499999999986</v>
      </c>
      <c r="DW219" s="5">
        <f t="shared" si="670"/>
        <v>12.608353033884951</v>
      </c>
      <c r="DX219" s="5">
        <f t="shared" si="671"/>
        <v>0.44444444444444453</v>
      </c>
      <c r="DY219" s="5">
        <f t="shared" si="672"/>
        <v>12.163908589440506</v>
      </c>
      <c r="DZ219" s="5"/>
      <c r="EA219" s="173">
        <f t="shared" si="673"/>
        <v>3.5250000000000004E-2</v>
      </c>
      <c r="EB219" s="173">
        <f t="shared" si="699"/>
        <v>0.84600000000000009</v>
      </c>
      <c r="EC219" s="173">
        <f t="shared" si="700"/>
        <v>2.5726666666666671</v>
      </c>
      <c r="ED219" s="173">
        <f t="shared" si="701"/>
        <v>0.32884166882612076</v>
      </c>
      <c r="EE219" s="460">
        <f t="shared" si="674"/>
        <v>2.0000000000000004</v>
      </c>
      <c r="EF219" s="5">
        <f t="shared" si="675"/>
        <v>0.20273180982400843</v>
      </c>
      <c r="EH219" s="173">
        <f t="shared" si="702"/>
        <v>0.1445298892578587</v>
      </c>
      <c r="EI219" s="173">
        <f t="shared" si="703"/>
        <v>3.0244436280511597</v>
      </c>
      <c r="EK219" s="528">
        <f t="shared" si="704"/>
        <v>2.5484444444444457E-4</v>
      </c>
      <c r="EL219" s="528">
        <f t="shared" si="705"/>
        <v>0.11590199999999998</v>
      </c>
      <c r="EM219" s="528">
        <f t="shared" si="706"/>
        <v>9.9140624999999975E-3</v>
      </c>
      <c r="EN219" s="528">
        <f t="shared" si="707"/>
        <v>2.3817860999999992E-2</v>
      </c>
      <c r="EO219">
        <f t="shared" si="708"/>
        <v>1.6199999999999999E-2</v>
      </c>
      <c r="EP219" s="460">
        <f t="shared" si="709"/>
        <v>26.114062499999996</v>
      </c>
      <c r="EQ219" s="460"/>
      <c r="ER219" s="460">
        <f t="shared" si="710"/>
        <v>166.08876794444441</v>
      </c>
      <c r="ES219" s="528">
        <f t="shared" si="711"/>
        <v>0.126</v>
      </c>
      <c r="EV219" s="460">
        <f t="shared" si="712"/>
        <v>126</v>
      </c>
      <c r="EW219" s="528">
        <f t="shared" si="713"/>
        <v>6.2666666666666697E-4</v>
      </c>
      <c r="EX219" s="528">
        <f t="shared" si="714"/>
        <v>0.27441777777777782</v>
      </c>
      <c r="EY219" s="528">
        <f t="shared" si="715"/>
        <v>5.750041040602301E-3</v>
      </c>
      <c r="EZ219" s="528"/>
      <c r="FA219" s="528">
        <f t="shared" si="716"/>
        <v>3.5249999999999999E-3</v>
      </c>
      <c r="FB219" s="460">
        <f t="shared" si="717"/>
        <v>284.31948548504676</v>
      </c>
      <c r="FC219" s="173">
        <f t="shared" si="718"/>
        <v>0.57640825342949109</v>
      </c>
      <c r="FD219" s="5">
        <f t="shared" si="719"/>
        <v>0.72</v>
      </c>
      <c r="FE219" s="173">
        <f t="shared" si="720"/>
        <v>0.55538060491000973</v>
      </c>
      <c r="FF219" s="5">
        <f t="shared" si="721"/>
        <v>55.538060491000977</v>
      </c>
      <c r="FI219" s="562">
        <f t="shared" si="676"/>
        <v>-50</v>
      </c>
      <c r="FJ219">
        <f t="shared" si="677"/>
        <v>-50</v>
      </c>
      <c r="FL219">
        <f t="shared" si="678"/>
        <v>6.7499999999999991E-2</v>
      </c>
    </row>
    <row r="220" spans="5:168">
      <c r="E220" s="170">
        <v>4</v>
      </c>
      <c r="F220" s="217">
        <f t="shared" si="679"/>
        <v>0.24</v>
      </c>
      <c r="G220" s="217"/>
      <c r="H220" s="217">
        <f t="shared" si="603"/>
        <v>0.96</v>
      </c>
      <c r="I220" s="541">
        <f t="shared" si="604"/>
        <v>35.974046122014123</v>
      </c>
      <c r="J220" s="172">
        <f t="shared" si="605"/>
        <v>19.095209986569245</v>
      </c>
      <c r="K220" s="172">
        <f t="shared" si="606"/>
        <v>55.069256108583367</v>
      </c>
      <c r="L220" s="443"/>
      <c r="M220" s="217">
        <f t="shared" si="607"/>
        <v>0.3470429446705704</v>
      </c>
      <c r="N220" s="172">
        <f t="shared" si="608"/>
        <v>42.17693391006776</v>
      </c>
      <c r="O220" s="172">
        <f t="shared" si="599"/>
        <v>0.96</v>
      </c>
      <c r="P220" s="217">
        <f t="shared" si="609"/>
        <v>10.54423347751694</v>
      </c>
      <c r="Q220" s="217">
        <f t="shared" si="610"/>
        <v>4</v>
      </c>
      <c r="R220" s="217"/>
      <c r="S220" s="172">
        <f t="shared" si="611"/>
        <v>490.65883028532522</v>
      </c>
      <c r="T220" s="172">
        <f t="shared" si="612"/>
        <v>4</v>
      </c>
      <c r="U220" s="217">
        <f t="shared" si="613"/>
        <v>0.18377931445959741</v>
      </c>
      <c r="V220" s="217">
        <f t="shared" si="614"/>
        <v>6.1303968033932559E-2</v>
      </c>
      <c r="W220" s="217">
        <f t="shared" si="615"/>
        <v>0.11549240752347419</v>
      </c>
      <c r="X220" s="197">
        <f t="shared" si="616"/>
        <v>350</v>
      </c>
      <c r="Y220" s="443">
        <f t="shared" si="680"/>
        <v>350</v>
      </c>
      <c r="AA220" s="217">
        <f t="shared" si="617"/>
        <v>2.9699916298813052</v>
      </c>
      <c r="AB220" s="173">
        <f t="shared" si="618"/>
        <v>1.8664314026210367</v>
      </c>
      <c r="AC220" s="173">
        <f t="shared" si="619"/>
        <v>3.8802999504724722</v>
      </c>
      <c r="AD220" s="173"/>
      <c r="AE220" s="173">
        <f t="shared" si="620"/>
        <v>0.83790647032704646</v>
      </c>
      <c r="AF220" s="545">
        <f t="shared" si="621"/>
        <v>107.41055617445197</v>
      </c>
      <c r="AG220" s="528">
        <f t="shared" si="622"/>
        <v>0.78204603897191016</v>
      </c>
      <c r="AI220" s="173">
        <f t="shared" si="623"/>
        <v>0.73863213319465915</v>
      </c>
      <c r="AJ220" s="173">
        <f t="shared" si="624"/>
        <v>1.3333333333333335</v>
      </c>
      <c r="AK220" s="173">
        <f t="shared" si="625"/>
        <v>1.0613774606711155</v>
      </c>
      <c r="AM220" s="545">
        <f t="shared" si="626"/>
        <v>240</v>
      </c>
      <c r="AN220" s="460">
        <f t="shared" si="627"/>
        <v>107.41055617445197</v>
      </c>
      <c r="AP220">
        <f t="shared" si="628"/>
        <v>240</v>
      </c>
      <c r="AQ220">
        <f t="shared" si="629"/>
        <v>107.41055617445197</v>
      </c>
      <c r="AS220" s="5">
        <f t="shared" si="600"/>
        <v>9.310071892522739</v>
      </c>
      <c r="AT220" s="5">
        <f t="shared" si="630"/>
        <v>0.44476509386051211</v>
      </c>
      <c r="AU220" s="5">
        <f t="shared" si="478"/>
        <v>8.8653067986622265</v>
      </c>
      <c r="AV220" s="5"/>
      <c r="AW220" s="173">
        <f t="shared" si="479"/>
        <v>4.777246609853994E-2</v>
      </c>
      <c r="AX220" s="173">
        <f t="shared" si="631"/>
        <v>1.1457125991941546</v>
      </c>
      <c r="AY220" s="173">
        <f t="shared" si="632"/>
        <v>2.5392734237372272</v>
      </c>
      <c r="AZ220" s="173">
        <f t="shared" si="633"/>
        <v>0.45119701899133369</v>
      </c>
      <c r="BA220" s="460">
        <f t="shared" si="594"/>
        <v>2.6685905631630726</v>
      </c>
      <c r="BB220" s="5">
        <f t="shared" si="595"/>
        <v>0.197148950520462</v>
      </c>
      <c r="BD220" s="173">
        <f t="shared" si="681"/>
        <v>0.16825459738109841</v>
      </c>
      <c r="BE220" s="173">
        <f t="shared" si="682"/>
        <v>3.0047508596959376</v>
      </c>
      <c r="BG220" s="528">
        <f t="shared" si="683"/>
        <v>3.4537723638648142E-4</v>
      </c>
      <c r="BH220" s="528">
        <f t="shared" si="634"/>
        <v>0.14787548566840689</v>
      </c>
      <c r="BI220" s="528">
        <f t="shared" si="635"/>
        <v>9.65998075452731E-2</v>
      </c>
      <c r="BJ220" s="528">
        <f t="shared" si="684"/>
        <v>3.2573571969818603E-2</v>
      </c>
      <c r="BK220">
        <f t="shared" si="685"/>
        <v>1.6188320754906355E-2</v>
      </c>
      <c r="BL220" s="460">
        <f t="shared" si="686"/>
        <v>112.78812830017945</v>
      </c>
      <c r="BM220" s="528">
        <f t="shared" si="636"/>
        <v>0.18090253188532099</v>
      </c>
      <c r="BN220" s="460">
        <f t="shared" si="687"/>
        <v>180.902531885321</v>
      </c>
      <c r="BO220" s="528">
        <f t="shared" si="637"/>
        <v>0.16799999999999998</v>
      </c>
      <c r="BR220" s="460">
        <f t="shared" si="688"/>
        <v>167.99999999999997</v>
      </c>
      <c r="BS220" s="528">
        <f t="shared" si="689"/>
        <v>8.4928828619626581E-4</v>
      </c>
      <c r="BT220" s="528">
        <f t="shared" si="690"/>
        <v>0.27085583186530426</v>
      </c>
      <c r="BU220" s="528">
        <f t="shared" si="691"/>
        <v>1.2272534433762337E-2</v>
      </c>
      <c r="BV220" s="528"/>
      <c r="BW220" s="528">
        <f t="shared" si="692"/>
        <v>4.7738024966423103E-3</v>
      </c>
      <c r="BX220" s="460">
        <f t="shared" si="693"/>
        <v>288.75145708190524</v>
      </c>
      <c r="BY220" s="173">
        <f t="shared" si="694"/>
        <v>0.75033402025669649</v>
      </c>
      <c r="BZ220" s="5">
        <f t="shared" si="695"/>
        <v>0.96</v>
      </c>
      <c r="CA220" s="173">
        <f t="shared" si="696"/>
        <v>0.56129386928520419</v>
      </c>
      <c r="CB220" s="5">
        <f t="shared" si="697"/>
        <v>56.129386928520418</v>
      </c>
      <c r="CE220" s="562">
        <f t="shared" si="638"/>
        <v>-50</v>
      </c>
      <c r="CF220">
        <f t="shared" si="639"/>
        <v>-50</v>
      </c>
      <c r="CG220" s="173">
        <f t="shared" si="640"/>
        <v>9.7557675249054579E-2</v>
      </c>
      <c r="CI220" s="170">
        <v>4</v>
      </c>
      <c r="CJ220" s="217">
        <f t="shared" si="698"/>
        <v>0.24</v>
      </c>
      <c r="CK220" s="217"/>
      <c r="CL220" s="217">
        <f t="shared" si="641"/>
        <v>0.96</v>
      </c>
      <c r="CM220" s="541">
        <f t="shared" si="642"/>
        <v>36</v>
      </c>
      <c r="CN220" s="443">
        <f t="shared" si="643"/>
        <v>18.8</v>
      </c>
      <c r="CO220" s="443">
        <f t="shared" si="644"/>
        <v>54.8</v>
      </c>
      <c r="CP220" s="443"/>
      <c r="CQ220" s="217">
        <f t="shared" si="645"/>
        <v>0.34306569343065696</v>
      </c>
      <c r="CR220" s="172">
        <f t="shared" si="646"/>
        <v>41.723649635036502</v>
      </c>
      <c r="CS220" s="172">
        <f t="shared" si="647"/>
        <v>0.96</v>
      </c>
      <c r="CT220" s="217">
        <f t="shared" si="648"/>
        <v>10.430912408759125</v>
      </c>
      <c r="CU220" s="217">
        <f t="shared" si="649"/>
        <v>4</v>
      </c>
      <c r="CV220" s="217"/>
      <c r="CW220" s="172">
        <f t="shared" si="650"/>
        <v>491.01281235681012</v>
      </c>
      <c r="CX220" s="172">
        <f t="shared" si="651"/>
        <v>4</v>
      </c>
      <c r="CY220" s="217">
        <f t="shared" si="652"/>
        <v>0.15546099290780138</v>
      </c>
      <c r="CZ220" s="217">
        <f t="shared" si="653"/>
        <v>5.182033096926713E-2</v>
      </c>
      <c r="DA220" s="217">
        <f t="shared" si="654"/>
        <v>9.9230421004979599E-2</v>
      </c>
      <c r="DB220" s="197">
        <f t="shared" si="655"/>
        <v>350</v>
      </c>
      <c r="DC220" s="443">
        <f t="shared" si="656"/>
        <v>350</v>
      </c>
      <c r="DE220" s="217">
        <f t="shared" si="657"/>
        <v>2.940563086548488</v>
      </c>
      <c r="DF220" s="173">
        <f t="shared" si="658"/>
        <v>1.8769551616266944</v>
      </c>
      <c r="DG220" s="173">
        <f t="shared" si="659"/>
        <v>3.8635135443702762</v>
      </c>
      <c r="DH220" s="173"/>
      <c r="DI220" s="173">
        <f t="shared" si="660"/>
        <v>0.85106382978723416</v>
      </c>
      <c r="DJ220" s="545">
        <f t="shared" si="661"/>
        <v>105.74999999999997</v>
      </c>
      <c r="DK220" s="528">
        <f t="shared" si="662"/>
        <v>0.79432624113475192</v>
      </c>
      <c r="DM220" s="173">
        <f t="shared" si="663"/>
        <v>0.73290030505032344</v>
      </c>
      <c r="DN220" s="173">
        <f t="shared" si="664"/>
        <v>1.3333333333333335</v>
      </c>
      <c r="DO220" s="173">
        <f t="shared" si="665"/>
        <v>1.0604285714285715</v>
      </c>
      <c r="DQ220" s="545">
        <f t="shared" si="666"/>
        <v>240</v>
      </c>
      <c r="DR220" s="460">
        <f t="shared" si="667"/>
        <v>105.74999999999997</v>
      </c>
      <c r="DT220">
        <f t="shared" si="668"/>
        <v>240</v>
      </c>
      <c r="DU220">
        <f t="shared" si="669"/>
        <v>105.74999999999997</v>
      </c>
      <c r="DW220" s="5">
        <f t="shared" si="670"/>
        <v>9.4562647754137146</v>
      </c>
      <c r="DX220" s="5">
        <f t="shared" si="671"/>
        <v>0.44444444444444453</v>
      </c>
      <c r="DY220" s="5">
        <f t="shared" si="672"/>
        <v>9.0118203309692699</v>
      </c>
      <c r="DZ220" s="5"/>
      <c r="EA220" s="173">
        <f t="shared" si="673"/>
        <v>4.6999999999999993E-2</v>
      </c>
      <c r="EB220" s="173">
        <f t="shared" si="699"/>
        <v>1.1279999999999999</v>
      </c>
      <c r="EC220" s="173">
        <f t="shared" si="700"/>
        <v>2.5413333333333337</v>
      </c>
      <c r="ED220" s="173">
        <f t="shared" si="701"/>
        <v>0.44386149003147946</v>
      </c>
      <c r="EE220" s="460">
        <f t="shared" si="674"/>
        <v>2.666666666666667</v>
      </c>
      <c r="EF220" s="5">
        <f t="shared" si="675"/>
        <v>0.20026267402153927</v>
      </c>
      <c r="EH220" s="173">
        <f t="shared" si="702"/>
        <v>0.16688874093794301</v>
      </c>
      <c r="EI220" s="173">
        <f t="shared" si="703"/>
        <v>3.0059693697461145</v>
      </c>
      <c r="EK220" s="528">
        <f t="shared" si="704"/>
        <v>3.3979259259259257E-4</v>
      </c>
      <c r="EL220" s="528">
        <f t="shared" si="705"/>
        <v>0.15453599999999998</v>
      </c>
      <c r="EM220" s="528">
        <f t="shared" si="706"/>
        <v>1.3218749999999996E-2</v>
      </c>
      <c r="EN220" s="528">
        <f t="shared" si="707"/>
        <v>3.1757147999999985E-2</v>
      </c>
      <c r="EO220">
        <f t="shared" si="708"/>
        <v>1.6199999999999999E-2</v>
      </c>
      <c r="EP220" s="460">
        <f t="shared" si="709"/>
        <v>29.418749999999992</v>
      </c>
      <c r="EQ220" s="460"/>
      <c r="ER220" s="460">
        <f t="shared" si="710"/>
        <v>216.05169059259254</v>
      </c>
      <c r="ES220" s="528">
        <f t="shared" si="711"/>
        <v>0.16799999999999998</v>
      </c>
      <c r="EV220" s="460">
        <f t="shared" si="712"/>
        <v>167.99999999999997</v>
      </c>
      <c r="EW220" s="528">
        <f t="shared" si="713"/>
        <v>8.3555555555555553E-4</v>
      </c>
      <c r="EX220" s="528">
        <f t="shared" si="714"/>
        <v>0.27107555555555557</v>
      </c>
      <c r="EY220" s="528">
        <f t="shared" si="715"/>
        <v>1.1803689751620026E-2</v>
      </c>
      <c r="EZ220" s="528"/>
      <c r="FA220" s="528">
        <f t="shared" si="716"/>
        <v>4.7000000000000002E-3</v>
      </c>
      <c r="FB220" s="460">
        <f t="shared" si="717"/>
        <v>288.41480086273111</v>
      </c>
      <c r="FC220" s="173">
        <f t="shared" si="718"/>
        <v>0.67246649145532367</v>
      </c>
      <c r="FD220" s="5">
        <f t="shared" si="719"/>
        <v>0.96</v>
      </c>
      <c r="FE220" s="173">
        <f t="shared" si="720"/>
        <v>0.58806720078166619</v>
      </c>
      <c r="FF220" s="5">
        <f t="shared" si="721"/>
        <v>58.80672007816662</v>
      </c>
      <c r="FI220" s="562">
        <f t="shared" si="676"/>
        <v>-50</v>
      </c>
      <c r="FJ220">
        <f t="shared" si="677"/>
        <v>-50</v>
      </c>
      <c r="FL220">
        <f t="shared" si="678"/>
        <v>8.9999999999999983E-2</v>
      </c>
    </row>
    <row r="221" spans="5:168">
      <c r="E221" s="170">
        <v>5</v>
      </c>
      <c r="F221" s="217">
        <f t="shared" si="679"/>
        <v>0.30000000000000004</v>
      </c>
      <c r="G221" s="217"/>
      <c r="H221" s="217">
        <f t="shared" si="603"/>
        <v>1.2000000000000002</v>
      </c>
      <c r="I221" s="541">
        <f t="shared" si="604"/>
        <v>35.974046122014123</v>
      </c>
      <c r="J221" s="172">
        <f t="shared" si="605"/>
        <v>19.095209986569245</v>
      </c>
      <c r="K221" s="172">
        <f t="shared" si="606"/>
        <v>55.069256108583367</v>
      </c>
      <c r="L221" s="443"/>
      <c r="M221" s="217">
        <f t="shared" si="607"/>
        <v>0.3470429446705704</v>
      </c>
      <c r="N221" s="172">
        <f t="shared" si="608"/>
        <v>42.17693391006776</v>
      </c>
      <c r="O221" s="172">
        <f t="shared" si="599"/>
        <v>1.2000000000000002</v>
      </c>
      <c r="P221" s="217">
        <f t="shared" si="609"/>
        <v>10.54423347751694</v>
      </c>
      <c r="Q221" s="217">
        <f t="shared" si="610"/>
        <v>4</v>
      </c>
      <c r="R221" s="217"/>
      <c r="S221" s="172">
        <f t="shared" si="611"/>
        <v>390.73419510340864</v>
      </c>
      <c r="T221" s="172">
        <f t="shared" si="612"/>
        <v>4</v>
      </c>
      <c r="U221" s="217">
        <f t="shared" si="613"/>
        <v>0.22972414307449684</v>
      </c>
      <c r="V221" s="217">
        <f t="shared" si="614"/>
        <v>7.6629960042415707E-2</v>
      </c>
      <c r="W221" s="217">
        <f t="shared" si="615"/>
        <v>0.14436550940434278</v>
      </c>
      <c r="X221" s="197">
        <f t="shared" si="616"/>
        <v>350</v>
      </c>
      <c r="Y221" s="443">
        <f t="shared" si="680"/>
        <v>350</v>
      </c>
      <c r="AA221" s="217">
        <f t="shared" si="617"/>
        <v>2.9699916298813052</v>
      </c>
      <c r="AB221" s="173">
        <f t="shared" si="618"/>
        <v>1.8664314026210367</v>
      </c>
      <c r="AC221" s="173">
        <f t="shared" si="619"/>
        <v>3.8802999504724722</v>
      </c>
      <c r="AD221" s="173"/>
      <c r="AE221" s="173">
        <f t="shared" si="620"/>
        <v>0.83790647032704646</v>
      </c>
      <c r="AF221" s="545">
        <f t="shared" si="621"/>
        <v>134.26319521806496</v>
      </c>
      <c r="AG221" s="528">
        <f t="shared" si="622"/>
        <v>0.78204603897191016</v>
      </c>
      <c r="AI221" s="173">
        <f t="shared" si="623"/>
        <v>0.82581583009446846</v>
      </c>
      <c r="AJ221" s="173">
        <f t="shared" si="624"/>
        <v>1.3333333333333335</v>
      </c>
      <c r="AK221" s="173">
        <f t="shared" si="625"/>
        <v>1.0767218258388942</v>
      </c>
      <c r="AM221" s="545">
        <f t="shared" si="626"/>
        <v>300.00000000000006</v>
      </c>
      <c r="AN221" s="460">
        <f t="shared" si="627"/>
        <v>134.26319521806496</v>
      </c>
      <c r="AP221">
        <f t="shared" si="628"/>
        <v>300.00000000000006</v>
      </c>
      <c r="AQ221">
        <f t="shared" si="629"/>
        <v>134.26319521806496</v>
      </c>
      <c r="AS221" s="5">
        <f t="shared" si="600"/>
        <v>7.448057514018191</v>
      </c>
      <c r="AT221" s="5">
        <f t="shared" si="630"/>
        <v>0.44476509386051211</v>
      </c>
      <c r="AU221" s="5">
        <f t="shared" si="478"/>
        <v>7.0032924201576794</v>
      </c>
      <c r="AV221" s="5"/>
      <c r="AW221" s="173">
        <f t="shared" si="479"/>
        <v>5.9715582623174925E-2</v>
      </c>
      <c r="AX221" s="173">
        <f t="shared" si="631"/>
        <v>1.4321407489926934</v>
      </c>
      <c r="AY221" s="173">
        <f t="shared" si="632"/>
        <v>2.5074251130048673</v>
      </c>
      <c r="AZ221" s="173">
        <f t="shared" si="633"/>
        <v>0.57115992879102728</v>
      </c>
      <c r="BA221" s="460">
        <f t="shared" si="594"/>
        <v>3.335738203953841</v>
      </c>
      <c r="BB221" s="5">
        <f t="shared" si="595"/>
        <v>0.19467625066150265</v>
      </c>
      <c r="BD221" s="173">
        <f t="shared" si="681"/>
        <v>0.18811435863549705</v>
      </c>
      <c r="BE221" s="173">
        <f t="shared" si="682"/>
        <v>2.9858481693957537</v>
      </c>
      <c r="BG221" s="528">
        <f t="shared" si="683"/>
        <v>4.317215454831017E-4</v>
      </c>
      <c r="BH221" s="528">
        <f t="shared" si="634"/>
        <v>0.18484435708550864</v>
      </c>
      <c r="BI221" s="528">
        <f t="shared" si="635"/>
        <v>0.12074975943159136</v>
      </c>
      <c r="BJ221" s="528">
        <f t="shared" si="684"/>
        <v>4.0716964962273249E-2</v>
      </c>
      <c r="BK221">
        <f t="shared" si="685"/>
        <v>1.6188320754906355E-2</v>
      </c>
      <c r="BL221" s="460">
        <f t="shared" si="686"/>
        <v>136.93808018649773</v>
      </c>
      <c r="BM221" s="528">
        <f t="shared" si="636"/>
        <v>0.22613280444409287</v>
      </c>
      <c r="BN221" s="460">
        <f t="shared" si="687"/>
        <v>226.13280444409287</v>
      </c>
      <c r="BO221" s="528">
        <f t="shared" si="637"/>
        <v>0.21000000000000002</v>
      </c>
      <c r="BR221" s="460">
        <f t="shared" si="688"/>
        <v>210.00000000000003</v>
      </c>
      <c r="BS221" s="528">
        <f t="shared" si="689"/>
        <v>1.0616103577453322E-3</v>
      </c>
      <c r="BT221" s="528">
        <f t="shared" si="690"/>
        <v>0.26745867872051921</v>
      </c>
      <c r="BU221" s="528">
        <f t="shared" si="691"/>
        <v>2.1439235351640204E-2</v>
      </c>
      <c r="BV221" s="528"/>
      <c r="BW221" s="528">
        <f t="shared" si="692"/>
        <v>5.967253120802889E-3</v>
      </c>
      <c r="BX221" s="460">
        <f t="shared" si="693"/>
        <v>295.92677755070764</v>
      </c>
      <c r="BY221" s="173">
        <f t="shared" si="694"/>
        <v>0.86885790133047036</v>
      </c>
      <c r="BZ221" s="5">
        <f t="shared" si="695"/>
        <v>1.2000000000000002</v>
      </c>
      <c r="CA221" s="173">
        <f t="shared" si="696"/>
        <v>0.58003016989629252</v>
      </c>
      <c r="CB221" s="5">
        <f t="shared" si="697"/>
        <v>58.003016989629252</v>
      </c>
      <c r="CE221" s="562">
        <f t="shared" si="638"/>
        <v>-50</v>
      </c>
      <c r="CF221">
        <f t="shared" si="639"/>
        <v>-50</v>
      </c>
      <c r="CG221" s="173">
        <f t="shared" si="640"/>
        <v>0.12194709406131825</v>
      </c>
      <c r="CI221" s="170">
        <v>5</v>
      </c>
      <c r="CJ221" s="217">
        <f t="shared" si="698"/>
        <v>0.30000000000000004</v>
      </c>
      <c r="CK221" s="217"/>
      <c r="CL221" s="217">
        <f t="shared" si="641"/>
        <v>1.2000000000000002</v>
      </c>
      <c r="CM221" s="541">
        <f t="shared" si="642"/>
        <v>36</v>
      </c>
      <c r="CN221" s="443">
        <f t="shared" si="643"/>
        <v>18.8</v>
      </c>
      <c r="CO221" s="443">
        <f t="shared" si="644"/>
        <v>54.8</v>
      </c>
      <c r="CP221" s="443"/>
      <c r="CQ221" s="217">
        <f t="shared" si="645"/>
        <v>0.34306569343065696</v>
      </c>
      <c r="CR221" s="172">
        <f t="shared" si="646"/>
        <v>41.723649635036502</v>
      </c>
      <c r="CS221" s="172">
        <f t="shared" si="647"/>
        <v>1.2000000000000002</v>
      </c>
      <c r="CT221" s="217">
        <f t="shared" si="648"/>
        <v>10.430912408759125</v>
      </c>
      <c r="CU221" s="217">
        <f t="shared" si="649"/>
        <v>4</v>
      </c>
      <c r="CV221" s="217"/>
      <c r="CW221" s="172">
        <f t="shared" si="650"/>
        <v>391.01608307718817</v>
      </c>
      <c r="CX221" s="172">
        <f t="shared" si="651"/>
        <v>4</v>
      </c>
      <c r="CY221" s="217">
        <f t="shared" si="652"/>
        <v>0.19432624113475178</v>
      </c>
      <c r="CZ221" s="217">
        <f t="shared" si="653"/>
        <v>6.4775413711583921E-2</v>
      </c>
      <c r="DA221" s="217">
        <f t="shared" si="654"/>
        <v>0.12403802625622454</v>
      </c>
      <c r="DB221" s="197">
        <f t="shared" si="655"/>
        <v>350</v>
      </c>
      <c r="DC221" s="443">
        <f t="shared" si="656"/>
        <v>350</v>
      </c>
      <c r="DE221" s="217">
        <f t="shared" si="657"/>
        <v>2.940563086548488</v>
      </c>
      <c r="DF221" s="173">
        <f t="shared" si="658"/>
        <v>1.8769551616266944</v>
      </c>
      <c r="DG221" s="173">
        <f t="shared" si="659"/>
        <v>3.8635135443702762</v>
      </c>
      <c r="DH221" s="173"/>
      <c r="DI221" s="173">
        <f t="shared" si="660"/>
        <v>0.85106382978723416</v>
      </c>
      <c r="DJ221" s="545">
        <f t="shared" si="661"/>
        <v>132.1875</v>
      </c>
      <c r="DK221" s="528">
        <f t="shared" si="662"/>
        <v>0.79432624113475192</v>
      </c>
      <c r="DM221" s="173">
        <f t="shared" si="663"/>
        <v>0.8194074514114279</v>
      </c>
      <c r="DN221" s="173">
        <f t="shared" si="664"/>
        <v>1.3333333333333335</v>
      </c>
      <c r="DO221" s="173">
        <f t="shared" si="665"/>
        <v>1.0755357142857143</v>
      </c>
      <c r="DQ221" s="545">
        <f t="shared" si="666"/>
        <v>300.00000000000006</v>
      </c>
      <c r="DR221" s="460">
        <f t="shared" si="667"/>
        <v>132.1875</v>
      </c>
      <c r="DT221">
        <f t="shared" si="668"/>
        <v>300.00000000000006</v>
      </c>
      <c r="DU221">
        <f t="shared" si="669"/>
        <v>132.1875</v>
      </c>
      <c r="DW221" s="5">
        <f t="shared" si="670"/>
        <v>7.5650118203309686</v>
      </c>
      <c r="DX221" s="5">
        <f t="shared" si="671"/>
        <v>0.44444444444444453</v>
      </c>
      <c r="DY221" s="5">
        <f t="shared" si="672"/>
        <v>7.120567375886524</v>
      </c>
      <c r="DZ221" s="5"/>
      <c r="EA221" s="173">
        <f t="shared" si="673"/>
        <v>5.8750000000000017E-2</v>
      </c>
      <c r="EB221" s="173">
        <f t="shared" si="699"/>
        <v>1.4100000000000001</v>
      </c>
      <c r="EC221" s="173">
        <f t="shared" si="700"/>
        <v>2.5100000000000002</v>
      </c>
      <c r="ED221" s="173">
        <f t="shared" si="701"/>
        <v>0.56175298804780882</v>
      </c>
      <c r="EE221" s="460">
        <f t="shared" si="674"/>
        <v>3.3333333333333348</v>
      </c>
      <c r="EF221" s="5">
        <f t="shared" si="675"/>
        <v>0.19779353821907011</v>
      </c>
      <c r="EH221" s="173">
        <f t="shared" si="702"/>
        <v>0.1865872847082963</v>
      </c>
      <c r="EI221" s="173">
        <f t="shared" si="703"/>
        <v>2.9873808669877446</v>
      </c>
      <c r="EK221" s="528">
        <f t="shared" si="704"/>
        <v>4.2474074074074083E-4</v>
      </c>
      <c r="EL221" s="528">
        <f t="shared" si="705"/>
        <v>0.19317000000000004</v>
      </c>
      <c r="EM221" s="528">
        <f t="shared" si="706"/>
        <v>1.6523437499999998E-2</v>
      </c>
      <c r="EN221" s="528">
        <f t="shared" si="707"/>
        <v>3.9696434999999995E-2</v>
      </c>
      <c r="EO221">
        <f t="shared" si="708"/>
        <v>1.6199999999999999E-2</v>
      </c>
      <c r="EP221" s="460">
        <f t="shared" si="709"/>
        <v>32.723437499999996</v>
      </c>
      <c r="EQ221" s="460"/>
      <c r="ER221" s="460">
        <f t="shared" si="710"/>
        <v>266.01461324074074</v>
      </c>
      <c r="ES221" s="528">
        <f t="shared" si="711"/>
        <v>0.21000000000000002</v>
      </c>
      <c r="EV221" s="460">
        <f t="shared" si="712"/>
        <v>210.00000000000003</v>
      </c>
      <c r="EW221" s="528">
        <f t="shared" si="713"/>
        <v>1.0444444444444448E-3</v>
      </c>
      <c r="EX221" s="528">
        <f t="shared" si="714"/>
        <v>0.26773333333333343</v>
      </c>
      <c r="EY221" s="528">
        <f t="shared" si="715"/>
        <v>2.0620197398390674E-2</v>
      </c>
      <c r="EZ221" s="528"/>
      <c r="FA221" s="528">
        <f t="shared" si="716"/>
        <v>5.8750000000000017E-3</v>
      </c>
      <c r="FB221" s="460">
        <f t="shared" si="717"/>
        <v>295.27297517616859</v>
      </c>
      <c r="FC221" s="173">
        <f t="shared" si="718"/>
        <v>0.77128758841690936</v>
      </c>
      <c r="FD221" s="5">
        <f t="shared" si="719"/>
        <v>1.2000000000000002</v>
      </c>
      <c r="FE221" s="173">
        <f t="shared" si="720"/>
        <v>0.60873918501343038</v>
      </c>
      <c r="FF221" s="5">
        <f t="shared" si="721"/>
        <v>60.873918501343041</v>
      </c>
      <c r="FI221" s="562">
        <f t="shared" si="676"/>
        <v>-50</v>
      </c>
      <c r="FJ221">
        <f t="shared" si="677"/>
        <v>-50</v>
      </c>
      <c r="FL221">
        <f t="shared" si="678"/>
        <v>0.1125</v>
      </c>
    </row>
    <row r="222" spans="5:168">
      <c r="E222" s="170">
        <v>6</v>
      </c>
      <c r="F222" s="217">
        <f t="shared" si="679"/>
        <v>0.36</v>
      </c>
      <c r="G222" s="217"/>
      <c r="H222" s="217">
        <f t="shared" si="603"/>
        <v>1.44</v>
      </c>
      <c r="I222" s="541">
        <f t="shared" si="604"/>
        <v>35.974046122014123</v>
      </c>
      <c r="J222" s="172">
        <f t="shared" si="605"/>
        <v>19.095209986569245</v>
      </c>
      <c r="K222" s="172">
        <f t="shared" si="606"/>
        <v>55.069256108583367</v>
      </c>
      <c r="L222" s="443"/>
      <c r="M222" s="217">
        <f t="shared" si="607"/>
        <v>0.3470429446705704</v>
      </c>
      <c r="N222" s="172">
        <f t="shared" si="608"/>
        <v>42.17693391006776</v>
      </c>
      <c r="O222" s="172">
        <f t="shared" si="599"/>
        <v>1.44</v>
      </c>
      <c r="P222" s="217">
        <f t="shared" si="609"/>
        <v>10.54423347751694</v>
      </c>
      <c r="Q222" s="217">
        <f t="shared" si="610"/>
        <v>4</v>
      </c>
      <c r="R222" s="217"/>
      <c r="S222" s="172">
        <f t="shared" si="611"/>
        <v>324.11888955855278</v>
      </c>
      <c r="T222" s="172">
        <f t="shared" si="612"/>
        <v>4</v>
      </c>
      <c r="U222" s="217">
        <f t="shared" si="613"/>
        <v>0.27566897168939614</v>
      </c>
      <c r="V222" s="217">
        <f t="shared" si="614"/>
        <v>9.1955952050898834E-2</v>
      </c>
      <c r="W222" s="217">
        <f t="shared" si="615"/>
        <v>0.17323861128521126</v>
      </c>
      <c r="X222" s="197">
        <f t="shared" si="616"/>
        <v>350</v>
      </c>
      <c r="Y222" s="443">
        <f t="shared" si="680"/>
        <v>350</v>
      </c>
      <c r="AA222" s="217">
        <f t="shared" si="617"/>
        <v>2.9699916298813052</v>
      </c>
      <c r="AB222" s="173">
        <f t="shared" si="618"/>
        <v>1.8664314026210367</v>
      </c>
      <c r="AC222" s="173">
        <f t="shared" si="619"/>
        <v>3.8802999504724722</v>
      </c>
      <c r="AD222" s="173"/>
      <c r="AE222" s="173">
        <f t="shared" si="620"/>
        <v>0.83790647032704646</v>
      </c>
      <c r="AF222" s="545">
        <f t="shared" si="621"/>
        <v>161.11583426167792</v>
      </c>
      <c r="AG222" s="528">
        <f t="shared" si="622"/>
        <v>0.78204603897191016</v>
      </c>
      <c r="AI222" s="173">
        <f t="shared" si="623"/>
        <v>0.90463591697518786</v>
      </c>
      <c r="AJ222" s="173">
        <f t="shared" si="624"/>
        <v>1.3333333333333335</v>
      </c>
      <c r="AK222" s="173">
        <f t="shared" si="625"/>
        <v>1.0920661910066731</v>
      </c>
      <c r="AM222" s="545">
        <f t="shared" si="626"/>
        <v>360</v>
      </c>
      <c r="AN222" s="460">
        <f>IF(F222&gt;AG222, Y222, AF222)</f>
        <v>161.11583426167792</v>
      </c>
      <c r="AP222">
        <f t="shared" si="628"/>
        <v>360</v>
      </c>
      <c r="AQ222">
        <f t="shared" si="629"/>
        <v>161.11583426167792</v>
      </c>
      <c r="AS222" s="5">
        <f t="shared" si="600"/>
        <v>6.2067145950151605</v>
      </c>
      <c r="AT222" s="5">
        <f t="shared" si="630"/>
        <v>0.44476509386051211</v>
      </c>
      <c r="AU222" s="5">
        <f t="shared" si="478"/>
        <v>5.761949501154648</v>
      </c>
      <c r="AV222" s="5"/>
      <c r="AW222" s="173">
        <f t="shared" si="479"/>
        <v>7.1658699147809896E-2</v>
      </c>
      <c r="AX222" s="173">
        <f t="shared" si="631"/>
        <v>1.7185688987912315</v>
      </c>
      <c r="AY222" s="173">
        <f t="shared" si="632"/>
        <v>2.4755768022725073</v>
      </c>
      <c r="AZ222" s="173">
        <f t="shared" si="633"/>
        <v>0.69420948573020858</v>
      </c>
      <c r="BA222" s="460">
        <f t="shared" si="594"/>
        <v>4.0028858447446085</v>
      </c>
      <c r="BB222" s="5">
        <f t="shared" si="595"/>
        <v>0.19220355080254328</v>
      </c>
      <c r="BD222" s="173">
        <f t="shared" si="681"/>
        <v>0.20606895523055693</v>
      </c>
      <c r="BE222" s="173">
        <f t="shared" si="682"/>
        <v>2.9668250458233074</v>
      </c>
      <c r="BG222" s="528">
        <f t="shared" si="683"/>
        <v>5.1806585457972194E-4</v>
      </c>
      <c r="BH222" s="528">
        <f t="shared" si="634"/>
        <v>0.22181322850261029</v>
      </c>
      <c r="BI222" s="528">
        <f t="shared" si="635"/>
        <v>0.1448997113179096</v>
      </c>
      <c r="BJ222" s="528">
        <f t="shared" si="684"/>
        <v>4.8860357954727887E-2</v>
      </c>
      <c r="BK222">
        <f t="shared" si="685"/>
        <v>1.6188320754906355E-2</v>
      </c>
      <c r="BL222" s="460">
        <f t="shared" si="686"/>
        <v>161.08803207281596</v>
      </c>
      <c r="BM222" s="528">
        <f t="shared" si="636"/>
        <v>0.2713649330663086</v>
      </c>
      <c r="BN222" s="460">
        <f t="shared" si="687"/>
        <v>271.36493306630859</v>
      </c>
      <c r="BO222" s="528">
        <f t="shared" si="637"/>
        <v>0.252</v>
      </c>
      <c r="BR222" s="460">
        <f t="shared" si="688"/>
        <v>252</v>
      </c>
      <c r="BS222" s="528">
        <f t="shared" si="689"/>
        <v>1.2739324292943984E-3</v>
      </c>
      <c r="BT222" s="528">
        <f t="shared" si="690"/>
        <v>0.26406152557573409</v>
      </c>
      <c r="BU222" s="528">
        <f t="shared" si="691"/>
        <v>3.3819128115135925E-2</v>
      </c>
      <c r="BV222" s="528"/>
      <c r="BW222" s="528">
        <f t="shared" si="692"/>
        <v>7.1607037449634642E-3</v>
      </c>
      <c r="BX222" s="460">
        <f t="shared" si="693"/>
        <v>306.31528986512791</v>
      </c>
      <c r="BY222" s="173">
        <f t="shared" si="694"/>
        <v>0.99059497424986165</v>
      </c>
      <c r="BZ222" s="5">
        <f t="shared" si="695"/>
        <v>1.44</v>
      </c>
      <c r="CA222" s="173">
        <f t="shared" si="696"/>
        <v>0.59244753455660282</v>
      </c>
      <c r="CB222" s="5">
        <f t="shared" si="697"/>
        <v>59.24475345566028</v>
      </c>
      <c r="CE222" s="562">
        <f t="shared" si="638"/>
        <v>-50</v>
      </c>
      <c r="CF222">
        <f t="shared" si="639"/>
        <v>-50</v>
      </c>
      <c r="CG222" s="173">
        <f t="shared" si="640"/>
        <v>0.14633651287358188</v>
      </c>
      <c r="CI222" s="170">
        <v>6</v>
      </c>
      <c r="CJ222" s="217">
        <f t="shared" si="698"/>
        <v>0.36</v>
      </c>
      <c r="CK222" s="217"/>
      <c r="CL222" s="217">
        <f t="shared" si="641"/>
        <v>1.44</v>
      </c>
      <c r="CM222" s="541">
        <f t="shared" si="642"/>
        <v>36</v>
      </c>
      <c r="CN222" s="443">
        <f t="shared" si="643"/>
        <v>18.8</v>
      </c>
      <c r="CO222" s="443">
        <f t="shared" si="644"/>
        <v>54.8</v>
      </c>
      <c r="CP222" s="443"/>
      <c r="CQ222" s="217">
        <f t="shared" si="645"/>
        <v>0.34306569343065696</v>
      </c>
      <c r="CR222" s="172">
        <f t="shared" si="646"/>
        <v>41.723649635036502</v>
      </c>
      <c r="CS222" s="172">
        <f t="shared" si="647"/>
        <v>1.44</v>
      </c>
      <c r="CT222" s="217">
        <f t="shared" si="648"/>
        <v>10.430912408759125</v>
      </c>
      <c r="CU222" s="217">
        <f t="shared" si="649"/>
        <v>4</v>
      </c>
      <c r="CV222" s="217"/>
      <c r="CW222" s="172">
        <f t="shared" si="650"/>
        <v>324.35271480505486</v>
      </c>
      <c r="CX222" s="172">
        <f t="shared" si="651"/>
        <v>4</v>
      </c>
      <c r="CY222" s="217">
        <f t="shared" si="652"/>
        <v>0.23319148936170209</v>
      </c>
      <c r="CZ222" s="217">
        <f t="shared" si="653"/>
        <v>7.7730496453900691E-2</v>
      </c>
      <c r="DA222" s="217">
        <f t="shared" si="654"/>
        <v>0.14884563150746941</v>
      </c>
      <c r="DB222" s="197">
        <f t="shared" si="655"/>
        <v>350</v>
      </c>
      <c r="DC222" s="443">
        <f t="shared" si="656"/>
        <v>350</v>
      </c>
      <c r="DE222" s="217">
        <f t="shared" si="657"/>
        <v>2.940563086548488</v>
      </c>
      <c r="DF222" s="173">
        <f t="shared" si="658"/>
        <v>1.8769551616266944</v>
      </c>
      <c r="DG222" s="173">
        <f t="shared" si="659"/>
        <v>3.8635135443702762</v>
      </c>
      <c r="DH222" s="173"/>
      <c r="DI222" s="173">
        <f t="shared" si="660"/>
        <v>0.85106382978723416</v>
      </c>
      <c r="DJ222" s="545">
        <f t="shared" si="661"/>
        <v>158.62499999999997</v>
      </c>
      <c r="DK222" s="528">
        <f t="shared" si="662"/>
        <v>0.79432624113475192</v>
      </c>
      <c r="DM222" s="173">
        <f t="shared" si="663"/>
        <v>0.89761588985171481</v>
      </c>
      <c r="DN222" s="173">
        <f t="shared" si="664"/>
        <v>1.3333333333333335</v>
      </c>
      <c r="DO222" s="173">
        <f t="shared" si="665"/>
        <v>1.090642857142857</v>
      </c>
      <c r="DQ222" s="545">
        <f t="shared" si="666"/>
        <v>360</v>
      </c>
      <c r="DR222" s="460">
        <f t="shared" si="667"/>
        <v>158.62499999999997</v>
      </c>
      <c r="DT222">
        <f t="shared" si="668"/>
        <v>360</v>
      </c>
      <c r="DU222">
        <f t="shared" si="669"/>
        <v>158.62499999999997</v>
      </c>
      <c r="DW222" s="5">
        <f t="shared" si="670"/>
        <v>6.3041765169424755</v>
      </c>
      <c r="DX222" s="5">
        <f t="shared" si="671"/>
        <v>0.44444444444444453</v>
      </c>
      <c r="DY222" s="5">
        <f t="shared" si="672"/>
        <v>5.8597320724980309</v>
      </c>
      <c r="DZ222" s="5"/>
      <c r="EA222" s="173">
        <f t="shared" si="673"/>
        <v>7.0500000000000007E-2</v>
      </c>
      <c r="EB222" s="173">
        <f t="shared" si="699"/>
        <v>1.6920000000000002</v>
      </c>
      <c r="EC222" s="173">
        <f t="shared" si="700"/>
        <v>2.4786666666666668</v>
      </c>
      <c r="ED222" s="173">
        <f t="shared" si="701"/>
        <v>0.68262506724045191</v>
      </c>
      <c r="EE222" s="460">
        <f t="shared" si="674"/>
        <v>4.0000000000000009</v>
      </c>
      <c r="EF222" s="5">
        <f t="shared" si="675"/>
        <v>0.19532440241660098</v>
      </c>
      <c r="EH222" s="173">
        <f t="shared" si="702"/>
        <v>0.20439612955674527</v>
      </c>
      <c r="EI222" s="173">
        <f t="shared" si="703"/>
        <v>2.9686759737359414</v>
      </c>
      <c r="EK222" s="528">
        <f t="shared" si="704"/>
        <v>5.0968888888888904E-4</v>
      </c>
      <c r="EL222" s="528">
        <f t="shared" si="705"/>
        <v>0.23180399999999995</v>
      </c>
      <c r="EM222" s="528">
        <f t="shared" si="706"/>
        <v>1.9828124999999995E-2</v>
      </c>
      <c r="EN222" s="528">
        <f t="shared" si="707"/>
        <v>4.7635721999999985E-2</v>
      </c>
      <c r="EO222">
        <f t="shared" si="708"/>
        <v>1.6199999999999999E-2</v>
      </c>
      <c r="EP222" s="460">
        <f t="shared" si="709"/>
        <v>36.028124999999996</v>
      </c>
      <c r="EQ222" s="460"/>
      <c r="ER222" s="460">
        <f t="shared" si="710"/>
        <v>315.97753588888884</v>
      </c>
      <c r="ES222" s="528">
        <f t="shared" si="711"/>
        <v>0.252</v>
      </c>
      <c r="EV222" s="460">
        <f t="shared" si="712"/>
        <v>252</v>
      </c>
      <c r="EW222" s="528">
        <f t="shared" si="713"/>
        <v>1.2533333333333337E-3</v>
      </c>
      <c r="EX222" s="528">
        <f t="shared" si="714"/>
        <v>0.26439111111111119</v>
      </c>
      <c r="EY222" s="528">
        <f t="shared" si="715"/>
        <v>3.2527144095286696E-2</v>
      </c>
      <c r="EZ222" s="528"/>
      <c r="FA222" s="528">
        <f t="shared" si="716"/>
        <v>7.0499999999999998E-3</v>
      </c>
      <c r="FB222" s="460">
        <f t="shared" si="717"/>
        <v>305.22158853973121</v>
      </c>
      <c r="FC222" s="173">
        <f t="shared" si="718"/>
        <v>0.87319912442862002</v>
      </c>
      <c r="FD222" s="5">
        <f t="shared" si="719"/>
        <v>1.44</v>
      </c>
      <c r="FE222" s="173">
        <f t="shared" si="720"/>
        <v>0.62251450158044319</v>
      </c>
      <c r="FF222" s="5">
        <f t="shared" si="721"/>
        <v>62.251450158044321</v>
      </c>
      <c r="FI222" s="562">
        <f t="shared" si="676"/>
        <v>-50</v>
      </c>
      <c r="FJ222">
        <f t="shared" si="677"/>
        <v>-50</v>
      </c>
      <c r="FL222">
        <f t="shared" si="678"/>
        <v>0.13499999999999998</v>
      </c>
    </row>
    <row r="223" spans="5:168">
      <c r="E223" s="170">
        <v>7</v>
      </c>
      <c r="F223" s="217">
        <f t="shared" si="679"/>
        <v>0.42000000000000004</v>
      </c>
      <c r="G223" s="217"/>
      <c r="H223" s="217">
        <f t="shared" si="603"/>
        <v>1.6800000000000002</v>
      </c>
      <c r="I223" s="541">
        <f t="shared" si="604"/>
        <v>35.974046122014123</v>
      </c>
      <c r="J223" s="172">
        <f t="shared" si="605"/>
        <v>19.095209986569245</v>
      </c>
      <c r="K223" s="172">
        <f t="shared" si="606"/>
        <v>55.069256108583367</v>
      </c>
      <c r="L223" s="443"/>
      <c r="M223" s="217">
        <f t="shared" si="607"/>
        <v>0.3470429446705704</v>
      </c>
      <c r="N223" s="172">
        <f t="shared" si="608"/>
        <v>42.17693391006776</v>
      </c>
      <c r="O223" s="172">
        <f t="shared" si="599"/>
        <v>1.6800000000000002</v>
      </c>
      <c r="P223" s="217">
        <f t="shared" si="609"/>
        <v>10.54423347751694</v>
      </c>
      <c r="Q223" s="217">
        <f t="shared" si="610"/>
        <v>4</v>
      </c>
      <c r="R223" s="217"/>
      <c r="S223" s="172">
        <f t="shared" si="611"/>
        <v>276.53749884101751</v>
      </c>
      <c r="T223" s="172">
        <f t="shared" si="612"/>
        <v>4</v>
      </c>
      <c r="U223" s="217">
        <f t="shared" si="613"/>
        <v>0.32161380030429554</v>
      </c>
      <c r="V223" s="217">
        <f t="shared" si="614"/>
        <v>0.10728194405938199</v>
      </c>
      <c r="W223" s="217">
        <f t="shared" si="615"/>
        <v>0.20211171316607987</v>
      </c>
      <c r="X223" s="197">
        <f t="shared" si="616"/>
        <v>350</v>
      </c>
      <c r="Y223" s="443">
        <f t="shared" si="680"/>
        <v>350</v>
      </c>
      <c r="AA223" s="217">
        <f t="shared" si="617"/>
        <v>2.9699916298813052</v>
      </c>
      <c r="AB223" s="173">
        <f t="shared" si="618"/>
        <v>1.8664314026210367</v>
      </c>
      <c r="AC223" s="173">
        <f t="shared" si="619"/>
        <v>3.8802999504724722</v>
      </c>
      <c r="AD223" s="173"/>
      <c r="AE223" s="173">
        <f t="shared" si="620"/>
        <v>0.83790647032704646</v>
      </c>
      <c r="AF223" s="545">
        <f t="shared" si="621"/>
        <v>187.96847330529096</v>
      </c>
      <c r="AG223" s="528">
        <f t="shared" si="622"/>
        <v>0.78204603897191016</v>
      </c>
      <c r="AI223" s="173">
        <f t="shared" si="623"/>
        <v>0.97711846739710251</v>
      </c>
      <c r="AJ223" s="173">
        <f t="shared" si="624"/>
        <v>1.3333333333333335</v>
      </c>
      <c r="AK223" s="173">
        <f t="shared" si="625"/>
        <v>1.1074105561744521</v>
      </c>
      <c r="AM223" s="545">
        <f t="shared" si="626"/>
        <v>420.00000000000006</v>
      </c>
      <c r="AN223" s="460">
        <f t="shared" si="627"/>
        <v>187.96847330529096</v>
      </c>
      <c r="AP223">
        <f t="shared" si="628"/>
        <v>420.00000000000006</v>
      </c>
      <c r="AQ223">
        <f t="shared" si="629"/>
        <v>187.96847330529096</v>
      </c>
      <c r="AS223" s="5">
        <f t="shared" si="600"/>
        <v>5.3200410814415644</v>
      </c>
      <c r="AT223" s="5">
        <f t="shared" si="630"/>
        <v>0.44476509386051211</v>
      </c>
      <c r="AU223" s="5">
        <f t="shared" si="478"/>
        <v>4.8752759875810519</v>
      </c>
      <c r="AV223" s="5"/>
      <c r="AW223" s="173">
        <f t="shared" si="479"/>
        <v>8.3601815672444901E-2</v>
      </c>
      <c r="AX223" s="173">
        <f t="shared" si="631"/>
        <v>2.0049970485897708</v>
      </c>
      <c r="AY223" s="173">
        <f t="shared" si="632"/>
        <v>2.4437284915401469</v>
      </c>
      <c r="AZ223" s="173">
        <f t="shared" si="633"/>
        <v>0.82046637158374824</v>
      </c>
      <c r="BA223" s="460">
        <f t="shared" si="594"/>
        <v>4.6700334855353782</v>
      </c>
      <c r="BB223" s="5">
        <f t="shared" si="595"/>
        <v>0.18973085094358386</v>
      </c>
      <c r="BD223" s="173">
        <f t="shared" si="681"/>
        <v>0.22257991080684297</v>
      </c>
      <c r="BE223" s="173">
        <f t="shared" si="682"/>
        <v>2.947679157297308</v>
      </c>
      <c r="BG223" s="528">
        <f t="shared" si="683"/>
        <v>6.0441016367634244E-4</v>
      </c>
      <c r="BH223" s="528">
        <f t="shared" si="634"/>
        <v>0.25878209991971207</v>
      </c>
      <c r="BI223" s="528">
        <f t="shared" si="635"/>
        <v>0.16904966320422793</v>
      </c>
      <c r="BJ223" s="528">
        <f t="shared" si="684"/>
        <v>5.7003750947182553E-2</v>
      </c>
      <c r="BK223">
        <f t="shared" si="685"/>
        <v>1.6188320754906355E-2</v>
      </c>
      <c r="BL223" s="460">
        <f t="shared" si="686"/>
        <v>185.23798395913428</v>
      </c>
      <c r="BM223" s="528">
        <f t="shared" si="636"/>
        <v>0.31659891786621874</v>
      </c>
      <c r="BN223" s="460">
        <f t="shared" si="687"/>
        <v>316.59891786621876</v>
      </c>
      <c r="BO223" s="528">
        <f t="shared" si="637"/>
        <v>0.29399999999999998</v>
      </c>
      <c r="BR223" s="460">
        <f t="shared" si="688"/>
        <v>294</v>
      </c>
      <c r="BS223" s="528">
        <f t="shared" si="689"/>
        <v>1.486254500843465E-3</v>
      </c>
      <c r="BT223" s="528">
        <f t="shared" si="690"/>
        <v>0.26066437243094903</v>
      </c>
      <c r="BU223" s="528">
        <f t="shared" si="691"/>
        <v>4.9719800916949629E-2</v>
      </c>
      <c r="BV223" s="528"/>
      <c r="BW223" s="528">
        <f t="shared" si="692"/>
        <v>8.3541543691240446E-3</v>
      </c>
      <c r="BX223" s="460">
        <f t="shared" si="693"/>
        <v>320.22458221786616</v>
      </c>
      <c r="BY223" s="173">
        <f t="shared" si="694"/>
        <v>1.1158528272075716</v>
      </c>
      <c r="BZ223" s="5">
        <f t="shared" si="695"/>
        <v>1.6800000000000002</v>
      </c>
      <c r="CA223" s="173">
        <f t="shared" si="696"/>
        <v>0.60088999808975718</v>
      </c>
      <c r="CB223" s="5">
        <f t="shared" si="697"/>
        <v>60.088999808975721</v>
      </c>
      <c r="CE223" s="562">
        <f t="shared" si="638"/>
        <v>-50</v>
      </c>
      <c r="CF223">
        <f t="shared" si="639"/>
        <v>-50</v>
      </c>
      <c r="CG223" s="173">
        <f t="shared" si="640"/>
        <v>0.17072593168584554</v>
      </c>
      <c r="CI223" s="170">
        <v>7</v>
      </c>
      <c r="CJ223" s="217">
        <f t="shared" si="698"/>
        <v>0.42000000000000004</v>
      </c>
      <c r="CK223" s="217"/>
      <c r="CL223" s="217">
        <f t="shared" si="641"/>
        <v>1.6800000000000002</v>
      </c>
      <c r="CM223" s="541">
        <f t="shared" si="642"/>
        <v>36</v>
      </c>
      <c r="CN223" s="443">
        <f t="shared" si="643"/>
        <v>18.8</v>
      </c>
      <c r="CO223" s="443">
        <f t="shared" si="644"/>
        <v>54.8</v>
      </c>
      <c r="CP223" s="443"/>
      <c r="CQ223" s="217">
        <f t="shared" si="645"/>
        <v>0.34306569343065696</v>
      </c>
      <c r="CR223" s="172">
        <f t="shared" si="646"/>
        <v>41.723649635036502</v>
      </c>
      <c r="CS223" s="172">
        <f t="shared" si="647"/>
        <v>1.6800000000000002</v>
      </c>
      <c r="CT223" s="217">
        <f t="shared" si="648"/>
        <v>10.430912408759125</v>
      </c>
      <c r="CU223" s="217">
        <f t="shared" si="649"/>
        <v>4</v>
      </c>
      <c r="CV223" s="217"/>
      <c r="CW223" s="172">
        <f t="shared" si="650"/>
        <v>276.73699357281197</v>
      </c>
      <c r="CX223" s="172">
        <f t="shared" si="651"/>
        <v>4</v>
      </c>
      <c r="CY223" s="217">
        <f t="shared" si="652"/>
        <v>0.27205673758865245</v>
      </c>
      <c r="CZ223" s="217">
        <f t="shared" si="653"/>
        <v>9.0685579196217489E-2</v>
      </c>
      <c r="DA223" s="217">
        <f t="shared" si="654"/>
        <v>0.1736532367587143</v>
      </c>
      <c r="DB223" s="197">
        <f t="shared" si="655"/>
        <v>350</v>
      </c>
      <c r="DC223" s="443">
        <f t="shared" si="656"/>
        <v>350</v>
      </c>
      <c r="DE223" s="217">
        <f t="shared" si="657"/>
        <v>2.940563086548488</v>
      </c>
      <c r="DF223" s="173">
        <f t="shared" si="658"/>
        <v>1.8769551616266944</v>
      </c>
      <c r="DG223" s="173">
        <f t="shared" si="659"/>
        <v>3.8635135443702762</v>
      </c>
      <c r="DH223" s="173"/>
      <c r="DI223" s="173">
        <f t="shared" si="660"/>
        <v>0.85106382978723416</v>
      </c>
      <c r="DJ223" s="545">
        <f t="shared" si="661"/>
        <v>185.06249999999997</v>
      </c>
      <c r="DK223" s="528">
        <f t="shared" si="662"/>
        <v>0.79432624113475192</v>
      </c>
      <c r="DM223" s="173">
        <f t="shared" si="663"/>
        <v>0.96953597148326587</v>
      </c>
      <c r="DN223" s="173">
        <f t="shared" si="664"/>
        <v>1.3333333333333335</v>
      </c>
      <c r="DO223" s="173">
        <f t="shared" si="665"/>
        <v>1.10575</v>
      </c>
      <c r="DQ223" s="545">
        <f t="shared" si="666"/>
        <v>420.00000000000006</v>
      </c>
      <c r="DR223" s="460">
        <f t="shared" si="667"/>
        <v>185.06249999999997</v>
      </c>
      <c r="DT223">
        <f t="shared" si="668"/>
        <v>420.00000000000006</v>
      </c>
      <c r="DU223">
        <f t="shared" si="669"/>
        <v>185.06249999999997</v>
      </c>
      <c r="DW223" s="5">
        <f t="shared" si="670"/>
        <v>5.403579871664979</v>
      </c>
      <c r="DX223" s="5">
        <f t="shared" si="671"/>
        <v>0.44444444444444453</v>
      </c>
      <c r="DY223" s="5">
        <f t="shared" si="672"/>
        <v>4.9591354272205344</v>
      </c>
      <c r="DZ223" s="5"/>
      <c r="EA223" s="173">
        <f t="shared" si="673"/>
        <v>8.2250000000000004E-2</v>
      </c>
      <c r="EB223" s="173">
        <f t="shared" si="699"/>
        <v>1.974</v>
      </c>
      <c r="EC223" s="173">
        <f t="shared" si="700"/>
        <v>2.4473333333333334</v>
      </c>
      <c r="ED223" s="173">
        <f t="shared" si="701"/>
        <v>0.80659220920730046</v>
      </c>
      <c r="EE223" s="460">
        <f t="shared" si="674"/>
        <v>4.6666666666666679</v>
      </c>
      <c r="EF223" s="5">
        <f t="shared" si="675"/>
        <v>0.19285526661413188</v>
      </c>
      <c r="EH223" s="173">
        <f t="shared" si="702"/>
        <v>0.22077305256924079</v>
      </c>
      <c r="EI223" s="173">
        <f t="shared" si="703"/>
        <v>2.9498524759095379</v>
      </c>
      <c r="EK223" s="528">
        <f t="shared" si="704"/>
        <v>5.9463703703703725E-4</v>
      </c>
      <c r="EL223" s="528">
        <f t="shared" si="705"/>
        <v>0.27043800000000001</v>
      </c>
      <c r="EM223" s="528">
        <f t="shared" si="706"/>
        <v>2.3132812499999995E-2</v>
      </c>
      <c r="EN223" s="528">
        <f t="shared" si="707"/>
        <v>5.5575008999999988E-2</v>
      </c>
      <c r="EO223">
        <f t="shared" si="708"/>
        <v>1.6199999999999999E-2</v>
      </c>
      <c r="EP223" s="460">
        <f t="shared" si="709"/>
        <v>39.332812499999996</v>
      </c>
      <c r="EQ223" s="460"/>
      <c r="ER223" s="460">
        <f t="shared" si="710"/>
        <v>365.94045853703705</v>
      </c>
      <c r="ES223" s="528">
        <f t="shared" si="711"/>
        <v>0.29399999999999998</v>
      </c>
      <c r="EV223" s="460">
        <f t="shared" si="712"/>
        <v>294</v>
      </c>
      <c r="EW223" s="528">
        <f t="shared" si="713"/>
        <v>1.4622222222222226E-3</v>
      </c>
      <c r="EX223" s="528">
        <f t="shared" si="714"/>
        <v>0.26104888888888889</v>
      </c>
      <c r="EY223" s="528">
        <f t="shared" si="715"/>
        <v>4.7820367317239786E-2</v>
      </c>
      <c r="EZ223" s="528"/>
      <c r="FA223" s="528">
        <f t="shared" si="716"/>
        <v>8.2249999999999997E-3</v>
      </c>
      <c r="FB223" s="460">
        <f t="shared" si="717"/>
        <v>318.55647842835083</v>
      </c>
      <c r="FC223" s="173">
        <f t="shared" si="718"/>
        <v>0.97849693696538798</v>
      </c>
      <c r="FD223" s="5">
        <f t="shared" si="719"/>
        <v>1.6800000000000002</v>
      </c>
      <c r="FE223" s="173">
        <f t="shared" si="720"/>
        <v>0.63193602995746934</v>
      </c>
      <c r="FF223" s="5">
        <f t="shared" si="721"/>
        <v>63.193602995746936</v>
      </c>
      <c r="FI223" s="562">
        <f t="shared" si="676"/>
        <v>-50</v>
      </c>
      <c r="FJ223">
        <f t="shared" si="677"/>
        <v>-50</v>
      </c>
      <c r="FL223">
        <f t="shared" si="678"/>
        <v>0.15749999999999997</v>
      </c>
    </row>
    <row r="224" spans="5:168">
      <c r="E224" s="170">
        <v>8</v>
      </c>
      <c r="F224" s="217">
        <f t="shared" si="679"/>
        <v>0.48</v>
      </c>
      <c r="G224" s="217"/>
      <c r="H224" s="217">
        <f t="shared" si="603"/>
        <v>1.92</v>
      </c>
      <c r="I224" s="541">
        <f t="shared" si="604"/>
        <v>35.974046122014123</v>
      </c>
      <c r="J224" s="172">
        <f t="shared" si="605"/>
        <v>19.095209986569245</v>
      </c>
      <c r="K224" s="172">
        <f t="shared" si="606"/>
        <v>55.069256108583367</v>
      </c>
      <c r="L224" s="443"/>
      <c r="M224" s="217">
        <f t="shared" si="607"/>
        <v>0.3470429446705704</v>
      </c>
      <c r="N224" s="172">
        <f t="shared" si="608"/>
        <v>42.17693391006776</v>
      </c>
      <c r="O224" s="172">
        <f t="shared" si="599"/>
        <v>1.92</v>
      </c>
      <c r="P224" s="217">
        <f t="shared" si="609"/>
        <v>10.54423347751694</v>
      </c>
      <c r="Q224" s="217">
        <f t="shared" si="610"/>
        <v>4</v>
      </c>
      <c r="R224" s="217"/>
      <c r="S224" s="172">
        <f t="shared" si="611"/>
        <v>240.85231570919632</v>
      </c>
      <c r="T224" s="172">
        <f t="shared" si="612"/>
        <v>4</v>
      </c>
      <c r="U224" s="217">
        <f t="shared" si="613"/>
        <v>0.36755862891919483</v>
      </c>
      <c r="V224" s="217">
        <f t="shared" si="614"/>
        <v>0.12260793606786512</v>
      </c>
      <c r="W224" s="217">
        <f t="shared" si="615"/>
        <v>0.23098481504694837</v>
      </c>
      <c r="X224" s="197">
        <f t="shared" si="616"/>
        <v>350</v>
      </c>
      <c r="Y224" s="443">
        <f t="shared" si="680"/>
        <v>350</v>
      </c>
      <c r="AA224" s="217">
        <f t="shared" si="617"/>
        <v>2.9699916298813052</v>
      </c>
      <c r="AB224" s="173">
        <f t="shared" si="618"/>
        <v>1.8664314026210367</v>
      </c>
      <c r="AC224" s="173">
        <f t="shared" si="619"/>
        <v>3.8802999504724722</v>
      </c>
      <c r="AD224" s="173"/>
      <c r="AE224" s="173">
        <f t="shared" si="620"/>
        <v>0.83790647032704646</v>
      </c>
      <c r="AF224" s="545">
        <f t="shared" si="621"/>
        <v>214.82111234890394</v>
      </c>
      <c r="AG224" s="528">
        <f t="shared" si="622"/>
        <v>0.78204603897191016</v>
      </c>
      <c r="AI224" s="173">
        <f t="shared" si="623"/>
        <v>1.0445835803684573</v>
      </c>
      <c r="AJ224" s="173">
        <f t="shared" si="624"/>
        <v>1.3333333333333335</v>
      </c>
      <c r="AK224" s="173">
        <f t="shared" si="625"/>
        <v>1.1227549213422308</v>
      </c>
      <c r="AM224" s="545">
        <f t="shared" si="626"/>
        <v>480</v>
      </c>
      <c r="AN224" s="460">
        <f t="shared" si="627"/>
        <v>214.82111234890394</v>
      </c>
      <c r="AP224">
        <f t="shared" si="628"/>
        <v>480</v>
      </c>
      <c r="AQ224">
        <f t="shared" si="629"/>
        <v>214.82111234890394</v>
      </c>
      <c r="AS224" s="5">
        <f t="shared" si="600"/>
        <v>4.6550359462613695</v>
      </c>
      <c r="AT224" s="5">
        <f t="shared" si="630"/>
        <v>0.44476509386051211</v>
      </c>
      <c r="AU224" s="5">
        <f t="shared" si="478"/>
        <v>4.210270852400857</v>
      </c>
      <c r="AV224" s="5"/>
      <c r="AW224" s="173">
        <f t="shared" si="479"/>
        <v>9.5544932197079879E-2</v>
      </c>
      <c r="AX224" s="173">
        <f t="shared" si="631"/>
        <v>2.2914251983883092</v>
      </c>
      <c r="AY224" s="173">
        <f t="shared" si="632"/>
        <v>2.4118801808077874</v>
      </c>
      <c r="AZ224" s="173">
        <f t="shared" si="633"/>
        <v>0.95005764242436974</v>
      </c>
      <c r="BA224" s="460">
        <f t="shared" si="594"/>
        <v>5.3371811263261453</v>
      </c>
      <c r="BB224" s="5">
        <f t="shared" si="595"/>
        <v>0.18725815108462446</v>
      </c>
      <c r="BD224" s="173">
        <f t="shared" si="681"/>
        <v>0.237947933547974</v>
      </c>
      <c r="BE224" s="173">
        <f t="shared" si="682"/>
        <v>2.9284080959124306</v>
      </c>
      <c r="BG224" s="528">
        <f t="shared" si="683"/>
        <v>6.9075447277296273E-4</v>
      </c>
      <c r="BH224" s="528">
        <f t="shared" si="634"/>
        <v>0.29575097133681377</v>
      </c>
      <c r="BI224" s="528">
        <f t="shared" si="635"/>
        <v>0.1931996150905462</v>
      </c>
      <c r="BJ224" s="528">
        <f t="shared" si="684"/>
        <v>6.5147143939637206E-2</v>
      </c>
      <c r="BK224">
        <f t="shared" si="685"/>
        <v>1.6188320754906355E-2</v>
      </c>
      <c r="BL224" s="460">
        <f t="shared" si="686"/>
        <v>209.38793584545257</v>
      </c>
      <c r="BM224" s="528">
        <f t="shared" si="636"/>
        <v>0.36183475895808231</v>
      </c>
      <c r="BN224" s="460">
        <f t="shared" si="687"/>
        <v>361.83475895808232</v>
      </c>
      <c r="BO224" s="528">
        <f t="shared" si="637"/>
        <v>0.33599999999999997</v>
      </c>
      <c r="BR224" s="460">
        <f t="shared" si="688"/>
        <v>335.99999999999994</v>
      </c>
      <c r="BS224" s="528">
        <f t="shared" si="689"/>
        <v>1.6985765723925314E-3</v>
      </c>
      <c r="BT224" s="528">
        <f t="shared" si="690"/>
        <v>0.25726721928616403</v>
      </c>
      <c r="BU224" s="528">
        <f t="shared" si="691"/>
        <v>6.942393856366999E-2</v>
      </c>
      <c r="BV224" s="528"/>
      <c r="BW224" s="528">
        <f t="shared" si="692"/>
        <v>9.5476049932846207E-3</v>
      </c>
      <c r="BX224" s="460">
        <f t="shared" si="693"/>
        <v>337.93733941551113</v>
      </c>
      <c r="BY224" s="173">
        <f t="shared" si="694"/>
        <v>1.2449141450101875</v>
      </c>
      <c r="BZ224" s="5">
        <f t="shared" si="695"/>
        <v>1.92</v>
      </c>
      <c r="CA224" s="173">
        <f t="shared" si="696"/>
        <v>0.60665152734935235</v>
      </c>
      <c r="CB224" s="5">
        <f t="shared" si="697"/>
        <v>60.665152734935234</v>
      </c>
      <c r="CE224" s="562">
        <f t="shared" si="638"/>
        <v>-50</v>
      </c>
      <c r="CF224">
        <f t="shared" si="639"/>
        <v>-50</v>
      </c>
      <c r="CG224" s="173">
        <f t="shared" si="640"/>
        <v>0.19511535049810916</v>
      </c>
      <c r="CI224" s="170">
        <v>8</v>
      </c>
      <c r="CJ224" s="217">
        <f t="shared" si="698"/>
        <v>0.48</v>
      </c>
      <c r="CK224" s="217"/>
      <c r="CL224" s="217">
        <f t="shared" si="641"/>
        <v>1.92</v>
      </c>
      <c r="CM224" s="541">
        <f t="shared" si="642"/>
        <v>36</v>
      </c>
      <c r="CN224" s="443">
        <f t="shared" si="643"/>
        <v>18.8</v>
      </c>
      <c r="CO224" s="443">
        <f t="shared" si="644"/>
        <v>54.8</v>
      </c>
      <c r="CP224" s="443"/>
      <c r="CQ224" s="217">
        <f t="shared" si="645"/>
        <v>0.34306569343065696</v>
      </c>
      <c r="CR224" s="172">
        <f t="shared" si="646"/>
        <v>41.723649635036502</v>
      </c>
      <c r="CS224" s="172">
        <f t="shared" si="647"/>
        <v>1.92</v>
      </c>
      <c r="CT224" s="217">
        <f t="shared" si="648"/>
        <v>10.430912408759125</v>
      </c>
      <c r="CU224" s="217">
        <f t="shared" si="649"/>
        <v>4</v>
      </c>
      <c r="CV224" s="217"/>
      <c r="CW224" s="172">
        <f t="shared" si="650"/>
        <v>241.02606255996264</v>
      </c>
      <c r="CX224" s="172">
        <f t="shared" si="651"/>
        <v>4</v>
      </c>
      <c r="CY224" s="217">
        <f t="shared" si="652"/>
        <v>0.31092198581560276</v>
      </c>
      <c r="CZ224" s="217">
        <f t="shared" si="653"/>
        <v>0.10364066193853426</v>
      </c>
      <c r="DA224" s="217">
        <f t="shared" si="654"/>
        <v>0.1984608420099592</v>
      </c>
      <c r="DB224" s="197">
        <f t="shared" si="655"/>
        <v>350</v>
      </c>
      <c r="DC224" s="443">
        <f t="shared" si="656"/>
        <v>350</v>
      </c>
      <c r="DE224" s="217">
        <f t="shared" si="657"/>
        <v>2.940563086548488</v>
      </c>
      <c r="DF224" s="173">
        <f t="shared" si="658"/>
        <v>1.8769551616266944</v>
      </c>
      <c r="DG224" s="173">
        <f t="shared" si="659"/>
        <v>3.8635135443702762</v>
      </c>
      <c r="DH224" s="173"/>
      <c r="DI224" s="173">
        <f t="shared" si="660"/>
        <v>0.85106382978723416</v>
      </c>
      <c r="DJ224" s="545">
        <f t="shared" si="661"/>
        <v>211.49999999999994</v>
      </c>
      <c r="DK224" s="528">
        <f t="shared" si="662"/>
        <v>0.79432624113475192</v>
      </c>
      <c r="DM224" s="173">
        <f t="shared" si="663"/>
        <v>1.0364775512695459</v>
      </c>
      <c r="DN224" s="173">
        <f t="shared" si="664"/>
        <v>1.3333333333333335</v>
      </c>
      <c r="DO224" s="173">
        <f t="shared" si="665"/>
        <v>1.1208571428571428</v>
      </c>
      <c r="DQ224" s="545">
        <f t="shared" si="666"/>
        <v>480</v>
      </c>
      <c r="DR224" s="460">
        <f t="shared" si="667"/>
        <v>211.49999999999994</v>
      </c>
      <c r="DT224">
        <f t="shared" si="668"/>
        <v>480</v>
      </c>
      <c r="DU224">
        <f t="shared" si="669"/>
        <v>211.49999999999994</v>
      </c>
      <c r="DW224" s="5">
        <f t="shared" si="670"/>
        <v>4.7281323877068573</v>
      </c>
      <c r="DX224" s="5">
        <f t="shared" si="671"/>
        <v>0.44444444444444453</v>
      </c>
      <c r="DY224" s="5">
        <f t="shared" si="672"/>
        <v>4.2836879432624126</v>
      </c>
      <c r="DZ224" s="5"/>
      <c r="EA224" s="173">
        <f t="shared" si="673"/>
        <v>9.3999999999999986E-2</v>
      </c>
      <c r="EB224" s="173">
        <f t="shared" si="699"/>
        <v>2.2559999999999998</v>
      </c>
      <c r="EC224" s="173">
        <f t="shared" si="700"/>
        <v>2.4160000000000004</v>
      </c>
      <c r="ED224" s="173">
        <f t="shared" si="701"/>
        <v>0.93377483443708587</v>
      </c>
      <c r="EE224" s="460">
        <f t="shared" si="674"/>
        <v>5.3333333333333339</v>
      </c>
      <c r="EF224" s="5">
        <f t="shared" si="675"/>
        <v>0.19038613081166275</v>
      </c>
      <c r="EH224" s="173">
        <f t="shared" si="702"/>
        <v>0.23601632084180896</v>
      </c>
      <c r="EI224" s="173">
        <f t="shared" si="703"/>
        <v>2.9309080883272722</v>
      </c>
      <c r="EK224" s="528">
        <f t="shared" si="704"/>
        <v>6.7958518518518513E-4</v>
      </c>
      <c r="EL224" s="528">
        <f t="shared" si="705"/>
        <v>0.30907199999999996</v>
      </c>
      <c r="EM224" s="528">
        <f t="shared" si="706"/>
        <v>2.6437499999999992E-2</v>
      </c>
      <c r="EN224" s="528">
        <f t="shared" si="707"/>
        <v>6.351429599999997E-2</v>
      </c>
      <c r="EO224">
        <f t="shared" si="708"/>
        <v>1.6199999999999999E-2</v>
      </c>
      <c r="EP224" s="460">
        <f t="shared" si="709"/>
        <v>42.637499999999996</v>
      </c>
      <c r="EQ224" s="460"/>
      <c r="ER224" s="460">
        <f t="shared" si="710"/>
        <v>415.90338118518508</v>
      </c>
      <c r="ES224" s="528">
        <f t="shared" si="711"/>
        <v>0.33599999999999997</v>
      </c>
      <c r="EV224" s="460">
        <f t="shared" si="712"/>
        <v>335.99999999999994</v>
      </c>
      <c r="EW224" s="528">
        <f t="shared" si="713"/>
        <v>1.6711111111111111E-3</v>
      </c>
      <c r="EX224" s="528">
        <f t="shared" si="714"/>
        <v>0.25770666666666675</v>
      </c>
      <c r="EY224" s="528">
        <f t="shared" si="715"/>
        <v>6.6771752531141357E-2</v>
      </c>
      <c r="EZ224" s="528"/>
      <c r="FA224" s="528">
        <f t="shared" si="716"/>
        <v>9.4000000000000004E-3</v>
      </c>
      <c r="FB224" s="460">
        <f t="shared" si="717"/>
        <v>335.54953030891926</v>
      </c>
      <c r="FC224" s="173">
        <f t="shared" si="718"/>
        <v>1.0874529114941043</v>
      </c>
      <c r="FD224" s="5">
        <f t="shared" si="719"/>
        <v>1.92</v>
      </c>
      <c r="FE224" s="173">
        <f t="shared" si="720"/>
        <v>0.63841398568935304</v>
      </c>
      <c r="FF224" s="5">
        <f t="shared" si="721"/>
        <v>63.841398568935304</v>
      </c>
      <c r="FI224" s="562">
        <f t="shared" si="676"/>
        <v>-50</v>
      </c>
      <c r="FJ224">
        <f t="shared" si="677"/>
        <v>-50</v>
      </c>
      <c r="FL224">
        <f t="shared" si="678"/>
        <v>0.17999999999999997</v>
      </c>
    </row>
    <row r="225" spans="5:168">
      <c r="E225" s="170">
        <v>9</v>
      </c>
      <c r="F225" s="217">
        <f t="shared" si="679"/>
        <v>0.54</v>
      </c>
      <c r="G225" s="217"/>
      <c r="H225" s="217">
        <f t="shared" si="603"/>
        <v>2.16</v>
      </c>
      <c r="I225" s="541">
        <f t="shared" si="604"/>
        <v>35.974046122014123</v>
      </c>
      <c r="J225" s="172">
        <f t="shared" si="605"/>
        <v>19.095209986569245</v>
      </c>
      <c r="K225" s="172">
        <f t="shared" si="606"/>
        <v>55.069256108583367</v>
      </c>
      <c r="L225" s="443"/>
      <c r="M225" s="217">
        <f t="shared" si="607"/>
        <v>0.3470429446705704</v>
      </c>
      <c r="N225" s="172">
        <f t="shared" si="608"/>
        <v>42.17693391006776</v>
      </c>
      <c r="O225" s="172">
        <f t="shared" si="599"/>
        <v>2.16</v>
      </c>
      <c r="P225" s="217">
        <f t="shared" si="609"/>
        <v>10.54423347751694</v>
      </c>
      <c r="Q225" s="217">
        <f t="shared" si="610"/>
        <v>4</v>
      </c>
      <c r="R225" s="217"/>
      <c r="S225" s="172">
        <f t="shared" si="611"/>
        <v>213.09794739861991</v>
      </c>
      <c r="T225" s="172">
        <f t="shared" si="612"/>
        <v>4</v>
      </c>
      <c r="U225" s="217">
        <f t="shared" si="613"/>
        <v>0.41350345753409423</v>
      </c>
      <c r="V225" s="217">
        <f t="shared" si="614"/>
        <v>0.13793392807634827</v>
      </c>
      <c r="W225" s="217">
        <f t="shared" si="615"/>
        <v>0.2598579169278169</v>
      </c>
      <c r="X225" s="197">
        <f t="shared" si="616"/>
        <v>350</v>
      </c>
      <c r="Y225" s="443">
        <f t="shared" si="680"/>
        <v>350</v>
      </c>
      <c r="AA225" s="217">
        <f t="shared" si="617"/>
        <v>2.9699916298813052</v>
      </c>
      <c r="AB225" s="173">
        <f t="shared" si="618"/>
        <v>1.8664314026210367</v>
      </c>
      <c r="AC225" s="173">
        <f t="shared" si="619"/>
        <v>3.8802999504724722</v>
      </c>
      <c r="AD225" s="173"/>
      <c r="AE225" s="173">
        <f t="shared" si="620"/>
        <v>0.83790647032704646</v>
      </c>
      <c r="AF225" s="545">
        <f t="shared" si="621"/>
        <v>241.67375139251695</v>
      </c>
      <c r="AG225" s="528">
        <f t="shared" si="622"/>
        <v>0.78204603897191016</v>
      </c>
      <c r="AI225" s="173">
        <f t="shared" si="623"/>
        <v>1.1079481997919889</v>
      </c>
      <c r="AJ225" s="173">
        <f t="shared" si="624"/>
        <v>1.3333333333333335</v>
      </c>
      <c r="AK225" s="173">
        <f t="shared" si="625"/>
        <v>1.1380992865100097</v>
      </c>
      <c r="AM225" s="545">
        <f t="shared" si="626"/>
        <v>540</v>
      </c>
      <c r="AN225" s="460">
        <f t="shared" si="627"/>
        <v>241.67375139251695</v>
      </c>
      <c r="AP225">
        <f t="shared" si="628"/>
        <v>540</v>
      </c>
      <c r="AQ225">
        <f t="shared" si="629"/>
        <v>241.67375139251695</v>
      </c>
      <c r="AS225" s="5">
        <f t="shared" si="600"/>
        <v>4.1378097300101064</v>
      </c>
      <c r="AT225" s="5">
        <f t="shared" si="630"/>
        <v>0.44476509386051211</v>
      </c>
      <c r="AU225" s="5">
        <f t="shared" si="478"/>
        <v>3.6930446361495943</v>
      </c>
      <c r="AV225" s="5"/>
      <c r="AW225" s="173">
        <f t="shared" si="479"/>
        <v>0.10748804872171486</v>
      </c>
      <c r="AX225" s="173">
        <f t="shared" si="631"/>
        <v>2.577853348186848</v>
      </c>
      <c r="AY225" s="173">
        <f t="shared" si="632"/>
        <v>2.380031870075427</v>
      </c>
      <c r="AZ225" s="173">
        <f t="shared" si="633"/>
        <v>1.0831171551098395</v>
      </c>
      <c r="BA225" s="460">
        <f t="shared" si="594"/>
        <v>6.0043287671169132</v>
      </c>
      <c r="BB225" s="5">
        <f t="shared" si="595"/>
        <v>0.18478545122566517</v>
      </c>
      <c r="BD225" s="173">
        <f t="shared" si="681"/>
        <v>0.25238189607164763</v>
      </c>
      <c r="BE225" s="173">
        <f t="shared" si="682"/>
        <v>2.9090093740044849</v>
      </c>
      <c r="BG225" s="528">
        <f t="shared" si="683"/>
        <v>7.7709878186958323E-4</v>
      </c>
      <c r="BH225" s="528">
        <f t="shared" si="634"/>
        <v>0.33271984275391564</v>
      </c>
      <c r="BI225" s="528">
        <f t="shared" si="635"/>
        <v>0.21734956697686447</v>
      </c>
      <c r="BJ225" s="528">
        <f t="shared" si="684"/>
        <v>7.3290536932091851E-2</v>
      </c>
      <c r="BK225">
        <f t="shared" si="685"/>
        <v>1.6188320754906355E-2</v>
      </c>
      <c r="BL225" s="460">
        <f t="shared" si="686"/>
        <v>233.53788773177084</v>
      </c>
      <c r="BM225" s="528">
        <f t="shared" si="636"/>
        <v>0.40707245645616846</v>
      </c>
      <c r="BN225" s="460">
        <f t="shared" si="687"/>
        <v>407.07245645616848</v>
      </c>
      <c r="BO225" s="528">
        <f t="shared" si="637"/>
        <v>0.378</v>
      </c>
      <c r="BR225" s="460">
        <f t="shared" si="688"/>
        <v>378</v>
      </c>
      <c r="BS225" s="528">
        <f t="shared" si="689"/>
        <v>1.910898643941598E-3</v>
      </c>
      <c r="BT225" s="528">
        <f t="shared" si="690"/>
        <v>0.25387006614137891</v>
      </c>
      <c r="BU225" s="528">
        <f t="shared" si="691"/>
        <v>9.3194558356382601E-2</v>
      </c>
      <c r="BV225" s="528"/>
      <c r="BW225" s="528">
        <f t="shared" si="692"/>
        <v>1.07410556174452E-2</v>
      </c>
      <c r="BX225" s="460">
        <f t="shared" si="693"/>
        <v>359.71657875914832</v>
      </c>
      <c r="BY225" s="173">
        <f t="shared" si="694"/>
        <v>1.3780419449587962</v>
      </c>
      <c r="BZ225" s="5">
        <f t="shared" si="695"/>
        <v>2.16</v>
      </c>
      <c r="CA225" s="173">
        <f t="shared" si="696"/>
        <v>0.61050717702137225</v>
      </c>
      <c r="CB225" s="5">
        <f t="shared" si="697"/>
        <v>61.050717702137227</v>
      </c>
      <c r="CE225" s="562">
        <f t="shared" si="638"/>
        <v>-50</v>
      </c>
      <c r="CF225">
        <f t="shared" si="639"/>
        <v>-50</v>
      </c>
      <c r="CG225" s="173">
        <f t="shared" si="640"/>
        <v>0.21950476931037285</v>
      </c>
      <c r="CI225" s="170">
        <v>9</v>
      </c>
      <c r="CJ225" s="217">
        <f t="shared" si="698"/>
        <v>0.54</v>
      </c>
      <c r="CK225" s="217"/>
      <c r="CL225" s="217">
        <f t="shared" si="641"/>
        <v>2.16</v>
      </c>
      <c r="CM225" s="541">
        <f t="shared" si="642"/>
        <v>36</v>
      </c>
      <c r="CN225" s="443">
        <f t="shared" si="643"/>
        <v>18.8</v>
      </c>
      <c r="CO225" s="443">
        <f t="shared" si="644"/>
        <v>54.8</v>
      </c>
      <c r="CP225" s="443"/>
      <c r="CQ225" s="217">
        <f t="shared" si="645"/>
        <v>0.34306569343065696</v>
      </c>
      <c r="CR225" s="172">
        <f t="shared" si="646"/>
        <v>41.723649635036502</v>
      </c>
      <c r="CS225" s="172">
        <f t="shared" si="647"/>
        <v>2.16</v>
      </c>
      <c r="CT225" s="217">
        <f t="shared" si="648"/>
        <v>10.430912408759125</v>
      </c>
      <c r="CU225" s="217">
        <f t="shared" si="649"/>
        <v>4</v>
      </c>
      <c r="CV225" s="217"/>
      <c r="CW225" s="172">
        <f t="shared" si="650"/>
        <v>213.25166812491236</v>
      </c>
      <c r="CX225" s="172">
        <f t="shared" si="651"/>
        <v>4</v>
      </c>
      <c r="CY225" s="217">
        <f t="shared" si="652"/>
        <v>0.34978723404255319</v>
      </c>
      <c r="CZ225" s="217">
        <f t="shared" si="653"/>
        <v>0.11659574468085106</v>
      </c>
      <c r="DA225" s="217">
        <f t="shared" si="654"/>
        <v>0.22326844726120415</v>
      </c>
      <c r="DB225" s="197">
        <f t="shared" si="655"/>
        <v>350</v>
      </c>
      <c r="DC225" s="443">
        <f t="shared" si="656"/>
        <v>350</v>
      </c>
      <c r="DE225" s="217">
        <f t="shared" si="657"/>
        <v>2.940563086548488</v>
      </c>
      <c r="DF225" s="173">
        <f t="shared" si="658"/>
        <v>1.8769551616266944</v>
      </c>
      <c r="DG225" s="173">
        <f t="shared" si="659"/>
        <v>3.8635135443702762</v>
      </c>
      <c r="DH225" s="173"/>
      <c r="DI225" s="173">
        <f t="shared" si="660"/>
        <v>0.85106382978723416</v>
      </c>
      <c r="DJ225" s="545">
        <f t="shared" si="661"/>
        <v>237.93749999999997</v>
      </c>
      <c r="DK225" s="528">
        <f t="shared" si="662"/>
        <v>0.79432624113475192</v>
      </c>
      <c r="DM225" s="173">
        <f t="shared" si="663"/>
        <v>1.0993504575754851</v>
      </c>
      <c r="DN225" s="173">
        <f t="shared" si="664"/>
        <v>1.3333333333333335</v>
      </c>
      <c r="DO225" s="173">
        <f t="shared" si="665"/>
        <v>1.1359642857142858</v>
      </c>
      <c r="DQ225" s="545">
        <f t="shared" si="666"/>
        <v>540</v>
      </c>
      <c r="DR225" s="460">
        <f t="shared" si="667"/>
        <v>237.93749999999997</v>
      </c>
      <c r="DT225">
        <f t="shared" si="668"/>
        <v>540</v>
      </c>
      <c r="DU225">
        <f t="shared" si="669"/>
        <v>237.93749999999997</v>
      </c>
      <c r="DW225" s="5">
        <f t="shared" si="670"/>
        <v>4.2027843446283164</v>
      </c>
      <c r="DX225" s="5">
        <f t="shared" si="671"/>
        <v>0.44444444444444453</v>
      </c>
      <c r="DY225" s="5">
        <f t="shared" si="672"/>
        <v>3.7583399001838718</v>
      </c>
      <c r="DZ225" s="5"/>
      <c r="EA225" s="173">
        <f t="shared" si="673"/>
        <v>0.10575000000000001</v>
      </c>
      <c r="EB225" s="173">
        <f t="shared" si="699"/>
        <v>2.5380000000000003</v>
      </c>
      <c r="EC225" s="173">
        <f t="shared" si="700"/>
        <v>2.3846666666666669</v>
      </c>
      <c r="ED225" s="173">
        <f t="shared" si="701"/>
        <v>1.0642996924797317</v>
      </c>
      <c r="EE225" s="460">
        <f t="shared" si="674"/>
        <v>6.0000000000000018</v>
      </c>
      <c r="EF225" s="5">
        <f t="shared" si="675"/>
        <v>0.18791699500919359</v>
      </c>
      <c r="EH225" s="173">
        <f t="shared" si="702"/>
        <v>0.25033311140691455</v>
      </c>
      <c r="EI225" s="173">
        <f t="shared" si="703"/>
        <v>2.9118404514696228</v>
      </c>
      <c r="EK225" s="528">
        <f t="shared" si="704"/>
        <v>7.6453333333333356E-4</v>
      </c>
      <c r="EL225" s="528">
        <f t="shared" si="705"/>
        <v>0.34770600000000002</v>
      </c>
      <c r="EM225" s="528">
        <f t="shared" si="706"/>
        <v>2.9742187499999993E-2</v>
      </c>
      <c r="EN225" s="528">
        <f t="shared" si="707"/>
        <v>7.1453582999999987E-2</v>
      </c>
      <c r="EO225">
        <f t="shared" si="708"/>
        <v>1.6199999999999999E-2</v>
      </c>
      <c r="EP225" s="460">
        <f t="shared" si="709"/>
        <v>45.942187499999996</v>
      </c>
      <c r="EQ225" s="460"/>
      <c r="ER225" s="460">
        <f t="shared" si="710"/>
        <v>465.86630383333335</v>
      </c>
      <c r="ES225" s="528">
        <f t="shared" si="711"/>
        <v>0.378</v>
      </c>
      <c r="EV225" s="460">
        <f t="shared" si="712"/>
        <v>378</v>
      </c>
      <c r="EW225" s="528">
        <f t="shared" si="713"/>
        <v>1.8800000000000006E-3</v>
      </c>
      <c r="EX225" s="528">
        <f t="shared" si="714"/>
        <v>0.2543644444444445</v>
      </c>
      <c r="EY225" s="528">
        <f t="shared" si="715"/>
        <v>8.9634269051364748E-2</v>
      </c>
      <c r="EZ225" s="528"/>
      <c r="FA225" s="528">
        <f t="shared" si="716"/>
        <v>1.0575000000000001E-2</v>
      </c>
      <c r="FB225" s="460">
        <f t="shared" si="717"/>
        <v>356.45371349580921</v>
      </c>
      <c r="FC225" s="173">
        <f t="shared" si="718"/>
        <v>1.2003200173291426</v>
      </c>
      <c r="FD225" s="5">
        <f t="shared" si="719"/>
        <v>2.16</v>
      </c>
      <c r="FE225" s="173">
        <f t="shared" si="720"/>
        <v>0.64279592088280224</v>
      </c>
      <c r="FF225" s="5">
        <f t="shared" si="721"/>
        <v>64.279592088280225</v>
      </c>
      <c r="FI225" s="562">
        <f t="shared" si="676"/>
        <v>-50</v>
      </c>
      <c r="FJ225">
        <f t="shared" si="677"/>
        <v>-50</v>
      </c>
      <c r="FL225">
        <f t="shared" si="678"/>
        <v>0.20249999999999999</v>
      </c>
    </row>
    <row r="226" spans="5:168">
      <c r="E226" s="170">
        <v>10</v>
      </c>
      <c r="F226" s="217">
        <f t="shared" si="679"/>
        <v>0.60000000000000009</v>
      </c>
      <c r="G226" s="217"/>
      <c r="H226" s="217">
        <f t="shared" si="603"/>
        <v>2.4000000000000004</v>
      </c>
      <c r="I226" s="541">
        <f t="shared" si="604"/>
        <v>35.974046122014123</v>
      </c>
      <c r="J226" s="172">
        <f t="shared" si="605"/>
        <v>19.095209986569245</v>
      </c>
      <c r="K226" s="172">
        <f t="shared" si="606"/>
        <v>55.069256108583367</v>
      </c>
      <c r="L226" s="443"/>
      <c r="M226" s="217">
        <f t="shared" si="607"/>
        <v>0.3470429446705704</v>
      </c>
      <c r="N226" s="172">
        <f t="shared" si="608"/>
        <v>42.17693391006776</v>
      </c>
      <c r="O226" s="172">
        <f t="shared" si="599"/>
        <v>2.4000000000000004</v>
      </c>
      <c r="P226" s="217">
        <f t="shared" si="609"/>
        <v>10.54423347751694</v>
      </c>
      <c r="Q226" s="217">
        <f t="shared" si="610"/>
        <v>4</v>
      </c>
      <c r="R226" s="217"/>
      <c r="S226" s="172">
        <f t="shared" si="611"/>
        <v>190.89515838559186</v>
      </c>
      <c r="T226" s="172">
        <f t="shared" si="612"/>
        <v>4</v>
      </c>
      <c r="U226" s="217">
        <f t="shared" si="613"/>
        <v>0.45944828614899369</v>
      </c>
      <c r="V226" s="217">
        <f t="shared" si="614"/>
        <v>0.15325992008483141</v>
      </c>
      <c r="W226" s="217">
        <f t="shared" si="615"/>
        <v>0.28873101880868557</v>
      </c>
      <c r="X226" s="197">
        <f t="shared" si="616"/>
        <v>350</v>
      </c>
      <c r="Y226" s="443">
        <f t="shared" si="680"/>
        <v>350</v>
      </c>
      <c r="AA226" s="217">
        <f t="shared" si="617"/>
        <v>2.9699916298813052</v>
      </c>
      <c r="AB226" s="173">
        <f t="shared" si="618"/>
        <v>1.8664314026210367</v>
      </c>
      <c r="AC226" s="173">
        <f t="shared" si="619"/>
        <v>3.8802999504724722</v>
      </c>
      <c r="AD226" s="173"/>
      <c r="AE226" s="173">
        <f t="shared" si="620"/>
        <v>0.83790647032704646</v>
      </c>
      <c r="AF226" s="545">
        <f t="shared" si="621"/>
        <v>268.52639043612993</v>
      </c>
      <c r="AG226" s="528">
        <f t="shared" si="622"/>
        <v>0.78204603897191016</v>
      </c>
      <c r="AI226" s="173">
        <f t="shared" si="623"/>
        <v>1.1678799469419929</v>
      </c>
      <c r="AJ226" s="173">
        <f t="shared" si="624"/>
        <v>1.3333333333333335</v>
      </c>
      <c r="AK226" s="173">
        <f t="shared" si="625"/>
        <v>1.1534436516777886</v>
      </c>
      <c r="AM226" s="545">
        <f t="shared" si="626"/>
        <v>600.00000000000011</v>
      </c>
      <c r="AN226" s="460">
        <f t="shared" si="627"/>
        <v>268.52639043612993</v>
      </c>
      <c r="AP226">
        <f t="shared" si="628"/>
        <v>600.00000000000011</v>
      </c>
      <c r="AQ226">
        <f t="shared" si="629"/>
        <v>268.52639043612993</v>
      </c>
      <c r="AS226" s="5">
        <f t="shared" si="600"/>
        <v>3.7240287570090955</v>
      </c>
      <c r="AT226" s="5">
        <f t="shared" si="630"/>
        <v>0.44476509386051211</v>
      </c>
      <c r="AU226" s="5">
        <f t="shared" si="478"/>
        <v>3.2792636631485834</v>
      </c>
      <c r="AV226" s="5"/>
      <c r="AW226" s="173">
        <f t="shared" si="479"/>
        <v>0.11943116524634985</v>
      </c>
      <c r="AX226" s="173">
        <f t="shared" si="631"/>
        <v>2.8642814979853868</v>
      </c>
      <c r="AY226" s="173">
        <f t="shared" si="632"/>
        <v>2.3481835593430671</v>
      </c>
      <c r="AZ226" s="173">
        <f t="shared" si="633"/>
        <v>1.2197860284767108</v>
      </c>
      <c r="BA226" s="460">
        <f t="shared" si="594"/>
        <v>6.671476407907682</v>
      </c>
      <c r="BB226" s="5">
        <f t="shared" si="595"/>
        <v>0.18231275136670574</v>
      </c>
      <c r="BD226" s="173">
        <f t="shared" si="681"/>
        <v>0.26603387725943628</v>
      </c>
      <c r="BE226" s="173">
        <f t="shared" si="682"/>
        <v>2.8894804204019904</v>
      </c>
      <c r="BG226" s="528">
        <f t="shared" si="683"/>
        <v>8.6344309096620341E-4</v>
      </c>
      <c r="BH226" s="528">
        <f t="shared" si="634"/>
        <v>0.36968871417101729</v>
      </c>
      <c r="BI226" s="528">
        <f t="shared" si="635"/>
        <v>0.24149951886318272</v>
      </c>
      <c r="BJ226" s="528">
        <f t="shared" si="684"/>
        <v>8.1433929924546497E-2</v>
      </c>
      <c r="BK226">
        <f t="shared" si="685"/>
        <v>1.6188320754906355E-2</v>
      </c>
      <c r="BL226" s="460">
        <f t="shared" si="686"/>
        <v>257.68783961808907</v>
      </c>
      <c r="BM226" s="528">
        <f t="shared" si="636"/>
        <v>0.45231201047475522</v>
      </c>
      <c r="BN226" s="460">
        <f t="shared" si="687"/>
        <v>452.3120104747552</v>
      </c>
      <c r="BO226" s="528">
        <f t="shared" si="637"/>
        <v>0.42000000000000004</v>
      </c>
      <c r="BR226" s="460">
        <f t="shared" si="688"/>
        <v>420.00000000000006</v>
      </c>
      <c r="BS226" s="528">
        <f t="shared" si="689"/>
        <v>2.1232207154906644E-3</v>
      </c>
      <c r="BT226" s="528">
        <f t="shared" si="690"/>
        <v>0.25047291299659385</v>
      </c>
      <c r="BU226" s="528">
        <f t="shared" si="691"/>
        <v>0.12127862960479308</v>
      </c>
      <c r="BV226" s="528"/>
      <c r="BW226" s="528">
        <f t="shared" si="692"/>
        <v>1.1934506241605778E-2</v>
      </c>
      <c r="BX226" s="460">
        <f t="shared" si="693"/>
        <v>385.80926955848338</v>
      </c>
      <c r="BY226" s="173">
        <f t="shared" si="694"/>
        <v>1.5154831963631026</v>
      </c>
      <c r="BZ226" s="5">
        <f t="shared" si="695"/>
        <v>2.4000000000000004</v>
      </c>
      <c r="CA226" s="173">
        <f t="shared" si="696"/>
        <v>0.6129511683843365</v>
      </c>
      <c r="CB226" s="5">
        <f t="shared" si="697"/>
        <v>61.29511683843365</v>
      </c>
      <c r="CE226" s="562">
        <f t="shared" si="638"/>
        <v>-50</v>
      </c>
      <c r="CF226">
        <f t="shared" si="639"/>
        <v>-50</v>
      </c>
      <c r="CG226" s="173">
        <f t="shared" si="640"/>
        <v>0.2438941881226365</v>
      </c>
      <c r="CI226" s="170">
        <v>10</v>
      </c>
      <c r="CJ226" s="217">
        <f t="shared" si="698"/>
        <v>0.60000000000000009</v>
      </c>
      <c r="CK226" s="217"/>
      <c r="CL226" s="217">
        <f t="shared" si="641"/>
        <v>2.4000000000000004</v>
      </c>
      <c r="CM226" s="541">
        <f t="shared" si="642"/>
        <v>36</v>
      </c>
      <c r="CN226" s="443">
        <f t="shared" si="643"/>
        <v>18.8</v>
      </c>
      <c r="CO226" s="443">
        <f t="shared" si="644"/>
        <v>54.8</v>
      </c>
      <c r="CP226" s="443"/>
      <c r="CQ226" s="217">
        <f t="shared" si="645"/>
        <v>0.34306569343065696</v>
      </c>
      <c r="CR226" s="172">
        <f t="shared" si="646"/>
        <v>41.723649635036502</v>
      </c>
      <c r="CS226" s="172">
        <f t="shared" si="647"/>
        <v>2.4000000000000004</v>
      </c>
      <c r="CT226" s="217">
        <f t="shared" si="648"/>
        <v>10.430912408759125</v>
      </c>
      <c r="CU226" s="217">
        <f t="shared" si="649"/>
        <v>4</v>
      </c>
      <c r="CV226" s="217"/>
      <c r="CW226" s="172">
        <f t="shared" si="650"/>
        <v>191.03285821772312</v>
      </c>
      <c r="CX226" s="172">
        <f t="shared" si="651"/>
        <v>4</v>
      </c>
      <c r="CY226" s="217">
        <f t="shared" si="652"/>
        <v>0.38865248226950355</v>
      </c>
      <c r="CZ226" s="217">
        <f t="shared" si="653"/>
        <v>0.12955082742316784</v>
      </c>
      <c r="DA226" s="217">
        <f t="shared" si="654"/>
        <v>0.24807605251244907</v>
      </c>
      <c r="DB226" s="197">
        <f t="shared" si="655"/>
        <v>350</v>
      </c>
      <c r="DC226" s="443">
        <f t="shared" si="656"/>
        <v>350</v>
      </c>
      <c r="DE226" s="217">
        <f t="shared" si="657"/>
        <v>2.940563086548488</v>
      </c>
      <c r="DF226" s="173">
        <f t="shared" si="658"/>
        <v>1.8769551616266944</v>
      </c>
      <c r="DG226" s="173">
        <f t="shared" si="659"/>
        <v>3.8635135443702762</v>
      </c>
      <c r="DH226" s="173"/>
      <c r="DI226" s="173">
        <f t="shared" si="660"/>
        <v>0.85106382978723416</v>
      </c>
      <c r="DJ226" s="545">
        <f t="shared" si="661"/>
        <v>264.375</v>
      </c>
      <c r="DK226" s="528">
        <f t="shared" si="662"/>
        <v>0.79432624113475192</v>
      </c>
      <c r="DM226" s="173">
        <f t="shared" si="663"/>
        <v>1.1588171308956143</v>
      </c>
      <c r="DN226" s="173">
        <f t="shared" si="664"/>
        <v>1.3333333333333335</v>
      </c>
      <c r="DO226" s="173">
        <f t="shared" si="665"/>
        <v>1.1510714285714285</v>
      </c>
      <c r="DQ226" s="545">
        <f t="shared" si="666"/>
        <v>600.00000000000011</v>
      </c>
      <c r="DR226" s="460">
        <f t="shared" si="667"/>
        <v>264.375</v>
      </c>
      <c r="DT226">
        <f t="shared" si="668"/>
        <v>600.00000000000011</v>
      </c>
      <c r="DU226">
        <f t="shared" si="669"/>
        <v>264.375</v>
      </c>
      <c r="DW226" s="5">
        <f t="shared" si="670"/>
        <v>3.7825059101654843</v>
      </c>
      <c r="DX226" s="5">
        <f t="shared" si="671"/>
        <v>0.44444444444444453</v>
      </c>
      <c r="DY226" s="5">
        <f t="shared" si="672"/>
        <v>3.3380614657210397</v>
      </c>
      <c r="DZ226" s="5"/>
      <c r="EA226" s="173">
        <f t="shared" si="673"/>
        <v>0.11750000000000003</v>
      </c>
      <c r="EB226" s="173">
        <f t="shared" si="699"/>
        <v>2.8200000000000003</v>
      </c>
      <c r="EC226" s="173">
        <f t="shared" si="700"/>
        <v>2.3533333333333335</v>
      </c>
      <c r="ED226" s="173">
        <f t="shared" si="701"/>
        <v>1.1983002832861189</v>
      </c>
      <c r="EE226" s="460">
        <f t="shared" si="674"/>
        <v>6.6666666666666696</v>
      </c>
      <c r="EF226" s="5">
        <f t="shared" si="675"/>
        <v>0.18544785920672444</v>
      </c>
      <c r="EH226" s="173">
        <f t="shared" si="702"/>
        <v>0.26387426860084268</v>
      </c>
      <c r="EI226" s="173">
        <f t="shared" si="703"/>
        <v>2.8926471280485297</v>
      </c>
      <c r="EK226" s="528">
        <f t="shared" si="704"/>
        <v>8.4948148148148188E-4</v>
      </c>
      <c r="EL226" s="528">
        <f t="shared" si="705"/>
        <v>0.38634000000000007</v>
      </c>
      <c r="EM226" s="528">
        <f t="shared" si="706"/>
        <v>3.3046874999999996E-2</v>
      </c>
      <c r="EN226" s="528">
        <f t="shared" si="707"/>
        <v>7.939286999999999E-2</v>
      </c>
      <c r="EO226">
        <f t="shared" si="708"/>
        <v>1.6199999999999999E-2</v>
      </c>
      <c r="EP226" s="460">
        <f t="shared" si="709"/>
        <v>49.246874999999996</v>
      </c>
      <c r="EQ226" s="460"/>
      <c r="ER226" s="460">
        <f t="shared" si="710"/>
        <v>515.82922648148156</v>
      </c>
      <c r="ES226" s="528">
        <f t="shared" si="711"/>
        <v>0.42000000000000004</v>
      </c>
      <c r="EV226" s="460">
        <f t="shared" si="712"/>
        <v>420.00000000000006</v>
      </c>
      <c r="EW226" s="528">
        <f t="shared" si="713"/>
        <v>2.0888888888888901E-3</v>
      </c>
      <c r="EX226" s="528">
        <f t="shared" si="714"/>
        <v>0.2510222222222222</v>
      </c>
      <c r="EY226" s="528">
        <f t="shared" si="715"/>
        <v>0.11664545127845792</v>
      </c>
      <c r="EZ226" s="528"/>
      <c r="FA226" s="528">
        <f t="shared" si="716"/>
        <v>1.1750000000000003E-2</v>
      </c>
      <c r="FB226" s="460">
        <f t="shared" si="717"/>
        <v>381.50656238956896</v>
      </c>
      <c r="FC226" s="173">
        <f t="shared" si="718"/>
        <v>1.3173357888710504</v>
      </c>
      <c r="FD226" s="5">
        <f t="shared" si="719"/>
        <v>2.4000000000000004</v>
      </c>
      <c r="FE226" s="173">
        <f t="shared" si="720"/>
        <v>0.64562367682389998</v>
      </c>
      <c r="FF226" s="5">
        <f t="shared" si="721"/>
        <v>64.562367682390004</v>
      </c>
      <c r="FI226" s="562">
        <f t="shared" si="676"/>
        <v>-50</v>
      </c>
      <c r="FJ226">
        <f t="shared" si="677"/>
        <v>-50</v>
      </c>
      <c r="FL226">
        <f t="shared" si="678"/>
        <v>0.22500000000000001</v>
      </c>
    </row>
    <row r="227" spans="5:168">
      <c r="E227" s="170">
        <v>11</v>
      </c>
      <c r="F227" s="217">
        <f t="shared" si="679"/>
        <v>0.66</v>
      </c>
      <c r="G227" s="217"/>
      <c r="H227" s="217">
        <f t="shared" si="603"/>
        <v>2.64</v>
      </c>
      <c r="I227" s="541">
        <f t="shared" si="604"/>
        <v>35.974046122014123</v>
      </c>
      <c r="J227" s="172">
        <f t="shared" si="605"/>
        <v>19.095209986569245</v>
      </c>
      <c r="K227" s="172">
        <f t="shared" si="606"/>
        <v>55.069256108583367</v>
      </c>
      <c r="L227" s="443"/>
      <c r="M227" s="217">
        <f t="shared" si="607"/>
        <v>0.3470429446705704</v>
      </c>
      <c r="N227" s="172">
        <f t="shared" si="608"/>
        <v>42.17693391006776</v>
      </c>
      <c r="O227" s="172">
        <f t="shared" si="599"/>
        <v>2.64</v>
      </c>
      <c r="P227" s="217">
        <f t="shared" si="609"/>
        <v>10.54423347751694</v>
      </c>
      <c r="Q227" s="217">
        <f t="shared" si="610"/>
        <v>4</v>
      </c>
      <c r="R227" s="217"/>
      <c r="S227" s="172">
        <f t="shared" si="611"/>
        <v>172.72988982523518</v>
      </c>
      <c r="T227" s="172">
        <f t="shared" si="612"/>
        <v>4</v>
      </c>
      <c r="U227" s="217">
        <f t="shared" si="613"/>
        <v>0.50539311476389293</v>
      </c>
      <c r="V227" s="217">
        <f t="shared" si="614"/>
        <v>0.16858591209331453</v>
      </c>
      <c r="W227" s="217">
        <f t="shared" si="615"/>
        <v>0.31760412068955401</v>
      </c>
      <c r="X227" s="197">
        <f t="shared" si="616"/>
        <v>350</v>
      </c>
      <c r="Y227" s="443">
        <f t="shared" si="680"/>
        <v>350</v>
      </c>
      <c r="AA227" s="217">
        <f t="shared" si="617"/>
        <v>2.9699916298813052</v>
      </c>
      <c r="AB227" s="173">
        <f t="shared" si="618"/>
        <v>1.8664314026210367</v>
      </c>
      <c r="AC227" s="173">
        <f t="shared" si="619"/>
        <v>3.8802999504724722</v>
      </c>
      <c r="AD227" s="173"/>
      <c r="AE227" s="173">
        <f t="shared" si="620"/>
        <v>0.83790647032704646</v>
      </c>
      <c r="AF227" s="545">
        <f t="shared" si="621"/>
        <v>295.37902947974294</v>
      </c>
      <c r="AG227" s="528">
        <f t="shared" si="622"/>
        <v>0.78204603897191016</v>
      </c>
      <c r="AI227" s="173">
        <f t="shared" si="623"/>
        <v>1.224882821953249</v>
      </c>
      <c r="AJ227" s="173">
        <f t="shared" si="624"/>
        <v>1.3333333333333335</v>
      </c>
      <c r="AK227" s="173">
        <f t="shared" si="625"/>
        <v>1.1687880168455673</v>
      </c>
      <c r="AM227" s="545">
        <f t="shared" si="626"/>
        <v>660</v>
      </c>
      <c r="AN227" s="460">
        <f t="shared" si="627"/>
        <v>295.37902947974294</v>
      </c>
      <c r="AP227">
        <f t="shared" si="628"/>
        <v>660</v>
      </c>
      <c r="AQ227">
        <f t="shared" si="629"/>
        <v>295.37902947974294</v>
      </c>
      <c r="AS227" s="5">
        <f t="shared" si="600"/>
        <v>3.3854806881900865</v>
      </c>
      <c r="AT227" s="5">
        <f t="shared" si="630"/>
        <v>0.44476509386051211</v>
      </c>
      <c r="AU227" s="5">
        <f t="shared" si="478"/>
        <v>2.9407155943295744</v>
      </c>
      <c r="AV227" s="5"/>
      <c r="AW227" s="173">
        <f t="shared" si="479"/>
        <v>0.13137428177098484</v>
      </c>
      <c r="AX227" s="173">
        <f t="shared" si="631"/>
        <v>3.1507096477839251</v>
      </c>
      <c r="AY227" s="173">
        <f t="shared" si="632"/>
        <v>2.3163352486107072</v>
      </c>
      <c r="AZ227" s="173">
        <f t="shared" si="633"/>
        <v>1.3602131425810058</v>
      </c>
      <c r="BA227" s="460">
        <f t="shared" si="594"/>
        <v>7.33862404869845</v>
      </c>
      <c r="BB227" s="5">
        <f t="shared" si="595"/>
        <v>0.17984005150774635</v>
      </c>
      <c r="BD227" s="173">
        <f t="shared" si="681"/>
        <v>0.27901868438270888</v>
      </c>
      <c r="BE227" s="173">
        <f t="shared" si="682"/>
        <v>2.869818576448163</v>
      </c>
      <c r="BG227" s="528">
        <f t="shared" si="683"/>
        <v>9.4978740006282402E-4</v>
      </c>
      <c r="BH227" s="528">
        <f t="shared" si="634"/>
        <v>0.40665758558811904</v>
      </c>
      <c r="BI227" s="528">
        <f t="shared" si="635"/>
        <v>0.26564947074950102</v>
      </c>
      <c r="BJ227" s="528">
        <f t="shared" si="684"/>
        <v>8.9577322917001156E-2</v>
      </c>
      <c r="BK227">
        <f t="shared" si="685"/>
        <v>1.6188320754906355E-2</v>
      </c>
      <c r="BL227" s="460">
        <f t="shared" si="686"/>
        <v>281.83779150440733</v>
      </c>
      <c r="BM227" s="528">
        <f t="shared" si="636"/>
        <v>0.49755342112813034</v>
      </c>
      <c r="BN227" s="460">
        <f t="shared" si="687"/>
        <v>497.55342112813031</v>
      </c>
      <c r="BO227" s="528">
        <f t="shared" si="637"/>
        <v>0.46199999999999997</v>
      </c>
      <c r="BR227" s="460">
        <f t="shared" si="688"/>
        <v>461.99999999999994</v>
      </c>
      <c r="BS227" s="528">
        <f t="shared" si="689"/>
        <v>2.335542787039731E-3</v>
      </c>
      <c r="BT227" s="528">
        <f t="shared" si="690"/>
        <v>0.2470757598518088</v>
      </c>
      <c r="BU227" s="528">
        <f t="shared" si="691"/>
        <v>0.15390970078638355</v>
      </c>
      <c r="BV227" s="528"/>
      <c r="BW227" s="528">
        <f t="shared" si="692"/>
        <v>1.3127956865766356E-2</v>
      </c>
      <c r="BX227" s="460">
        <f t="shared" si="693"/>
        <v>416.4489602909984</v>
      </c>
      <c r="BY227" s="173">
        <f t="shared" si="694"/>
        <v>1.657471447700589</v>
      </c>
      <c r="BZ227" s="5">
        <f t="shared" si="695"/>
        <v>2.64</v>
      </c>
      <c r="CA227" s="173">
        <f t="shared" si="696"/>
        <v>0.61431472718976687</v>
      </c>
      <c r="CB227" s="5">
        <f t="shared" si="697"/>
        <v>61.431472718976686</v>
      </c>
      <c r="CE227" s="562">
        <f t="shared" si="638"/>
        <v>-50</v>
      </c>
      <c r="CF227">
        <f t="shared" si="639"/>
        <v>-50</v>
      </c>
      <c r="CG227" s="173">
        <f t="shared" si="640"/>
        <v>0.26828360693490017</v>
      </c>
      <c r="CI227" s="170">
        <v>11</v>
      </c>
      <c r="CJ227" s="217">
        <f t="shared" si="698"/>
        <v>0.66</v>
      </c>
      <c r="CK227" s="217"/>
      <c r="CL227" s="217">
        <f t="shared" si="641"/>
        <v>2.64</v>
      </c>
      <c r="CM227" s="541">
        <f t="shared" si="642"/>
        <v>36</v>
      </c>
      <c r="CN227" s="443">
        <f t="shared" si="643"/>
        <v>18.8</v>
      </c>
      <c r="CO227" s="443">
        <f t="shared" si="644"/>
        <v>54.8</v>
      </c>
      <c r="CP227" s="443"/>
      <c r="CQ227" s="217">
        <f t="shared" si="645"/>
        <v>0.34306569343065696</v>
      </c>
      <c r="CR227" s="172">
        <f t="shared" si="646"/>
        <v>41.723649635036502</v>
      </c>
      <c r="CS227" s="172">
        <f t="shared" si="647"/>
        <v>2.64</v>
      </c>
      <c r="CT227" s="217">
        <f t="shared" si="648"/>
        <v>10.430912408759125</v>
      </c>
      <c r="CU227" s="217">
        <f t="shared" si="649"/>
        <v>4</v>
      </c>
      <c r="CV227" s="217"/>
      <c r="CW227" s="172">
        <f t="shared" si="650"/>
        <v>172.85448165866876</v>
      </c>
      <c r="CX227" s="172">
        <f t="shared" si="651"/>
        <v>4</v>
      </c>
      <c r="CY227" s="217">
        <f t="shared" si="652"/>
        <v>0.42751773049645386</v>
      </c>
      <c r="CZ227" s="217">
        <f t="shared" si="653"/>
        <v>0.14250591016548461</v>
      </c>
      <c r="DA227" s="217">
        <f t="shared" si="654"/>
        <v>0.27288365776369394</v>
      </c>
      <c r="DB227" s="197">
        <f t="shared" si="655"/>
        <v>350</v>
      </c>
      <c r="DC227" s="443">
        <f t="shared" si="656"/>
        <v>350</v>
      </c>
      <c r="DE227" s="217">
        <f t="shared" si="657"/>
        <v>2.940563086548488</v>
      </c>
      <c r="DF227" s="173">
        <f t="shared" si="658"/>
        <v>1.8769551616266944</v>
      </c>
      <c r="DG227" s="173">
        <f t="shared" si="659"/>
        <v>3.8635135443702762</v>
      </c>
      <c r="DH227" s="173"/>
      <c r="DI227" s="173">
        <f t="shared" si="660"/>
        <v>0.85106382978723416</v>
      </c>
      <c r="DJ227" s="545">
        <f t="shared" si="661"/>
        <v>290.81249999999994</v>
      </c>
      <c r="DK227" s="528">
        <f t="shared" si="662"/>
        <v>0.79432624113475192</v>
      </c>
      <c r="DM227" s="173">
        <f t="shared" si="663"/>
        <v>1.2153776602944688</v>
      </c>
      <c r="DN227" s="173">
        <f t="shared" si="664"/>
        <v>1.3333333333333335</v>
      </c>
      <c r="DO227" s="173">
        <f t="shared" si="665"/>
        <v>1.1661785714285715</v>
      </c>
      <c r="DQ227" s="545">
        <f t="shared" si="666"/>
        <v>660</v>
      </c>
      <c r="DR227" s="460">
        <f t="shared" si="667"/>
        <v>290.81249999999994</v>
      </c>
      <c r="DT227">
        <f t="shared" si="668"/>
        <v>660</v>
      </c>
      <c r="DU227">
        <f t="shared" si="669"/>
        <v>290.81249999999994</v>
      </c>
      <c r="DW227" s="5">
        <f t="shared" si="670"/>
        <v>3.4386417365140778</v>
      </c>
      <c r="DX227" s="5">
        <f t="shared" si="671"/>
        <v>0.44444444444444453</v>
      </c>
      <c r="DY227" s="5">
        <f t="shared" si="672"/>
        <v>2.9941972920696331</v>
      </c>
      <c r="DZ227" s="5"/>
      <c r="EA227" s="173">
        <f t="shared" si="673"/>
        <v>0.12925</v>
      </c>
      <c r="EB227" s="173">
        <f t="shared" si="699"/>
        <v>3.1020000000000003</v>
      </c>
      <c r="EC227" s="173">
        <f t="shared" si="700"/>
        <v>2.3220000000000005</v>
      </c>
      <c r="ED227" s="173">
        <f t="shared" si="701"/>
        <v>1.3359173126614985</v>
      </c>
      <c r="EE227" s="460">
        <f t="shared" si="674"/>
        <v>7.3333333333333348</v>
      </c>
      <c r="EF227" s="5">
        <f t="shared" si="675"/>
        <v>0.18297872340425533</v>
      </c>
      <c r="EH227" s="173">
        <f t="shared" si="702"/>
        <v>0.27675366771299098</v>
      </c>
      <c r="EI227" s="173">
        <f t="shared" si="703"/>
        <v>2.8733255993708755</v>
      </c>
      <c r="EK227" s="528">
        <f t="shared" si="704"/>
        <v>9.3442962962962998E-4</v>
      </c>
      <c r="EL227" s="528">
        <f t="shared" si="705"/>
        <v>0.42497399999999991</v>
      </c>
      <c r="EM227" s="528">
        <f t="shared" si="706"/>
        <v>3.6351562499999997E-2</v>
      </c>
      <c r="EN227" s="528">
        <f t="shared" si="707"/>
        <v>8.7332156999999966E-2</v>
      </c>
      <c r="EO227">
        <f t="shared" si="708"/>
        <v>1.6199999999999999E-2</v>
      </c>
      <c r="EP227" s="460">
        <f t="shared" si="709"/>
        <v>52.551562499999996</v>
      </c>
      <c r="EQ227" s="460"/>
      <c r="ER227" s="460">
        <f t="shared" si="710"/>
        <v>565.79214912962948</v>
      </c>
      <c r="ES227" s="528">
        <f t="shared" si="711"/>
        <v>0.46199999999999997</v>
      </c>
      <c r="EV227" s="460">
        <f t="shared" si="712"/>
        <v>461.99999999999994</v>
      </c>
      <c r="EW227" s="528">
        <f t="shared" si="713"/>
        <v>2.2977777777777788E-3</v>
      </c>
      <c r="EX227" s="528">
        <f t="shared" si="714"/>
        <v>0.24768000000000001</v>
      </c>
      <c r="EY227" s="528">
        <f t="shared" si="715"/>
        <v>0.14802992549357291</v>
      </c>
      <c r="EZ227" s="528"/>
      <c r="FA227" s="528">
        <f t="shared" si="716"/>
        <v>1.2925000000000001E-2</v>
      </c>
      <c r="FB227" s="460">
        <f t="shared" si="717"/>
        <v>410.9327032713507</v>
      </c>
      <c r="FC227" s="173">
        <f t="shared" si="718"/>
        <v>1.4387248524009799</v>
      </c>
      <c r="FD227" s="5">
        <f t="shared" si="719"/>
        <v>2.64</v>
      </c>
      <c r="FE227" s="173">
        <f t="shared" si="720"/>
        <v>0.64726111604364267</v>
      </c>
      <c r="FF227" s="5">
        <f t="shared" si="721"/>
        <v>64.726111604364263</v>
      </c>
      <c r="FI227" s="562">
        <f t="shared" si="676"/>
        <v>-50</v>
      </c>
      <c r="FJ227">
        <f t="shared" si="677"/>
        <v>-50</v>
      </c>
      <c r="FL227">
        <f t="shared" si="678"/>
        <v>0.24749999999999997</v>
      </c>
    </row>
    <row r="228" spans="5:168">
      <c r="E228" s="170">
        <v>12</v>
      </c>
      <c r="F228" s="217">
        <f t="shared" si="679"/>
        <v>0.72</v>
      </c>
      <c r="G228" s="217"/>
      <c r="H228" s="217">
        <f t="shared" si="603"/>
        <v>2.88</v>
      </c>
      <c r="I228" s="541">
        <f t="shared" si="604"/>
        <v>35.974046122014123</v>
      </c>
      <c r="J228" s="172">
        <f t="shared" si="605"/>
        <v>19.095209986569245</v>
      </c>
      <c r="K228" s="172">
        <f t="shared" si="606"/>
        <v>55.069256108583367</v>
      </c>
      <c r="L228" s="443"/>
      <c r="M228" s="217">
        <f t="shared" si="607"/>
        <v>0.3470429446705704</v>
      </c>
      <c r="N228" s="172">
        <f t="shared" si="608"/>
        <v>42.17693391006776</v>
      </c>
      <c r="O228" s="172">
        <f t="shared" si="599"/>
        <v>2.88</v>
      </c>
      <c r="P228" s="217">
        <f t="shared" si="609"/>
        <v>10.54423347751694</v>
      </c>
      <c r="Q228" s="217">
        <f t="shared" si="610"/>
        <v>4</v>
      </c>
      <c r="R228" s="217"/>
      <c r="S228" s="172">
        <f t="shared" si="611"/>
        <v>157.59276927054387</v>
      </c>
      <c r="T228" s="172">
        <f t="shared" si="612"/>
        <v>4</v>
      </c>
      <c r="U228" s="217">
        <f t="shared" si="613"/>
        <v>0.55133794337879227</v>
      </c>
      <c r="V228" s="217">
        <f t="shared" si="614"/>
        <v>0.18391190410179767</v>
      </c>
      <c r="W228" s="217">
        <f t="shared" si="615"/>
        <v>0.34647722257042252</v>
      </c>
      <c r="X228" s="197">
        <f t="shared" si="616"/>
        <v>350</v>
      </c>
      <c r="Y228" s="443">
        <f t="shared" si="680"/>
        <v>350</v>
      </c>
      <c r="AA228" s="217">
        <f t="shared" si="617"/>
        <v>2.9699916298813052</v>
      </c>
      <c r="AB228" s="173">
        <f t="shared" si="618"/>
        <v>1.8664314026210367</v>
      </c>
      <c r="AC228" s="173">
        <f t="shared" si="619"/>
        <v>3.8802999504724722</v>
      </c>
      <c r="AD228" s="173"/>
      <c r="AE228" s="173">
        <f t="shared" si="620"/>
        <v>0.83790647032704646</v>
      </c>
      <c r="AF228" s="545">
        <f t="shared" si="621"/>
        <v>322.23166852335584</v>
      </c>
      <c r="AG228" s="528">
        <f t="shared" si="622"/>
        <v>0.78204603897191016</v>
      </c>
      <c r="AI228" s="173">
        <f t="shared" si="623"/>
        <v>1.2793483827961318</v>
      </c>
      <c r="AJ228" s="173">
        <f t="shared" si="624"/>
        <v>1.3333333333333335</v>
      </c>
      <c r="AK228" s="173">
        <f t="shared" si="625"/>
        <v>1.1841323820133463</v>
      </c>
      <c r="AM228" s="545">
        <f t="shared" si="626"/>
        <v>720</v>
      </c>
      <c r="AN228" s="460">
        <f t="shared" si="627"/>
        <v>322.23166852335584</v>
      </c>
      <c r="AP228">
        <f t="shared" si="628"/>
        <v>720</v>
      </c>
      <c r="AQ228">
        <f t="shared" si="629"/>
        <v>322.23166852335584</v>
      </c>
      <c r="AS228" s="5">
        <f t="shared" si="600"/>
        <v>3.1033572975075803</v>
      </c>
      <c r="AT228" s="5">
        <f t="shared" si="630"/>
        <v>0.44476509386051211</v>
      </c>
      <c r="AU228" s="5">
        <f t="shared" si="478"/>
        <v>2.6585922036470682</v>
      </c>
      <c r="AV228" s="5"/>
      <c r="AW228" s="173">
        <f t="shared" si="479"/>
        <v>0.14331739829561979</v>
      </c>
      <c r="AX228" s="173">
        <f t="shared" si="631"/>
        <v>3.4371377975824631</v>
      </c>
      <c r="AY228" s="173">
        <f t="shared" si="632"/>
        <v>2.2844869378783477</v>
      </c>
      <c r="AZ228" s="173">
        <f t="shared" si="633"/>
        <v>1.5045556796987454</v>
      </c>
      <c r="BA228" s="460">
        <f t="shared" si="594"/>
        <v>8.005771689489217</v>
      </c>
      <c r="BB228" s="5">
        <f t="shared" si="595"/>
        <v>0.17736735164878703</v>
      </c>
      <c r="BD228" s="173">
        <f t="shared" si="681"/>
        <v>0.29142551127110777</v>
      </c>
      <c r="BE228" s="173">
        <f t="shared" si="682"/>
        <v>2.8500210917758939</v>
      </c>
      <c r="BG228" s="528">
        <f t="shared" si="683"/>
        <v>1.0361317091594441E-3</v>
      </c>
      <c r="BH228" s="528">
        <f t="shared" si="634"/>
        <v>0.44362645700522058</v>
      </c>
      <c r="BI228" s="528">
        <f t="shared" si="635"/>
        <v>0.2897994226358192</v>
      </c>
      <c r="BJ228" s="528">
        <f t="shared" si="684"/>
        <v>9.7720715909455774E-2</v>
      </c>
      <c r="BK228">
        <f t="shared" si="685"/>
        <v>1.6188320754906355E-2</v>
      </c>
      <c r="BL228" s="460">
        <f t="shared" si="686"/>
        <v>305.98774339072554</v>
      </c>
      <c r="BM228" s="528">
        <f t="shared" si="636"/>
        <v>0.5427966885305906</v>
      </c>
      <c r="BN228" s="460">
        <f t="shared" si="687"/>
        <v>542.79668853059059</v>
      </c>
      <c r="BO228" s="528">
        <f t="shared" si="637"/>
        <v>0.504</v>
      </c>
      <c r="BR228" s="460">
        <f t="shared" si="688"/>
        <v>504</v>
      </c>
      <c r="BS228" s="528">
        <f t="shared" si="689"/>
        <v>2.5478648585887972E-3</v>
      </c>
      <c r="BT228" s="528">
        <f t="shared" si="690"/>
        <v>0.24367860670702376</v>
      </c>
      <c r="BU228" s="528">
        <f t="shared" si="691"/>
        <v>0.19130987859223375</v>
      </c>
      <c r="BV228" s="528"/>
      <c r="BW228" s="528">
        <f t="shared" si="692"/>
        <v>1.4321407489926928E-2</v>
      </c>
      <c r="BX228" s="460">
        <f t="shared" si="693"/>
        <v>451.85775764777327</v>
      </c>
      <c r="BY228" s="173">
        <f t="shared" si="694"/>
        <v>1.8042288056623348</v>
      </c>
      <c r="BZ228" s="5">
        <f t="shared" si="695"/>
        <v>2.88</v>
      </c>
      <c r="CA228" s="173">
        <f t="shared" si="696"/>
        <v>0.61482906140678528</v>
      </c>
      <c r="CB228" s="5">
        <f t="shared" si="697"/>
        <v>61.48290614067853</v>
      </c>
      <c r="CE228" s="562">
        <f t="shared" si="638"/>
        <v>-50</v>
      </c>
      <c r="CF228">
        <f t="shared" si="639"/>
        <v>-50</v>
      </c>
      <c r="CG228" s="173">
        <f t="shared" si="640"/>
        <v>0.29267302574716375</v>
      </c>
      <c r="CI228" s="170">
        <v>12</v>
      </c>
      <c r="CJ228" s="217">
        <f t="shared" si="698"/>
        <v>0.72</v>
      </c>
      <c r="CK228" s="217"/>
      <c r="CL228" s="217">
        <f t="shared" si="641"/>
        <v>2.88</v>
      </c>
      <c r="CM228" s="541">
        <f t="shared" si="642"/>
        <v>36</v>
      </c>
      <c r="CN228" s="443">
        <f t="shared" si="643"/>
        <v>18.8</v>
      </c>
      <c r="CO228" s="443">
        <f t="shared" si="644"/>
        <v>54.8</v>
      </c>
      <c r="CP228" s="443"/>
      <c r="CQ228" s="217">
        <f t="shared" si="645"/>
        <v>0.34306569343065696</v>
      </c>
      <c r="CR228" s="172">
        <f t="shared" si="646"/>
        <v>41.723649635036502</v>
      </c>
      <c r="CS228" s="172">
        <f t="shared" si="647"/>
        <v>2.88</v>
      </c>
      <c r="CT228" s="217">
        <f t="shared" si="648"/>
        <v>10.430912408759125</v>
      </c>
      <c r="CU228" s="217">
        <f t="shared" si="649"/>
        <v>4</v>
      </c>
      <c r="CV228" s="217"/>
      <c r="CW228" s="172">
        <f t="shared" si="650"/>
        <v>157.70643777754063</v>
      </c>
      <c r="CX228" s="172">
        <f t="shared" si="651"/>
        <v>4</v>
      </c>
      <c r="CY228" s="217">
        <f t="shared" si="652"/>
        <v>0.46638297872340417</v>
      </c>
      <c r="CZ228" s="217">
        <f t="shared" si="653"/>
        <v>0.15546099290780138</v>
      </c>
      <c r="DA228" s="217">
        <f t="shared" si="654"/>
        <v>0.29769126301493881</v>
      </c>
      <c r="DB228" s="197">
        <f t="shared" si="655"/>
        <v>350</v>
      </c>
      <c r="DC228" s="443">
        <f t="shared" si="656"/>
        <v>350</v>
      </c>
      <c r="DE228" s="217">
        <f t="shared" si="657"/>
        <v>2.940563086548488</v>
      </c>
      <c r="DF228" s="173">
        <f t="shared" si="658"/>
        <v>1.8769551616266944</v>
      </c>
      <c r="DG228" s="173">
        <f t="shared" si="659"/>
        <v>3.8635135443702762</v>
      </c>
      <c r="DH228" s="173"/>
      <c r="DI228" s="173">
        <f t="shared" si="660"/>
        <v>0.85106382978723416</v>
      </c>
      <c r="DJ228" s="545">
        <f t="shared" si="661"/>
        <v>317.24999999999994</v>
      </c>
      <c r="DK228" s="528">
        <f t="shared" si="662"/>
        <v>0.79432624113475192</v>
      </c>
      <c r="DM228" s="173">
        <f t="shared" si="663"/>
        <v>1.2694205652298893</v>
      </c>
      <c r="DN228" s="173">
        <f t="shared" si="664"/>
        <v>1.3333333333333335</v>
      </c>
      <c r="DO228" s="173">
        <f t="shared" si="665"/>
        <v>1.1812857142857143</v>
      </c>
      <c r="DQ228" s="545">
        <f t="shared" si="666"/>
        <v>720</v>
      </c>
      <c r="DR228" s="460">
        <f t="shared" si="667"/>
        <v>317.24999999999994</v>
      </c>
      <c r="DT228">
        <f t="shared" si="668"/>
        <v>720</v>
      </c>
      <c r="DU228">
        <f t="shared" si="669"/>
        <v>317.24999999999994</v>
      </c>
      <c r="DW228" s="5">
        <f t="shared" si="670"/>
        <v>3.1520882584712377</v>
      </c>
      <c r="DX228" s="5">
        <f t="shared" si="671"/>
        <v>0.44444444444444453</v>
      </c>
      <c r="DY228" s="5">
        <f t="shared" si="672"/>
        <v>2.7076438140267931</v>
      </c>
      <c r="DZ228" s="5"/>
      <c r="EA228" s="173">
        <f t="shared" si="673"/>
        <v>0.14100000000000001</v>
      </c>
      <c r="EB228" s="173">
        <f t="shared" si="699"/>
        <v>3.3840000000000003</v>
      </c>
      <c r="EC228" s="173">
        <f t="shared" si="700"/>
        <v>2.2906666666666671</v>
      </c>
      <c r="ED228" s="173">
        <f t="shared" si="701"/>
        <v>1.4772991850989521</v>
      </c>
      <c r="EE228" s="460">
        <f t="shared" si="674"/>
        <v>8.0000000000000018</v>
      </c>
      <c r="EF228" s="5">
        <f t="shared" si="675"/>
        <v>0.18050958760178618</v>
      </c>
      <c r="EH228" s="173">
        <f t="shared" si="702"/>
        <v>0.2890597785157174</v>
      </c>
      <c r="EI228" s="173">
        <f t="shared" si="703"/>
        <v>2.8538732614803686</v>
      </c>
      <c r="EK228" s="528">
        <f t="shared" si="704"/>
        <v>1.0193777777777783E-3</v>
      </c>
      <c r="EL228" s="528">
        <f t="shared" si="705"/>
        <v>0.46360799999999991</v>
      </c>
      <c r="EM228" s="528">
        <f t="shared" si="706"/>
        <v>3.965624999999999E-2</v>
      </c>
      <c r="EN228" s="528">
        <f t="shared" si="707"/>
        <v>9.5271443999999969E-2</v>
      </c>
      <c r="EO228">
        <f t="shared" si="708"/>
        <v>1.6199999999999999E-2</v>
      </c>
      <c r="EP228" s="460">
        <f t="shared" si="709"/>
        <v>55.856249999999989</v>
      </c>
      <c r="EQ228" s="460"/>
      <c r="ER228" s="460">
        <f t="shared" si="710"/>
        <v>615.75507177777763</v>
      </c>
      <c r="ES228" s="528">
        <f t="shared" si="711"/>
        <v>0.504</v>
      </c>
      <c r="EV228" s="460">
        <f t="shared" si="712"/>
        <v>504</v>
      </c>
      <c r="EW228" s="528">
        <f t="shared" si="713"/>
        <v>2.5066666666666679E-3</v>
      </c>
      <c r="EX228" s="528">
        <f t="shared" si="714"/>
        <v>0.24433777777777788</v>
      </c>
      <c r="EY228" s="528">
        <f t="shared" si="715"/>
        <v>0.18400131329927374</v>
      </c>
      <c r="EZ228" s="528"/>
      <c r="FA228" s="528">
        <f t="shared" si="716"/>
        <v>1.41E-2</v>
      </c>
      <c r="FB228" s="460">
        <f t="shared" si="717"/>
        <v>444.94575774371827</v>
      </c>
      <c r="FC228" s="173">
        <f t="shared" si="718"/>
        <v>1.5647008295214959</v>
      </c>
      <c r="FD228" s="5">
        <f t="shared" si="719"/>
        <v>2.88</v>
      </c>
      <c r="FE228" s="173">
        <f t="shared" si="720"/>
        <v>0.64796262121202264</v>
      </c>
      <c r="FF228" s="5">
        <f t="shared" si="721"/>
        <v>64.796262121202261</v>
      </c>
      <c r="FI228" s="562">
        <f t="shared" si="676"/>
        <v>-50</v>
      </c>
      <c r="FJ228">
        <f t="shared" si="677"/>
        <v>-50</v>
      </c>
      <c r="FL228">
        <f t="shared" si="678"/>
        <v>0.26999999999999996</v>
      </c>
    </row>
    <row r="229" spans="5:168">
      <c r="E229" s="170">
        <v>13</v>
      </c>
      <c r="F229" s="217">
        <f t="shared" si="679"/>
        <v>0.78</v>
      </c>
      <c r="G229" s="217"/>
      <c r="H229" s="217">
        <f t="shared" si="603"/>
        <v>3.12</v>
      </c>
      <c r="I229" s="541">
        <f t="shared" si="604"/>
        <v>35.974046122014123</v>
      </c>
      <c r="J229" s="172">
        <f t="shared" si="605"/>
        <v>19.095209986569245</v>
      </c>
      <c r="K229" s="172">
        <f t="shared" si="606"/>
        <v>55.069256108583367</v>
      </c>
      <c r="L229" s="443"/>
      <c r="M229" s="217">
        <f t="shared" si="607"/>
        <v>0.3470429446705704</v>
      </c>
      <c r="N229" s="172">
        <f t="shared" si="608"/>
        <v>42.17693391006776</v>
      </c>
      <c r="O229" s="172">
        <f t="shared" si="599"/>
        <v>3.12</v>
      </c>
      <c r="P229" s="217">
        <f t="shared" si="609"/>
        <v>10.54423347751694</v>
      </c>
      <c r="Q229" s="217">
        <f t="shared" si="610"/>
        <v>4</v>
      </c>
      <c r="R229" s="217"/>
      <c r="S229" s="172">
        <f t="shared" si="611"/>
        <v>144.78500052112938</v>
      </c>
      <c r="T229" s="172">
        <f t="shared" si="612"/>
        <v>4</v>
      </c>
      <c r="U229" s="217">
        <f t="shared" si="613"/>
        <v>0.59728277199369162</v>
      </c>
      <c r="V229" s="217">
        <f t="shared" si="614"/>
        <v>0.19923789611028081</v>
      </c>
      <c r="W229" s="217">
        <f t="shared" si="615"/>
        <v>0.37535032445129107</v>
      </c>
      <c r="X229" s="197">
        <f t="shared" si="616"/>
        <v>350</v>
      </c>
      <c r="Y229" s="443">
        <f t="shared" si="680"/>
        <v>350</v>
      </c>
      <c r="AA229" s="217">
        <f t="shared" si="617"/>
        <v>2.9699916298813052</v>
      </c>
      <c r="AB229" s="173">
        <f t="shared" si="618"/>
        <v>1.8664314026210367</v>
      </c>
      <c r="AC229" s="173">
        <f t="shared" si="619"/>
        <v>3.8802999504724722</v>
      </c>
      <c r="AD229" s="173"/>
      <c r="AE229" s="173">
        <f t="shared" si="620"/>
        <v>0.83790647032704646</v>
      </c>
      <c r="AF229" s="545">
        <f t="shared" si="621"/>
        <v>349.0843075669689</v>
      </c>
      <c r="AG229" s="528">
        <f t="shared" si="622"/>
        <v>0.78204603897191016</v>
      </c>
      <c r="AI229" s="173">
        <f t="shared" si="623"/>
        <v>1.3315880149693453</v>
      </c>
      <c r="AJ229" s="173">
        <f t="shared" si="624"/>
        <v>1.3333333333333335</v>
      </c>
      <c r="AK229" s="173">
        <f t="shared" si="625"/>
        <v>1.1994767471811252</v>
      </c>
      <c r="AM229" s="545">
        <f t="shared" si="626"/>
        <v>780</v>
      </c>
      <c r="AN229" s="460">
        <f t="shared" si="627"/>
        <v>349.0843075669689</v>
      </c>
      <c r="AP229">
        <f t="shared" si="628"/>
        <v>780</v>
      </c>
      <c r="AQ229">
        <f t="shared" si="629"/>
        <v>349.0843075669689</v>
      </c>
      <c r="AS229" s="5">
        <f t="shared" si="600"/>
        <v>2.8646375053916118</v>
      </c>
      <c r="AT229" s="5">
        <f t="shared" si="630"/>
        <v>0.44476509386051211</v>
      </c>
      <c r="AU229" s="5">
        <f t="shared" si="478"/>
        <v>2.4198724115310997</v>
      </c>
      <c r="AV229" s="5"/>
      <c r="AW229" s="173">
        <f t="shared" si="479"/>
        <v>0.1552605148202548</v>
      </c>
      <c r="AX229" s="173">
        <f t="shared" si="631"/>
        <v>3.7235659473810023</v>
      </c>
      <c r="AY229" s="173">
        <f t="shared" si="632"/>
        <v>2.2526386271459873</v>
      </c>
      <c r="AZ229" s="173">
        <f t="shared" si="633"/>
        <v>1.6529797112192057</v>
      </c>
      <c r="BA229" s="460">
        <f t="shared" si="594"/>
        <v>8.6729193302799867</v>
      </c>
      <c r="BB229" s="5">
        <f t="shared" si="595"/>
        <v>0.1748946517898276</v>
      </c>
      <c r="BD229" s="173">
        <f t="shared" si="681"/>
        <v>0.30332528909504969</v>
      </c>
      <c r="BE229" s="173">
        <f t="shared" si="682"/>
        <v>2.830085119816709</v>
      </c>
      <c r="BG229" s="528">
        <f t="shared" si="683"/>
        <v>1.1224760182560647E-3</v>
      </c>
      <c r="BH229" s="528">
        <f t="shared" si="634"/>
        <v>0.4805953284223225</v>
      </c>
      <c r="BI229" s="528">
        <f t="shared" si="635"/>
        <v>0.31394937452213756</v>
      </c>
      <c r="BJ229" s="528">
        <f t="shared" si="684"/>
        <v>0.10586410890191045</v>
      </c>
      <c r="BK229">
        <f t="shared" si="685"/>
        <v>1.6188320754906355E-2</v>
      </c>
      <c r="BL229" s="460">
        <f t="shared" si="686"/>
        <v>330.13769527704392</v>
      </c>
      <c r="BM229" s="528">
        <f t="shared" si="636"/>
        <v>0.58804181279644285</v>
      </c>
      <c r="BN229" s="460">
        <f t="shared" si="687"/>
        <v>588.04181279644285</v>
      </c>
      <c r="BO229" s="528">
        <f t="shared" si="637"/>
        <v>0.54599999999999993</v>
      </c>
      <c r="BR229" s="460">
        <f t="shared" si="688"/>
        <v>545.99999999999989</v>
      </c>
      <c r="BS229" s="528">
        <f t="shared" si="689"/>
        <v>2.7601869301378638E-3</v>
      </c>
      <c r="BT229" s="528">
        <f t="shared" si="690"/>
        <v>0.24028145356223871</v>
      </c>
      <c r="BU229" s="528">
        <f t="shared" si="691"/>
        <v>0.233691363079995</v>
      </c>
      <c r="BV229" s="528"/>
      <c r="BW229" s="528">
        <f t="shared" si="692"/>
        <v>1.551485811408751E-2</v>
      </c>
      <c r="BX229" s="460">
        <f t="shared" si="693"/>
        <v>492.24786168645909</v>
      </c>
      <c r="BY229" s="173">
        <f t="shared" si="694"/>
        <v>1.9559674703059919</v>
      </c>
      <c r="BZ229" s="5">
        <f t="shared" si="695"/>
        <v>3.12</v>
      </c>
      <c r="CA229" s="173">
        <f t="shared" si="696"/>
        <v>0.6146611494757902</v>
      </c>
      <c r="CB229" s="5">
        <f t="shared" si="697"/>
        <v>61.466114947579022</v>
      </c>
      <c r="CE229" s="562">
        <f t="shared" si="638"/>
        <v>-50</v>
      </c>
      <c r="CF229">
        <f t="shared" si="639"/>
        <v>-50</v>
      </c>
      <c r="CG229" s="173">
        <f t="shared" si="640"/>
        <v>0.31706244455942739</v>
      </c>
      <c r="CI229" s="170">
        <v>13</v>
      </c>
      <c r="CJ229" s="217">
        <f t="shared" si="698"/>
        <v>0.78</v>
      </c>
      <c r="CK229" s="217"/>
      <c r="CL229" s="217">
        <f t="shared" si="641"/>
        <v>3.12</v>
      </c>
      <c r="CM229" s="541">
        <f t="shared" si="642"/>
        <v>36</v>
      </c>
      <c r="CN229" s="443">
        <f t="shared" si="643"/>
        <v>18.8</v>
      </c>
      <c r="CO229" s="443">
        <f t="shared" si="644"/>
        <v>54.8</v>
      </c>
      <c r="CP229" s="443"/>
      <c r="CQ229" s="217">
        <f t="shared" si="645"/>
        <v>0.34306569343065696</v>
      </c>
      <c r="CR229" s="172">
        <f t="shared" si="646"/>
        <v>41.723649635036502</v>
      </c>
      <c r="CS229" s="172">
        <f t="shared" si="647"/>
        <v>3.12</v>
      </c>
      <c r="CT229" s="217">
        <f t="shared" si="648"/>
        <v>10.430912408759125</v>
      </c>
      <c r="CU229" s="217">
        <f t="shared" si="649"/>
        <v>4</v>
      </c>
      <c r="CV229" s="217"/>
      <c r="CW229" s="172">
        <f t="shared" si="650"/>
        <v>144.88942621945452</v>
      </c>
      <c r="CX229" s="172">
        <f t="shared" si="651"/>
        <v>4</v>
      </c>
      <c r="CY229" s="217">
        <f t="shared" si="652"/>
        <v>0.50524822695035454</v>
      </c>
      <c r="CZ229" s="217">
        <f t="shared" si="653"/>
        <v>0.16841607565011818</v>
      </c>
      <c r="DA229" s="217">
        <f t="shared" si="654"/>
        <v>0.32249886826618374</v>
      </c>
      <c r="DB229" s="197">
        <f t="shared" si="655"/>
        <v>350</v>
      </c>
      <c r="DC229" s="443">
        <f t="shared" si="656"/>
        <v>350</v>
      </c>
      <c r="DE229" s="217">
        <f t="shared" si="657"/>
        <v>2.940563086548488</v>
      </c>
      <c r="DF229" s="173">
        <f t="shared" si="658"/>
        <v>1.8769551616266944</v>
      </c>
      <c r="DG229" s="173">
        <f t="shared" si="659"/>
        <v>3.8635135443702762</v>
      </c>
      <c r="DH229" s="173"/>
      <c r="DI229" s="173">
        <f t="shared" si="660"/>
        <v>0.85106382978723416</v>
      </c>
      <c r="DJ229" s="545">
        <f t="shared" si="661"/>
        <v>343.68749999999994</v>
      </c>
      <c r="DK229" s="528">
        <f t="shared" si="662"/>
        <v>0.79432624113475192</v>
      </c>
      <c r="DM229" s="173">
        <f t="shared" si="663"/>
        <v>1.3212548148310703</v>
      </c>
      <c r="DN229" s="173">
        <f t="shared" si="664"/>
        <v>1.3333333333333335</v>
      </c>
      <c r="DO229" s="173">
        <f t="shared" si="665"/>
        <v>1.196392857142857</v>
      </c>
      <c r="DQ229" s="545">
        <f t="shared" si="666"/>
        <v>780</v>
      </c>
      <c r="DR229" s="460">
        <f t="shared" si="667"/>
        <v>343.68749999999994</v>
      </c>
      <c r="DT229">
        <f t="shared" si="668"/>
        <v>780</v>
      </c>
      <c r="DU229">
        <f t="shared" si="669"/>
        <v>343.68749999999994</v>
      </c>
      <c r="DW229" s="5">
        <f t="shared" si="670"/>
        <v>2.9096199308965272</v>
      </c>
      <c r="DX229" s="5">
        <f t="shared" si="671"/>
        <v>0.44444444444444453</v>
      </c>
      <c r="DY229" s="5">
        <f t="shared" si="672"/>
        <v>2.4651754864520825</v>
      </c>
      <c r="DZ229" s="5"/>
      <c r="EA229" s="173">
        <f t="shared" si="673"/>
        <v>0.15275</v>
      </c>
      <c r="EB229" s="173">
        <f t="shared" si="699"/>
        <v>3.6659999999999999</v>
      </c>
      <c r="EC229" s="173">
        <f t="shared" si="700"/>
        <v>2.2593333333333336</v>
      </c>
      <c r="ED229" s="173">
        <f t="shared" si="701"/>
        <v>1.622602537621717</v>
      </c>
      <c r="EE229" s="460">
        <f t="shared" si="674"/>
        <v>8.6666666666666679</v>
      </c>
      <c r="EF229" s="5">
        <f t="shared" si="675"/>
        <v>0.17804045179931705</v>
      </c>
      <c r="EH229" s="173">
        <f t="shared" si="702"/>
        <v>0.3008629563746899</v>
      </c>
      <c r="EI229" s="173">
        <f t="shared" si="703"/>
        <v>2.8342874210611013</v>
      </c>
      <c r="EK229" s="528">
        <f t="shared" si="704"/>
        <v>1.1043259259259264E-3</v>
      </c>
      <c r="EL229" s="528">
        <f t="shared" si="705"/>
        <v>0.50224199999999997</v>
      </c>
      <c r="EM229" s="528">
        <f t="shared" si="706"/>
        <v>4.296093749999999E-2</v>
      </c>
      <c r="EN229" s="528">
        <f t="shared" si="707"/>
        <v>0.10321073099999997</v>
      </c>
      <c r="EO229">
        <f t="shared" si="708"/>
        <v>1.6199999999999999E-2</v>
      </c>
      <c r="EP229" s="460">
        <f t="shared" si="709"/>
        <v>59.160937499999989</v>
      </c>
      <c r="EQ229" s="460"/>
      <c r="ER229" s="460">
        <f t="shared" si="710"/>
        <v>665.71799442592578</v>
      </c>
      <c r="ES229" s="528">
        <f t="shared" si="711"/>
        <v>0.54599999999999993</v>
      </c>
      <c r="EV229" s="460">
        <f t="shared" si="712"/>
        <v>545.99999999999989</v>
      </c>
      <c r="EW229" s="528">
        <f t="shared" si="713"/>
        <v>2.715555555555557E-3</v>
      </c>
      <c r="EX229" s="528">
        <f t="shared" si="714"/>
        <v>0.24099555555555568</v>
      </c>
      <c r="EY229" s="528">
        <f t="shared" si="715"/>
        <v>0.2247637081254307</v>
      </c>
      <c r="EZ229" s="528"/>
      <c r="FA229" s="528">
        <f t="shared" si="716"/>
        <v>1.5275000000000002E-2</v>
      </c>
      <c r="FB229" s="460">
        <f t="shared" si="717"/>
        <v>483.7498192365419</v>
      </c>
      <c r="FC229" s="173">
        <f t="shared" si="718"/>
        <v>1.6954678136624677</v>
      </c>
      <c r="FD229" s="5">
        <f t="shared" si="719"/>
        <v>3.12</v>
      </c>
      <c r="FE229" s="173">
        <f t="shared" si="720"/>
        <v>0.64791212831864875</v>
      </c>
      <c r="FF229" s="5">
        <f t="shared" si="721"/>
        <v>64.791212831864868</v>
      </c>
      <c r="FI229" s="562">
        <f t="shared" si="676"/>
        <v>-50</v>
      </c>
      <c r="FJ229">
        <f t="shared" si="677"/>
        <v>-50</v>
      </c>
      <c r="FL229">
        <f t="shared" si="678"/>
        <v>0.29249999999999998</v>
      </c>
    </row>
    <row r="230" spans="5:168">
      <c r="E230" s="170">
        <v>14</v>
      </c>
      <c r="F230" s="217">
        <f t="shared" si="679"/>
        <v>0.84000000000000008</v>
      </c>
      <c r="G230" s="217"/>
      <c r="H230" s="217">
        <f t="shared" si="603"/>
        <v>3.3600000000000003</v>
      </c>
      <c r="I230" s="541">
        <f t="shared" si="604"/>
        <v>35.973310376548177</v>
      </c>
      <c r="J230" s="172">
        <f t="shared" si="605"/>
        <v>19.103578655376165</v>
      </c>
      <c r="K230" s="172">
        <f t="shared" si="606"/>
        <v>55.076889031924338</v>
      </c>
      <c r="L230" s="443"/>
      <c r="M230" s="217">
        <f t="shared" si="607"/>
        <v>0.34715507382537791</v>
      </c>
      <c r="N230" s="172">
        <f t="shared" si="608"/>
        <v>42.189698339924178</v>
      </c>
      <c r="O230" s="172">
        <f t="shared" si="599"/>
        <v>3.3600000000000003</v>
      </c>
      <c r="P230" s="217">
        <f t="shared" si="609"/>
        <v>10.547424584981044</v>
      </c>
      <c r="Q230" s="217">
        <f t="shared" si="610"/>
        <v>4</v>
      </c>
      <c r="R230" s="217"/>
      <c r="S230" s="172">
        <f t="shared" si="611"/>
        <v>133.80470784300311</v>
      </c>
      <c r="T230" s="172">
        <f t="shared" si="612"/>
        <v>4</v>
      </c>
      <c r="U230" s="217">
        <f t="shared" si="613"/>
        <v>0.64333807794296793</v>
      </c>
      <c r="V230" s="217">
        <f t="shared" si="614"/>
        <v>0.21460512959487033</v>
      </c>
      <c r="W230" s="217">
        <f t="shared" si="615"/>
        <v>0.40411574577640835</v>
      </c>
      <c r="X230" s="197">
        <f t="shared" si="616"/>
        <v>350</v>
      </c>
      <c r="Y230" s="443">
        <f t="shared" si="680"/>
        <v>350</v>
      </c>
      <c r="AA230" s="217">
        <f t="shared" si="617"/>
        <v>2.9708207162393916</v>
      </c>
      <c r="AB230" s="173">
        <f t="shared" si="618"/>
        <v>1.8661345728979453</v>
      </c>
      <c r="AC230" s="173">
        <f t="shared" si="619"/>
        <v>3.8807658739190356</v>
      </c>
      <c r="AD230" s="173"/>
      <c r="AE230" s="173">
        <f t="shared" si="620"/>
        <v>0.83753941021397338</v>
      </c>
      <c r="AF230" s="545">
        <f t="shared" si="621"/>
        <v>376.10170477771817</v>
      </c>
      <c r="AG230" s="528">
        <f t="shared" si="622"/>
        <v>0.78170344953304194</v>
      </c>
      <c r="AI230" s="173">
        <f t="shared" si="623"/>
        <v>1.3821569612520919</v>
      </c>
      <c r="AJ230" s="173">
        <f t="shared" si="624"/>
        <v>1.3821569612520919</v>
      </c>
      <c r="AK230" s="173">
        <f t="shared" si="625"/>
        <v>1.2361656503101914</v>
      </c>
      <c r="AM230" s="545">
        <f t="shared" si="626"/>
        <v>840.00000000000011</v>
      </c>
      <c r="AN230" s="460">
        <f t="shared" si="627"/>
        <v>350</v>
      </c>
      <c r="AP230">
        <f t="shared" si="628"/>
        <v>840.00000000000011</v>
      </c>
      <c r="AQ230">
        <f t="shared" si="629"/>
        <v>350</v>
      </c>
      <c r="AS230" s="5">
        <f t="shared" si="600"/>
        <v>2.8571428571428572</v>
      </c>
      <c r="AT230" s="5">
        <f t="shared" si="630"/>
        <v>0.46106080762135859</v>
      </c>
      <c r="AU230" s="5">
        <f t="shared" si="478"/>
        <v>2.3960820495214987</v>
      </c>
      <c r="AV230" s="5"/>
      <c r="AW230" s="173">
        <f t="shared" si="479"/>
        <v>0.1613712826674755</v>
      </c>
      <c r="AX230" s="173">
        <f t="shared" si="631"/>
        <v>4.0117515176289951</v>
      </c>
      <c r="AY230" s="173">
        <f t="shared" si="632"/>
        <v>2.3182330391341233</v>
      </c>
      <c r="AZ230" s="173">
        <f t="shared" si="633"/>
        <v>1.7305212417848264</v>
      </c>
      <c r="BA230" s="460">
        <f t="shared" si="594"/>
        <v>9.6822769600485312</v>
      </c>
      <c r="BB230" s="5">
        <f t="shared" si="595"/>
        <v>0.18650020441360232</v>
      </c>
      <c r="BD230" s="173">
        <f t="shared" si="681"/>
        <v>0.32056039426588862</v>
      </c>
      <c r="BE230" s="173">
        <f t="shared" si="682"/>
        <v>2.9230860098390634</v>
      </c>
      <c r="BG230" s="528">
        <f t="shared" si="683"/>
        <v>1.2536593897372037E-3</v>
      </c>
      <c r="BH230" s="528">
        <f t="shared" si="634"/>
        <v>0.49956969286601477</v>
      </c>
      <c r="BI230" s="528">
        <f t="shared" si="635"/>
        <v>0.3147664657947965</v>
      </c>
      <c r="BJ230" s="528">
        <f t="shared" si="684"/>
        <v>0.10617122969022176</v>
      </c>
      <c r="BK230">
        <f t="shared" si="685"/>
        <v>1.6187989669446678E-2</v>
      </c>
      <c r="BL230" s="460">
        <f t="shared" si="686"/>
        <v>330.95445546424315</v>
      </c>
      <c r="BM230" s="528">
        <f t="shared" si="636"/>
        <v>0.60751402986390446</v>
      </c>
      <c r="BN230" s="460">
        <f t="shared" si="687"/>
        <v>607.51402986390451</v>
      </c>
      <c r="BO230" s="528">
        <f t="shared" si="637"/>
        <v>0.58799999999999997</v>
      </c>
      <c r="BR230" s="460">
        <f t="shared" si="688"/>
        <v>588</v>
      </c>
      <c r="BS230" s="528">
        <f t="shared" si="689"/>
        <v>3.0827689911570588E-3</v>
      </c>
      <c r="BT230" s="528">
        <f t="shared" si="690"/>
        <v>0.25633295462750572</v>
      </c>
      <c r="BU230" s="528">
        <f t="shared" si="691"/>
        <v>0.25735554425464102</v>
      </c>
      <c r="BV230" s="528"/>
      <c r="BW230" s="528">
        <f t="shared" si="692"/>
        <v>1.6715631323454144E-2</v>
      </c>
      <c r="BX230" s="460">
        <f t="shared" si="693"/>
        <v>533.48689919675792</v>
      </c>
      <c r="BY230" s="173">
        <f t="shared" si="694"/>
        <v>2.0594359366069748</v>
      </c>
      <c r="BZ230" s="5">
        <f t="shared" si="695"/>
        <v>3.3600000000000003</v>
      </c>
      <c r="CA230" s="173">
        <f t="shared" si="696"/>
        <v>0.61999072215320705</v>
      </c>
      <c r="CB230" s="5">
        <f t="shared" si="697"/>
        <v>61.999072215320709</v>
      </c>
      <c r="CE230" s="562">
        <f t="shared" si="638"/>
        <v>-50</v>
      </c>
      <c r="CF230">
        <f t="shared" si="639"/>
        <v>-50</v>
      </c>
      <c r="CG230" s="173">
        <f t="shared" si="640"/>
        <v>0.33203915431767983</v>
      </c>
      <c r="CI230" s="170">
        <v>14</v>
      </c>
      <c r="CJ230" s="217">
        <f t="shared" si="698"/>
        <v>0.84000000000000008</v>
      </c>
      <c r="CK230" s="217"/>
      <c r="CL230" s="217">
        <f t="shared" si="641"/>
        <v>3.3600000000000003</v>
      </c>
      <c r="CM230" s="541">
        <f t="shared" si="642"/>
        <v>36</v>
      </c>
      <c r="CN230" s="443">
        <f t="shared" si="643"/>
        <v>18.8</v>
      </c>
      <c r="CO230" s="443">
        <f t="shared" si="644"/>
        <v>54.8</v>
      </c>
      <c r="CP230" s="443"/>
      <c r="CQ230" s="217">
        <f t="shared" si="645"/>
        <v>0.34306569343065696</v>
      </c>
      <c r="CR230" s="172">
        <f t="shared" si="646"/>
        <v>41.723649635036502</v>
      </c>
      <c r="CS230" s="172">
        <f t="shared" si="647"/>
        <v>3.3600000000000003</v>
      </c>
      <c r="CT230" s="217">
        <f t="shared" si="648"/>
        <v>10.430912408759125</v>
      </c>
      <c r="CU230" s="217">
        <f t="shared" si="649"/>
        <v>4</v>
      </c>
      <c r="CV230" s="217"/>
      <c r="CW230" s="172">
        <f t="shared" si="650"/>
        <v>133.90394683390716</v>
      </c>
      <c r="CX230" s="172">
        <f t="shared" si="651"/>
        <v>4</v>
      </c>
      <c r="CY230" s="217">
        <f t="shared" si="652"/>
        <v>0.54411347517730491</v>
      </c>
      <c r="CZ230" s="217">
        <f t="shared" si="653"/>
        <v>0.18137115839243498</v>
      </c>
      <c r="DA230" s="217">
        <f t="shared" si="654"/>
        <v>0.3473064735174286</v>
      </c>
      <c r="DB230" s="197">
        <f t="shared" si="655"/>
        <v>350</v>
      </c>
      <c r="DC230" s="443">
        <f t="shared" si="656"/>
        <v>350</v>
      </c>
      <c r="DE230" s="217">
        <f t="shared" si="657"/>
        <v>2.940563086548488</v>
      </c>
      <c r="DF230" s="173">
        <f t="shared" si="658"/>
        <v>1.8769551616266944</v>
      </c>
      <c r="DG230" s="173">
        <f t="shared" si="659"/>
        <v>3.8635135443702762</v>
      </c>
      <c r="DH230" s="173"/>
      <c r="DI230" s="173">
        <f t="shared" si="660"/>
        <v>0.85106382978723416</v>
      </c>
      <c r="DJ230" s="545">
        <f t="shared" si="661"/>
        <v>370.12499999999994</v>
      </c>
      <c r="DK230" s="528">
        <f t="shared" si="662"/>
        <v>0.79432624113475192</v>
      </c>
      <c r="DM230" s="173">
        <f t="shared" si="663"/>
        <v>1.3711309200802089</v>
      </c>
      <c r="DN230" s="173">
        <f t="shared" si="664"/>
        <v>1.3711309200802089</v>
      </c>
      <c r="DO230" s="173">
        <f t="shared" si="665"/>
        <v>1.2279982124050928</v>
      </c>
      <c r="DQ230" s="545">
        <f t="shared" si="666"/>
        <v>840.00000000000011</v>
      </c>
      <c r="DR230" s="460">
        <f t="shared" si="667"/>
        <v>350</v>
      </c>
      <c r="DT230">
        <f t="shared" si="668"/>
        <v>840.00000000000011</v>
      </c>
      <c r="DU230">
        <f t="shared" si="669"/>
        <v>350</v>
      </c>
      <c r="DW230" s="5">
        <f t="shared" si="670"/>
        <v>2.8571428571428572</v>
      </c>
      <c r="DX230" s="5">
        <f t="shared" si="671"/>
        <v>0.45704364002673631</v>
      </c>
      <c r="DY230" s="5">
        <f t="shared" si="672"/>
        <v>2.4000992171161211</v>
      </c>
      <c r="DZ230" s="5"/>
      <c r="EA230" s="173">
        <f t="shared" si="673"/>
        <v>0.1599652740093577</v>
      </c>
      <c r="EB230" s="173">
        <f t="shared" si="699"/>
        <v>3.948</v>
      </c>
      <c r="EC230" s="173">
        <f t="shared" si="700"/>
        <v>2.303595173493751</v>
      </c>
      <c r="ED230" s="173">
        <f t="shared" si="701"/>
        <v>1.7138427990419254</v>
      </c>
      <c r="EE230" s="460">
        <f t="shared" si="674"/>
        <v>9.5979164405614643</v>
      </c>
      <c r="EF230" s="5">
        <f t="shared" si="675"/>
        <v>0.18667438355347607</v>
      </c>
      <c r="EH230" s="173">
        <f t="shared" si="702"/>
        <v>0.31661475809864603</v>
      </c>
      <c r="EI230" s="173">
        <f t="shared" si="703"/>
        <v>2.9021971307843373</v>
      </c>
      <c r="EK230" s="528">
        <f t="shared" si="704"/>
        <v>1.2229878415595424E-3</v>
      </c>
      <c r="EL230" s="528">
        <f t="shared" si="705"/>
        <v>0.525965820942768</v>
      </c>
      <c r="EM230" s="528">
        <f t="shared" si="706"/>
        <v>4.3749999999999997E-2</v>
      </c>
      <c r="EN230" s="528">
        <f t="shared" si="707"/>
        <v>0.10510639999999997</v>
      </c>
      <c r="EO230">
        <f t="shared" si="708"/>
        <v>1.6199999999999999E-2</v>
      </c>
      <c r="EP230" s="460">
        <f t="shared" si="709"/>
        <v>59.949999999999996</v>
      </c>
      <c r="EQ230" s="460"/>
      <c r="ER230" s="460">
        <f t="shared" si="710"/>
        <v>692.24520878432736</v>
      </c>
      <c r="ES230" s="528">
        <f t="shared" si="711"/>
        <v>0.58799999999999997</v>
      </c>
      <c r="EV230" s="460">
        <f t="shared" si="712"/>
        <v>588</v>
      </c>
      <c r="EW230" s="528">
        <f t="shared" si="713"/>
        <v>3.007347151375924E-3</v>
      </c>
      <c r="EX230" s="528">
        <f t="shared" si="714"/>
        <v>0.25268244557798519</v>
      </c>
      <c r="EY230" s="528">
        <f t="shared" si="715"/>
        <v>0.25225363128877276</v>
      </c>
      <c r="EZ230" s="528"/>
      <c r="FA230" s="528">
        <f t="shared" si="716"/>
        <v>1.6449999999999999E-2</v>
      </c>
      <c r="FB230" s="460">
        <f t="shared" si="717"/>
        <v>524.39342401813383</v>
      </c>
      <c r="FC230" s="173">
        <f t="shared" si="718"/>
        <v>1.8046386328024615</v>
      </c>
      <c r="FD230" s="5">
        <f t="shared" si="719"/>
        <v>3.3600000000000003</v>
      </c>
      <c r="FE230" s="173">
        <f t="shared" si="720"/>
        <v>0.65057794724677187</v>
      </c>
      <c r="FF230" s="5">
        <f t="shared" si="721"/>
        <v>65.057794724677194</v>
      </c>
      <c r="FI230" s="562">
        <f t="shared" si="676"/>
        <v>-50</v>
      </c>
      <c r="FJ230">
        <f t="shared" si="677"/>
        <v>-50</v>
      </c>
      <c r="FL230">
        <f t="shared" si="678"/>
        <v>0.30631648214557861</v>
      </c>
    </row>
    <row r="231" spans="5:168">
      <c r="E231" s="170">
        <v>15</v>
      </c>
      <c r="F231" s="217">
        <f t="shared" si="679"/>
        <v>0.89999999999999991</v>
      </c>
      <c r="G231" s="217"/>
      <c r="H231" s="217">
        <f t="shared" si="603"/>
        <v>3.5999999999999996</v>
      </c>
      <c r="I231" s="541">
        <f t="shared" si="604"/>
        <v>35.972373615096124</v>
      </c>
      <c r="J231" s="172">
        <f t="shared" si="605"/>
        <v>19.114233761939829</v>
      </c>
      <c r="K231" s="172">
        <f t="shared" si="606"/>
        <v>55.086607377035953</v>
      </c>
      <c r="L231" s="443"/>
      <c r="M231" s="217">
        <f t="shared" si="607"/>
        <v>0.34729778915399745</v>
      </c>
      <c r="N231" s="172">
        <f t="shared" si="608"/>
        <v>42.205943419369753</v>
      </c>
      <c r="O231" s="172">
        <f t="shared" si="599"/>
        <v>3.5999999999999996</v>
      </c>
      <c r="P231" s="217">
        <f t="shared" si="609"/>
        <v>10.551485854842438</v>
      </c>
      <c r="Q231" s="217">
        <f t="shared" si="610"/>
        <v>4</v>
      </c>
      <c r="R231" s="217"/>
      <c r="S231" s="172">
        <f t="shared" si="611"/>
        <v>124.2882860284232</v>
      </c>
      <c r="T231" s="172">
        <f t="shared" si="612"/>
        <v>4</v>
      </c>
      <c r="U231" s="217">
        <f t="shared" si="613"/>
        <v>0.68944151333075854</v>
      </c>
      <c r="V231" s="217">
        <f t="shared" si="614"/>
        <v>0.22999033226145355</v>
      </c>
      <c r="W231" s="217">
        <f t="shared" si="615"/>
        <v>0.4328344135061723</v>
      </c>
      <c r="X231" s="197">
        <f t="shared" si="616"/>
        <v>350</v>
      </c>
      <c r="Y231" s="443">
        <f t="shared" si="680"/>
        <v>350</v>
      </c>
      <c r="AA231" s="217">
        <f t="shared" si="617"/>
        <v>2.9718759111044504</v>
      </c>
      <c r="AB231" s="173">
        <f t="shared" si="618"/>
        <v>1.8657567641693504</v>
      </c>
      <c r="AC231" s="173">
        <f t="shared" si="619"/>
        <v>3.8813583083905558</v>
      </c>
      <c r="AD231" s="173"/>
      <c r="AE231" s="173">
        <f t="shared" si="620"/>
        <v>0.83707252926136788</v>
      </c>
      <c r="AF231" s="545">
        <f t="shared" si="621"/>
        <v>403.19086841591809</v>
      </c>
      <c r="AG231" s="528">
        <f t="shared" si="622"/>
        <v>0.7812676939772768</v>
      </c>
      <c r="AI231" s="173">
        <f t="shared" si="623"/>
        <v>1.4310673000773568</v>
      </c>
      <c r="AJ231" s="173">
        <f t="shared" si="624"/>
        <v>1.4310673000773568</v>
      </c>
      <c r="AK231" s="173">
        <f t="shared" si="625"/>
        <v>1.2723955309214987</v>
      </c>
      <c r="AM231" s="545">
        <f t="shared" si="626"/>
        <v>899.99999999999989</v>
      </c>
      <c r="AN231" s="460">
        <f t="shared" si="627"/>
        <v>350</v>
      </c>
      <c r="AP231">
        <f t="shared" si="628"/>
        <v>899.99999999999989</v>
      </c>
      <c r="AQ231">
        <f t="shared" si="629"/>
        <v>350</v>
      </c>
      <c r="AS231" s="5">
        <f t="shared" si="600"/>
        <v>2.8571428571428572</v>
      </c>
      <c r="AT231" s="5">
        <f t="shared" si="630"/>
        <v>0.47738878130970935</v>
      </c>
      <c r="AU231" s="5">
        <f t="shared" si="478"/>
        <v>2.3797540758331479</v>
      </c>
      <c r="AV231" s="5"/>
      <c r="AW231" s="173">
        <f t="shared" si="479"/>
        <v>0.16708607345839827</v>
      </c>
      <c r="AX231" s="173">
        <f t="shared" si="631"/>
        <v>4.3007025964364614</v>
      </c>
      <c r="AY231" s="173">
        <f t="shared" si="632"/>
        <v>2.3839117681054396</v>
      </c>
      <c r="AZ231" s="173">
        <f t="shared" si="633"/>
        <v>1.8040527564719178</v>
      </c>
      <c r="BA231" s="460">
        <f t="shared" si="594"/>
        <v>10.741247579468459</v>
      </c>
      <c r="BB231" s="5">
        <f t="shared" si="595"/>
        <v>0.19846514171929394</v>
      </c>
      <c r="BD231" s="173">
        <f t="shared" si="681"/>
        <v>0.33772993577119709</v>
      </c>
      <c r="BE231" s="173">
        <f t="shared" si="682"/>
        <v>3.0161954744811834</v>
      </c>
      <c r="BG231" s="528">
        <f t="shared" si="683"/>
        <v>1.3915504160954063E-3</v>
      </c>
      <c r="BH231" s="528">
        <f t="shared" si="634"/>
        <v>0.51733921633718782</v>
      </c>
      <c r="BI231" s="528">
        <f t="shared" si="635"/>
        <v>0.3147582691320911</v>
      </c>
      <c r="BJ231" s="528">
        <f t="shared" si="684"/>
        <v>0.10620870093090992</v>
      </c>
      <c r="BK231">
        <f t="shared" si="685"/>
        <v>1.6187568126793256E-2</v>
      </c>
      <c r="BL231" s="460">
        <f t="shared" si="686"/>
        <v>330.94583725888435</v>
      </c>
      <c r="BM231" s="528">
        <f t="shared" si="636"/>
        <v>0.62552200412479464</v>
      </c>
      <c r="BN231" s="460">
        <f t="shared" si="687"/>
        <v>625.52200412479465</v>
      </c>
      <c r="BO231" s="528">
        <f t="shared" si="637"/>
        <v>0.62999999999999989</v>
      </c>
      <c r="BR231" s="460">
        <f t="shared" si="688"/>
        <v>629.99999999999989</v>
      </c>
      <c r="BS231" s="528">
        <f t="shared" si="689"/>
        <v>3.4218452854805075E-3</v>
      </c>
      <c r="BT231" s="528">
        <f t="shared" si="690"/>
        <v>0.27292305420842311</v>
      </c>
      <c r="BU231" s="528">
        <f t="shared" si="691"/>
        <v>0.28073092761094143</v>
      </c>
      <c r="BV231" s="528"/>
      <c r="BW231" s="528">
        <f t="shared" si="692"/>
        <v>1.7919594151818589E-2</v>
      </c>
      <c r="BX231" s="460">
        <f t="shared" si="693"/>
        <v>574.99542125666358</v>
      </c>
      <c r="BY231" s="173">
        <f t="shared" si="694"/>
        <v>2.1608807261997409</v>
      </c>
      <c r="BZ231" s="5">
        <f t="shared" si="695"/>
        <v>3.5999999999999996</v>
      </c>
      <c r="CA231" s="173">
        <f t="shared" si="696"/>
        <v>0.62490444970118286</v>
      </c>
      <c r="CB231" s="5">
        <f t="shared" si="697"/>
        <v>62.49044497011829</v>
      </c>
      <c r="CE231" s="562">
        <f t="shared" si="638"/>
        <v>-50</v>
      </c>
      <c r="CF231">
        <f t="shared" si="639"/>
        <v>-50</v>
      </c>
      <c r="CG231" s="173">
        <f t="shared" si="640"/>
        <v>0.34369317712168801</v>
      </c>
      <c r="CI231" s="170">
        <v>15</v>
      </c>
      <c r="CJ231" s="217">
        <f t="shared" si="698"/>
        <v>0.89999999999999991</v>
      </c>
      <c r="CK231" s="217"/>
      <c r="CL231" s="217">
        <f t="shared" si="641"/>
        <v>3.5999999999999996</v>
      </c>
      <c r="CM231" s="541">
        <f t="shared" si="642"/>
        <v>36</v>
      </c>
      <c r="CN231" s="443">
        <f t="shared" si="643"/>
        <v>18.8</v>
      </c>
      <c r="CO231" s="443">
        <f t="shared" si="644"/>
        <v>54.8</v>
      </c>
      <c r="CP231" s="443"/>
      <c r="CQ231" s="217">
        <f t="shared" si="645"/>
        <v>0.34306569343065696</v>
      </c>
      <c r="CR231" s="172">
        <f t="shared" si="646"/>
        <v>41.723649635036502</v>
      </c>
      <c r="CS231" s="172">
        <f t="shared" si="647"/>
        <v>3.5999999999999996</v>
      </c>
      <c r="CT231" s="217">
        <f t="shared" si="648"/>
        <v>10.430912408759125</v>
      </c>
      <c r="CU231" s="217">
        <f t="shared" si="649"/>
        <v>4</v>
      </c>
      <c r="CV231" s="217"/>
      <c r="CW231" s="172">
        <f t="shared" si="650"/>
        <v>124.38369960823354</v>
      </c>
      <c r="CX231" s="172">
        <f t="shared" si="651"/>
        <v>4</v>
      </c>
      <c r="CY231" s="217">
        <f t="shared" si="652"/>
        <v>0.58297872340425516</v>
      </c>
      <c r="CZ231" s="217">
        <f t="shared" si="653"/>
        <v>0.19432624113475175</v>
      </c>
      <c r="DA231" s="217">
        <f t="shared" si="654"/>
        <v>0.37211407876867347</v>
      </c>
      <c r="DB231" s="197">
        <f t="shared" si="655"/>
        <v>350</v>
      </c>
      <c r="DC231" s="443">
        <f t="shared" si="656"/>
        <v>350</v>
      </c>
      <c r="DE231" s="217">
        <f t="shared" si="657"/>
        <v>2.940563086548488</v>
      </c>
      <c r="DF231" s="173">
        <f t="shared" si="658"/>
        <v>1.8769551616266944</v>
      </c>
      <c r="DG231" s="173">
        <f t="shared" si="659"/>
        <v>3.8635135443702762</v>
      </c>
      <c r="DH231" s="173"/>
      <c r="DI231" s="173">
        <f t="shared" si="660"/>
        <v>0.85106382978723416</v>
      </c>
      <c r="DJ231" s="545">
        <f t="shared" si="661"/>
        <v>396.56249999999989</v>
      </c>
      <c r="DK231" s="528">
        <f t="shared" si="662"/>
        <v>0.79432624113475192</v>
      </c>
      <c r="DM231" s="173">
        <f t="shared" si="663"/>
        <v>1.4192553379451192</v>
      </c>
      <c r="DN231" s="173">
        <f t="shared" si="664"/>
        <v>1.4192553379451192</v>
      </c>
      <c r="DO231" s="173">
        <f t="shared" si="665"/>
        <v>1.2636459293420634</v>
      </c>
      <c r="DQ231" s="545">
        <f t="shared" si="666"/>
        <v>899.99999999999989</v>
      </c>
      <c r="DR231" s="460">
        <f t="shared" si="667"/>
        <v>350</v>
      </c>
      <c r="DT231">
        <f t="shared" si="668"/>
        <v>899.99999999999989</v>
      </c>
      <c r="DU231">
        <f t="shared" si="669"/>
        <v>350</v>
      </c>
      <c r="DW231" s="5">
        <f t="shared" si="670"/>
        <v>2.8571428571428572</v>
      </c>
      <c r="DX231" s="5">
        <f t="shared" si="671"/>
        <v>0.47308511264837311</v>
      </c>
      <c r="DY231" s="5">
        <f t="shared" si="672"/>
        <v>2.3840577444944842</v>
      </c>
      <c r="DZ231" s="5"/>
      <c r="EA231" s="173">
        <f t="shared" si="673"/>
        <v>0.16557978942693058</v>
      </c>
      <c r="EB231" s="173">
        <f t="shared" si="699"/>
        <v>4.2300000000000004</v>
      </c>
      <c r="EC231" s="173">
        <f t="shared" si="700"/>
        <v>2.3685106758902381</v>
      </c>
      <c r="ED231" s="173">
        <f t="shared" si="701"/>
        <v>1.7859324186538004</v>
      </c>
      <c r="EE231" s="460">
        <f t="shared" si="674"/>
        <v>10.644415034588393</v>
      </c>
      <c r="EF231" s="5">
        <f t="shared" si="675"/>
        <v>0.19867147870787363</v>
      </c>
      <c r="EH231" s="173">
        <f t="shared" si="702"/>
        <v>0.33342915510250104</v>
      </c>
      <c r="EI231" s="173">
        <f t="shared" si="703"/>
        <v>2.9940035269350065</v>
      </c>
      <c r="EK231" s="528">
        <f t="shared" si="704"/>
        <v>1.3563350179628857E-3</v>
      </c>
      <c r="EL231" s="528">
        <f t="shared" si="705"/>
        <v>0.5444263476357476</v>
      </c>
      <c r="EM231" s="528">
        <f t="shared" si="706"/>
        <v>4.3749999999999997E-2</v>
      </c>
      <c r="EN231" s="528">
        <f t="shared" si="707"/>
        <v>0.10510639999999997</v>
      </c>
      <c r="EO231">
        <f t="shared" si="708"/>
        <v>1.6199999999999999E-2</v>
      </c>
      <c r="EP231" s="460">
        <f t="shared" si="709"/>
        <v>59.949999999999996</v>
      </c>
      <c r="EQ231" s="460"/>
      <c r="ER231" s="460">
        <f t="shared" si="710"/>
        <v>710.83908265371031</v>
      </c>
      <c r="ES231" s="528">
        <f t="shared" si="711"/>
        <v>0.62999999999999989</v>
      </c>
      <c r="EV231" s="460">
        <f t="shared" si="712"/>
        <v>629.99999999999989</v>
      </c>
      <c r="EW231" s="528">
        <f t="shared" si="713"/>
        <v>3.3352500441710307E-3</v>
      </c>
      <c r="EX231" s="528">
        <f t="shared" si="714"/>
        <v>0.26892171357897776</v>
      </c>
      <c r="EY231" s="528">
        <f t="shared" si="715"/>
        <v>0.27497388900434971</v>
      </c>
      <c r="EZ231" s="528"/>
      <c r="FA231" s="528">
        <f t="shared" si="716"/>
        <v>1.7625000000000002E-2</v>
      </c>
      <c r="FB231" s="460">
        <f t="shared" si="717"/>
        <v>564.85585262749851</v>
      </c>
      <c r="FC231" s="173">
        <f t="shared" si="718"/>
        <v>1.9056949352812087</v>
      </c>
      <c r="FD231" s="5">
        <f t="shared" si="719"/>
        <v>3.5999999999999996</v>
      </c>
      <c r="FE231" s="173">
        <f t="shared" si="720"/>
        <v>0.65386841122103079</v>
      </c>
      <c r="FF231" s="5">
        <f t="shared" si="721"/>
        <v>65.386841122103078</v>
      </c>
      <c r="FI231" s="562">
        <f t="shared" si="676"/>
        <v>-50</v>
      </c>
      <c r="FJ231">
        <f t="shared" si="677"/>
        <v>-50</v>
      </c>
      <c r="FL231">
        <f t="shared" si="678"/>
        <v>0.31706768188135637</v>
      </c>
    </row>
    <row r="232" spans="5:168">
      <c r="E232" s="170">
        <v>16</v>
      </c>
      <c r="F232" s="217">
        <f t="shared" si="679"/>
        <v>0.96</v>
      </c>
      <c r="G232" s="217"/>
      <c r="H232" s="217">
        <f t="shared" si="603"/>
        <v>3.84</v>
      </c>
      <c r="I232" s="541">
        <f t="shared" si="604"/>
        <v>35.971467592360362</v>
      </c>
      <c r="J232" s="172">
        <f t="shared" si="605"/>
        <v>19.124539233815749</v>
      </c>
      <c r="K232" s="172">
        <f t="shared" si="606"/>
        <v>55.096006826176108</v>
      </c>
      <c r="L232" s="443"/>
      <c r="M232" s="217">
        <f t="shared" si="607"/>
        <v>0.34743576916858254</v>
      </c>
      <c r="N232" s="172">
        <f t="shared" si="608"/>
        <v>42.221648223246561</v>
      </c>
      <c r="O232" s="172">
        <f t="shared" si="599"/>
        <v>3.84</v>
      </c>
      <c r="P232" s="217">
        <f t="shared" si="609"/>
        <v>10.55541205581164</v>
      </c>
      <c r="Q232" s="217">
        <f t="shared" si="610"/>
        <v>4</v>
      </c>
      <c r="R232" s="217"/>
      <c r="S232" s="172">
        <f t="shared" si="611"/>
        <v>115.9620215918262</v>
      </c>
      <c r="T232" s="172">
        <f t="shared" si="612"/>
        <v>4</v>
      </c>
      <c r="U232" s="217">
        <f t="shared" si="613"/>
        <v>0.73555977683368068</v>
      </c>
      <c r="V232" s="217">
        <f t="shared" si="614"/>
        <v>0.24538107318920707</v>
      </c>
      <c r="W232" s="217">
        <f t="shared" si="615"/>
        <v>0.46153882266595408</v>
      </c>
      <c r="X232" s="197">
        <f t="shared" si="616"/>
        <v>350</v>
      </c>
      <c r="Y232" s="443">
        <f t="shared" si="680"/>
        <v>350</v>
      </c>
      <c r="AA232" s="217">
        <f t="shared" si="617"/>
        <v>2.9728960448052457</v>
      </c>
      <c r="AB232" s="173">
        <f t="shared" si="618"/>
        <v>1.8653914795805033</v>
      </c>
      <c r="AC232" s="173">
        <f t="shared" si="619"/>
        <v>3.8819304661607985</v>
      </c>
      <c r="AD232" s="173"/>
      <c r="AE232" s="173">
        <f t="shared" si="620"/>
        <v>0.83662146336623999</v>
      </c>
      <c r="AF232" s="545">
        <f t="shared" si="621"/>
        <v>430.30213276085419</v>
      </c>
      <c r="AG232" s="528">
        <f t="shared" si="622"/>
        <v>0.78084669914182414</v>
      </c>
      <c r="AI232" s="173">
        <f t="shared" si="623"/>
        <v>1.4783983315472864</v>
      </c>
      <c r="AJ232" s="173">
        <f t="shared" si="624"/>
        <v>1.4783983315472864</v>
      </c>
      <c r="AK232" s="173">
        <f t="shared" si="625"/>
        <v>1.3074555542325577</v>
      </c>
      <c r="AM232" s="545">
        <f t="shared" si="626"/>
        <v>960</v>
      </c>
      <c r="AN232" s="460">
        <f t="shared" si="627"/>
        <v>350</v>
      </c>
      <c r="AP232">
        <f t="shared" si="628"/>
        <v>960</v>
      </c>
      <c r="AQ232">
        <f t="shared" si="629"/>
        <v>350</v>
      </c>
      <c r="AS232" s="5">
        <f t="shared" si="600"/>
        <v>2.8571428571428572</v>
      </c>
      <c r="AT232" s="5">
        <f t="shared" si="630"/>
        <v>0.49319033016977132</v>
      </c>
      <c r="AU232" s="5">
        <f t="shared" si="478"/>
        <v>2.3639525269730859</v>
      </c>
      <c r="AV232" s="5"/>
      <c r="AW232" s="173">
        <f t="shared" si="479"/>
        <v>0.17261661555941996</v>
      </c>
      <c r="AX232" s="173">
        <f t="shared" si="631"/>
        <v>4.5898894161157804</v>
      </c>
      <c r="AY232" s="173">
        <f t="shared" si="632"/>
        <v>2.4464044302138013</v>
      </c>
      <c r="AZ232" s="173">
        <f t="shared" si="633"/>
        <v>1.8761776914026644</v>
      </c>
      <c r="BA232" s="460">
        <f t="shared" si="594"/>
        <v>11.83656792407451</v>
      </c>
      <c r="BB232" s="5">
        <f t="shared" si="595"/>
        <v>0.21029578698425017</v>
      </c>
      <c r="BD232" s="173">
        <f t="shared" si="681"/>
        <v>0.35462727511328163</v>
      </c>
      <c r="BE232" s="173">
        <f t="shared" si="682"/>
        <v>3.1055907555752729</v>
      </c>
      <c r="BG232" s="528">
        <f t="shared" si="683"/>
        <v>1.5342781519021077E-3</v>
      </c>
      <c r="BH232" s="528">
        <f t="shared" si="634"/>
        <v>0.53454085496920933</v>
      </c>
      <c r="BI232" s="528">
        <f t="shared" si="635"/>
        <v>0.31475034143315317</v>
      </c>
      <c r="BJ232" s="528">
        <f t="shared" si="684"/>
        <v>0.10624494888665155</v>
      </c>
      <c r="BK232">
        <f t="shared" si="685"/>
        <v>1.6187160416562162E-2</v>
      </c>
      <c r="BL232" s="460">
        <f t="shared" si="686"/>
        <v>330.93750184971532</v>
      </c>
      <c r="BM232" s="528">
        <f t="shared" si="636"/>
        <v>0.64296872781503134</v>
      </c>
      <c r="BN232" s="460">
        <f t="shared" si="687"/>
        <v>642.96872781503134</v>
      </c>
      <c r="BO232" s="528">
        <f t="shared" si="637"/>
        <v>0.67199999999999993</v>
      </c>
      <c r="BR232" s="460">
        <f t="shared" si="688"/>
        <v>671.99999999999989</v>
      </c>
      <c r="BS232" s="528">
        <f t="shared" si="689"/>
        <v>3.7728151276281339E-3</v>
      </c>
      <c r="BT232" s="528">
        <f t="shared" si="690"/>
        <v>0.28934081823343782</v>
      </c>
      <c r="BU232" s="528">
        <f t="shared" si="691"/>
        <v>0.30452207092992323</v>
      </c>
      <c r="BV232" s="528"/>
      <c r="BW232" s="528">
        <f t="shared" si="692"/>
        <v>1.9124539233815754E-2</v>
      </c>
      <c r="BX232" s="460">
        <f t="shared" si="693"/>
        <v>616.76024352480499</v>
      </c>
      <c r="BY232" s="173">
        <f t="shared" si="694"/>
        <v>2.2620178273822833</v>
      </c>
      <c r="BZ232" s="5">
        <f t="shared" si="695"/>
        <v>3.84</v>
      </c>
      <c r="CA232" s="173">
        <f t="shared" si="696"/>
        <v>0.62930002969973764</v>
      </c>
      <c r="CB232" s="5">
        <f t="shared" si="697"/>
        <v>62.930002969973764</v>
      </c>
      <c r="CE232" s="562">
        <f t="shared" si="638"/>
        <v>-50</v>
      </c>
      <c r="CF232">
        <f t="shared" si="639"/>
        <v>-50</v>
      </c>
      <c r="CG232" s="173">
        <f t="shared" si="640"/>
        <v>0.35496478698597694</v>
      </c>
      <c r="CI232" s="170">
        <v>16</v>
      </c>
      <c r="CJ232" s="217">
        <f t="shared" si="698"/>
        <v>0.96</v>
      </c>
      <c r="CK232" s="217"/>
      <c r="CL232" s="217">
        <f t="shared" si="641"/>
        <v>3.84</v>
      </c>
      <c r="CM232" s="541">
        <f t="shared" si="642"/>
        <v>36</v>
      </c>
      <c r="CN232" s="443">
        <f t="shared" si="643"/>
        <v>18.8</v>
      </c>
      <c r="CO232" s="443">
        <f t="shared" si="644"/>
        <v>54.8</v>
      </c>
      <c r="CP232" s="443"/>
      <c r="CQ232" s="217">
        <f t="shared" si="645"/>
        <v>0.34306569343065696</v>
      </c>
      <c r="CR232" s="172">
        <f t="shared" si="646"/>
        <v>41.723649635036502</v>
      </c>
      <c r="CS232" s="172">
        <f t="shared" si="647"/>
        <v>3.84</v>
      </c>
      <c r="CT232" s="217">
        <f t="shared" si="648"/>
        <v>10.430912408759125</v>
      </c>
      <c r="CU232" s="217">
        <f t="shared" si="649"/>
        <v>4</v>
      </c>
      <c r="CV232" s="217"/>
      <c r="CW232" s="172">
        <f t="shared" si="650"/>
        <v>116.05395962603907</v>
      </c>
      <c r="CX232" s="172">
        <f t="shared" si="651"/>
        <v>4</v>
      </c>
      <c r="CY232" s="217">
        <f t="shared" si="652"/>
        <v>0.62184397163120553</v>
      </c>
      <c r="CZ232" s="217">
        <f t="shared" si="653"/>
        <v>0.20728132387706852</v>
      </c>
      <c r="DA232" s="217">
        <f t="shared" si="654"/>
        <v>0.3969216840199184</v>
      </c>
      <c r="DB232" s="197">
        <f t="shared" si="655"/>
        <v>350</v>
      </c>
      <c r="DC232" s="443">
        <f t="shared" si="656"/>
        <v>350</v>
      </c>
      <c r="DE232" s="217">
        <f t="shared" si="657"/>
        <v>2.940563086548488</v>
      </c>
      <c r="DF232" s="173">
        <f t="shared" si="658"/>
        <v>1.8769551616266944</v>
      </c>
      <c r="DG232" s="173">
        <f t="shared" si="659"/>
        <v>3.8635135443702762</v>
      </c>
      <c r="DH232" s="173"/>
      <c r="DI232" s="173">
        <f t="shared" si="660"/>
        <v>0.85106382978723416</v>
      </c>
      <c r="DJ232" s="545">
        <f t="shared" si="661"/>
        <v>422.99999999999989</v>
      </c>
      <c r="DK232" s="528">
        <f t="shared" si="662"/>
        <v>0.79432624113475192</v>
      </c>
      <c r="DM232" s="173">
        <f t="shared" si="663"/>
        <v>1.4658006101006469</v>
      </c>
      <c r="DN232" s="173">
        <f t="shared" si="664"/>
        <v>1.4658006101006469</v>
      </c>
      <c r="DO232" s="173">
        <f t="shared" si="665"/>
        <v>1.2981239087165284</v>
      </c>
      <c r="DQ232" s="545">
        <f t="shared" si="666"/>
        <v>960</v>
      </c>
      <c r="DR232" s="460">
        <f t="shared" si="667"/>
        <v>350</v>
      </c>
      <c r="DT232">
        <f t="shared" si="668"/>
        <v>960</v>
      </c>
      <c r="DU232">
        <f t="shared" si="669"/>
        <v>350</v>
      </c>
      <c r="DW232" s="5">
        <f t="shared" si="670"/>
        <v>2.8571428571428572</v>
      </c>
      <c r="DX232" s="5">
        <f t="shared" si="671"/>
        <v>0.48860020336688231</v>
      </c>
      <c r="DY232" s="5">
        <f t="shared" si="672"/>
        <v>2.3685426537759748</v>
      </c>
      <c r="DZ232" s="5"/>
      <c r="EA232" s="173">
        <f t="shared" si="673"/>
        <v>0.1710100711784088</v>
      </c>
      <c r="EB232" s="173">
        <f t="shared" si="699"/>
        <v>4.5120000000000005</v>
      </c>
      <c r="EC232" s="173">
        <f t="shared" si="700"/>
        <v>2.4302678868679601</v>
      </c>
      <c r="ED232" s="173">
        <f t="shared" si="701"/>
        <v>1.8565854506742876</v>
      </c>
      <c r="EE232" s="460">
        <f t="shared" si="674"/>
        <v>11.726404880805175</v>
      </c>
      <c r="EF232" s="5">
        <f t="shared" si="675"/>
        <v>0.2105371247800866</v>
      </c>
      <c r="EH232" s="173">
        <f t="shared" si="702"/>
        <v>0.34996540444825663</v>
      </c>
      <c r="EI232" s="173">
        <f t="shared" si="703"/>
        <v>3.0821153563871535</v>
      </c>
      <c r="EK232" s="528">
        <f t="shared" si="704"/>
        <v>1.4942045685897084E-3</v>
      </c>
      <c r="EL232" s="528">
        <f t="shared" si="705"/>
        <v>0.56228111403460812</v>
      </c>
      <c r="EM232" s="528">
        <f t="shared" si="706"/>
        <v>4.3749999999999997E-2</v>
      </c>
      <c r="EN232" s="528">
        <f t="shared" si="707"/>
        <v>0.10510639999999997</v>
      </c>
      <c r="EO232">
        <f t="shared" si="708"/>
        <v>1.6199999999999999E-2</v>
      </c>
      <c r="EP232" s="460">
        <f t="shared" si="709"/>
        <v>59.949999999999996</v>
      </c>
      <c r="EQ232" s="460"/>
      <c r="ER232" s="460">
        <f t="shared" si="710"/>
        <v>728.83171860319771</v>
      </c>
      <c r="ES232" s="528">
        <f t="shared" si="711"/>
        <v>0.67199999999999993</v>
      </c>
      <c r="EV232" s="460">
        <f t="shared" si="712"/>
        <v>671.99999999999989</v>
      </c>
      <c r="EW232" s="528">
        <f t="shared" si="713"/>
        <v>3.674273529318955E-3</v>
      </c>
      <c r="EX232" s="528">
        <f t="shared" si="714"/>
        <v>0.28498305210232527</v>
      </c>
      <c r="EY232" s="528">
        <f t="shared" si="715"/>
        <v>0.2980762408331567</v>
      </c>
      <c r="EZ232" s="528"/>
      <c r="FA232" s="528">
        <f t="shared" si="716"/>
        <v>1.8800000000000004E-2</v>
      </c>
      <c r="FB232" s="460">
        <f t="shared" si="717"/>
        <v>605.53356646480097</v>
      </c>
      <c r="FC232" s="173">
        <f t="shared" si="718"/>
        <v>2.0063652850679987</v>
      </c>
      <c r="FD232" s="5">
        <f t="shared" si="719"/>
        <v>3.84</v>
      </c>
      <c r="FE232" s="173">
        <f t="shared" si="720"/>
        <v>0.65681834999390354</v>
      </c>
      <c r="FF232" s="5">
        <f t="shared" si="721"/>
        <v>65.681834999390361</v>
      </c>
      <c r="FI232" s="562">
        <f t="shared" si="676"/>
        <v>-50</v>
      </c>
      <c r="FJ232">
        <f t="shared" si="677"/>
        <v>-50</v>
      </c>
      <c r="FL232">
        <f t="shared" si="678"/>
        <v>0.3274660937458892</v>
      </c>
    </row>
    <row r="233" spans="5:168">
      <c r="E233" s="170">
        <v>17</v>
      </c>
      <c r="F233" s="217">
        <f t="shared" si="679"/>
        <v>1.02</v>
      </c>
      <c r="G233" s="217"/>
      <c r="H233" s="217">
        <f t="shared" si="603"/>
        <v>4.08</v>
      </c>
      <c r="I233" s="541">
        <f t="shared" si="604"/>
        <v>35.97058946738715</v>
      </c>
      <c r="J233" s="172">
        <f t="shared" si="605"/>
        <v>19.134527385169843</v>
      </c>
      <c r="K233" s="172">
        <f t="shared" si="606"/>
        <v>55.105116852556989</v>
      </c>
      <c r="L233" s="443"/>
      <c r="M233" s="217">
        <f t="shared" si="607"/>
        <v>0.34756945154685537</v>
      </c>
      <c r="N233" s="172">
        <f t="shared" si="608"/>
        <v>42.236862689041011</v>
      </c>
      <c r="O233" s="172">
        <f t="shared" si="599"/>
        <v>4.08</v>
      </c>
      <c r="P233" s="217">
        <f t="shared" si="609"/>
        <v>10.559215672260253</v>
      </c>
      <c r="Q233" s="217">
        <f t="shared" si="610"/>
        <v>4</v>
      </c>
      <c r="R233" s="217"/>
      <c r="S233" s="172">
        <f t="shared" si="611"/>
        <v>108.61588267241666</v>
      </c>
      <c r="T233" s="172">
        <f t="shared" si="612"/>
        <v>4</v>
      </c>
      <c r="U233" s="217">
        <f t="shared" si="613"/>
        <v>0.78169239807848512</v>
      </c>
      <c r="V233" s="217">
        <f t="shared" si="614"/>
        <v>0.26077717701697689</v>
      </c>
      <c r="W233" s="217">
        <f t="shared" si="615"/>
        <v>0.49022944691134634</v>
      </c>
      <c r="X233" s="197">
        <f t="shared" si="616"/>
        <v>350</v>
      </c>
      <c r="Y233" s="443">
        <f t="shared" si="680"/>
        <v>350</v>
      </c>
      <c r="AA233" s="217">
        <f t="shared" si="617"/>
        <v>2.9738843579973184</v>
      </c>
      <c r="AB233" s="173">
        <f t="shared" si="618"/>
        <v>1.8650375615562171</v>
      </c>
      <c r="AC233" s="173">
        <f t="shared" si="619"/>
        <v>3.8824842219726459</v>
      </c>
      <c r="AD233" s="173"/>
      <c r="AE233" s="173">
        <f t="shared" si="620"/>
        <v>0.8361847501078471</v>
      </c>
      <c r="AF233" s="545">
        <f t="shared" si="621"/>
        <v>457.43479530171646</v>
      </c>
      <c r="AG233" s="528">
        <f t="shared" si="622"/>
        <v>0.78043910010065731</v>
      </c>
      <c r="AI233" s="173">
        <f t="shared" si="623"/>
        <v>1.5242960097507481</v>
      </c>
      <c r="AJ233" s="173">
        <f t="shared" si="624"/>
        <v>1.5242960097507481</v>
      </c>
      <c r="AK233" s="173">
        <f t="shared" si="625"/>
        <v>1.34145383438327</v>
      </c>
      <c r="AM233" s="545">
        <f t="shared" si="626"/>
        <v>1020</v>
      </c>
      <c r="AN233" s="460">
        <f t="shared" si="627"/>
        <v>350</v>
      </c>
      <c r="AP233">
        <f t="shared" si="628"/>
        <v>1020</v>
      </c>
      <c r="AQ233">
        <f t="shared" si="629"/>
        <v>350</v>
      </c>
      <c r="AS233" s="5">
        <f t="shared" si="600"/>
        <v>2.8571428571428572</v>
      </c>
      <c r="AT233" s="5">
        <f t="shared" si="630"/>
        <v>0.50851410521345697</v>
      </c>
      <c r="AU233" s="5">
        <f t="shared" si="478"/>
        <v>2.3486287519294002</v>
      </c>
      <c r="AV233" s="5"/>
      <c r="AW233" s="173">
        <f t="shared" si="479"/>
        <v>0.17797993682470994</v>
      </c>
      <c r="AX233" s="173">
        <f t="shared" si="631"/>
        <v>4.879304483218311</v>
      </c>
      <c r="AY233" s="173">
        <f t="shared" si="632"/>
        <v>2.5060038044663049</v>
      </c>
      <c r="AZ233" s="173">
        <f t="shared" si="633"/>
        <v>1.9470459200908674</v>
      </c>
      <c r="BA233" s="460">
        <f t="shared" si="594"/>
        <v>12.967109682943155</v>
      </c>
      <c r="BB233" s="5">
        <f t="shared" si="595"/>
        <v>0.2219962996102661</v>
      </c>
      <c r="BD233" s="173">
        <f t="shared" si="681"/>
        <v>0.3712737200314441</v>
      </c>
      <c r="BE233" s="173">
        <f t="shared" si="682"/>
        <v>3.1916105023715668</v>
      </c>
      <c r="BG233" s="528">
        <f t="shared" si="683"/>
        <v>1.6816989372690429E-3</v>
      </c>
      <c r="BH233" s="528">
        <f t="shared" si="634"/>
        <v>0.55122709513725854</v>
      </c>
      <c r="BI233" s="528">
        <f t="shared" si="635"/>
        <v>0.31474265783963756</v>
      </c>
      <c r="BJ233" s="528">
        <f t="shared" si="684"/>
        <v>0.10628008661668861</v>
      </c>
      <c r="BK233">
        <f t="shared" si="685"/>
        <v>1.6186765260324216E-2</v>
      </c>
      <c r="BL233" s="460">
        <f t="shared" si="686"/>
        <v>330.92942309996175</v>
      </c>
      <c r="BM233" s="528">
        <f t="shared" si="636"/>
        <v>0.65990661939258066</v>
      </c>
      <c r="BN233" s="460">
        <f t="shared" si="687"/>
        <v>659.90661939258064</v>
      </c>
      <c r="BO233" s="528">
        <f t="shared" si="637"/>
        <v>0.71399999999999997</v>
      </c>
      <c r="BR233" s="460">
        <f t="shared" si="688"/>
        <v>714</v>
      </c>
      <c r="BS233" s="528">
        <f t="shared" si="689"/>
        <v>4.1353252555796135E-3</v>
      </c>
      <c r="BT233" s="528">
        <f t="shared" si="690"/>
        <v>0.30559132796545457</v>
      </c>
      <c r="BU233" s="528">
        <f t="shared" si="691"/>
        <v>0.32871036384814556</v>
      </c>
      <c r="BV233" s="528"/>
      <c r="BW233" s="528">
        <f t="shared" si="692"/>
        <v>2.0330435346742958E-2</v>
      </c>
      <c r="BX233" s="460">
        <f t="shared" si="693"/>
        <v>658.76745241592266</v>
      </c>
      <c r="BY233" s="173">
        <f t="shared" si="694"/>
        <v>2.3628857562071008</v>
      </c>
      <c r="BZ233" s="5">
        <f t="shared" si="695"/>
        <v>4.08</v>
      </c>
      <c r="CA233" s="173">
        <f t="shared" si="696"/>
        <v>0.63325661114964094</v>
      </c>
      <c r="CB233" s="5">
        <f t="shared" si="697"/>
        <v>63.325661114964092</v>
      </c>
      <c r="CE233" s="562">
        <f t="shared" si="638"/>
        <v>-50</v>
      </c>
      <c r="CF233">
        <f t="shared" si="639"/>
        <v>-50</v>
      </c>
      <c r="CG233" s="173">
        <f t="shared" si="640"/>
        <v>0.36588932752951409</v>
      </c>
      <c r="CI233" s="170">
        <v>17</v>
      </c>
      <c r="CJ233" s="217">
        <f t="shared" si="698"/>
        <v>1.02</v>
      </c>
      <c r="CK233" s="217"/>
      <c r="CL233" s="217">
        <f t="shared" si="641"/>
        <v>4.08</v>
      </c>
      <c r="CM233" s="541">
        <f t="shared" si="642"/>
        <v>36</v>
      </c>
      <c r="CN233" s="443">
        <f t="shared" si="643"/>
        <v>18.8</v>
      </c>
      <c r="CO233" s="443">
        <f t="shared" si="644"/>
        <v>54.8</v>
      </c>
      <c r="CP233" s="443"/>
      <c r="CQ233" s="217">
        <f t="shared" si="645"/>
        <v>0.34306569343065696</v>
      </c>
      <c r="CR233" s="172">
        <f t="shared" si="646"/>
        <v>41.723649635036502</v>
      </c>
      <c r="CS233" s="172">
        <f t="shared" si="647"/>
        <v>4.08</v>
      </c>
      <c r="CT233" s="217">
        <f t="shared" si="648"/>
        <v>10.430912408759125</v>
      </c>
      <c r="CU233" s="217">
        <f t="shared" si="649"/>
        <v>4</v>
      </c>
      <c r="CV233" s="217"/>
      <c r="CW233" s="172">
        <f t="shared" si="650"/>
        <v>108.7046432167943</v>
      </c>
      <c r="CX233" s="172">
        <f t="shared" si="651"/>
        <v>4</v>
      </c>
      <c r="CY233" s="217">
        <f t="shared" si="652"/>
        <v>0.660709219858156</v>
      </c>
      <c r="CZ233" s="217">
        <f t="shared" si="653"/>
        <v>0.22023640661938532</v>
      </c>
      <c r="DA233" s="217">
        <f t="shared" si="654"/>
        <v>0.42172928927116338</v>
      </c>
      <c r="DB233" s="197">
        <f t="shared" si="655"/>
        <v>350</v>
      </c>
      <c r="DC233" s="443">
        <f t="shared" si="656"/>
        <v>350</v>
      </c>
      <c r="DE233" s="217">
        <f t="shared" si="657"/>
        <v>2.940563086548488</v>
      </c>
      <c r="DF233" s="173">
        <f t="shared" si="658"/>
        <v>1.8769551616266944</v>
      </c>
      <c r="DG233" s="173">
        <f t="shared" si="659"/>
        <v>3.8635135443702762</v>
      </c>
      <c r="DH233" s="173"/>
      <c r="DI233" s="173">
        <f t="shared" si="660"/>
        <v>0.85106382978723416</v>
      </c>
      <c r="DJ233" s="545">
        <f t="shared" si="661"/>
        <v>449.43749999999989</v>
      </c>
      <c r="DK233" s="528">
        <f t="shared" si="662"/>
        <v>0.79432624113475192</v>
      </c>
      <c r="DM233" s="173">
        <f t="shared" si="663"/>
        <v>1.5109126853849439</v>
      </c>
      <c r="DN233" s="173">
        <f t="shared" si="664"/>
        <v>1.5109126853849439</v>
      </c>
      <c r="DO233" s="173">
        <f t="shared" si="665"/>
        <v>1.3315402607789706</v>
      </c>
      <c r="DQ233" s="545">
        <f t="shared" si="666"/>
        <v>1020</v>
      </c>
      <c r="DR233" s="460">
        <f t="shared" si="667"/>
        <v>350</v>
      </c>
      <c r="DT233">
        <f t="shared" si="668"/>
        <v>1020</v>
      </c>
      <c r="DU233">
        <f t="shared" si="669"/>
        <v>350</v>
      </c>
      <c r="DW233" s="5">
        <f t="shared" si="670"/>
        <v>2.8571428571428572</v>
      </c>
      <c r="DX233" s="5">
        <f t="shared" si="671"/>
        <v>0.50363756179498143</v>
      </c>
      <c r="DY233" s="5">
        <f t="shared" si="672"/>
        <v>2.3535052953478757</v>
      </c>
      <c r="DZ233" s="5"/>
      <c r="EA233" s="173">
        <f t="shared" si="673"/>
        <v>0.1762731466282435</v>
      </c>
      <c r="EB233" s="173">
        <f t="shared" si="699"/>
        <v>4.7939999999999996</v>
      </c>
      <c r="EC233" s="173">
        <f t="shared" si="700"/>
        <v>2.4891587041032213</v>
      </c>
      <c r="ED233" s="173">
        <f t="shared" si="701"/>
        <v>1.9259519258845941</v>
      </c>
      <c r="EE233" s="460">
        <f t="shared" si="674"/>
        <v>12.842757825772027</v>
      </c>
      <c r="EF233" s="5">
        <f t="shared" si="675"/>
        <v>0.22227550011618827</v>
      </c>
      <c r="EH233" s="173">
        <f t="shared" si="702"/>
        <v>0.36624509638318714</v>
      </c>
      <c r="EI233" s="173">
        <f t="shared" si="703"/>
        <v>3.1668707844246522</v>
      </c>
      <c r="EK233" s="528">
        <f t="shared" si="704"/>
        <v>1.6364527416217066E-3</v>
      </c>
      <c r="EL233" s="528">
        <f t="shared" si="705"/>
        <v>0.57958610611366457</v>
      </c>
      <c r="EM233" s="528">
        <f t="shared" si="706"/>
        <v>4.3749999999999997E-2</v>
      </c>
      <c r="EN233" s="528">
        <f t="shared" si="707"/>
        <v>0.10510639999999997</v>
      </c>
      <c r="EO233">
        <f t="shared" si="708"/>
        <v>1.6199999999999999E-2</v>
      </c>
      <c r="EP233" s="460">
        <f t="shared" si="709"/>
        <v>59.949999999999996</v>
      </c>
      <c r="EQ233" s="460"/>
      <c r="ER233" s="460">
        <f t="shared" si="710"/>
        <v>746.27895885528619</v>
      </c>
      <c r="ES233" s="528">
        <f t="shared" si="711"/>
        <v>0.71399999999999997</v>
      </c>
      <c r="EV233" s="460">
        <f t="shared" si="712"/>
        <v>714</v>
      </c>
      <c r="EW233" s="528">
        <f t="shared" si="713"/>
        <v>4.0240641187419017E-3</v>
      </c>
      <c r="EX233" s="528">
        <f t="shared" si="714"/>
        <v>0.30087211695727234</v>
      </c>
      <c r="EY233" s="528">
        <f t="shared" si="715"/>
        <v>0.32154261092865549</v>
      </c>
      <c r="EZ233" s="528"/>
      <c r="FA233" s="528">
        <f t="shared" si="716"/>
        <v>1.9974999999999996E-2</v>
      </c>
      <c r="FB233" s="460">
        <f t="shared" si="717"/>
        <v>646.41379200466963</v>
      </c>
      <c r="FC233" s="173">
        <f t="shared" si="718"/>
        <v>2.1066927508599558</v>
      </c>
      <c r="FD233" s="5">
        <f t="shared" si="719"/>
        <v>4.08</v>
      </c>
      <c r="FE233" s="173">
        <f t="shared" si="720"/>
        <v>0.65947997812447956</v>
      </c>
      <c r="FF233" s="5">
        <f t="shared" si="721"/>
        <v>65.947997812447952</v>
      </c>
      <c r="FI233" s="562">
        <f t="shared" si="676"/>
        <v>-50</v>
      </c>
      <c r="FJ233">
        <f t="shared" si="677"/>
        <v>-50</v>
      </c>
      <c r="FL233">
        <f t="shared" si="678"/>
        <v>0.33754432333067902</v>
      </c>
    </row>
    <row r="234" spans="5:168">
      <c r="E234" s="170">
        <v>18</v>
      </c>
      <c r="F234" s="217">
        <f t="shared" si="679"/>
        <v>1.08</v>
      </c>
      <c r="G234" s="217"/>
      <c r="H234" s="217">
        <f t="shared" si="603"/>
        <v>4.32</v>
      </c>
      <c r="I234" s="541">
        <f t="shared" si="604"/>
        <v>35.969736811611654</v>
      </c>
      <c r="J234" s="172">
        <f t="shared" si="605"/>
        <v>19.144225839488307</v>
      </c>
      <c r="K234" s="172">
        <f t="shared" si="606"/>
        <v>55.113962651099961</v>
      </c>
      <c r="L234" s="443"/>
      <c r="M234" s="217">
        <f t="shared" si="607"/>
        <v>0.34769921043302882</v>
      </c>
      <c r="N234" s="172">
        <f t="shared" si="608"/>
        <v>42.251629505270401</v>
      </c>
      <c r="O234" s="172">
        <f t="shared" si="599"/>
        <v>4.32</v>
      </c>
      <c r="P234" s="217">
        <f t="shared" si="609"/>
        <v>10.5629073763176</v>
      </c>
      <c r="Q234" s="217">
        <f t="shared" si="610"/>
        <v>4</v>
      </c>
      <c r="R234" s="217"/>
      <c r="S234" s="172">
        <f t="shared" si="611"/>
        <v>102.08651256919812</v>
      </c>
      <c r="T234" s="172">
        <f t="shared" si="612"/>
        <v>4</v>
      </c>
      <c r="U234" s="217">
        <f t="shared" si="613"/>
        <v>0.82783894889729959</v>
      </c>
      <c r="V234" s="217">
        <f t="shared" si="614"/>
        <v>0.27617848411836882</v>
      </c>
      <c r="W234" s="217">
        <f t="shared" si="615"/>
        <v>0.51890671736001193</v>
      </c>
      <c r="X234" s="197">
        <f t="shared" si="616"/>
        <v>350</v>
      </c>
      <c r="Y234" s="443">
        <f t="shared" si="680"/>
        <v>350</v>
      </c>
      <c r="AA234" s="217">
        <f t="shared" si="617"/>
        <v>2.9748436209209008</v>
      </c>
      <c r="AB234" s="173">
        <f t="shared" si="618"/>
        <v>1.8646940205551275</v>
      </c>
      <c r="AC234" s="173">
        <f t="shared" si="619"/>
        <v>3.8830211784124375</v>
      </c>
      <c r="AD234" s="173"/>
      <c r="AE234" s="173">
        <f t="shared" si="620"/>
        <v>0.83576113937170593</v>
      </c>
      <c r="AF234" s="545">
        <f t="shared" si="621"/>
        <v>484.58821656204771</v>
      </c>
      <c r="AG234" s="528">
        <f t="shared" si="622"/>
        <v>0.78004373008025896</v>
      </c>
      <c r="AI234" s="173">
        <f t="shared" si="623"/>
        <v>1.568885102573502</v>
      </c>
      <c r="AJ234" s="173">
        <f t="shared" si="624"/>
        <v>1.568885102573502</v>
      </c>
      <c r="AK234" s="173">
        <f t="shared" si="625"/>
        <v>1.3744827920297544</v>
      </c>
      <c r="AM234" s="545">
        <f t="shared" si="626"/>
        <v>1080</v>
      </c>
      <c r="AN234" s="460">
        <f t="shared" si="627"/>
        <v>350</v>
      </c>
      <c r="AP234">
        <f t="shared" si="628"/>
        <v>1080</v>
      </c>
      <c r="AQ234">
        <f t="shared" si="629"/>
        <v>350</v>
      </c>
      <c r="AS234" s="5">
        <f t="shared" si="600"/>
        <v>2.8571428571428572</v>
      </c>
      <c r="AT234" s="5">
        <f t="shared" si="630"/>
        <v>0.52340169541647763</v>
      </c>
      <c r="AU234" s="5">
        <f t="shared" ref="AU234:AU297" si="722">AS234-AT234</f>
        <v>2.3337411617263797</v>
      </c>
      <c r="AV234" s="5"/>
      <c r="AW234" s="173">
        <f t="shared" ref="AW234:AW297" si="723">AT234/AS234</f>
        <v>0.18319059339576715</v>
      </c>
      <c r="AX234" s="173">
        <f t="shared" si="631"/>
        <v>5.1689409766618422</v>
      </c>
      <c r="AY234" s="173">
        <f t="shared" si="632"/>
        <v>2.5629602193265661</v>
      </c>
      <c r="AZ234" s="173">
        <f t="shared" si="633"/>
        <v>2.0167854880010636</v>
      </c>
      <c r="BA234" s="460">
        <f t="shared" si="594"/>
        <v>14.131845776244896</v>
      </c>
      <c r="BB234" s="5">
        <f t="shared" si="595"/>
        <v>0.23357046581177174</v>
      </c>
      <c r="BD234" s="173">
        <f t="shared" si="681"/>
        <v>0.38768776602745902</v>
      </c>
      <c r="BE234" s="173">
        <f t="shared" si="682"/>
        <v>3.2745442864984904</v>
      </c>
      <c r="BG234" s="528">
        <f t="shared" si="683"/>
        <v>1.833682007913814E-3</v>
      </c>
      <c r="BH234" s="528">
        <f t="shared" si="634"/>
        <v>0.5674428043403642</v>
      </c>
      <c r="BI234" s="528">
        <f t="shared" si="635"/>
        <v>0.31473519710160192</v>
      </c>
      <c r="BJ234" s="528">
        <f t="shared" si="684"/>
        <v>0.10631421076873944</v>
      </c>
      <c r="BK234">
        <f t="shared" si="685"/>
        <v>1.6186381565225245E-2</v>
      </c>
      <c r="BL234" s="460">
        <f t="shared" si="686"/>
        <v>330.92157866682714</v>
      </c>
      <c r="BM234" s="528">
        <f t="shared" si="636"/>
        <v>0.67638047863044071</v>
      </c>
      <c r="BN234" s="460">
        <f t="shared" si="687"/>
        <v>676.38047863044073</v>
      </c>
      <c r="BO234" s="528">
        <f t="shared" si="637"/>
        <v>0.75600000000000001</v>
      </c>
      <c r="BR234" s="460">
        <f t="shared" si="688"/>
        <v>756</v>
      </c>
      <c r="BS234" s="528">
        <f t="shared" si="689"/>
        <v>4.509054117820854E-3</v>
      </c>
      <c r="BT234" s="528">
        <f t="shared" si="690"/>
        <v>0.32167920852719722</v>
      </c>
      <c r="BU234" s="528">
        <f t="shared" si="691"/>
        <v>0.35327911447093813</v>
      </c>
      <c r="BV234" s="528"/>
      <c r="BW234" s="528">
        <f t="shared" si="692"/>
        <v>2.1537254069424343E-2</v>
      </c>
      <c r="BX234" s="460">
        <f t="shared" si="693"/>
        <v>701.00463118538062</v>
      </c>
      <c r="BY234" s="173">
        <f t="shared" si="694"/>
        <v>2.4635169069692253</v>
      </c>
      <c r="BZ234" s="5">
        <f t="shared" si="695"/>
        <v>4.32</v>
      </c>
      <c r="CA234" s="173">
        <f t="shared" si="696"/>
        <v>0.63683780246227939</v>
      </c>
      <c r="CB234" s="5">
        <f t="shared" si="697"/>
        <v>63.68378024622794</v>
      </c>
      <c r="CE234" s="562">
        <f t="shared" si="638"/>
        <v>-50</v>
      </c>
      <c r="CF234">
        <f t="shared" si="639"/>
        <v>-50</v>
      </c>
      <c r="CG234" s="173">
        <f t="shared" si="640"/>
        <v>0.37649701194033403</v>
      </c>
      <c r="CI234" s="170">
        <v>18</v>
      </c>
      <c r="CJ234" s="217">
        <f t="shared" si="698"/>
        <v>1.08</v>
      </c>
      <c r="CK234" s="217"/>
      <c r="CL234" s="217">
        <f t="shared" si="641"/>
        <v>4.32</v>
      </c>
      <c r="CM234" s="541">
        <f t="shared" si="642"/>
        <v>36</v>
      </c>
      <c r="CN234" s="443">
        <f t="shared" si="643"/>
        <v>18.8</v>
      </c>
      <c r="CO234" s="443">
        <f t="shared" si="644"/>
        <v>54.8</v>
      </c>
      <c r="CP234" s="443"/>
      <c r="CQ234" s="217">
        <f t="shared" si="645"/>
        <v>0.34306569343065696</v>
      </c>
      <c r="CR234" s="172">
        <f t="shared" si="646"/>
        <v>41.723649635036502</v>
      </c>
      <c r="CS234" s="172">
        <f t="shared" si="647"/>
        <v>4.32</v>
      </c>
      <c r="CT234" s="217">
        <f t="shared" si="648"/>
        <v>10.430912408759125</v>
      </c>
      <c r="CU234" s="217">
        <f t="shared" si="649"/>
        <v>4</v>
      </c>
      <c r="CV234" s="217"/>
      <c r="CW234" s="172">
        <f t="shared" si="650"/>
        <v>102.17235205558369</v>
      </c>
      <c r="CX234" s="172">
        <f t="shared" si="651"/>
        <v>4</v>
      </c>
      <c r="CY234" s="217">
        <f t="shared" si="652"/>
        <v>0.69957446808510637</v>
      </c>
      <c r="CZ234" s="217">
        <f t="shared" si="653"/>
        <v>0.23319148936170211</v>
      </c>
      <c r="DA234" s="217">
        <f t="shared" si="654"/>
        <v>0.4465368945224083</v>
      </c>
      <c r="DB234" s="197">
        <f t="shared" si="655"/>
        <v>350</v>
      </c>
      <c r="DC234" s="443">
        <f t="shared" si="656"/>
        <v>350</v>
      </c>
      <c r="DE234" s="217">
        <f t="shared" si="657"/>
        <v>2.940563086548488</v>
      </c>
      <c r="DF234" s="173">
        <f t="shared" si="658"/>
        <v>1.8769551616266944</v>
      </c>
      <c r="DG234" s="173">
        <f t="shared" si="659"/>
        <v>3.8635135443702762</v>
      </c>
      <c r="DH234" s="173"/>
      <c r="DI234" s="173">
        <f t="shared" si="660"/>
        <v>0.85106382978723416</v>
      </c>
      <c r="DJ234" s="545">
        <f t="shared" si="661"/>
        <v>475.87499999999994</v>
      </c>
      <c r="DK234" s="528">
        <f t="shared" si="662"/>
        <v>0.79432624113475192</v>
      </c>
      <c r="DM234" s="173">
        <f t="shared" si="663"/>
        <v>1.5547163269043189</v>
      </c>
      <c r="DN234" s="173">
        <f t="shared" si="664"/>
        <v>1.5547163269043189</v>
      </c>
      <c r="DO234" s="173">
        <f t="shared" si="665"/>
        <v>1.3639874026451744</v>
      </c>
      <c r="DQ234" s="545">
        <f t="shared" si="666"/>
        <v>1080</v>
      </c>
      <c r="DR234" s="460">
        <f t="shared" si="667"/>
        <v>350</v>
      </c>
      <c r="DT234">
        <f t="shared" si="668"/>
        <v>1080</v>
      </c>
      <c r="DU234">
        <f t="shared" si="669"/>
        <v>350</v>
      </c>
      <c r="DW234" s="5">
        <f t="shared" si="670"/>
        <v>2.8571428571428572</v>
      </c>
      <c r="DX234" s="5">
        <f t="shared" si="671"/>
        <v>0.51823877563477294</v>
      </c>
      <c r="DY234" s="5">
        <f t="shared" si="672"/>
        <v>2.3389040815080842</v>
      </c>
      <c r="DZ234" s="5"/>
      <c r="EA234" s="173">
        <f t="shared" si="673"/>
        <v>0.18138357147217052</v>
      </c>
      <c r="EB234" s="173">
        <f t="shared" si="699"/>
        <v>5.0759999999999996</v>
      </c>
      <c r="EC234" s="173">
        <f t="shared" si="700"/>
        <v>2.5454326538086378</v>
      </c>
      <c r="ED234" s="173">
        <f t="shared" si="701"/>
        <v>1.9941600074961585</v>
      </c>
      <c r="EE234" s="460">
        <f t="shared" si="674"/>
        <v>13.992446942138869</v>
      </c>
      <c r="EF234" s="5">
        <f t="shared" si="675"/>
        <v>0.23389040815080842</v>
      </c>
      <c r="EH234" s="173">
        <f t="shared" si="702"/>
        <v>0.38228697954417173</v>
      </c>
      <c r="EI234" s="173">
        <f t="shared" si="703"/>
        <v>3.248558944480533</v>
      </c>
      <c r="EK234" s="528">
        <f t="shared" si="704"/>
        <v>1.7829486836938729E-3</v>
      </c>
      <c r="EL234" s="528">
        <f t="shared" si="705"/>
        <v>0.5963891830004967</v>
      </c>
      <c r="EM234" s="528">
        <f t="shared" si="706"/>
        <v>4.3749999999999997E-2</v>
      </c>
      <c r="EN234" s="528">
        <f t="shared" si="707"/>
        <v>0.10510639999999997</v>
      </c>
      <c r="EO234">
        <f t="shared" si="708"/>
        <v>1.6199999999999999E-2</v>
      </c>
      <c r="EP234" s="460">
        <f t="shared" si="709"/>
        <v>59.949999999999996</v>
      </c>
      <c r="EQ234" s="460"/>
      <c r="ER234" s="460">
        <f t="shared" si="710"/>
        <v>763.22853168419044</v>
      </c>
      <c r="ES234" s="528">
        <f t="shared" si="711"/>
        <v>0.75600000000000001</v>
      </c>
      <c r="EV234" s="460">
        <f t="shared" si="712"/>
        <v>756</v>
      </c>
      <c r="EW234" s="528">
        <f t="shared" si="713"/>
        <v>4.384300041870179E-3</v>
      </c>
      <c r="EX234" s="528">
        <f t="shared" si="714"/>
        <v>0.3165940564729342</v>
      </c>
      <c r="EY234" s="528">
        <f t="shared" si="715"/>
        <v>0.34535680157670817</v>
      </c>
      <c r="EZ234" s="528"/>
      <c r="FA234" s="528">
        <f t="shared" si="716"/>
        <v>2.1149999999999999E-2</v>
      </c>
      <c r="FB234" s="460">
        <f t="shared" si="717"/>
        <v>687.48515809151252</v>
      </c>
      <c r="FC234" s="173">
        <f t="shared" si="718"/>
        <v>2.2067136897757029</v>
      </c>
      <c r="FD234" s="5">
        <f t="shared" si="719"/>
        <v>4.32</v>
      </c>
      <c r="FE234" s="173">
        <f t="shared" si="720"/>
        <v>0.66189512905513426</v>
      </c>
      <c r="FF234" s="5">
        <f t="shared" si="721"/>
        <v>66.189512905513425</v>
      </c>
      <c r="FI234" s="562">
        <f t="shared" si="676"/>
        <v>-50</v>
      </c>
      <c r="FJ234">
        <f t="shared" si="677"/>
        <v>-50</v>
      </c>
      <c r="FL234">
        <f t="shared" si="678"/>
        <v>0.34733024324458189</v>
      </c>
    </row>
    <row r="235" spans="5:168">
      <c r="E235" s="170">
        <v>19</v>
      </c>
      <c r="F235" s="217">
        <f t="shared" si="679"/>
        <v>1.1400000000000001</v>
      </c>
      <c r="G235" s="217"/>
      <c r="H235" s="217">
        <f t="shared" si="603"/>
        <v>4.5600000000000005</v>
      </c>
      <c r="I235" s="541">
        <f t="shared" si="604"/>
        <v>35.968907529620729</v>
      </c>
      <c r="J235" s="172">
        <f t="shared" si="605"/>
        <v>19.153658430854243</v>
      </c>
      <c r="K235" s="172">
        <f t="shared" si="606"/>
        <v>55.122565960474972</v>
      </c>
      <c r="L235" s="443"/>
      <c r="M235" s="217">
        <f t="shared" si="607"/>
        <v>0.34782536864532965</v>
      </c>
      <c r="N235" s="172">
        <f t="shared" si="608"/>
        <v>42.265985504323716</v>
      </c>
      <c r="O235" s="172">
        <f t="shared" si="599"/>
        <v>4.5600000000000005</v>
      </c>
      <c r="P235" s="217">
        <f t="shared" si="609"/>
        <v>10.566496376080929</v>
      </c>
      <c r="Q235" s="217">
        <f t="shared" si="610"/>
        <v>4</v>
      </c>
      <c r="R235" s="217"/>
      <c r="S235" s="172">
        <f t="shared" si="611"/>
        <v>96.244946566495642</v>
      </c>
      <c r="T235" s="172">
        <f t="shared" si="612"/>
        <v>4</v>
      </c>
      <c r="U235" s="217">
        <f t="shared" si="613"/>
        <v>0.8739990373682881</v>
      </c>
      <c r="V235" s="217">
        <f t="shared" si="614"/>
        <v>0.29158484838002102</v>
      </c>
      <c r="W235" s="217">
        <f t="shared" si="615"/>
        <v>0.54757102859914064</v>
      </c>
      <c r="X235" s="197">
        <f t="shared" si="616"/>
        <v>350</v>
      </c>
      <c r="Y235" s="443">
        <f t="shared" si="680"/>
        <v>350</v>
      </c>
      <c r="AA235" s="217">
        <f t="shared" si="617"/>
        <v>2.9757762237879768</v>
      </c>
      <c r="AB235" s="173">
        <f t="shared" si="618"/>
        <v>1.8643600027831917</v>
      </c>
      <c r="AC235" s="173">
        <f t="shared" si="619"/>
        <v>3.8835427182044557</v>
      </c>
      <c r="AD235" s="173"/>
      <c r="AE235" s="173">
        <f t="shared" si="620"/>
        <v>0.83534955255471843</v>
      </c>
      <c r="AF235" s="545">
        <f t="shared" si="621"/>
        <v>511.76181119938678</v>
      </c>
      <c r="AG235" s="528">
        <f t="shared" si="622"/>
        <v>0.77965958238440392</v>
      </c>
      <c r="AI235" s="173">
        <f t="shared" si="623"/>
        <v>1.612273262433757</v>
      </c>
      <c r="AJ235" s="173">
        <f t="shared" si="624"/>
        <v>1.612273262433757</v>
      </c>
      <c r="AK235" s="173">
        <f t="shared" si="625"/>
        <v>1.4066221697040173</v>
      </c>
      <c r="AM235" s="545">
        <f t="shared" si="626"/>
        <v>1140.0000000000002</v>
      </c>
      <c r="AN235" s="460">
        <f t="shared" si="627"/>
        <v>350</v>
      </c>
      <c r="AP235">
        <f t="shared" si="628"/>
        <v>1140.0000000000002</v>
      </c>
      <c r="AQ235">
        <f t="shared" si="629"/>
        <v>350</v>
      </c>
      <c r="AS235" s="5">
        <f t="shared" si="600"/>
        <v>2.8571428571428572</v>
      </c>
      <c r="AT235" s="5">
        <f t="shared" si="630"/>
        <v>0.53788898462574708</v>
      </c>
      <c r="AU235" s="5">
        <f t="shared" si="722"/>
        <v>2.3192538725171099</v>
      </c>
      <c r="AV235" s="5"/>
      <c r="AW235" s="173">
        <f t="shared" si="723"/>
        <v>0.18826114461901147</v>
      </c>
      <c r="AX235" s="173">
        <f t="shared" si="631"/>
        <v>5.4587926527934583</v>
      </c>
      <c r="AY235" s="173">
        <f t="shared" si="632"/>
        <v>2.6174897052187003</v>
      </c>
      <c r="AZ235" s="173">
        <f t="shared" si="633"/>
        <v>2.0855068281299536</v>
      </c>
      <c r="BA235" s="460">
        <f t="shared" si="594"/>
        <v>15.329836061833793</v>
      </c>
      <c r="BB235" s="5">
        <f t="shared" si="595"/>
        <v>0.24502175130860712</v>
      </c>
      <c r="BD235" s="173">
        <f t="shared" si="681"/>
        <v>0.4038856024292552</v>
      </c>
      <c r="BE235" s="173">
        <f t="shared" si="682"/>
        <v>3.3546420241886623</v>
      </c>
      <c r="BG235" s="528">
        <f t="shared" si="683"/>
        <v>1.990107674165637E-3</v>
      </c>
      <c r="BH235" s="528">
        <f t="shared" si="634"/>
        <v>0.58322669510972303</v>
      </c>
      <c r="BI235" s="528">
        <f t="shared" si="635"/>
        <v>0.31472794088418138</v>
      </c>
      <c r="BJ235" s="528">
        <f t="shared" si="684"/>
        <v>0.106347404732342</v>
      </c>
      <c r="BK235">
        <f t="shared" si="685"/>
        <v>1.6186008388329329E-2</v>
      </c>
      <c r="BL235" s="460">
        <f t="shared" si="686"/>
        <v>330.91394927251071</v>
      </c>
      <c r="BM235" s="528">
        <f t="shared" si="636"/>
        <v>0.69242895132941296</v>
      </c>
      <c r="BN235" s="460">
        <f t="shared" si="687"/>
        <v>692.42895132941294</v>
      </c>
      <c r="BO235" s="528">
        <f t="shared" si="637"/>
        <v>0.79800000000000004</v>
      </c>
      <c r="BR235" s="460">
        <f t="shared" si="688"/>
        <v>798</v>
      </c>
      <c r="BS235" s="528">
        <f t="shared" si="689"/>
        <v>4.8937073954892722E-3</v>
      </c>
      <c r="BT235" s="528">
        <f t="shared" si="690"/>
        <v>0.33760869331357818</v>
      </c>
      <c r="BU235" s="528">
        <f t="shared" si="691"/>
        <v>0.37821325456896143</v>
      </c>
      <c r="BV235" s="528"/>
      <c r="BW235" s="528">
        <f t="shared" si="692"/>
        <v>2.2744969386639415E-2</v>
      </c>
      <c r="BX235" s="460">
        <f t="shared" si="693"/>
        <v>743.46062466466833</v>
      </c>
      <c r="BY235" s="173">
        <f t="shared" si="694"/>
        <v>2.5639387814534098</v>
      </c>
      <c r="BZ235" s="5">
        <f t="shared" si="695"/>
        <v>4.5600000000000005</v>
      </c>
      <c r="CA235" s="173">
        <f t="shared" si="696"/>
        <v>0.64009533769037796</v>
      </c>
      <c r="CB235" s="5">
        <f t="shared" si="697"/>
        <v>64.009533769037802</v>
      </c>
      <c r="CE235" s="562">
        <f t="shared" si="638"/>
        <v>-50</v>
      </c>
      <c r="CF235">
        <f t="shared" si="639"/>
        <v>-50</v>
      </c>
      <c r="CG235" s="173">
        <f t="shared" si="640"/>
        <v>0.38681390874682886</v>
      </c>
      <c r="CI235" s="170">
        <v>19</v>
      </c>
      <c r="CJ235" s="217">
        <f t="shared" si="698"/>
        <v>1.1400000000000001</v>
      </c>
      <c r="CK235" s="217"/>
      <c r="CL235" s="217">
        <f t="shared" si="641"/>
        <v>4.5600000000000005</v>
      </c>
      <c r="CM235" s="541">
        <f t="shared" si="642"/>
        <v>36</v>
      </c>
      <c r="CN235" s="443">
        <f t="shared" si="643"/>
        <v>18.8</v>
      </c>
      <c r="CO235" s="443">
        <f t="shared" si="644"/>
        <v>54.8</v>
      </c>
      <c r="CP235" s="443"/>
      <c r="CQ235" s="217">
        <f t="shared" si="645"/>
        <v>0.34306569343065696</v>
      </c>
      <c r="CR235" s="172">
        <f t="shared" si="646"/>
        <v>41.723649635036502</v>
      </c>
      <c r="CS235" s="172">
        <f t="shared" si="647"/>
        <v>4.5600000000000005</v>
      </c>
      <c r="CT235" s="217">
        <f t="shared" si="648"/>
        <v>10.430912408759125</v>
      </c>
      <c r="CU235" s="217">
        <f t="shared" si="649"/>
        <v>4</v>
      </c>
      <c r="CV235" s="217"/>
      <c r="CW235" s="172">
        <f t="shared" si="650"/>
        <v>96.328087547162866</v>
      </c>
      <c r="CX235" s="172">
        <f t="shared" si="651"/>
        <v>4</v>
      </c>
      <c r="CY235" s="217">
        <f t="shared" si="652"/>
        <v>0.73843971631205674</v>
      </c>
      <c r="CZ235" s="217">
        <f t="shared" si="653"/>
        <v>0.24614657210401888</v>
      </c>
      <c r="DA235" s="217">
        <f t="shared" si="654"/>
        <v>0.47134449977365322</v>
      </c>
      <c r="DB235" s="197">
        <f t="shared" si="655"/>
        <v>350</v>
      </c>
      <c r="DC235" s="443">
        <f t="shared" si="656"/>
        <v>350</v>
      </c>
      <c r="DE235" s="217">
        <f t="shared" si="657"/>
        <v>2.940563086548488</v>
      </c>
      <c r="DF235" s="173">
        <f t="shared" si="658"/>
        <v>1.8769551616266944</v>
      </c>
      <c r="DG235" s="173">
        <f t="shared" si="659"/>
        <v>3.8635135443702762</v>
      </c>
      <c r="DH235" s="173"/>
      <c r="DI235" s="173">
        <f t="shared" si="660"/>
        <v>0.85106382978723416</v>
      </c>
      <c r="DJ235" s="545">
        <f t="shared" si="661"/>
        <v>502.31249999999994</v>
      </c>
      <c r="DK235" s="528">
        <f t="shared" si="662"/>
        <v>0.79432624113475192</v>
      </c>
      <c r="DM235" s="173">
        <f t="shared" si="663"/>
        <v>1.5973191827022464</v>
      </c>
      <c r="DN235" s="173">
        <f t="shared" si="664"/>
        <v>1.5973191827022464</v>
      </c>
      <c r="DO235" s="173">
        <f t="shared" si="665"/>
        <v>1.3955450736066022</v>
      </c>
      <c r="DQ235" s="545">
        <f t="shared" si="666"/>
        <v>1140.0000000000002</v>
      </c>
      <c r="DR235" s="460">
        <f t="shared" si="667"/>
        <v>350</v>
      </c>
      <c r="DT235">
        <f t="shared" si="668"/>
        <v>1140.0000000000002</v>
      </c>
      <c r="DU235">
        <f t="shared" si="669"/>
        <v>350</v>
      </c>
      <c r="DW235" s="5">
        <f t="shared" si="670"/>
        <v>2.8571428571428572</v>
      </c>
      <c r="DX235" s="5">
        <f t="shared" si="671"/>
        <v>0.53243972756741553</v>
      </c>
      <c r="DY235" s="5">
        <f t="shared" si="672"/>
        <v>2.3247031295754415</v>
      </c>
      <c r="DZ235" s="5"/>
      <c r="EA235" s="173">
        <f t="shared" si="673"/>
        <v>0.18635390464859544</v>
      </c>
      <c r="EB235" s="173">
        <f t="shared" si="699"/>
        <v>5.3580000000000023</v>
      </c>
      <c r="EC235" s="173">
        <f t="shared" si="700"/>
        <v>2.5993050320711588</v>
      </c>
      <c r="ED235" s="173">
        <f t="shared" si="701"/>
        <v>2.0613202120917222</v>
      </c>
      <c r="EE235" s="460">
        <f t="shared" si="674"/>
        <v>15.174532235671345</v>
      </c>
      <c r="EF235" s="5">
        <f t="shared" si="675"/>
        <v>0.24538533034407436</v>
      </c>
      <c r="EH235" s="173">
        <f t="shared" si="702"/>
        <v>0.39810747155247006</v>
      </c>
      <c r="EI235" s="173">
        <f t="shared" si="703"/>
        <v>3.3274293538893711</v>
      </c>
      <c r="EK235" s="528">
        <f t="shared" si="704"/>
        <v>1.933572618651989E-3</v>
      </c>
      <c r="EL235" s="528">
        <f t="shared" si="705"/>
        <v>0.61273163848458168</v>
      </c>
      <c r="EM235" s="528">
        <f t="shared" si="706"/>
        <v>4.3749999999999997E-2</v>
      </c>
      <c r="EN235" s="528">
        <f t="shared" si="707"/>
        <v>0.10510639999999997</v>
      </c>
      <c r="EO235">
        <f t="shared" si="708"/>
        <v>1.6199999999999999E-2</v>
      </c>
      <c r="EP235" s="460">
        <f t="shared" si="709"/>
        <v>59.949999999999996</v>
      </c>
      <c r="EQ235" s="460"/>
      <c r="ER235" s="460">
        <f t="shared" si="710"/>
        <v>779.72161110323361</v>
      </c>
      <c r="ES235" s="528">
        <f t="shared" si="711"/>
        <v>0.79800000000000004</v>
      </c>
      <c r="EV235" s="460">
        <f t="shared" si="712"/>
        <v>798</v>
      </c>
      <c r="EW235" s="528">
        <f t="shared" si="713"/>
        <v>4.7546867671770226E-3</v>
      </c>
      <c r="EX235" s="528">
        <f t="shared" si="714"/>
        <v>0.33215358315373911</v>
      </c>
      <c r="EY235" s="528">
        <f t="shared" si="715"/>
        <v>0.36950420355773067</v>
      </c>
      <c r="EZ235" s="528"/>
      <c r="FA235" s="528">
        <f t="shared" si="716"/>
        <v>2.2325000000000012E-2</v>
      </c>
      <c r="FB235" s="460">
        <f t="shared" si="717"/>
        <v>728.73747347864685</v>
      </c>
      <c r="FC235" s="173">
        <f t="shared" si="718"/>
        <v>2.3064590845818804</v>
      </c>
      <c r="FD235" s="5">
        <f t="shared" si="719"/>
        <v>4.5600000000000005</v>
      </c>
      <c r="FE235" s="173">
        <f t="shared" si="720"/>
        <v>0.66409774584387149</v>
      </c>
      <c r="FF235" s="5">
        <f t="shared" si="721"/>
        <v>66.409774584387151</v>
      </c>
      <c r="FI235" s="562">
        <f t="shared" si="676"/>
        <v>-50</v>
      </c>
      <c r="FJ235">
        <f t="shared" si="677"/>
        <v>-50</v>
      </c>
      <c r="FL235">
        <f t="shared" si="678"/>
        <v>0.35684790251858695</v>
      </c>
    </row>
    <row r="236" spans="5:168">
      <c r="E236" s="170">
        <v>20</v>
      </c>
      <c r="F236" s="217">
        <f t="shared" si="679"/>
        <v>1.2000000000000002</v>
      </c>
      <c r="G236" s="217"/>
      <c r="H236" s="217">
        <f t="shared" si="603"/>
        <v>4.8000000000000007</v>
      </c>
      <c r="I236" s="541">
        <f t="shared" si="604"/>
        <v>35.968099798478022</v>
      </c>
      <c r="J236" s="172">
        <f t="shared" si="605"/>
        <v>19.162845894088857</v>
      </c>
      <c r="K236" s="172">
        <f t="shared" si="606"/>
        <v>55.130945692566883</v>
      </c>
      <c r="L236" s="443"/>
      <c r="M236" s="217">
        <f t="shared" si="607"/>
        <v>0.34794820702374657</v>
      </c>
      <c r="N236" s="172">
        <f t="shared" si="608"/>
        <v>42.279962729010613</v>
      </c>
      <c r="O236" s="172">
        <f t="shared" si="599"/>
        <v>4.8000000000000007</v>
      </c>
      <c r="P236" s="217">
        <f t="shared" si="609"/>
        <v>10.569990682252653</v>
      </c>
      <c r="Q236" s="217">
        <f t="shared" si="610"/>
        <v>4</v>
      </c>
      <c r="R236" s="217"/>
      <c r="S236" s="172">
        <f t="shared" si="611"/>
        <v>90.988013764703155</v>
      </c>
      <c r="T236" s="172">
        <f t="shared" si="612"/>
        <v>4</v>
      </c>
      <c r="U236" s="217">
        <f t="shared" si="613"/>
        <v>0.92017230297202945</v>
      </c>
      <c r="V236" s="217">
        <f t="shared" si="614"/>
        <v>0.30699613539583193</v>
      </c>
      <c r="W236" s="217">
        <f t="shared" si="615"/>
        <v>0.57622274356808811</v>
      </c>
      <c r="X236" s="197">
        <f t="shared" si="616"/>
        <v>350</v>
      </c>
      <c r="Y236" s="443">
        <f t="shared" si="680"/>
        <v>350</v>
      </c>
      <c r="AA236" s="217">
        <f t="shared" si="617"/>
        <v>2.9766842459949561</v>
      </c>
      <c r="AB236" s="173">
        <f t="shared" si="618"/>
        <v>1.8640347654707201</v>
      </c>
      <c r="AC236" s="173">
        <f t="shared" si="619"/>
        <v>3.8840500442545167</v>
      </c>
      <c r="AD236" s="173"/>
      <c r="AE236" s="173">
        <f t="shared" si="620"/>
        <v>0.8349490513272616</v>
      </c>
      <c r="AF236" s="545">
        <f t="shared" si="621"/>
        <v>538.95504077124906</v>
      </c>
      <c r="AG236" s="528">
        <f t="shared" si="622"/>
        <v>0.77928578123877756</v>
      </c>
      <c r="AI236" s="173">
        <f t="shared" si="623"/>
        <v>1.6545541433997455</v>
      </c>
      <c r="AJ236" s="173">
        <f t="shared" si="624"/>
        <v>1.6545541433997455</v>
      </c>
      <c r="AK236" s="173">
        <f t="shared" si="625"/>
        <v>1.4379413407899349</v>
      </c>
      <c r="AM236" s="545">
        <f t="shared" si="626"/>
        <v>1200.0000000000002</v>
      </c>
      <c r="AN236" s="460">
        <f t="shared" si="627"/>
        <v>350</v>
      </c>
      <c r="AP236">
        <f t="shared" si="628"/>
        <v>1200.0000000000002</v>
      </c>
      <c r="AQ236">
        <f t="shared" si="629"/>
        <v>350</v>
      </c>
      <c r="AS236" s="5">
        <f t="shared" si="600"/>
        <v>2.8571428571428572</v>
      </c>
      <c r="AT236" s="5">
        <f t="shared" si="630"/>
        <v>0.55200719059495851</v>
      </c>
      <c r="AU236" s="5">
        <f t="shared" si="722"/>
        <v>2.3051356665478986</v>
      </c>
      <c r="AV236" s="5"/>
      <c r="AW236" s="173">
        <f t="shared" si="723"/>
        <v>0.19320251670823546</v>
      </c>
      <c r="AX236" s="173">
        <f t="shared" si="631"/>
        <v>5.7488537682266587</v>
      </c>
      <c r="AY236" s="173">
        <f t="shared" si="632"/>
        <v>2.6697802377297521</v>
      </c>
      <c r="AZ236" s="173">
        <f t="shared" si="633"/>
        <v>2.1533059863815596</v>
      </c>
      <c r="BA236" s="460">
        <f t="shared" si="594"/>
        <v>16.560215717848759</v>
      </c>
      <c r="BB236" s="5">
        <f t="shared" si="595"/>
        <v>0.25635334415363686</v>
      </c>
      <c r="BD236" s="173">
        <f t="shared" si="681"/>
        <v>0.41988150562192594</v>
      </c>
      <c r="BE236" s="173">
        <f t="shared" si="682"/>
        <v>3.4321211922279273</v>
      </c>
      <c r="BG236" s="528">
        <f t="shared" si="683"/>
        <v>2.150865840912692E-3</v>
      </c>
      <c r="BH236" s="528">
        <f t="shared" si="634"/>
        <v>0.59861244597776264</v>
      </c>
      <c r="BI236" s="528">
        <f t="shared" si="635"/>
        <v>0.31472087323668269</v>
      </c>
      <c r="BJ236" s="528">
        <f t="shared" si="684"/>
        <v>0.10637974105348655</v>
      </c>
      <c r="BK236">
        <f t="shared" si="685"/>
        <v>1.6185644909315108E-2</v>
      </c>
      <c r="BL236" s="460">
        <f t="shared" si="686"/>
        <v>330.90651814599778</v>
      </c>
      <c r="BM236" s="528">
        <f t="shared" si="636"/>
        <v>0.70808565079313091</v>
      </c>
      <c r="BN236" s="460">
        <f t="shared" si="687"/>
        <v>708.08565079313087</v>
      </c>
      <c r="BO236" s="528">
        <f t="shared" si="637"/>
        <v>0.84000000000000008</v>
      </c>
      <c r="BR236" s="460">
        <f t="shared" si="688"/>
        <v>840.00000000000011</v>
      </c>
      <c r="BS236" s="528">
        <f t="shared" si="689"/>
        <v>5.2890143629000632E-3</v>
      </c>
      <c r="BT236" s="528">
        <f t="shared" si="690"/>
        <v>0.35338367634420148</v>
      </c>
      <c r="BU236" s="528">
        <f t="shared" si="691"/>
        <v>0.40349910338459127</v>
      </c>
      <c r="BV236" s="528"/>
      <c r="BW236" s="528">
        <f t="shared" si="692"/>
        <v>2.3953557367611074E-2</v>
      </c>
      <c r="BX236" s="460">
        <f t="shared" si="693"/>
        <v>786.12535145930383</v>
      </c>
      <c r="BY236" s="173">
        <f t="shared" si="694"/>
        <v>2.6641749224774638</v>
      </c>
      <c r="BZ236" s="5">
        <f t="shared" si="695"/>
        <v>4.8000000000000007</v>
      </c>
      <c r="CA236" s="173">
        <f t="shared" si="696"/>
        <v>0.64307174602049832</v>
      </c>
      <c r="CB236" s="5">
        <f t="shared" si="697"/>
        <v>64.307174602049827</v>
      </c>
      <c r="CE236" s="562">
        <f t="shared" si="638"/>
        <v>-50</v>
      </c>
      <c r="CF236">
        <f t="shared" si="639"/>
        <v>-50</v>
      </c>
      <c r="CG236" s="173">
        <f t="shared" si="640"/>
        <v>0.39686269665968865</v>
      </c>
      <c r="CI236" s="170">
        <v>20</v>
      </c>
      <c r="CJ236" s="217">
        <f t="shared" si="698"/>
        <v>1.2000000000000002</v>
      </c>
      <c r="CK236" s="217"/>
      <c r="CL236" s="217">
        <f t="shared" si="641"/>
        <v>4.8000000000000007</v>
      </c>
      <c r="CM236" s="541">
        <f t="shared" si="642"/>
        <v>36</v>
      </c>
      <c r="CN236" s="443">
        <f t="shared" si="643"/>
        <v>18.8</v>
      </c>
      <c r="CO236" s="443">
        <f t="shared" si="644"/>
        <v>54.8</v>
      </c>
      <c r="CP236" s="443"/>
      <c r="CQ236" s="217">
        <f t="shared" si="645"/>
        <v>0.34306569343065696</v>
      </c>
      <c r="CR236" s="172">
        <f t="shared" si="646"/>
        <v>41.723649635036502</v>
      </c>
      <c r="CS236" s="172">
        <f t="shared" si="647"/>
        <v>4.8000000000000007</v>
      </c>
      <c r="CT236" s="217">
        <f t="shared" si="648"/>
        <v>10.430912408759125</v>
      </c>
      <c r="CU236" s="217">
        <f t="shared" si="649"/>
        <v>4</v>
      </c>
      <c r="CV236" s="217"/>
      <c r="CW236" s="172">
        <f t="shared" si="650"/>
        <v>91.068650894816145</v>
      </c>
      <c r="CX236" s="172">
        <f t="shared" si="651"/>
        <v>4</v>
      </c>
      <c r="CY236" s="217">
        <f t="shared" si="652"/>
        <v>0.7773049645390071</v>
      </c>
      <c r="CZ236" s="217">
        <f t="shared" si="653"/>
        <v>0.25910165484633568</v>
      </c>
      <c r="DA236" s="217">
        <f t="shared" si="654"/>
        <v>0.49615210502489815</v>
      </c>
      <c r="DB236" s="197">
        <f t="shared" si="655"/>
        <v>350</v>
      </c>
      <c r="DC236" s="443">
        <f t="shared" si="656"/>
        <v>350</v>
      </c>
      <c r="DE236" s="217">
        <f t="shared" si="657"/>
        <v>2.940563086548488</v>
      </c>
      <c r="DF236" s="173">
        <f t="shared" si="658"/>
        <v>1.8769551616266944</v>
      </c>
      <c r="DG236" s="173">
        <f t="shared" si="659"/>
        <v>3.8635135443702762</v>
      </c>
      <c r="DH236" s="173"/>
      <c r="DI236" s="173">
        <f t="shared" si="660"/>
        <v>0.85106382978723416</v>
      </c>
      <c r="DJ236" s="545">
        <f t="shared" si="661"/>
        <v>528.75</v>
      </c>
      <c r="DK236" s="528">
        <f t="shared" si="662"/>
        <v>0.79432624113475192</v>
      </c>
      <c r="DM236" s="173">
        <f t="shared" si="663"/>
        <v>1.6388149028228558</v>
      </c>
      <c r="DN236" s="173">
        <f t="shared" si="664"/>
        <v>1.6388149028228558</v>
      </c>
      <c r="DO236" s="173">
        <f t="shared" si="665"/>
        <v>1.4262826440663128</v>
      </c>
      <c r="DQ236" s="545">
        <f t="shared" si="666"/>
        <v>1200.0000000000002</v>
      </c>
      <c r="DR236" s="460">
        <f t="shared" si="667"/>
        <v>350</v>
      </c>
      <c r="DT236">
        <f t="shared" si="668"/>
        <v>1200.0000000000002</v>
      </c>
      <c r="DU236">
        <f t="shared" si="669"/>
        <v>350</v>
      </c>
      <c r="DW236" s="5">
        <f t="shared" si="670"/>
        <v>2.8571428571428572</v>
      </c>
      <c r="DX236" s="5">
        <f t="shared" si="671"/>
        <v>0.54627163427428538</v>
      </c>
      <c r="DY236" s="5">
        <f t="shared" si="672"/>
        <v>2.3108712228685717</v>
      </c>
      <c r="DZ236" s="5"/>
      <c r="EA236" s="173">
        <f t="shared" si="673"/>
        <v>0.19119507199599989</v>
      </c>
      <c r="EB236" s="173">
        <f t="shared" si="699"/>
        <v>5.6400000000000015</v>
      </c>
      <c r="EC236" s="173">
        <f t="shared" si="700"/>
        <v>2.6509631389790447</v>
      </c>
      <c r="ED236" s="173">
        <f t="shared" si="701"/>
        <v>2.1275286393352544</v>
      </c>
      <c r="EE236" s="460">
        <f t="shared" si="674"/>
        <v>16.388149028228565</v>
      </c>
      <c r="EF236" s="5">
        <f t="shared" si="675"/>
        <v>0.25676346920761911</v>
      </c>
      <c r="EH236" s="173">
        <f t="shared" si="702"/>
        <v>0.41372105587292685</v>
      </c>
      <c r="EI236" s="173">
        <f t="shared" si="703"/>
        <v>3.4036991245772263</v>
      </c>
      <c r="EK236" s="528">
        <f t="shared" si="704"/>
        <v>2.0882143672858351E-3</v>
      </c>
      <c r="EL236" s="528">
        <f t="shared" si="705"/>
        <v>0.62864939672284748</v>
      </c>
      <c r="EM236" s="528">
        <f t="shared" si="706"/>
        <v>4.3749999999999997E-2</v>
      </c>
      <c r="EN236" s="528">
        <f t="shared" si="707"/>
        <v>0.10510639999999997</v>
      </c>
      <c r="EO236">
        <f t="shared" si="708"/>
        <v>1.6199999999999999E-2</v>
      </c>
      <c r="EP236" s="460">
        <f t="shared" si="709"/>
        <v>59.949999999999996</v>
      </c>
      <c r="EQ236" s="460"/>
      <c r="ER236" s="460">
        <f t="shared" si="710"/>
        <v>795.79401109013315</v>
      </c>
      <c r="ES236" s="528">
        <f t="shared" si="711"/>
        <v>0.84000000000000008</v>
      </c>
      <c r="EV236" s="460">
        <f t="shared" si="712"/>
        <v>840.00000000000011</v>
      </c>
      <c r="EW236" s="528">
        <f t="shared" si="713"/>
        <v>5.1349533621782833E-3</v>
      </c>
      <c r="EX236" s="528">
        <f t="shared" si="714"/>
        <v>0.34755503191943332</v>
      </c>
      <c r="EY236" s="528">
        <f t="shared" si="715"/>
        <v>0.39397156421421103</v>
      </c>
      <c r="EZ236" s="528"/>
      <c r="FA236" s="528">
        <f t="shared" si="716"/>
        <v>2.350000000000001E-2</v>
      </c>
      <c r="FB236" s="460">
        <f t="shared" si="717"/>
        <v>770.16154949582256</v>
      </c>
      <c r="FC236" s="173">
        <f t="shared" si="718"/>
        <v>2.4059555605859559</v>
      </c>
      <c r="FD236" s="5">
        <f t="shared" si="719"/>
        <v>4.8000000000000007</v>
      </c>
      <c r="FE236" s="173">
        <f t="shared" si="720"/>
        <v>0.66611568162511481</v>
      </c>
      <c r="FF236" s="5">
        <f t="shared" si="721"/>
        <v>66.611568162511475</v>
      </c>
      <c r="FI236" s="562">
        <f t="shared" si="676"/>
        <v>-50</v>
      </c>
      <c r="FJ236">
        <f t="shared" si="677"/>
        <v>-50</v>
      </c>
      <c r="FL236">
        <f t="shared" si="678"/>
        <v>0.36611822297106356</v>
      </c>
    </row>
    <row r="237" spans="5:168">
      <c r="E237" s="170">
        <v>21</v>
      </c>
      <c r="F237" s="217">
        <f t="shared" si="679"/>
        <v>1.26</v>
      </c>
      <c r="G237" s="217"/>
      <c r="H237" s="217">
        <f t="shared" si="603"/>
        <v>5.04</v>
      </c>
      <c r="I237" s="541">
        <f t="shared" si="604"/>
        <v>35.967312020558012</v>
      </c>
      <c r="J237" s="172">
        <f t="shared" si="605"/>
        <v>19.171806401235912</v>
      </c>
      <c r="K237" s="172">
        <f t="shared" si="606"/>
        <v>55.139118421793924</v>
      </c>
      <c r="L237" s="443"/>
      <c r="M237" s="217">
        <f t="shared" si="607"/>
        <v>0.34806797169653914</v>
      </c>
      <c r="N237" s="172">
        <f t="shared" si="608"/>
        <v>42.293589261647341</v>
      </c>
      <c r="O237" s="172">
        <f t="shared" si="599"/>
        <v>5.04</v>
      </c>
      <c r="P237" s="217">
        <f t="shared" si="609"/>
        <v>10.573397315411835</v>
      </c>
      <c r="Q237" s="217">
        <f t="shared" si="610"/>
        <v>4</v>
      </c>
      <c r="R237" s="217"/>
      <c r="S237" s="172">
        <f t="shared" si="611"/>
        <v>86.23219556752835</v>
      </c>
      <c r="T237" s="172">
        <f t="shared" si="612"/>
        <v>4</v>
      </c>
      <c r="U237" s="217">
        <f t="shared" si="613"/>
        <v>0.96635841260854272</v>
      </c>
      <c r="V237" s="217">
        <f t="shared" si="614"/>
        <v>0.32241222098205058</v>
      </c>
      <c r="W237" s="217">
        <f t="shared" si="615"/>
        <v>0.60486219757335735</v>
      </c>
      <c r="X237" s="197">
        <f t="shared" si="616"/>
        <v>350</v>
      </c>
      <c r="Y237" s="443">
        <f t="shared" si="680"/>
        <v>350</v>
      </c>
      <c r="AA237" s="217">
        <f t="shared" si="617"/>
        <v>2.9775695099254227</v>
      </c>
      <c r="AB237" s="173">
        <f t="shared" si="618"/>
        <v>1.8637176576538808</v>
      </c>
      <c r="AC237" s="173">
        <f t="shared" si="619"/>
        <v>3.884544210777876</v>
      </c>
      <c r="AD237" s="173"/>
      <c r="AE237" s="173">
        <f t="shared" si="620"/>
        <v>0.8345588133504499</v>
      </c>
      <c r="AF237" s="545">
        <f t="shared" si="621"/>
        <v>566.16740778649785</v>
      </c>
      <c r="AG237" s="528">
        <f t="shared" si="622"/>
        <v>0.77892155912708683</v>
      </c>
      <c r="AI237" s="173">
        <f t="shared" si="623"/>
        <v>1.6958098242979329</v>
      </c>
      <c r="AJ237" s="173">
        <f t="shared" si="624"/>
        <v>1.6958098242979329</v>
      </c>
      <c r="AK237" s="173">
        <f t="shared" si="625"/>
        <v>1.4685011044182217</v>
      </c>
      <c r="AM237" s="545">
        <f t="shared" si="626"/>
        <v>1260</v>
      </c>
      <c r="AN237" s="460">
        <f t="shared" si="627"/>
        <v>350</v>
      </c>
      <c r="AP237">
        <f t="shared" si="628"/>
        <v>1260</v>
      </c>
      <c r="AQ237">
        <f t="shared" si="629"/>
        <v>350</v>
      </c>
      <c r="AS237" s="5">
        <f t="shared" si="600"/>
        <v>2.8571428571428572</v>
      </c>
      <c r="AT237" s="5">
        <f t="shared" si="630"/>
        <v>0.5657836726843477</v>
      </c>
      <c r="AU237" s="5">
        <f t="shared" si="722"/>
        <v>2.2913591844585097</v>
      </c>
      <c r="AV237" s="5"/>
      <c r="AW237" s="173">
        <f t="shared" si="723"/>
        <v>0.19802428543952169</v>
      </c>
      <c r="AX237" s="173">
        <f t="shared" si="631"/>
        <v>6.0391190163893116</v>
      </c>
      <c r="AY237" s="173">
        <f t="shared" si="632"/>
        <v>2.7199965912000281</v>
      </c>
      <c r="AZ237" s="173">
        <f t="shared" si="633"/>
        <v>2.2202671267778791</v>
      </c>
      <c r="BA237" s="460">
        <f t="shared" si="594"/>
        <v>17.822185689556949</v>
      </c>
      <c r="BB237" s="5">
        <f t="shared" si="595"/>
        <v>0.26756818995050474</v>
      </c>
      <c r="BD237" s="173">
        <f t="shared" si="681"/>
        <v>0.43568814897754499</v>
      </c>
      <c r="BE237" s="173">
        <f t="shared" si="682"/>
        <v>3.5071724380812896</v>
      </c>
      <c r="BG237" s="528">
        <f t="shared" si="683"/>
        <v>2.3158547905456489E-3</v>
      </c>
      <c r="BH237" s="528">
        <f t="shared" si="634"/>
        <v>0.61362957286840958</v>
      </c>
      <c r="BI237" s="528">
        <f t="shared" si="635"/>
        <v>0.31471398017988256</v>
      </c>
      <c r="BJ237" s="528">
        <f t="shared" si="684"/>
        <v>0.1064112833116415</v>
      </c>
      <c r="BK237">
        <f t="shared" si="685"/>
        <v>1.6185290409251103E-2</v>
      </c>
      <c r="BL237" s="460">
        <f t="shared" si="686"/>
        <v>330.89927058913366</v>
      </c>
      <c r="BM237" s="528">
        <f t="shared" si="636"/>
        <v>0.72338002952621105</v>
      </c>
      <c r="BN237" s="460">
        <f t="shared" si="687"/>
        <v>723.38002952621105</v>
      </c>
      <c r="BO237" s="528">
        <f t="shared" si="637"/>
        <v>0.8819999999999999</v>
      </c>
      <c r="BR237" s="460">
        <f t="shared" si="688"/>
        <v>881.99999999999989</v>
      </c>
      <c r="BS237" s="528">
        <f t="shared" si="689"/>
        <v>5.6947248947843828E-3</v>
      </c>
      <c r="BT237" s="528">
        <f t="shared" si="690"/>
        <v>0.3690077553131117</v>
      </c>
      <c r="BU237" s="528">
        <f t="shared" si="691"/>
        <v>0.42912417601698144</v>
      </c>
      <c r="BV237" s="528"/>
      <c r="BW237" s="528">
        <f t="shared" si="692"/>
        <v>2.5162995901622128E-2</v>
      </c>
      <c r="BX237" s="460">
        <f t="shared" si="693"/>
        <v>828.98965212649955</v>
      </c>
      <c r="BY237" s="173">
        <f t="shared" si="694"/>
        <v>2.7642456336862296</v>
      </c>
      <c r="BZ237" s="5">
        <f t="shared" si="695"/>
        <v>5.04</v>
      </c>
      <c r="CA237" s="173">
        <f t="shared" si="696"/>
        <v>0.64580232818984507</v>
      </c>
      <c r="CB237" s="5">
        <f t="shared" si="697"/>
        <v>64.580232818984513</v>
      </c>
      <c r="CE237" s="562">
        <f t="shared" si="638"/>
        <v>-50</v>
      </c>
      <c r="CF237">
        <f t="shared" si="639"/>
        <v>-50</v>
      </c>
      <c r="CG237" s="173">
        <f t="shared" si="640"/>
        <v>0.40666325135177878</v>
      </c>
      <c r="CI237" s="170">
        <v>21</v>
      </c>
      <c r="CJ237" s="217">
        <f t="shared" si="698"/>
        <v>1.26</v>
      </c>
      <c r="CK237" s="217"/>
      <c r="CL237" s="217">
        <f t="shared" si="641"/>
        <v>5.04</v>
      </c>
      <c r="CM237" s="541">
        <f t="shared" si="642"/>
        <v>36</v>
      </c>
      <c r="CN237" s="443">
        <f t="shared" si="643"/>
        <v>18.8</v>
      </c>
      <c r="CO237" s="443">
        <f t="shared" si="644"/>
        <v>54.8</v>
      </c>
      <c r="CP237" s="443"/>
      <c r="CQ237" s="217">
        <f t="shared" si="645"/>
        <v>0.34306569343065696</v>
      </c>
      <c r="CR237" s="172">
        <f t="shared" si="646"/>
        <v>41.723649635036502</v>
      </c>
      <c r="CS237" s="172">
        <f t="shared" si="647"/>
        <v>5.04</v>
      </c>
      <c r="CT237" s="217">
        <f t="shared" si="648"/>
        <v>10.430912408759125</v>
      </c>
      <c r="CU237" s="217">
        <f t="shared" si="649"/>
        <v>4</v>
      </c>
      <c r="CV237" s="217"/>
      <c r="CW237" s="172">
        <f t="shared" si="650"/>
        <v>86.310500292414289</v>
      </c>
      <c r="CX237" s="172">
        <f t="shared" si="651"/>
        <v>4</v>
      </c>
      <c r="CY237" s="217">
        <f t="shared" si="652"/>
        <v>0.81617021276595736</v>
      </c>
      <c r="CZ237" s="217">
        <f t="shared" si="653"/>
        <v>0.27205673758865245</v>
      </c>
      <c r="DA237" s="217">
        <f t="shared" si="654"/>
        <v>0.52095971027614296</v>
      </c>
      <c r="DB237" s="197">
        <f t="shared" si="655"/>
        <v>350</v>
      </c>
      <c r="DC237" s="443">
        <f t="shared" si="656"/>
        <v>350</v>
      </c>
      <c r="DE237" s="217">
        <f t="shared" si="657"/>
        <v>2.940563086548488</v>
      </c>
      <c r="DF237" s="173">
        <f t="shared" si="658"/>
        <v>1.8769551616266944</v>
      </c>
      <c r="DG237" s="173">
        <f t="shared" si="659"/>
        <v>3.8635135443702762</v>
      </c>
      <c r="DH237" s="173"/>
      <c r="DI237" s="173">
        <f t="shared" si="660"/>
        <v>0.85106382978723416</v>
      </c>
      <c r="DJ237" s="545">
        <f t="shared" si="661"/>
        <v>555.18749999999989</v>
      </c>
      <c r="DK237" s="528">
        <f t="shared" si="662"/>
        <v>0.79432624113475192</v>
      </c>
      <c r="DM237" s="173">
        <f t="shared" si="663"/>
        <v>1.6792855623746665</v>
      </c>
      <c r="DN237" s="173">
        <f t="shared" si="664"/>
        <v>1.6792855623746665</v>
      </c>
      <c r="DO237" s="173">
        <f t="shared" si="665"/>
        <v>1.4562609104009874</v>
      </c>
      <c r="DQ237" s="545">
        <f t="shared" si="666"/>
        <v>1260</v>
      </c>
      <c r="DR237" s="460">
        <f t="shared" si="667"/>
        <v>350</v>
      </c>
      <c r="DT237">
        <f t="shared" si="668"/>
        <v>1260</v>
      </c>
      <c r="DU237">
        <f t="shared" si="669"/>
        <v>350</v>
      </c>
      <c r="DW237" s="5">
        <f t="shared" si="670"/>
        <v>2.8571428571428572</v>
      </c>
      <c r="DX237" s="5">
        <f t="shared" si="671"/>
        <v>0.55976185412488877</v>
      </c>
      <c r="DY237" s="5">
        <f t="shared" si="672"/>
        <v>2.2973810030179687</v>
      </c>
      <c r="DZ237" s="5"/>
      <c r="EA237" s="173">
        <f t="shared" si="673"/>
        <v>0.19591664894371105</v>
      </c>
      <c r="EB237" s="173">
        <f t="shared" si="699"/>
        <v>5.9220000000000006</v>
      </c>
      <c r="EC237" s="173">
        <f t="shared" si="700"/>
        <v>2.7005711247493331</v>
      </c>
      <c r="ED237" s="173">
        <f t="shared" si="701"/>
        <v>2.1928694807287035</v>
      </c>
      <c r="EE237" s="460">
        <f t="shared" si="674"/>
        <v>17.632498404933997</v>
      </c>
      <c r="EF237" s="5">
        <f t="shared" si="675"/>
        <v>0.26802778368542962</v>
      </c>
      <c r="EH237" s="173">
        <f t="shared" si="702"/>
        <v>0.42914059468557431</v>
      </c>
      <c r="EI237" s="173">
        <f t="shared" si="703"/>
        <v>3.4775585688650286</v>
      </c>
      <c r="EK237" s="528">
        <f t="shared" si="704"/>
        <v>2.2467721300864778E-3</v>
      </c>
      <c r="EL237" s="528">
        <f t="shared" si="705"/>
        <v>0.64417394172692199</v>
      </c>
      <c r="EM237" s="528">
        <f t="shared" si="706"/>
        <v>4.3749999999999997E-2</v>
      </c>
      <c r="EN237" s="528">
        <f t="shared" si="707"/>
        <v>0.10510639999999997</v>
      </c>
      <c r="EO237">
        <f t="shared" si="708"/>
        <v>1.6199999999999999E-2</v>
      </c>
      <c r="EP237" s="460">
        <f t="shared" si="709"/>
        <v>59.949999999999996</v>
      </c>
      <c r="EQ237" s="460"/>
      <c r="ER237" s="460">
        <f t="shared" si="710"/>
        <v>811.47711385700836</v>
      </c>
      <c r="ES237" s="528">
        <f t="shared" si="711"/>
        <v>0.8819999999999999</v>
      </c>
      <c r="EV237" s="460">
        <f t="shared" si="712"/>
        <v>881.99999999999989</v>
      </c>
      <c r="EW237" s="528">
        <f t="shared" si="713"/>
        <v>5.5248495002126509E-3</v>
      </c>
      <c r="EX237" s="528">
        <f t="shared" si="714"/>
        <v>0.36280240799659752</v>
      </c>
      <c r="EY237" s="528">
        <f t="shared" si="715"/>
        <v>0.41874679938905418</v>
      </c>
      <c r="EZ237" s="528"/>
      <c r="FA237" s="528">
        <f t="shared" si="716"/>
        <v>2.4674999999999999E-2</v>
      </c>
      <c r="FB237" s="460">
        <f t="shared" si="717"/>
        <v>811.74905688586432</v>
      </c>
      <c r="FC237" s="173">
        <f t="shared" si="718"/>
        <v>2.5052261707428727</v>
      </c>
      <c r="FD237" s="5">
        <f t="shared" si="719"/>
        <v>5.04</v>
      </c>
      <c r="FE237" s="173">
        <f t="shared" si="720"/>
        <v>0.66797202442293147</v>
      </c>
      <c r="FF237" s="5">
        <f t="shared" si="721"/>
        <v>66.797202442293141</v>
      </c>
      <c r="FI237" s="562">
        <f t="shared" si="676"/>
        <v>-50</v>
      </c>
      <c r="FJ237">
        <f t="shared" si="677"/>
        <v>-50</v>
      </c>
      <c r="FL237">
        <f t="shared" si="678"/>
        <v>0.37515954053051059</v>
      </c>
    </row>
    <row r="238" spans="5:168">
      <c r="E238" s="170">
        <v>22</v>
      </c>
      <c r="F238" s="217">
        <f t="shared" si="679"/>
        <v>1.32</v>
      </c>
      <c r="G238" s="217"/>
      <c r="H238" s="217">
        <f t="shared" si="603"/>
        <v>5.28</v>
      </c>
      <c r="I238" s="541">
        <f t="shared" si="604"/>
        <v>35.96654278638534</v>
      </c>
      <c r="J238" s="172">
        <f t="shared" si="605"/>
        <v>19.180555984242606</v>
      </c>
      <c r="K238" s="172">
        <f t="shared" si="606"/>
        <v>55.147098770627949</v>
      </c>
      <c r="L238" s="443"/>
      <c r="M238" s="217">
        <f t="shared" si="607"/>
        <v>0.34818487980530782</v>
      </c>
      <c r="N238" s="172">
        <f t="shared" si="608"/>
        <v>42.306889877269185</v>
      </c>
      <c r="O238" s="172">
        <f t="shared" si="599"/>
        <v>5.28</v>
      </c>
      <c r="P238" s="217">
        <f t="shared" si="609"/>
        <v>10.576722469317296</v>
      </c>
      <c r="Q238" s="217">
        <f t="shared" si="610"/>
        <v>4</v>
      </c>
      <c r="R238" s="217"/>
      <c r="S238" s="172">
        <f t="shared" si="611"/>
        <v>81.909159153257832</v>
      </c>
      <c r="T238" s="172">
        <f t="shared" si="612"/>
        <v>4</v>
      </c>
      <c r="U238" s="217">
        <f t="shared" si="613"/>
        <v>1.0125570572877522</v>
      </c>
      <c r="V238" s="217">
        <f t="shared" si="614"/>
        <v>0.33783298994343453</v>
      </c>
      <c r="W238" s="217">
        <f t="shared" si="615"/>
        <v>0.63348970162466489</v>
      </c>
      <c r="X238" s="197">
        <f t="shared" si="616"/>
        <v>350</v>
      </c>
      <c r="Y238" s="443">
        <f t="shared" si="680"/>
        <v>350</v>
      </c>
      <c r="AA238" s="217">
        <f t="shared" si="617"/>
        <v>2.9784336233397495</v>
      </c>
      <c r="AB238" s="173">
        <f t="shared" si="618"/>
        <v>1.8634081050330058</v>
      </c>
      <c r="AC238" s="173">
        <f t="shared" si="619"/>
        <v>3.8850261478238783</v>
      </c>
      <c r="AD238" s="173"/>
      <c r="AE238" s="173">
        <f t="shared" si="620"/>
        <v>0.83417811314460732</v>
      </c>
      <c r="AF238" s="545">
        <f t="shared" si="621"/>
        <v>593.39845076250538</v>
      </c>
      <c r="AG238" s="528">
        <f t="shared" si="622"/>
        <v>0.77856623893496701</v>
      </c>
      <c r="AI238" s="173">
        <f t="shared" si="623"/>
        <v>1.7361127178131059</v>
      </c>
      <c r="AJ238" s="173">
        <f t="shared" si="624"/>
        <v>1.7361127178131059</v>
      </c>
      <c r="AK238" s="173">
        <f t="shared" si="625"/>
        <v>1.4983550996146462</v>
      </c>
      <c r="AM238" s="545">
        <f t="shared" si="626"/>
        <v>1320</v>
      </c>
      <c r="AN238" s="460">
        <f t="shared" si="627"/>
        <v>350</v>
      </c>
      <c r="AP238">
        <f t="shared" si="628"/>
        <v>1320</v>
      </c>
      <c r="AQ238">
        <f t="shared" si="629"/>
        <v>350</v>
      </c>
      <c r="AS238" s="5">
        <f t="shared" si="600"/>
        <v>2.8571428571428572</v>
      </c>
      <c r="AT238" s="5">
        <f t="shared" si="630"/>
        <v>0.57924256822491882</v>
      </c>
      <c r="AU238" s="5">
        <f t="shared" si="722"/>
        <v>2.2779002889179383</v>
      </c>
      <c r="AV238" s="5"/>
      <c r="AW238" s="173">
        <f t="shared" si="723"/>
        <v>0.20273489887872159</v>
      </c>
      <c r="AX238" s="173">
        <f t="shared" si="631"/>
        <v>6.3295834748000592</v>
      </c>
      <c r="AY238" s="173">
        <f t="shared" si="632"/>
        <v>2.7682841630504065</v>
      </c>
      <c r="AZ238" s="173">
        <f t="shared" si="633"/>
        <v>2.2864645036387499</v>
      </c>
      <c r="BA238" s="460">
        <f t="shared" si="594"/>
        <v>19.115004751422322</v>
      </c>
      <c r="BB238" s="5">
        <f t="shared" si="595"/>
        <v>0.27866902111683955</v>
      </c>
      <c r="BD238" s="173">
        <f t="shared" si="681"/>
        <v>0.45131685024906043</v>
      </c>
      <c r="BE238" s="173">
        <f t="shared" si="682"/>
        <v>3.5799640005610565</v>
      </c>
      <c r="BG238" s="528">
        <f t="shared" si="683"/>
        <v>2.4849801716885405E-3</v>
      </c>
      <c r="BH238" s="528">
        <f t="shared" si="634"/>
        <v>0.62830411564057376</v>
      </c>
      <c r="BI238" s="528">
        <f t="shared" si="635"/>
        <v>0.31470724938087169</v>
      </c>
      <c r="BJ238" s="528">
        <f t="shared" si="684"/>
        <v>0.10644208759860881</v>
      </c>
      <c r="BK238">
        <f t="shared" si="685"/>
        <v>1.6184944253873401E-2</v>
      </c>
      <c r="BL238" s="460">
        <f t="shared" si="686"/>
        <v>330.89219363474507</v>
      </c>
      <c r="BM238" s="528">
        <f t="shared" si="636"/>
        <v>0.73833806595307283</v>
      </c>
      <c r="BN238" s="460">
        <f t="shared" si="687"/>
        <v>738.33806595307283</v>
      </c>
      <c r="BO238" s="528">
        <f t="shared" si="637"/>
        <v>0.92399999999999993</v>
      </c>
      <c r="BR238" s="460">
        <f t="shared" si="688"/>
        <v>923.99999999999989</v>
      </c>
      <c r="BS238" s="528">
        <f t="shared" si="689"/>
        <v>6.1106069795619855E-3</v>
      </c>
      <c r="BT238" s="528">
        <f t="shared" si="690"/>
        <v>0.38448426735939367</v>
      </c>
      <c r="BU238" s="528">
        <f t="shared" si="691"/>
        <v>0.45507702622866636</v>
      </c>
      <c r="BV238" s="528"/>
      <c r="BW238" s="528">
        <f t="shared" si="692"/>
        <v>2.6373264478333582E-2</v>
      </c>
      <c r="BX238" s="460">
        <f t="shared" si="693"/>
        <v>872.04516504595563</v>
      </c>
      <c r="BY238" s="173">
        <f t="shared" si="694"/>
        <v>2.8641685420915715</v>
      </c>
      <c r="BZ238" s="5">
        <f t="shared" si="695"/>
        <v>5.28</v>
      </c>
      <c r="CA238" s="173">
        <f t="shared" si="696"/>
        <v>0.64831664186605831</v>
      </c>
      <c r="CB238" s="5">
        <f t="shared" si="697"/>
        <v>64.831664186605835</v>
      </c>
      <c r="CE238" s="562">
        <f t="shared" si="638"/>
        <v>-50</v>
      </c>
      <c r="CF238">
        <f t="shared" si="639"/>
        <v>-50</v>
      </c>
      <c r="CG238" s="173">
        <f t="shared" si="640"/>
        <v>0.41623310776534828</v>
      </c>
      <c r="CI238" s="170">
        <v>22</v>
      </c>
      <c r="CJ238" s="217">
        <f t="shared" si="698"/>
        <v>1.32</v>
      </c>
      <c r="CK238" s="217"/>
      <c r="CL238" s="217">
        <f t="shared" si="641"/>
        <v>5.28</v>
      </c>
      <c r="CM238" s="541">
        <f t="shared" si="642"/>
        <v>36</v>
      </c>
      <c r="CN238" s="443">
        <f t="shared" si="643"/>
        <v>18.8</v>
      </c>
      <c r="CO238" s="443">
        <f t="shared" si="644"/>
        <v>54.8</v>
      </c>
      <c r="CP238" s="443"/>
      <c r="CQ238" s="217">
        <f t="shared" si="645"/>
        <v>0.34306569343065696</v>
      </c>
      <c r="CR238" s="172">
        <f t="shared" si="646"/>
        <v>41.723649635036502</v>
      </c>
      <c r="CS238" s="172">
        <f t="shared" si="647"/>
        <v>5.28</v>
      </c>
      <c r="CT238" s="217">
        <f t="shared" si="648"/>
        <v>10.430912408759125</v>
      </c>
      <c r="CU238" s="217">
        <f t="shared" si="649"/>
        <v>4</v>
      </c>
      <c r="CV238" s="217"/>
      <c r="CW238" s="172">
        <f t="shared" si="650"/>
        <v>81.985283427745145</v>
      </c>
      <c r="CX238" s="172">
        <f t="shared" si="651"/>
        <v>4</v>
      </c>
      <c r="CY238" s="217">
        <f t="shared" si="652"/>
        <v>0.85503546099290773</v>
      </c>
      <c r="CZ238" s="217">
        <f t="shared" si="653"/>
        <v>0.28501182033096922</v>
      </c>
      <c r="DA238" s="217">
        <f t="shared" si="654"/>
        <v>0.54576731552738789</v>
      </c>
      <c r="DB238" s="197">
        <f t="shared" si="655"/>
        <v>350</v>
      </c>
      <c r="DC238" s="443">
        <f t="shared" si="656"/>
        <v>350</v>
      </c>
      <c r="DE238" s="217">
        <f t="shared" si="657"/>
        <v>2.940563086548488</v>
      </c>
      <c r="DF238" s="173">
        <f t="shared" si="658"/>
        <v>1.8769551616266944</v>
      </c>
      <c r="DG238" s="173">
        <f t="shared" si="659"/>
        <v>3.8635135443702762</v>
      </c>
      <c r="DH238" s="173"/>
      <c r="DI238" s="173">
        <f t="shared" si="660"/>
        <v>0.85106382978723416</v>
      </c>
      <c r="DJ238" s="545">
        <f t="shared" si="661"/>
        <v>581.62499999999989</v>
      </c>
      <c r="DK238" s="528">
        <f t="shared" si="662"/>
        <v>0.79432624113475192</v>
      </c>
      <c r="DM238" s="173">
        <f t="shared" si="663"/>
        <v>1.7188035705937181</v>
      </c>
      <c r="DN238" s="173">
        <f t="shared" si="664"/>
        <v>1.7188035705937181</v>
      </c>
      <c r="DO238" s="173">
        <f t="shared" si="665"/>
        <v>1.4855335090817663</v>
      </c>
      <c r="DQ238" s="545">
        <f t="shared" si="666"/>
        <v>1320</v>
      </c>
      <c r="DR238" s="460">
        <f t="shared" si="667"/>
        <v>350</v>
      </c>
      <c r="DT238">
        <f t="shared" si="668"/>
        <v>1320</v>
      </c>
      <c r="DU238">
        <f t="shared" si="669"/>
        <v>350</v>
      </c>
      <c r="DW238" s="5">
        <f t="shared" si="670"/>
        <v>2.8571428571428572</v>
      </c>
      <c r="DX238" s="5">
        <f t="shared" si="671"/>
        <v>0.57293452353123941</v>
      </c>
      <c r="DY238" s="5">
        <f t="shared" si="672"/>
        <v>2.2842083336116179</v>
      </c>
      <c r="DZ238" s="5"/>
      <c r="EA238" s="173">
        <f t="shared" si="673"/>
        <v>0.2005270832359338</v>
      </c>
      <c r="EB238" s="173">
        <f t="shared" si="699"/>
        <v>6.2040000000000015</v>
      </c>
      <c r="EC238" s="173">
        <f t="shared" si="700"/>
        <v>2.7482738078541029</v>
      </c>
      <c r="ED238" s="173">
        <f t="shared" si="701"/>
        <v>2.2574169947222931</v>
      </c>
      <c r="EE238" s="460">
        <f t="shared" si="674"/>
        <v>18.906839276530899</v>
      </c>
      <c r="EF238" s="5">
        <f t="shared" si="675"/>
        <v>0.27918101855253108</v>
      </c>
      <c r="EH238" s="173">
        <f t="shared" si="702"/>
        <v>0.44437757869155281</v>
      </c>
      <c r="EI238" s="173">
        <f t="shared" si="703"/>
        <v>3.549175616546778</v>
      </c>
      <c r="EK238" s="528">
        <f t="shared" si="704"/>
        <v>2.4091514758139598E-3</v>
      </c>
      <c r="EL238" s="528">
        <f t="shared" si="705"/>
        <v>0.65933304967975026</v>
      </c>
      <c r="EM238" s="528">
        <f t="shared" si="706"/>
        <v>4.3749999999999997E-2</v>
      </c>
      <c r="EN238" s="528">
        <f t="shared" si="707"/>
        <v>0.10510639999999997</v>
      </c>
      <c r="EO238">
        <f t="shared" si="708"/>
        <v>1.6199999999999999E-2</v>
      </c>
      <c r="EP238" s="460">
        <f t="shared" si="709"/>
        <v>59.949999999999996</v>
      </c>
      <c r="EQ238" s="460"/>
      <c r="ER238" s="460">
        <f t="shared" si="710"/>
        <v>826.79860115556414</v>
      </c>
      <c r="ES238" s="528">
        <f t="shared" si="711"/>
        <v>0.92399999999999993</v>
      </c>
      <c r="EV238" s="460">
        <f t="shared" si="712"/>
        <v>923.99999999999989</v>
      </c>
      <c r="EW238" s="528">
        <f t="shared" si="713"/>
        <v>5.9241429733130164E-3</v>
      </c>
      <c r="EX238" s="528">
        <f t="shared" si="714"/>
        <v>0.37789942671270604</v>
      </c>
      <c r="EY238" s="528">
        <f t="shared" si="715"/>
        <v>0.44381883922396348</v>
      </c>
      <c r="EZ238" s="528"/>
      <c r="FA238" s="528">
        <f t="shared" si="716"/>
        <v>2.5850000000000008E-2</v>
      </c>
      <c r="FB238" s="460">
        <f t="shared" si="717"/>
        <v>853.4924089099826</v>
      </c>
      <c r="FC238" s="173">
        <f t="shared" si="718"/>
        <v>2.6042910100655465</v>
      </c>
      <c r="FD238" s="5">
        <f t="shared" si="719"/>
        <v>5.28</v>
      </c>
      <c r="FE238" s="173">
        <f t="shared" si="720"/>
        <v>0.66968608759611281</v>
      </c>
      <c r="FF238" s="5">
        <f t="shared" si="721"/>
        <v>66.968608759611286</v>
      </c>
      <c r="FI238" s="562">
        <f t="shared" si="676"/>
        <v>-50</v>
      </c>
      <c r="FJ238">
        <f t="shared" si="677"/>
        <v>-50</v>
      </c>
      <c r="FL238">
        <f t="shared" si="678"/>
        <v>0.38398803172838381</v>
      </c>
    </row>
    <row r="239" spans="5:168">
      <c r="E239" s="170">
        <v>23</v>
      </c>
      <c r="F239" s="217">
        <f t="shared" si="679"/>
        <v>1.3800000000000001</v>
      </c>
      <c r="G239" s="217"/>
      <c r="H239" s="217">
        <f t="shared" si="603"/>
        <v>5.5200000000000005</v>
      </c>
      <c r="I239" s="541">
        <f t="shared" si="604"/>
        <v>35.965790845001457</v>
      </c>
      <c r="J239" s="172">
        <f t="shared" si="605"/>
        <v>19.189108872021333</v>
      </c>
      <c r="K239" s="172">
        <f t="shared" si="606"/>
        <v>55.154899717022786</v>
      </c>
      <c r="L239" s="443"/>
      <c r="M239" s="217">
        <f t="shared" si="607"/>
        <v>0.34829912407037833</v>
      </c>
      <c r="N239" s="172">
        <f t="shared" si="608"/>
        <v>42.319886564526364</v>
      </c>
      <c r="O239" s="172">
        <f t="shared" si="599"/>
        <v>5.5200000000000005</v>
      </c>
      <c r="P239" s="217">
        <f t="shared" si="609"/>
        <v>10.579971641131591</v>
      </c>
      <c r="Q239" s="217">
        <f t="shared" si="610"/>
        <v>4</v>
      </c>
      <c r="R239" s="217"/>
      <c r="S239" s="172">
        <f t="shared" si="611"/>
        <v>77.962456146170268</v>
      </c>
      <c r="T239" s="172">
        <f t="shared" si="612"/>
        <v>4</v>
      </c>
      <c r="U239" s="217">
        <f t="shared" si="613"/>
        <v>1.0587679493536761</v>
      </c>
      <c r="V239" s="217">
        <f t="shared" si="614"/>
        <v>0.35325833503838805</v>
      </c>
      <c r="W239" s="217">
        <f t="shared" si="615"/>
        <v>0.66210554523294951</v>
      </c>
      <c r="X239" s="197">
        <f t="shared" si="616"/>
        <v>350</v>
      </c>
      <c r="Y239" s="443">
        <f t="shared" si="680"/>
        <v>350</v>
      </c>
      <c r="AA239" s="217">
        <f t="shared" si="617"/>
        <v>2.9792780131781487</v>
      </c>
      <c r="AB239" s="173">
        <f t="shared" si="618"/>
        <v>1.8631055978980349</v>
      </c>
      <c r="AC239" s="173">
        <f t="shared" si="619"/>
        <v>3.8854966808327207</v>
      </c>
      <c r="AD239" s="173"/>
      <c r="AE239" s="173">
        <f t="shared" si="620"/>
        <v>0.83380630683318457</v>
      </c>
      <c r="AF239" s="545">
        <f t="shared" si="621"/>
        <v>620.64774007943981</v>
      </c>
      <c r="AG239" s="528">
        <f t="shared" si="622"/>
        <v>0.7782192197109723</v>
      </c>
      <c r="AI239" s="173">
        <f t="shared" si="623"/>
        <v>1.775527092878721</v>
      </c>
      <c r="AJ239" s="173">
        <f t="shared" si="624"/>
        <v>1.775527092878721</v>
      </c>
      <c r="AK239" s="173">
        <f t="shared" si="625"/>
        <v>1.5275509329965833</v>
      </c>
      <c r="AM239" s="545">
        <f t="shared" si="626"/>
        <v>1380.0000000000002</v>
      </c>
      <c r="AN239" s="460">
        <f t="shared" si="627"/>
        <v>350</v>
      </c>
      <c r="AP239">
        <f t="shared" si="628"/>
        <v>1380.0000000000002</v>
      </c>
      <c r="AQ239">
        <f t="shared" si="629"/>
        <v>350</v>
      </c>
      <c r="AS239" s="5">
        <f t="shared" si="600"/>
        <v>2.8571428571428572</v>
      </c>
      <c r="AT239" s="5">
        <f t="shared" si="630"/>
        <v>0.59240529997982283</v>
      </c>
      <c r="AU239" s="5">
        <f t="shared" si="722"/>
        <v>2.2647375571630342</v>
      </c>
      <c r="AV239" s="5"/>
      <c r="AW239" s="173">
        <f t="shared" si="723"/>
        <v>0.20734185499293797</v>
      </c>
      <c r="AX239" s="173">
        <f t="shared" si="631"/>
        <v>6.6202425608473616</v>
      </c>
      <c r="AY239" s="173">
        <f t="shared" si="632"/>
        <v>2.8147720237020568</v>
      </c>
      <c r="AZ239" s="173">
        <f t="shared" si="633"/>
        <v>2.3519640330019542</v>
      </c>
      <c r="BA239" s="460">
        <f t="shared" si="594"/>
        <v>20.437982849303893</v>
      </c>
      <c r="BB239" s="5">
        <f t="shared" si="595"/>
        <v>0.28965838142824618</v>
      </c>
      <c r="BD239" s="173">
        <f t="shared" si="681"/>
        <v>0.46677777130962034</v>
      </c>
      <c r="BE239" s="173">
        <f t="shared" si="682"/>
        <v>3.6506452355202694</v>
      </c>
      <c r="BG239" s="528">
        <f t="shared" si="683"/>
        <v>2.6581541510230697E-3</v>
      </c>
      <c r="BH239" s="528">
        <f t="shared" si="634"/>
        <v>0.64265918556382495</v>
      </c>
      <c r="BI239" s="528">
        <f t="shared" si="635"/>
        <v>0.31470066989376272</v>
      </c>
      <c r="BJ239" s="528">
        <f t="shared" si="684"/>
        <v>0.10647220369781941</v>
      </c>
      <c r="BK239">
        <f t="shared" si="685"/>
        <v>1.6184605880250655E-2</v>
      </c>
      <c r="BL239" s="460">
        <f t="shared" si="686"/>
        <v>330.88527577401339</v>
      </c>
      <c r="BM239" s="528">
        <f t="shared" si="636"/>
        <v>0.75298281197986927</v>
      </c>
      <c r="BN239" s="460">
        <f t="shared" si="687"/>
        <v>752.98281197986933</v>
      </c>
      <c r="BO239" s="528">
        <f t="shared" si="637"/>
        <v>0.96599999999999997</v>
      </c>
      <c r="BR239" s="460">
        <f t="shared" si="688"/>
        <v>966</v>
      </c>
      <c r="BS239" s="528">
        <f t="shared" si="689"/>
        <v>6.5364446336632865E-3</v>
      </c>
      <c r="BT239" s="528">
        <f t="shared" si="690"/>
        <v>0.39981631906880527</v>
      </c>
      <c r="BU239" s="528">
        <f t="shared" si="691"/>
        <v>0.4813471161917553</v>
      </c>
      <c r="BV239" s="528"/>
      <c r="BW239" s="528">
        <f t="shared" si="692"/>
        <v>2.7584344003530673E-2</v>
      </c>
      <c r="BX239" s="460">
        <f t="shared" si="693"/>
        <v>915.2842238977546</v>
      </c>
      <c r="BY239" s="173">
        <f t="shared" si="694"/>
        <v>2.9639590430844351</v>
      </c>
      <c r="BZ239" s="5">
        <f t="shared" si="695"/>
        <v>5.5200000000000005</v>
      </c>
      <c r="CA239" s="173">
        <f t="shared" si="696"/>
        <v>0.65063963321458285</v>
      </c>
      <c r="CB239" s="5">
        <f t="shared" si="697"/>
        <v>65.063963321458289</v>
      </c>
      <c r="CE239" s="562">
        <f t="shared" si="638"/>
        <v>-50</v>
      </c>
      <c r="CF239">
        <f t="shared" si="639"/>
        <v>-50</v>
      </c>
      <c r="CG239" s="173">
        <f t="shared" si="640"/>
        <v>0.42558782877333329</v>
      </c>
      <c r="CI239" s="170">
        <v>23</v>
      </c>
      <c r="CJ239" s="217">
        <f t="shared" si="698"/>
        <v>1.3800000000000001</v>
      </c>
      <c r="CK239" s="217"/>
      <c r="CL239" s="217">
        <f t="shared" si="641"/>
        <v>5.5200000000000005</v>
      </c>
      <c r="CM239" s="541">
        <f t="shared" si="642"/>
        <v>36</v>
      </c>
      <c r="CN239" s="443">
        <f t="shared" si="643"/>
        <v>18.8</v>
      </c>
      <c r="CO239" s="443">
        <f t="shared" si="644"/>
        <v>54.8</v>
      </c>
      <c r="CP239" s="443"/>
      <c r="CQ239" s="217">
        <f t="shared" si="645"/>
        <v>0.34306569343065696</v>
      </c>
      <c r="CR239" s="172">
        <f t="shared" si="646"/>
        <v>41.723649635036502</v>
      </c>
      <c r="CS239" s="172">
        <f t="shared" si="647"/>
        <v>5.5200000000000005</v>
      </c>
      <c r="CT239" s="217">
        <f t="shared" si="648"/>
        <v>10.430912408759125</v>
      </c>
      <c r="CU239" s="217">
        <f t="shared" si="649"/>
        <v>4</v>
      </c>
      <c r="CV239" s="217"/>
      <c r="CW239" s="172">
        <f t="shared" si="650"/>
        <v>78.036535419773259</v>
      </c>
      <c r="CX239" s="172">
        <f t="shared" si="651"/>
        <v>4</v>
      </c>
      <c r="CY239" s="217">
        <f t="shared" si="652"/>
        <v>0.89390070921985809</v>
      </c>
      <c r="CZ239" s="217">
        <f t="shared" si="653"/>
        <v>0.29796690307328605</v>
      </c>
      <c r="DA239" s="217">
        <f t="shared" si="654"/>
        <v>0.57057492077863281</v>
      </c>
      <c r="DB239" s="197">
        <f t="shared" si="655"/>
        <v>350</v>
      </c>
      <c r="DC239" s="443">
        <f t="shared" si="656"/>
        <v>350</v>
      </c>
      <c r="DE239" s="217">
        <f t="shared" si="657"/>
        <v>2.940563086548488</v>
      </c>
      <c r="DF239" s="173">
        <f t="shared" si="658"/>
        <v>1.8769551616266944</v>
      </c>
      <c r="DG239" s="173">
        <f t="shared" si="659"/>
        <v>3.8635135443702762</v>
      </c>
      <c r="DH239" s="173"/>
      <c r="DI239" s="173">
        <f t="shared" si="660"/>
        <v>0.85106382978723416</v>
      </c>
      <c r="DJ239" s="545">
        <f t="shared" si="661"/>
        <v>608.06249999999989</v>
      </c>
      <c r="DK239" s="528">
        <f t="shared" si="662"/>
        <v>0.79432624113475192</v>
      </c>
      <c r="DM239" s="173">
        <f t="shared" si="663"/>
        <v>1.7574331932029248</v>
      </c>
      <c r="DN239" s="173">
        <f t="shared" si="664"/>
        <v>1.7574331932029248</v>
      </c>
      <c r="DO239" s="173">
        <f t="shared" si="665"/>
        <v>1.5141480443478454</v>
      </c>
      <c r="DQ239" s="545">
        <f t="shared" si="666"/>
        <v>1380.0000000000002</v>
      </c>
      <c r="DR239" s="460">
        <f t="shared" si="667"/>
        <v>350</v>
      </c>
      <c r="DT239">
        <f t="shared" si="668"/>
        <v>1380.0000000000002</v>
      </c>
      <c r="DU239">
        <f t="shared" si="669"/>
        <v>350</v>
      </c>
      <c r="DW239" s="5">
        <f t="shared" si="670"/>
        <v>2.8571428571428572</v>
      </c>
      <c r="DX239" s="5">
        <f t="shared" si="671"/>
        <v>0.58581106440097486</v>
      </c>
      <c r="DY239" s="5">
        <f t="shared" si="672"/>
        <v>2.2713317927418823</v>
      </c>
      <c r="DZ239" s="5"/>
      <c r="EA239" s="173">
        <f t="shared" si="673"/>
        <v>0.20503387254034119</v>
      </c>
      <c r="EB239" s="173">
        <f t="shared" si="699"/>
        <v>6.4860000000000015</v>
      </c>
      <c r="EC239" s="173">
        <f t="shared" si="700"/>
        <v>2.7941997197391828</v>
      </c>
      <c r="ED239" s="173">
        <f t="shared" si="701"/>
        <v>2.3212370805782703</v>
      </c>
      <c r="EE239" s="460">
        <f t="shared" si="674"/>
        <v>20.210481721833634</v>
      </c>
      <c r="EF239" s="5">
        <f t="shared" si="675"/>
        <v>0.29022572907257388</v>
      </c>
      <c r="EH239" s="173">
        <f t="shared" si="702"/>
        <v>0.45944232885004321</v>
      </c>
      <c r="EI239" s="173">
        <f t="shared" si="703"/>
        <v>3.6186993375734513</v>
      </c>
      <c r="EK239" s="528">
        <f t="shared" si="704"/>
        <v>2.5752644931776453E-3</v>
      </c>
      <c r="EL239" s="528">
        <f t="shared" si="705"/>
        <v>0.67415137291264182</v>
      </c>
      <c r="EM239" s="528">
        <f t="shared" si="706"/>
        <v>4.3749999999999997E-2</v>
      </c>
      <c r="EN239" s="528">
        <f t="shared" si="707"/>
        <v>0.10510639999999997</v>
      </c>
      <c r="EO239">
        <f t="shared" si="708"/>
        <v>1.6199999999999999E-2</v>
      </c>
      <c r="EP239" s="460">
        <f t="shared" si="709"/>
        <v>59.949999999999996</v>
      </c>
      <c r="EQ239" s="460"/>
      <c r="ER239" s="460">
        <f t="shared" si="710"/>
        <v>841.78303740581941</v>
      </c>
      <c r="ES239" s="528">
        <f t="shared" si="711"/>
        <v>0.96599999999999997</v>
      </c>
      <c r="EV239" s="460">
        <f t="shared" si="712"/>
        <v>966</v>
      </c>
      <c r="EW239" s="528">
        <f t="shared" si="713"/>
        <v>6.3326176061745372E-3</v>
      </c>
      <c r="EX239" s="528">
        <f t="shared" si="714"/>
        <v>0.39284954687263607</v>
      </c>
      <c r="EY239" s="528">
        <f t="shared" si="715"/>
        <v>0.46917750044661338</v>
      </c>
      <c r="EZ239" s="528"/>
      <c r="FA239" s="528">
        <f t="shared" si="716"/>
        <v>2.7025000000000004E-2</v>
      </c>
      <c r="FB239" s="460">
        <f t="shared" si="717"/>
        <v>895.38466492542386</v>
      </c>
      <c r="FC239" s="173">
        <f t="shared" si="718"/>
        <v>2.7031677023312435</v>
      </c>
      <c r="FD239" s="5">
        <f t="shared" si="719"/>
        <v>5.5200000000000005</v>
      </c>
      <c r="FE239" s="173">
        <f t="shared" si="720"/>
        <v>0.671274160982403</v>
      </c>
      <c r="FF239" s="5">
        <f t="shared" si="721"/>
        <v>67.127416098240303</v>
      </c>
      <c r="FI239" s="562">
        <f t="shared" si="676"/>
        <v>-50</v>
      </c>
      <c r="FJ239">
        <f t="shared" si="677"/>
        <v>-50</v>
      </c>
      <c r="FL239">
        <f t="shared" si="678"/>
        <v>0.3926180538006534</v>
      </c>
    </row>
    <row r="240" spans="5:168">
      <c r="E240" s="170">
        <v>24</v>
      </c>
      <c r="F240" s="217">
        <f t="shared" si="679"/>
        <v>1.44</v>
      </c>
      <c r="G240" s="217"/>
      <c r="H240" s="217">
        <f t="shared" si="603"/>
        <v>5.76</v>
      </c>
      <c r="I240" s="541">
        <f t="shared" si="604"/>
        <v>35.965055080074904</v>
      </c>
      <c r="J240" s="172">
        <f t="shared" si="605"/>
        <v>19.197477762181197</v>
      </c>
      <c r="K240" s="172">
        <f t="shared" si="606"/>
        <v>55.162532842256098</v>
      </c>
      <c r="L240" s="443"/>
      <c r="M240" s="217">
        <f t="shared" si="607"/>
        <v>0.34841087647130653</v>
      </c>
      <c r="N240" s="172">
        <f t="shared" si="608"/>
        <v>42.332598945617825</v>
      </c>
      <c r="O240" s="172">
        <f t="shared" si="599"/>
        <v>5.76</v>
      </c>
      <c r="P240" s="217">
        <f t="shared" si="609"/>
        <v>10.583149736404456</v>
      </c>
      <c r="Q240" s="217">
        <f t="shared" si="610"/>
        <v>4</v>
      </c>
      <c r="R240" s="217"/>
      <c r="S240" s="172">
        <f t="shared" si="611"/>
        <v>74.345046633821838</v>
      </c>
      <c r="T240" s="172">
        <f t="shared" si="612"/>
        <v>4</v>
      </c>
      <c r="U240" s="217">
        <f t="shared" si="613"/>
        <v>1.1049908201365088</v>
      </c>
      <c r="V240" s="217">
        <f t="shared" si="614"/>
        <v>0.36868815610362443</v>
      </c>
      <c r="W240" s="217">
        <f t="shared" si="615"/>
        <v>0.69070999877702333</v>
      </c>
      <c r="X240" s="197">
        <f t="shared" si="616"/>
        <v>350</v>
      </c>
      <c r="Y240" s="443">
        <f t="shared" si="680"/>
        <v>350</v>
      </c>
      <c r="AA240" s="217">
        <f t="shared" si="617"/>
        <v>2.980103952811902</v>
      </c>
      <c r="AB240" s="173">
        <f t="shared" si="618"/>
        <v>1.8628096813942954</v>
      </c>
      <c r="AC240" s="173">
        <f t="shared" si="619"/>
        <v>3.885956546401593</v>
      </c>
      <c r="AD240" s="173"/>
      <c r="AE240" s="173">
        <f t="shared" si="620"/>
        <v>0.83344281984375113</v>
      </c>
      <c r="AF240" s="545">
        <f t="shared" si="621"/>
        <v>647.91487447361521</v>
      </c>
      <c r="AG240" s="528">
        <f t="shared" si="622"/>
        <v>0.77787996518750124</v>
      </c>
      <c r="AI240" s="173">
        <f t="shared" si="623"/>
        <v>1.8141103019944764</v>
      </c>
      <c r="AJ240" s="173">
        <f t="shared" si="624"/>
        <v>1.8141103019944764</v>
      </c>
      <c r="AK240" s="173">
        <f t="shared" si="625"/>
        <v>1.5561310878971428</v>
      </c>
      <c r="AM240" s="545">
        <f t="shared" si="626"/>
        <v>1440</v>
      </c>
      <c r="AN240" s="460">
        <f t="shared" si="627"/>
        <v>350</v>
      </c>
      <c r="AP240">
        <f t="shared" si="628"/>
        <v>1440</v>
      </c>
      <c r="AQ240">
        <f t="shared" si="629"/>
        <v>350</v>
      </c>
      <c r="AS240" s="5">
        <f t="shared" si="600"/>
        <v>2.8571428571428572</v>
      </c>
      <c r="AT240" s="5">
        <f t="shared" si="630"/>
        <v>0.60529098524846126</v>
      </c>
      <c r="AU240" s="5">
        <f t="shared" si="722"/>
        <v>2.2518518718943961</v>
      </c>
      <c r="AV240" s="5"/>
      <c r="AW240" s="173">
        <f t="shared" si="723"/>
        <v>0.21185184483696143</v>
      </c>
      <c r="AX240" s="173">
        <f t="shared" si="631"/>
        <v>6.91109199438523</v>
      </c>
      <c r="AY240" s="173">
        <f t="shared" si="632"/>
        <v>2.859575375558419</v>
      </c>
      <c r="AZ240" s="173">
        <f t="shared" si="633"/>
        <v>2.4168245584488672</v>
      </c>
      <c r="BA240" s="460">
        <f t="shared" si="594"/>
        <v>21.790475468944603</v>
      </c>
      <c r="BB240" s="5">
        <f t="shared" si="595"/>
        <v>0.30053864677886621</v>
      </c>
      <c r="BD240" s="173">
        <f t="shared" si="681"/>
        <v>0.48208008108520889</v>
      </c>
      <c r="BE240" s="173">
        <f t="shared" si="682"/>
        <v>3.7193494585765938</v>
      </c>
      <c r="BG240" s="528">
        <f t="shared" si="683"/>
        <v>2.8352946958652833E-3</v>
      </c>
      <c r="BH240" s="528">
        <f t="shared" si="634"/>
        <v>0.65671540668067319</v>
      </c>
      <c r="BI240" s="528">
        <f t="shared" si="635"/>
        <v>0.31469423195065538</v>
      </c>
      <c r="BJ240" s="528">
        <f t="shared" si="684"/>
        <v>0.10650167603505439</v>
      </c>
      <c r="BK240">
        <f t="shared" si="685"/>
        <v>1.6184274786033705E-2</v>
      </c>
      <c r="BL240" s="460">
        <f t="shared" si="686"/>
        <v>330.87850673668908</v>
      </c>
      <c r="BM240" s="528">
        <f t="shared" si="636"/>
        <v>0.76733483438316141</v>
      </c>
      <c r="BN240" s="460">
        <f t="shared" si="687"/>
        <v>767.33483438316136</v>
      </c>
      <c r="BO240" s="528">
        <f t="shared" si="637"/>
        <v>1.008</v>
      </c>
      <c r="BR240" s="460">
        <f t="shared" si="688"/>
        <v>1008</v>
      </c>
      <c r="BS240" s="528">
        <f t="shared" si="689"/>
        <v>6.9720361373736472E-3</v>
      </c>
      <c r="BT240" s="528">
        <f t="shared" si="690"/>
        <v>0.41500681185042004</v>
      </c>
      <c r="BU240" s="528">
        <f t="shared" si="691"/>
        <v>0.50792470757562935</v>
      </c>
      <c r="BV240" s="528"/>
      <c r="BW240" s="528">
        <f t="shared" si="692"/>
        <v>2.8796216643271793E-2</v>
      </c>
      <c r="BX240" s="460">
        <f t="shared" si="693"/>
        <v>958.69977220669477</v>
      </c>
      <c r="BY240" s="173">
        <f t="shared" si="694"/>
        <v>3.0636306563549769</v>
      </c>
      <c r="BZ240" s="5">
        <f t="shared" si="695"/>
        <v>5.76</v>
      </c>
      <c r="CA240" s="173">
        <f t="shared" si="696"/>
        <v>0.65279250960618107</v>
      </c>
      <c r="CB240" s="5">
        <f t="shared" si="697"/>
        <v>65.2792509606181</v>
      </c>
      <c r="CE240" s="562">
        <f t="shared" si="638"/>
        <v>-50</v>
      </c>
      <c r="CF240">
        <f t="shared" si="639"/>
        <v>-50</v>
      </c>
      <c r="CG240" s="173">
        <f t="shared" si="640"/>
        <v>0.43474130238568315</v>
      </c>
      <c r="CI240" s="170">
        <v>24</v>
      </c>
      <c r="CJ240" s="217">
        <f t="shared" si="698"/>
        <v>1.44</v>
      </c>
      <c r="CK240" s="217"/>
      <c r="CL240" s="217">
        <f t="shared" si="641"/>
        <v>5.76</v>
      </c>
      <c r="CM240" s="541">
        <f t="shared" si="642"/>
        <v>36</v>
      </c>
      <c r="CN240" s="443">
        <f t="shared" si="643"/>
        <v>18.8</v>
      </c>
      <c r="CO240" s="443">
        <f t="shared" si="644"/>
        <v>54.8</v>
      </c>
      <c r="CP240" s="443"/>
      <c r="CQ240" s="217">
        <f t="shared" si="645"/>
        <v>0.34306569343065696</v>
      </c>
      <c r="CR240" s="172">
        <f t="shared" si="646"/>
        <v>41.723649635036502</v>
      </c>
      <c r="CS240" s="172">
        <f t="shared" si="647"/>
        <v>5.76</v>
      </c>
      <c r="CT240" s="217">
        <f t="shared" si="648"/>
        <v>10.430912408759125</v>
      </c>
      <c r="CU240" s="217">
        <f t="shared" si="649"/>
        <v>4</v>
      </c>
      <c r="CV240" s="217"/>
      <c r="CW240" s="172">
        <f t="shared" si="650"/>
        <v>74.417202271598924</v>
      </c>
      <c r="CX240" s="172">
        <f t="shared" si="651"/>
        <v>4</v>
      </c>
      <c r="CY240" s="217">
        <f t="shared" si="652"/>
        <v>0.93276595744680835</v>
      </c>
      <c r="CZ240" s="217">
        <f t="shared" si="653"/>
        <v>0.31092198581560276</v>
      </c>
      <c r="DA240" s="217">
        <f t="shared" si="654"/>
        <v>0.59538252602987762</v>
      </c>
      <c r="DB240" s="197">
        <f t="shared" si="655"/>
        <v>350</v>
      </c>
      <c r="DC240" s="443">
        <f t="shared" si="656"/>
        <v>350</v>
      </c>
      <c r="DE240" s="217">
        <f t="shared" si="657"/>
        <v>2.940563086548488</v>
      </c>
      <c r="DF240" s="173">
        <f t="shared" si="658"/>
        <v>1.8769551616266944</v>
      </c>
      <c r="DG240" s="173">
        <f t="shared" si="659"/>
        <v>3.8635135443702762</v>
      </c>
      <c r="DH240" s="173"/>
      <c r="DI240" s="173">
        <f t="shared" si="660"/>
        <v>0.85106382978723416</v>
      </c>
      <c r="DJ240" s="545">
        <f t="shared" si="661"/>
        <v>634.49999999999989</v>
      </c>
      <c r="DK240" s="528">
        <f t="shared" si="662"/>
        <v>0.79432624113475192</v>
      </c>
      <c r="DM240" s="173">
        <f t="shared" si="663"/>
        <v>1.7952317797034296</v>
      </c>
      <c r="DN240" s="173">
        <f t="shared" si="664"/>
        <v>1.7952317797034296</v>
      </c>
      <c r="DO240" s="173">
        <f t="shared" si="665"/>
        <v>1.5421469973111823</v>
      </c>
      <c r="DQ240" s="545">
        <f t="shared" si="666"/>
        <v>1440</v>
      </c>
      <c r="DR240" s="460">
        <f t="shared" si="667"/>
        <v>350</v>
      </c>
      <c r="DT240">
        <f t="shared" si="668"/>
        <v>1440</v>
      </c>
      <c r="DU240">
        <f t="shared" si="669"/>
        <v>350</v>
      </c>
      <c r="DW240" s="5">
        <f t="shared" si="670"/>
        <v>2.8571428571428572</v>
      </c>
      <c r="DX240" s="5">
        <f t="shared" si="671"/>
        <v>0.59841059323447654</v>
      </c>
      <c r="DY240" s="5">
        <f t="shared" si="672"/>
        <v>2.2587322639083807</v>
      </c>
      <c r="DZ240" s="5"/>
      <c r="EA240" s="173">
        <f t="shared" si="673"/>
        <v>0.20944370763206679</v>
      </c>
      <c r="EB240" s="173">
        <f t="shared" si="699"/>
        <v>6.7680000000000016</v>
      </c>
      <c r="EC240" s="173">
        <f t="shared" si="700"/>
        <v>2.838463559406859</v>
      </c>
      <c r="ED240" s="173">
        <f t="shared" si="701"/>
        <v>2.3843885462508032</v>
      </c>
      <c r="EE240" s="460">
        <f t="shared" si="674"/>
        <v>21.542781356441154</v>
      </c>
      <c r="EF240" s="5">
        <f t="shared" si="675"/>
        <v>0.3011643018544507</v>
      </c>
      <c r="EH240" s="173">
        <f t="shared" si="702"/>
        <v>0.47434416098036158</v>
      </c>
      <c r="EI240" s="173">
        <f t="shared" si="703"/>
        <v>3.6862627822325447</v>
      </c>
      <c r="EK240" s="528">
        <f t="shared" si="704"/>
        <v>2.7450290732851908E-3</v>
      </c>
      <c r="EL240" s="528">
        <f t="shared" si="705"/>
        <v>0.68865091069423556</v>
      </c>
      <c r="EM240" s="528">
        <f t="shared" si="706"/>
        <v>4.3749999999999997E-2</v>
      </c>
      <c r="EN240" s="528">
        <f t="shared" si="707"/>
        <v>0.10510639999999997</v>
      </c>
      <c r="EO240">
        <f t="shared" si="708"/>
        <v>1.6199999999999999E-2</v>
      </c>
      <c r="EP240" s="460">
        <f t="shared" si="709"/>
        <v>59.949999999999996</v>
      </c>
      <c r="EQ240" s="460"/>
      <c r="ER240" s="460">
        <f t="shared" si="710"/>
        <v>856.4523397675207</v>
      </c>
      <c r="ES240" s="528">
        <f t="shared" si="711"/>
        <v>1.008</v>
      </c>
      <c r="EV240" s="460">
        <f t="shared" si="712"/>
        <v>1008</v>
      </c>
      <c r="EW240" s="528">
        <f t="shared" si="713"/>
        <v>6.7500714916848949E-3</v>
      </c>
      <c r="EX240" s="528">
        <f t="shared" si="714"/>
        <v>0.40765599899018462</v>
      </c>
      <c r="EY240" s="528">
        <f t="shared" si="715"/>
        <v>0.49481337963343996</v>
      </c>
      <c r="EZ240" s="528"/>
      <c r="FA240" s="528">
        <f t="shared" si="716"/>
        <v>2.8200000000000003E-2</v>
      </c>
      <c r="FB240" s="460">
        <f t="shared" si="717"/>
        <v>937.41945011530947</v>
      </c>
      <c r="FC240" s="173">
        <f t="shared" si="718"/>
        <v>2.80187178988283</v>
      </c>
      <c r="FD240" s="5">
        <f t="shared" si="719"/>
        <v>5.76</v>
      </c>
      <c r="FE240" s="173">
        <f t="shared" si="720"/>
        <v>0.67275008798967617</v>
      </c>
      <c r="FF240" s="5">
        <f t="shared" si="721"/>
        <v>67.275008798967619</v>
      </c>
      <c r="FI240" s="562">
        <f t="shared" si="676"/>
        <v>-50</v>
      </c>
      <c r="FJ240">
        <f t="shared" si="677"/>
        <v>-50</v>
      </c>
      <c r="FL240">
        <f t="shared" si="678"/>
        <v>0.40106241886991512</v>
      </c>
    </row>
    <row r="241" spans="5:168">
      <c r="E241" s="170">
        <v>25</v>
      </c>
      <c r="F241" s="217">
        <f t="shared" si="679"/>
        <v>1.5</v>
      </c>
      <c r="G241" s="217"/>
      <c r="H241" s="217">
        <f t="shared" si="603"/>
        <v>6</v>
      </c>
      <c r="I241" s="541">
        <f t="shared" si="604"/>
        <v>35.964334490450454</v>
      </c>
      <c r="J241" s="172">
        <f t="shared" si="605"/>
        <v>19.205674042269688</v>
      </c>
      <c r="K241" s="172">
        <f t="shared" si="606"/>
        <v>55.170008532720146</v>
      </c>
      <c r="L241" s="443"/>
      <c r="M241" s="217">
        <f t="shared" si="607"/>
        <v>0.34852029124351441</v>
      </c>
      <c r="N241" s="172">
        <f t="shared" si="608"/>
        <v>42.345044618197804</v>
      </c>
      <c r="O241" s="172">
        <f t="shared" si="599"/>
        <v>6</v>
      </c>
      <c r="P241" s="217">
        <f t="shared" si="609"/>
        <v>10.586261154549451</v>
      </c>
      <c r="Q241" s="217">
        <f t="shared" si="610"/>
        <v>4</v>
      </c>
      <c r="R241" s="217"/>
      <c r="S241" s="172">
        <f t="shared" si="611"/>
        <v>71.017417430384967</v>
      </c>
      <c r="T241" s="172">
        <f t="shared" si="612"/>
        <v>4</v>
      </c>
      <c r="U241" s="217">
        <f t="shared" si="613"/>
        <v>1.1512254179513364</v>
      </c>
      <c r="V241" s="217">
        <f t="shared" si="614"/>
        <v>0.38412235930805921</v>
      </c>
      <c r="W241" s="217">
        <f t="shared" si="615"/>
        <v>0.71930331552078364</v>
      </c>
      <c r="X241" s="197">
        <f t="shared" si="616"/>
        <v>350</v>
      </c>
      <c r="Y241" s="443">
        <f t="shared" si="680"/>
        <v>350</v>
      </c>
      <c r="AA241" s="217">
        <f t="shared" si="617"/>
        <v>2.9809125842310724</v>
      </c>
      <c r="AB241" s="173">
        <f t="shared" si="618"/>
        <v>1.8625199475969827</v>
      </c>
      <c r="AC241" s="173">
        <f t="shared" si="619"/>
        <v>3.8864064051212703</v>
      </c>
      <c r="AD241" s="173"/>
      <c r="AE241" s="173">
        <f t="shared" si="620"/>
        <v>0.83308713689431935</v>
      </c>
      <c r="AF241" s="545">
        <f t="shared" si="621"/>
        <v>675.19947804854348</v>
      </c>
      <c r="AG241" s="528">
        <f t="shared" si="622"/>
        <v>0.77754799443469813</v>
      </c>
      <c r="AI241" s="173">
        <f t="shared" si="623"/>
        <v>1.8519137804998649</v>
      </c>
      <c r="AJ241" s="173">
        <f t="shared" si="624"/>
        <v>1.8519137804998649</v>
      </c>
      <c r="AK241" s="173">
        <f t="shared" si="625"/>
        <v>1.584133664567801</v>
      </c>
      <c r="AM241" s="545">
        <f t="shared" si="626"/>
        <v>1500</v>
      </c>
      <c r="AN241" s="460">
        <f t="shared" si="627"/>
        <v>350</v>
      </c>
      <c r="AP241">
        <f t="shared" si="628"/>
        <v>1500</v>
      </c>
      <c r="AQ241">
        <f t="shared" si="629"/>
        <v>350</v>
      </c>
      <c r="AS241" s="5">
        <f t="shared" si="600"/>
        <v>2.8571428571428572</v>
      </c>
      <c r="AT241" s="5">
        <f t="shared" si="630"/>
        <v>0.61791676895617798</v>
      </c>
      <c r="AU241" s="5">
        <f t="shared" si="722"/>
        <v>2.2392260881866792</v>
      </c>
      <c r="AV241" s="5"/>
      <c r="AW241" s="173">
        <f t="shared" si="723"/>
        <v>0.21627086913466229</v>
      </c>
      <c r="AX241" s="173">
        <f t="shared" si="631"/>
        <v>7.2021277658511345</v>
      </c>
      <c r="AY241" s="173">
        <f t="shared" si="632"/>
        <v>2.9027975552574019</v>
      </c>
      <c r="AZ241" s="173">
        <f t="shared" si="633"/>
        <v>2.4810988809078331</v>
      </c>
      <c r="BA241" s="460">
        <f t="shared" si="594"/>
        <v>23.171878835856674</v>
      </c>
      <c r="BB241" s="5">
        <f t="shared" si="595"/>
        <v>0.31131204287698644</v>
      </c>
      <c r="BD241" s="173">
        <f t="shared" si="681"/>
        <v>0.49723208971064725</v>
      </c>
      <c r="BE241" s="173">
        <f t="shared" si="682"/>
        <v>3.7861962599536048</v>
      </c>
      <c r="BG241" s="528">
        <f t="shared" si="683"/>
        <v>3.0163249626638088E-3</v>
      </c>
      <c r="BH241" s="528">
        <f t="shared" si="634"/>
        <v>0.67049127516025964</v>
      </c>
      <c r="BI241" s="528">
        <f t="shared" si="635"/>
        <v>0.31468792679144147</v>
      </c>
      <c r="BJ241" s="528">
        <f t="shared" si="684"/>
        <v>0.10653054445251449</v>
      </c>
      <c r="BK241">
        <f t="shared" si="685"/>
        <v>1.6183950520702706E-2</v>
      </c>
      <c r="BL241" s="460">
        <f t="shared" si="686"/>
        <v>330.87187731214419</v>
      </c>
      <c r="BM241" s="528">
        <f t="shared" si="636"/>
        <v>0.78141257415000021</v>
      </c>
      <c r="BN241" s="460">
        <f t="shared" si="687"/>
        <v>781.41257415000018</v>
      </c>
      <c r="BO241" s="528">
        <f t="shared" si="637"/>
        <v>1.0499999999999998</v>
      </c>
      <c r="BR241" s="460">
        <f t="shared" si="688"/>
        <v>1049.9999999999998</v>
      </c>
      <c r="BS241" s="528">
        <f t="shared" si="689"/>
        <v>7.4171925311405139E-3</v>
      </c>
      <c r="BT241" s="528">
        <f t="shared" si="690"/>
        <v>0.43005846356659994</v>
      </c>
      <c r="BU241" s="528">
        <f t="shared" si="691"/>
        <v>0.53480076972814361</v>
      </c>
      <c r="BV241" s="528"/>
      <c r="BW241" s="528">
        <f t="shared" si="692"/>
        <v>3.0008865691046393E-2</v>
      </c>
      <c r="BX241" s="460">
        <f t="shared" si="693"/>
        <v>1002.2852915169304</v>
      </c>
      <c r="BY241" s="173">
        <f t="shared" si="694"/>
        <v>3.1631953134045125</v>
      </c>
      <c r="BZ241" s="5">
        <f t="shared" si="695"/>
        <v>6</v>
      </c>
      <c r="CA241" s="173">
        <f t="shared" si="696"/>
        <v>0.65479342028460452</v>
      </c>
      <c r="CB241" s="5">
        <f t="shared" si="697"/>
        <v>65.479342028460451</v>
      </c>
      <c r="CE241" s="562">
        <f t="shared" si="638"/>
        <v>-50</v>
      </c>
      <c r="CF241">
        <f t="shared" si="639"/>
        <v>-50</v>
      </c>
      <c r="CG241" s="173">
        <f t="shared" si="640"/>
        <v>0.44370598373247122</v>
      </c>
      <c r="CI241" s="170">
        <v>25</v>
      </c>
      <c r="CJ241" s="217">
        <f t="shared" si="698"/>
        <v>1.5</v>
      </c>
      <c r="CK241" s="217"/>
      <c r="CL241" s="217">
        <f t="shared" si="641"/>
        <v>6</v>
      </c>
      <c r="CM241" s="541">
        <f t="shared" si="642"/>
        <v>36</v>
      </c>
      <c r="CN241" s="443">
        <f t="shared" si="643"/>
        <v>18.8</v>
      </c>
      <c r="CO241" s="443">
        <f t="shared" si="644"/>
        <v>54.8</v>
      </c>
      <c r="CP241" s="443"/>
      <c r="CQ241" s="217">
        <f t="shared" si="645"/>
        <v>0.34306569343065696</v>
      </c>
      <c r="CR241" s="172">
        <f t="shared" si="646"/>
        <v>41.723649635036502</v>
      </c>
      <c r="CS241" s="172">
        <f t="shared" si="647"/>
        <v>6</v>
      </c>
      <c r="CT241" s="217">
        <f t="shared" si="648"/>
        <v>10.430912408759125</v>
      </c>
      <c r="CU241" s="217">
        <f t="shared" si="649"/>
        <v>4</v>
      </c>
      <c r="CV241" s="217"/>
      <c r="CW241" s="172">
        <f t="shared" si="650"/>
        <v>71.087758694721074</v>
      </c>
      <c r="CX241" s="172">
        <f t="shared" si="651"/>
        <v>4</v>
      </c>
      <c r="CY241" s="217">
        <f t="shared" si="652"/>
        <v>0.97163120567375871</v>
      </c>
      <c r="CZ241" s="217">
        <f t="shared" si="653"/>
        <v>0.32387706855791953</v>
      </c>
      <c r="DA241" s="217">
        <f t="shared" si="654"/>
        <v>0.62019013128112255</v>
      </c>
      <c r="DB241" s="197">
        <f t="shared" si="655"/>
        <v>350</v>
      </c>
      <c r="DC241" s="443">
        <f t="shared" si="656"/>
        <v>350</v>
      </c>
      <c r="DE241" s="217">
        <f t="shared" si="657"/>
        <v>2.940563086548488</v>
      </c>
      <c r="DF241" s="173">
        <f t="shared" si="658"/>
        <v>1.8769551616266944</v>
      </c>
      <c r="DG241" s="173">
        <f t="shared" si="659"/>
        <v>3.8635135443702762</v>
      </c>
      <c r="DH241" s="173"/>
      <c r="DI241" s="173">
        <f t="shared" si="660"/>
        <v>0.85106382978723416</v>
      </c>
      <c r="DJ241" s="545">
        <f t="shared" si="661"/>
        <v>660.93749999999989</v>
      </c>
      <c r="DK241" s="528">
        <f t="shared" si="662"/>
        <v>0.79432624113475192</v>
      </c>
      <c r="DM241" s="173">
        <f t="shared" si="663"/>
        <v>1.8322507626258087</v>
      </c>
      <c r="DN241" s="173">
        <f t="shared" si="664"/>
        <v>1.8322507626258087</v>
      </c>
      <c r="DO241" s="173">
        <f t="shared" si="665"/>
        <v>1.5695684661425742</v>
      </c>
      <c r="DQ241" s="545">
        <f t="shared" si="666"/>
        <v>1500</v>
      </c>
      <c r="DR241" s="460">
        <f t="shared" si="667"/>
        <v>350</v>
      </c>
      <c r="DT241">
        <f t="shared" si="668"/>
        <v>1500</v>
      </c>
      <c r="DU241">
        <f t="shared" si="669"/>
        <v>350</v>
      </c>
      <c r="DW241" s="5">
        <f t="shared" si="670"/>
        <v>2.8571428571428572</v>
      </c>
      <c r="DX241" s="5">
        <f t="shared" si="671"/>
        <v>0.61075025420860296</v>
      </c>
      <c r="DY241" s="5">
        <f t="shared" si="672"/>
        <v>2.2463926029342542</v>
      </c>
      <c r="DZ241" s="5"/>
      <c r="EA241" s="173">
        <f t="shared" si="673"/>
        <v>0.21376258897301104</v>
      </c>
      <c r="EB241" s="173">
        <f t="shared" si="699"/>
        <v>7.0500000000000016</v>
      </c>
      <c r="EC241" s="173">
        <f t="shared" si="700"/>
        <v>2.8811681919182837</v>
      </c>
      <c r="ED241" s="173">
        <f t="shared" si="701"/>
        <v>2.4469241399288486</v>
      </c>
      <c r="EE241" s="460">
        <f t="shared" si="674"/>
        <v>22.903134532822612</v>
      </c>
      <c r="EF241" s="5">
        <f t="shared" si="675"/>
        <v>0.31199897262975745</v>
      </c>
      <c r="EH241" s="173">
        <f t="shared" si="702"/>
        <v>0.48909152132469319</v>
      </c>
      <c r="EI241" s="173">
        <f t="shared" si="703"/>
        <v>3.7519852938217473</v>
      </c>
      <c r="EK241" s="528">
        <f t="shared" si="704"/>
        <v>2.918368298026774E-3</v>
      </c>
      <c r="EL241" s="528">
        <f t="shared" si="705"/>
        <v>0.70285139254326012</v>
      </c>
      <c r="EM241" s="528">
        <f t="shared" si="706"/>
        <v>4.3749999999999997E-2</v>
      </c>
      <c r="EN241" s="528">
        <f t="shared" si="707"/>
        <v>0.10510639999999997</v>
      </c>
      <c r="EO241">
        <f t="shared" si="708"/>
        <v>1.6199999999999999E-2</v>
      </c>
      <c r="EP241" s="460">
        <f t="shared" si="709"/>
        <v>59.949999999999996</v>
      </c>
      <c r="EQ241" s="460"/>
      <c r="ER241" s="460">
        <f t="shared" si="710"/>
        <v>870.82616084128676</v>
      </c>
      <c r="ES241" s="528">
        <f t="shared" si="711"/>
        <v>1.0499999999999998</v>
      </c>
      <c r="EV241" s="460">
        <f t="shared" si="712"/>
        <v>1049.9999999999998</v>
      </c>
      <c r="EW241" s="528">
        <f t="shared" si="713"/>
        <v>7.1763154869510836E-3</v>
      </c>
      <c r="EX241" s="528">
        <f t="shared" si="714"/>
        <v>0.42232180935163988</v>
      </c>
      <c r="EY241" s="528">
        <f t="shared" si="715"/>
        <v>0.52071776326604458</v>
      </c>
      <c r="EZ241" s="528"/>
      <c r="FA241" s="528">
        <f t="shared" si="716"/>
        <v>2.9375000000000005E-2</v>
      </c>
      <c r="FB241" s="460">
        <f t="shared" si="717"/>
        <v>979.59088810463561</v>
      </c>
      <c r="FC241" s="173">
        <f t="shared" si="718"/>
        <v>2.900417048945922</v>
      </c>
      <c r="FD241" s="5">
        <f t="shared" si="719"/>
        <v>6</v>
      </c>
      <c r="FE241" s="173">
        <f t="shared" si="720"/>
        <v>0.67412571422263645</v>
      </c>
      <c r="FF241" s="5">
        <f t="shared" si="721"/>
        <v>67.412571422263639</v>
      </c>
      <c r="FI241" s="562">
        <f t="shared" si="676"/>
        <v>-50</v>
      </c>
      <c r="FJ241">
        <f t="shared" si="677"/>
        <v>-50</v>
      </c>
      <c r="FL241">
        <f t="shared" si="678"/>
        <v>0.40933261718236147</v>
      </c>
    </row>
    <row r="242" spans="5:168">
      <c r="E242" s="170">
        <v>26</v>
      </c>
      <c r="F242" s="217">
        <f t="shared" si="679"/>
        <v>1.56</v>
      </c>
      <c r="G242" s="217"/>
      <c r="H242" s="217">
        <f t="shared" si="603"/>
        <v>6.24</v>
      </c>
      <c r="I242" s="541">
        <f t="shared" si="604"/>
        <v>35.963628174168932</v>
      </c>
      <c r="J242" s="172">
        <f t="shared" si="605"/>
        <v>19.213707971538241</v>
      </c>
      <c r="K242" s="172">
        <f t="shared" si="606"/>
        <v>55.177336145707173</v>
      </c>
      <c r="L242" s="443"/>
      <c r="M242" s="217">
        <f t="shared" si="607"/>
        <v>0.34862750734023412</v>
      </c>
      <c r="N242" s="172">
        <f t="shared" si="608"/>
        <v>42.357239436275655</v>
      </c>
      <c r="O242" s="172">
        <f t="shared" si="599"/>
        <v>6.24</v>
      </c>
      <c r="P242" s="217">
        <f t="shared" si="609"/>
        <v>10.589309859068914</v>
      </c>
      <c r="Q242" s="217">
        <f t="shared" si="610"/>
        <v>4</v>
      </c>
      <c r="R242" s="217"/>
      <c r="S242" s="172">
        <f t="shared" si="611"/>
        <v>67.946134594592479</v>
      </c>
      <c r="T242" s="172">
        <f t="shared" si="612"/>
        <v>4</v>
      </c>
      <c r="U242" s="217">
        <f t="shared" si="613"/>
        <v>1.1974715063803294</v>
      </c>
      <c r="V242" s="217">
        <f t="shared" si="614"/>
        <v>0.39956085651238704</v>
      </c>
      <c r="W242" s="217">
        <f t="shared" si="615"/>
        <v>0.74788573334465669</v>
      </c>
      <c r="X242" s="197">
        <f t="shared" si="616"/>
        <v>350</v>
      </c>
      <c r="Y242" s="443">
        <f t="shared" si="680"/>
        <v>350</v>
      </c>
      <c r="AA242" s="217">
        <f t="shared" si="617"/>
        <v>2.9817049362732506</v>
      </c>
      <c r="AB242" s="173">
        <f t="shared" si="618"/>
        <v>1.8622360289997912</v>
      </c>
      <c r="AC242" s="173">
        <f t="shared" si="619"/>
        <v>3.8868468521222015</v>
      </c>
      <c r="AD242" s="173"/>
      <c r="AE242" s="173">
        <f t="shared" si="620"/>
        <v>0.83273879376647197</v>
      </c>
      <c r="AF242" s="545">
        <f t="shared" si="621"/>
        <v>702.50119770936681</v>
      </c>
      <c r="AG242" s="528">
        <f t="shared" si="622"/>
        <v>0.77722287418204061</v>
      </c>
      <c r="AI242" s="173">
        <f t="shared" si="623"/>
        <v>1.888983867548133</v>
      </c>
      <c r="AJ242" s="173">
        <f t="shared" si="624"/>
        <v>1.888983867548133</v>
      </c>
      <c r="AK242" s="173">
        <f t="shared" si="625"/>
        <v>1.6115929883072588</v>
      </c>
      <c r="AM242" s="545">
        <f t="shared" si="626"/>
        <v>1560</v>
      </c>
      <c r="AN242" s="460">
        <f t="shared" si="627"/>
        <v>350</v>
      </c>
      <c r="AP242">
        <f t="shared" si="628"/>
        <v>1560</v>
      </c>
      <c r="AQ242">
        <f t="shared" si="629"/>
        <v>350</v>
      </c>
      <c r="AS242" s="5">
        <f t="shared" si="600"/>
        <v>2.8571428571428572</v>
      </c>
      <c r="AT242" s="5">
        <f t="shared" si="630"/>
        <v>0.63029809731096231</v>
      </c>
      <c r="AU242" s="5">
        <f t="shared" si="722"/>
        <v>2.226844759831895</v>
      </c>
      <c r="AV242" s="5"/>
      <c r="AW242" s="173">
        <f t="shared" si="723"/>
        <v>0.22060433405883681</v>
      </c>
      <c r="AX242" s="173">
        <f t="shared" si="631"/>
        <v>7.4933461088999147</v>
      </c>
      <c r="AY242" s="173">
        <f t="shared" si="632"/>
        <v>2.9445316787995819</v>
      </c>
      <c r="AZ242" s="173">
        <f t="shared" si="633"/>
        <v>2.5448346040395737</v>
      </c>
      <c r="BA242" s="460">
        <f t="shared" si="594"/>
        <v>24.581625795127533</v>
      </c>
      <c r="BB242" s="5">
        <f t="shared" si="595"/>
        <v>0.32198066043411483</v>
      </c>
      <c r="BD242" s="173">
        <f t="shared" si="681"/>
        <v>0.51224135993646802</v>
      </c>
      <c r="BE242" s="173">
        <f t="shared" si="682"/>
        <v>3.8512934065451589</v>
      </c>
      <c r="BG242" s="528">
        <f t="shared" si="683"/>
        <v>3.2011727721206582E-3</v>
      </c>
      <c r="BH242" s="528">
        <f t="shared" si="634"/>
        <v>0.68400345453248368</v>
      </c>
      <c r="BI242" s="528">
        <f t="shared" si="635"/>
        <v>0.31468174652397812</v>
      </c>
      <c r="BJ242" s="528">
        <f t="shared" si="684"/>
        <v>0.10655884484477272</v>
      </c>
      <c r="BK242">
        <f t="shared" si="685"/>
        <v>1.6183632678376018E-2</v>
      </c>
      <c r="BL242" s="460">
        <f t="shared" si="686"/>
        <v>330.86537920235412</v>
      </c>
      <c r="BM242" s="528">
        <f t="shared" si="636"/>
        <v>0.79523264167206298</v>
      </c>
      <c r="BN242" s="460">
        <f t="shared" si="687"/>
        <v>795.23264167206298</v>
      </c>
      <c r="BO242" s="528">
        <f t="shared" si="637"/>
        <v>1.0919999999999999</v>
      </c>
      <c r="BR242" s="460">
        <f t="shared" si="688"/>
        <v>1091.9999999999998</v>
      </c>
      <c r="BS242" s="528">
        <f t="shared" si="689"/>
        <v>7.8717363248868646E-3</v>
      </c>
      <c r="BT242" s="528">
        <f t="shared" si="690"/>
        <v>0.4449738270989464</v>
      </c>
      <c r="BU242" s="528">
        <f t="shared" si="691"/>
        <v>0.56196690168540042</v>
      </c>
      <c r="BV242" s="528"/>
      <c r="BW242" s="528">
        <f t="shared" si="692"/>
        <v>3.1222275453749646E-2</v>
      </c>
      <c r="BX242" s="460">
        <f t="shared" si="693"/>
        <v>1046.0347405629832</v>
      </c>
      <c r="BY242" s="173">
        <f t="shared" si="694"/>
        <v>3.2626635919147144</v>
      </c>
      <c r="BZ242" s="5">
        <f t="shared" si="695"/>
        <v>6.24</v>
      </c>
      <c r="CA242" s="173">
        <f t="shared" si="696"/>
        <v>0.65665799274524117</v>
      </c>
      <c r="CB242" s="5">
        <f t="shared" si="697"/>
        <v>65.665799274524119</v>
      </c>
      <c r="CE242" s="562">
        <f t="shared" si="638"/>
        <v>-50</v>
      </c>
      <c r="CF242">
        <f t="shared" si="639"/>
        <v>-50</v>
      </c>
      <c r="CG242" s="173">
        <f t="shared" si="640"/>
        <v>0.45249309386995068</v>
      </c>
      <c r="CI242" s="170">
        <v>26</v>
      </c>
      <c r="CJ242" s="217">
        <f t="shared" si="698"/>
        <v>1.56</v>
      </c>
      <c r="CK242" s="217"/>
      <c r="CL242" s="217">
        <f t="shared" si="641"/>
        <v>6.24</v>
      </c>
      <c r="CM242" s="541">
        <f t="shared" si="642"/>
        <v>36</v>
      </c>
      <c r="CN242" s="443">
        <f t="shared" si="643"/>
        <v>18.8</v>
      </c>
      <c r="CO242" s="443">
        <f t="shared" si="644"/>
        <v>54.8</v>
      </c>
      <c r="CP242" s="443"/>
      <c r="CQ242" s="217">
        <f t="shared" si="645"/>
        <v>0.34306569343065696</v>
      </c>
      <c r="CR242" s="172">
        <f t="shared" si="646"/>
        <v>41.723649635036502</v>
      </c>
      <c r="CS242" s="172">
        <f t="shared" si="647"/>
        <v>6.24</v>
      </c>
      <c r="CT242" s="217">
        <f t="shared" si="648"/>
        <v>10.430912408759125</v>
      </c>
      <c r="CU242" s="217">
        <f t="shared" si="649"/>
        <v>4</v>
      </c>
      <c r="CV242" s="217"/>
      <c r="CW242" s="172">
        <f t="shared" si="650"/>
        <v>68.014760281560385</v>
      </c>
      <c r="CX242" s="172">
        <f t="shared" si="651"/>
        <v>4</v>
      </c>
      <c r="CY242" s="217">
        <f t="shared" si="652"/>
        <v>1.0104964539007091</v>
      </c>
      <c r="CZ242" s="217">
        <f t="shared" si="653"/>
        <v>0.33683215130023636</v>
      </c>
      <c r="DA242" s="217">
        <f t="shared" si="654"/>
        <v>0.64499773653236747</v>
      </c>
      <c r="DB242" s="197">
        <f t="shared" si="655"/>
        <v>350</v>
      </c>
      <c r="DC242" s="443">
        <f t="shared" si="656"/>
        <v>350</v>
      </c>
      <c r="DE242" s="217">
        <f t="shared" si="657"/>
        <v>2.940563086548488</v>
      </c>
      <c r="DF242" s="173">
        <f t="shared" si="658"/>
        <v>1.8769551616266944</v>
      </c>
      <c r="DG242" s="173">
        <f t="shared" si="659"/>
        <v>3.8635135443702762</v>
      </c>
      <c r="DH242" s="173"/>
      <c r="DI242" s="173">
        <f t="shared" si="660"/>
        <v>0.85106382978723416</v>
      </c>
      <c r="DJ242" s="545">
        <f t="shared" si="661"/>
        <v>687.37499999999989</v>
      </c>
      <c r="DK242" s="528">
        <f t="shared" si="662"/>
        <v>0.79432624113475192</v>
      </c>
      <c r="DM242" s="173">
        <f t="shared" si="663"/>
        <v>1.8685364784848519</v>
      </c>
      <c r="DN242" s="173">
        <f t="shared" si="664"/>
        <v>1.8685364784848519</v>
      </c>
      <c r="DO242" s="173">
        <f t="shared" si="665"/>
        <v>1.59644677418631</v>
      </c>
      <c r="DQ242" s="545">
        <f t="shared" si="666"/>
        <v>1560</v>
      </c>
      <c r="DR242" s="460">
        <f t="shared" si="667"/>
        <v>350</v>
      </c>
      <c r="DT242">
        <f t="shared" si="668"/>
        <v>1560</v>
      </c>
      <c r="DU242">
        <f t="shared" si="669"/>
        <v>350</v>
      </c>
      <c r="DW242" s="5">
        <f t="shared" si="670"/>
        <v>2.8571428571428572</v>
      </c>
      <c r="DX242" s="5">
        <f t="shared" si="671"/>
        <v>0.62284549282828394</v>
      </c>
      <c r="DY242" s="5">
        <f t="shared" si="672"/>
        <v>2.2342973643145734</v>
      </c>
      <c r="DZ242" s="5"/>
      <c r="EA242" s="173">
        <f t="shared" si="673"/>
        <v>0.21799592248989938</v>
      </c>
      <c r="EB242" s="173">
        <f t="shared" si="699"/>
        <v>7.3319999999999999</v>
      </c>
      <c r="EC242" s="173">
        <f t="shared" si="700"/>
        <v>2.9224062903030372</v>
      </c>
      <c r="ED242" s="173">
        <f t="shared" si="701"/>
        <v>2.5088913969041973</v>
      </c>
      <c r="EE242" s="460">
        <f t="shared" si="674"/>
        <v>24.290974220303074</v>
      </c>
      <c r="EF242" s="5">
        <f t="shared" si="675"/>
        <v>0.32273184151210499</v>
      </c>
      <c r="EH242" s="173">
        <f t="shared" si="702"/>
        <v>0.50369209914925972</v>
      </c>
      <c r="EI242" s="173">
        <f t="shared" si="703"/>
        <v>3.8159744088536782</v>
      </c>
      <c r="EK242" s="528">
        <f t="shared" si="704"/>
        <v>3.0952099150937293E-3</v>
      </c>
      <c r="EL242" s="528">
        <f t="shared" si="705"/>
        <v>0.71677059314678926</v>
      </c>
      <c r="EM242" s="528">
        <f t="shared" si="706"/>
        <v>4.3749999999999997E-2</v>
      </c>
      <c r="EN242" s="528">
        <f t="shared" si="707"/>
        <v>0.10510639999999997</v>
      </c>
      <c r="EO242">
        <f t="shared" si="708"/>
        <v>1.6199999999999999E-2</v>
      </c>
      <c r="EP242" s="460">
        <f t="shared" si="709"/>
        <v>59.949999999999996</v>
      </c>
      <c r="EQ242" s="460"/>
      <c r="ER242" s="460">
        <f t="shared" si="710"/>
        <v>884.9222030618829</v>
      </c>
      <c r="ES242" s="528">
        <f t="shared" si="711"/>
        <v>1.0919999999999999</v>
      </c>
      <c r="EV242" s="460">
        <f t="shared" si="712"/>
        <v>1091.9999999999998</v>
      </c>
      <c r="EW242" s="528">
        <f t="shared" si="713"/>
        <v>7.6111719223616297E-3</v>
      </c>
      <c r="EX242" s="528">
        <f t="shared" si="714"/>
        <v>0.43684982067078532</v>
      </c>
      <c r="EY242" s="528">
        <f t="shared" si="715"/>
        <v>0.54688255136816555</v>
      </c>
      <c r="EZ242" s="528"/>
      <c r="FA242" s="528">
        <f t="shared" si="716"/>
        <v>3.0550000000000004E-2</v>
      </c>
      <c r="FB242" s="460">
        <f t="shared" si="717"/>
        <v>1021.8935439613126</v>
      </c>
      <c r="FC242" s="173">
        <f t="shared" si="718"/>
        <v>2.9988157470231949</v>
      </c>
      <c r="FD242" s="5">
        <f t="shared" si="719"/>
        <v>6.24</v>
      </c>
      <c r="FE242" s="173">
        <f t="shared" si="720"/>
        <v>0.67541124001856701</v>
      </c>
      <c r="FF242" s="5">
        <f t="shared" si="721"/>
        <v>67.541124001856701</v>
      </c>
      <c r="FI242" s="562">
        <f t="shared" si="676"/>
        <v>-50</v>
      </c>
      <c r="FJ242">
        <f t="shared" si="677"/>
        <v>-50</v>
      </c>
      <c r="FL242">
        <f t="shared" si="678"/>
        <v>0.41743900051257332</v>
      </c>
    </row>
    <row r="243" spans="5:168">
      <c r="E243" s="170">
        <v>27</v>
      </c>
      <c r="F243" s="217">
        <f t="shared" si="679"/>
        <v>1.62</v>
      </c>
      <c r="G243" s="217"/>
      <c r="H243" s="217">
        <f t="shared" si="603"/>
        <v>6.48</v>
      </c>
      <c r="I243" s="541">
        <f t="shared" si="604"/>
        <v>35.962935315229416</v>
      </c>
      <c r="J243" s="172">
        <f t="shared" si="605"/>
        <v>19.221588831513767</v>
      </c>
      <c r="K243" s="172">
        <f t="shared" si="606"/>
        <v>55.184524146743186</v>
      </c>
      <c r="L243" s="443"/>
      <c r="M243" s="217">
        <f t="shared" si="607"/>
        <v>0.34873265047193941</v>
      </c>
      <c r="N243" s="172">
        <f t="shared" si="608"/>
        <v>42.369197742908277</v>
      </c>
      <c r="O243" s="172">
        <f t="shared" si="599"/>
        <v>6.48</v>
      </c>
      <c r="P243" s="217">
        <f t="shared" si="609"/>
        <v>10.592299435727069</v>
      </c>
      <c r="Q243" s="217">
        <f t="shared" si="610"/>
        <v>4</v>
      </c>
      <c r="R243" s="217"/>
      <c r="S243" s="172">
        <f t="shared" si="611"/>
        <v>65.102717616218172</v>
      </c>
      <c r="T243" s="172">
        <f t="shared" si="612"/>
        <v>4</v>
      </c>
      <c r="U243" s="217">
        <f t="shared" si="613"/>
        <v>1.2437288627887837</v>
      </c>
      <c r="V243" s="217">
        <f t="shared" si="614"/>
        <v>0.41500356471584071</v>
      </c>
      <c r="W243" s="217">
        <f t="shared" si="615"/>
        <v>0.77645747624131389</v>
      </c>
      <c r="X243" s="197">
        <f t="shared" si="616"/>
        <v>350</v>
      </c>
      <c r="Y243" s="443">
        <f t="shared" si="680"/>
        <v>350</v>
      </c>
      <c r="AA243" s="217">
        <f t="shared" si="617"/>
        <v>2.9824819397239257</v>
      </c>
      <c r="AB243" s="173">
        <f t="shared" si="618"/>
        <v>1.8619575931210126</v>
      </c>
      <c r="AC243" s="173">
        <f t="shared" si="619"/>
        <v>3.8872784258106754</v>
      </c>
      <c r="AD243" s="173"/>
      <c r="AE243" s="173">
        <f t="shared" si="620"/>
        <v>0.83239737049041573</v>
      </c>
      <c r="AF243" s="545">
        <f t="shared" si="621"/>
        <v>729.81970094653821</v>
      </c>
      <c r="AG243" s="528">
        <f t="shared" si="622"/>
        <v>0.77690421245772145</v>
      </c>
      <c r="AI243" s="173">
        <f t="shared" si="623"/>
        <v>1.9253624861881236</v>
      </c>
      <c r="AJ243" s="173">
        <f t="shared" si="624"/>
        <v>1.9253624861881236</v>
      </c>
      <c r="AK243" s="173">
        <f t="shared" si="625"/>
        <v>1.6385401132257704</v>
      </c>
      <c r="AM243" s="545">
        <f t="shared" si="626"/>
        <v>1620</v>
      </c>
      <c r="AN243" s="460">
        <f t="shared" si="627"/>
        <v>350</v>
      </c>
      <c r="AP243">
        <f t="shared" si="628"/>
        <v>1620</v>
      </c>
      <c r="AQ243">
        <f t="shared" si="629"/>
        <v>350</v>
      </c>
      <c r="AS243" s="5">
        <f t="shared" si="600"/>
        <v>2.8571428571428572</v>
      </c>
      <c r="AT243" s="5">
        <f t="shared" si="630"/>
        <v>0.64244894449628975</v>
      </c>
      <c r="AU243" s="5">
        <f t="shared" si="722"/>
        <v>2.2146939126465677</v>
      </c>
      <c r="AV243" s="5"/>
      <c r="AW243" s="173">
        <f t="shared" si="723"/>
        <v>0.22485713057370141</v>
      </c>
      <c r="AX243" s="173">
        <f t="shared" si="631"/>
        <v>7.7847434767630759</v>
      </c>
      <c r="AY243" s="173">
        <f t="shared" si="632"/>
        <v>2.9848620044592287</v>
      </c>
      <c r="AZ243" s="173">
        <f t="shared" si="633"/>
        <v>2.6080748339900048</v>
      </c>
      <c r="BA243" s="460">
        <f t="shared" si="594"/>
        <v>26.019182252099739</v>
      </c>
      <c r="BB243" s="5">
        <f t="shared" si="595"/>
        <v>0.33254646828639084</v>
      </c>
      <c r="BD243" s="173">
        <f t="shared" si="681"/>
        <v>0.52711480036878411</v>
      </c>
      <c r="BE243" s="173">
        <f t="shared" si="682"/>
        <v>3.9147384177691311</v>
      </c>
      <c r="BG243" s="528">
        <f t="shared" si="683"/>
        <v>3.3897701557674418E-3</v>
      </c>
      <c r="BH243" s="528">
        <f t="shared" si="634"/>
        <v>0.69726702025497567</v>
      </c>
      <c r="BI243" s="528">
        <f t="shared" si="635"/>
        <v>0.31467568400825735</v>
      </c>
      <c r="BJ243" s="528">
        <f t="shared" si="684"/>
        <v>0.10658660968558686</v>
      </c>
      <c r="BK243">
        <f t="shared" si="685"/>
        <v>1.6183320891853238E-2</v>
      </c>
      <c r="BL243" s="460">
        <f t="shared" si="686"/>
        <v>330.85900490011062</v>
      </c>
      <c r="BM243" s="528">
        <f t="shared" si="636"/>
        <v>0.80881006125564847</v>
      </c>
      <c r="BN243" s="460">
        <f t="shared" si="687"/>
        <v>808.81006125564852</v>
      </c>
      <c r="BO243" s="528">
        <f t="shared" si="637"/>
        <v>1.1339999999999999</v>
      </c>
      <c r="BR243" s="460">
        <f t="shared" si="688"/>
        <v>1134</v>
      </c>
      <c r="BS243" s="528">
        <f t="shared" si="689"/>
        <v>8.3355003830346934E-3</v>
      </c>
      <c r="BT243" s="528">
        <f t="shared" si="690"/>
        <v>0.45975530638672679</v>
      </c>
      <c r="BU243" s="528">
        <f t="shared" si="691"/>
        <v>0.58941526547137324</v>
      </c>
      <c r="BV243" s="528"/>
      <c r="BW243" s="528">
        <f t="shared" si="692"/>
        <v>3.2436431153179492E-2</v>
      </c>
      <c r="BX243" s="460">
        <f t="shared" si="693"/>
        <v>1089.9425033943141</v>
      </c>
      <c r="BY243" s="173">
        <f t="shared" si="694"/>
        <v>3.3620449083907542</v>
      </c>
      <c r="BZ243" s="5">
        <f t="shared" si="695"/>
        <v>6.48</v>
      </c>
      <c r="CA243" s="173">
        <f t="shared" si="696"/>
        <v>0.6583997594316533</v>
      </c>
      <c r="CB243" s="5">
        <f t="shared" si="697"/>
        <v>65.839975943165328</v>
      </c>
      <c r="CE243" s="562">
        <f t="shared" si="638"/>
        <v>-50</v>
      </c>
      <c r="CF243">
        <f t="shared" si="639"/>
        <v>-50</v>
      </c>
      <c r="CG243" s="173">
        <f t="shared" si="640"/>
        <v>0.46111278446818199</v>
      </c>
      <c r="CI243" s="170">
        <v>27</v>
      </c>
      <c r="CJ243" s="217">
        <f t="shared" si="698"/>
        <v>1.62</v>
      </c>
      <c r="CK243" s="217"/>
      <c r="CL243" s="217">
        <f t="shared" si="641"/>
        <v>6.48</v>
      </c>
      <c r="CM243" s="541">
        <f t="shared" si="642"/>
        <v>36</v>
      </c>
      <c r="CN243" s="443">
        <f t="shared" si="643"/>
        <v>18.8</v>
      </c>
      <c r="CO243" s="443">
        <f t="shared" si="644"/>
        <v>54.8</v>
      </c>
      <c r="CP243" s="443"/>
      <c r="CQ243" s="217">
        <f t="shared" si="645"/>
        <v>0.34306569343065696</v>
      </c>
      <c r="CR243" s="172">
        <f t="shared" si="646"/>
        <v>41.723649635036502</v>
      </c>
      <c r="CS243" s="172">
        <f t="shared" si="647"/>
        <v>6.48</v>
      </c>
      <c r="CT243" s="217">
        <f t="shared" si="648"/>
        <v>10.430912408759125</v>
      </c>
      <c r="CU243" s="217">
        <f t="shared" si="649"/>
        <v>4</v>
      </c>
      <c r="CV243" s="217"/>
      <c r="CW243" s="172">
        <f t="shared" si="650"/>
        <v>65.169717417434342</v>
      </c>
      <c r="CX243" s="172">
        <f t="shared" si="651"/>
        <v>4</v>
      </c>
      <c r="CY243" s="217">
        <f t="shared" si="652"/>
        <v>1.0493617021276596</v>
      </c>
      <c r="CZ243" s="217">
        <f t="shared" si="653"/>
        <v>0.34978723404255319</v>
      </c>
      <c r="DA243" s="217">
        <f t="shared" si="654"/>
        <v>0.6698053417836124</v>
      </c>
      <c r="DB243" s="197">
        <f t="shared" si="655"/>
        <v>350</v>
      </c>
      <c r="DC243" s="443">
        <f t="shared" si="656"/>
        <v>350</v>
      </c>
      <c r="DE243" s="217">
        <f t="shared" si="657"/>
        <v>2.940563086548488</v>
      </c>
      <c r="DF243" s="173">
        <f t="shared" si="658"/>
        <v>1.8769551616266944</v>
      </c>
      <c r="DG243" s="173">
        <f t="shared" si="659"/>
        <v>3.8635135443702762</v>
      </c>
      <c r="DH243" s="173"/>
      <c r="DI243" s="173">
        <f t="shared" si="660"/>
        <v>0.85106382978723416</v>
      </c>
      <c r="DJ243" s="545">
        <f t="shared" si="661"/>
        <v>713.81249999999989</v>
      </c>
      <c r="DK243" s="528">
        <f t="shared" si="662"/>
        <v>0.79432624113475192</v>
      </c>
      <c r="DM243" s="173">
        <f t="shared" si="663"/>
        <v>1.904130847844834</v>
      </c>
      <c r="DN243" s="173">
        <f t="shared" si="664"/>
        <v>1.904130847844834</v>
      </c>
      <c r="DO243" s="173">
        <f t="shared" si="665"/>
        <v>1.6228129737122226</v>
      </c>
      <c r="DQ243" s="545">
        <f t="shared" si="666"/>
        <v>1620</v>
      </c>
      <c r="DR243" s="460">
        <f t="shared" si="667"/>
        <v>350</v>
      </c>
      <c r="DT243">
        <f t="shared" si="668"/>
        <v>1620</v>
      </c>
      <c r="DU243">
        <f t="shared" si="669"/>
        <v>350</v>
      </c>
      <c r="DW243" s="5">
        <f t="shared" si="670"/>
        <v>2.8571428571428572</v>
      </c>
      <c r="DX243" s="5">
        <f t="shared" si="671"/>
        <v>0.63471028261494467</v>
      </c>
      <c r="DY243" s="5">
        <f t="shared" si="672"/>
        <v>2.2224325745279128</v>
      </c>
      <c r="DZ243" s="5"/>
      <c r="EA243" s="173">
        <f t="shared" si="673"/>
        <v>0.22214859891523062</v>
      </c>
      <c r="EB243" s="173">
        <f t="shared" si="699"/>
        <v>7.6140000000000017</v>
      </c>
      <c r="EC243" s="173">
        <f t="shared" si="700"/>
        <v>2.9622616956896679</v>
      </c>
      <c r="ED243" s="173">
        <f t="shared" si="701"/>
        <v>2.5703333405954618</v>
      </c>
      <c r="EE243" s="460">
        <f t="shared" si="674"/>
        <v>25.705766445905258</v>
      </c>
      <c r="EF243" s="5">
        <f t="shared" si="675"/>
        <v>0.33336488617918691</v>
      </c>
      <c r="EH243" s="173">
        <f t="shared" si="702"/>
        <v>0.51815292100510413</v>
      </c>
      <c r="EI243" s="173">
        <f t="shared" si="703"/>
        <v>3.8783274313039784</v>
      </c>
      <c r="EK243" s="528">
        <f t="shared" si="704"/>
        <v>3.2754858844626839E-3</v>
      </c>
      <c r="EL243" s="528">
        <f t="shared" si="705"/>
        <v>0.73042459323327824</v>
      </c>
      <c r="EM243" s="528">
        <f t="shared" si="706"/>
        <v>4.3749999999999997E-2</v>
      </c>
      <c r="EN243" s="528">
        <f t="shared" si="707"/>
        <v>0.10510639999999997</v>
      </c>
      <c r="EO243">
        <f t="shared" si="708"/>
        <v>1.6199999999999999E-2</v>
      </c>
      <c r="EP243" s="460">
        <f t="shared" si="709"/>
        <v>59.949999999999996</v>
      </c>
      <c r="EQ243" s="460"/>
      <c r="ER243" s="460">
        <f t="shared" si="710"/>
        <v>898.75647911774081</v>
      </c>
      <c r="ES243" s="528">
        <f t="shared" si="711"/>
        <v>1.1339999999999999</v>
      </c>
      <c r="EV243" s="460">
        <f t="shared" si="712"/>
        <v>1134</v>
      </c>
      <c r="EW243" s="528">
        <f t="shared" si="713"/>
        <v>8.0544734863836499E-3</v>
      </c>
      <c r="EX243" s="528">
        <f t="shared" si="714"/>
        <v>0.45124270993214743</v>
      </c>
      <c r="EY243" s="528">
        <f t="shared" si="715"/>
        <v>0.57330019222571182</v>
      </c>
      <c r="EZ243" s="528"/>
      <c r="FA243" s="528">
        <f t="shared" si="716"/>
        <v>3.172500000000001E-2</v>
      </c>
      <c r="FB243" s="460">
        <f t="shared" si="717"/>
        <v>1064.3223756442428</v>
      </c>
      <c r="FC243" s="173">
        <f t="shared" si="718"/>
        <v>3.0970788547619836</v>
      </c>
      <c r="FD243" s="5">
        <f t="shared" si="719"/>
        <v>6.48</v>
      </c>
      <c r="FE243" s="173">
        <f t="shared" si="720"/>
        <v>0.67661550022405503</v>
      </c>
      <c r="FF243" s="5">
        <f t="shared" si="721"/>
        <v>67.661550022405507</v>
      </c>
      <c r="FI243" s="562">
        <f t="shared" si="676"/>
        <v>-50</v>
      </c>
      <c r="FJ243">
        <f t="shared" si="677"/>
        <v>-50</v>
      </c>
      <c r="FL243">
        <f t="shared" si="678"/>
        <v>0.42539093409299483</v>
      </c>
    </row>
    <row r="244" spans="5:168">
      <c r="E244" s="170">
        <v>28</v>
      </c>
      <c r="F244" s="217">
        <f t="shared" si="679"/>
        <v>1.6800000000000002</v>
      </c>
      <c r="G244" s="217"/>
      <c r="H244" s="217">
        <f t="shared" si="603"/>
        <v>6.7200000000000006</v>
      </c>
      <c r="I244" s="541">
        <f t="shared" si="604"/>
        <v>35.962255172539805</v>
      </c>
      <c r="J244" s="172">
        <f t="shared" si="605"/>
        <v>19.229325051679961</v>
      </c>
      <c r="K244" s="172">
        <f t="shared" si="606"/>
        <v>55.191580224219763</v>
      </c>
      <c r="L244" s="443"/>
      <c r="M244" s="217">
        <f t="shared" si="607"/>
        <v>0.34883583480864699</v>
      </c>
      <c r="N244" s="172">
        <f t="shared" si="608"/>
        <v>42.380932564427177</v>
      </c>
      <c r="O244" s="172">
        <f t="shared" si="599"/>
        <v>6.7200000000000006</v>
      </c>
      <c r="P244" s="217">
        <f t="shared" si="609"/>
        <v>10.595233141106794</v>
      </c>
      <c r="Q244" s="217">
        <f t="shared" si="610"/>
        <v>4</v>
      </c>
      <c r="R244" s="217"/>
      <c r="S244" s="172">
        <f t="shared" si="611"/>
        <v>62.462754852827707</v>
      </c>
      <c r="T244" s="172">
        <f t="shared" si="612"/>
        <v>4</v>
      </c>
      <c r="U244" s="217">
        <f t="shared" si="613"/>
        <v>1.2899972770355921</v>
      </c>
      <c r="V244" s="217">
        <f t="shared" si="614"/>
        <v>0.43045040557543668</v>
      </c>
      <c r="W244" s="217">
        <f t="shared" si="615"/>
        <v>0.8050187556153825</v>
      </c>
      <c r="X244" s="197">
        <f t="shared" si="616"/>
        <v>350</v>
      </c>
      <c r="Y244" s="443">
        <f t="shared" si="680"/>
        <v>350</v>
      </c>
      <c r="AA244" s="217">
        <f t="shared" si="617"/>
        <v>2.9832444399206794</v>
      </c>
      <c r="AB244" s="173">
        <f t="shared" si="618"/>
        <v>1.8616843380012755</v>
      </c>
      <c r="AC244" s="173">
        <f t="shared" si="619"/>
        <v>3.8877016151608008</v>
      </c>
      <c r="AD244" s="173"/>
      <c r="AE244" s="173">
        <f t="shared" si="620"/>
        <v>0.83206248565662322</v>
      </c>
      <c r="AF244" s="545">
        <f t="shared" si="621"/>
        <v>757.15467390989829</v>
      </c>
      <c r="AG244" s="528">
        <f t="shared" si="622"/>
        <v>0.77659165327951507</v>
      </c>
      <c r="AI244" s="173">
        <f t="shared" si="623"/>
        <v>1.961087711025693</v>
      </c>
      <c r="AJ244" s="173">
        <f t="shared" si="624"/>
        <v>1.961087711025693</v>
      </c>
      <c r="AK244" s="173">
        <f t="shared" si="625"/>
        <v>1.6650032427350812</v>
      </c>
      <c r="AM244" s="545">
        <f t="shared" si="626"/>
        <v>1680.0000000000002</v>
      </c>
      <c r="AN244" s="460">
        <f t="shared" si="627"/>
        <v>350</v>
      </c>
      <c r="AP244">
        <f t="shared" si="628"/>
        <v>1680.0000000000002</v>
      </c>
      <c r="AQ244">
        <f t="shared" si="629"/>
        <v>350</v>
      </c>
      <c r="AS244" s="5">
        <f t="shared" si="600"/>
        <v>2.8571428571428572</v>
      </c>
      <c r="AT244" s="5">
        <f t="shared" si="630"/>
        <v>0.65438200189063145</v>
      </c>
      <c r="AU244" s="5">
        <f t="shared" si="722"/>
        <v>2.202760855252226</v>
      </c>
      <c r="AV244" s="5"/>
      <c r="AW244" s="173">
        <f t="shared" si="723"/>
        <v>0.22903370066172099</v>
      </c>
      <c r="AX244" s="173">
        <f t="shared" si="631"/>
        <v>8.0763165217055839</v>
      </c>
      <c r="AY244" s="173">
        <f t="shared" si="632"/>
        <v>3.0238650704945096</v>
      </c>
      <c r="AZ244" s="173">
        <f t="shared" si="633"/>
        <v>2.6708587630151164</v>
      </c>
      <c r="BA244" s="460">
        <f t="shared" si="594"/>
        <v>27.484044079406523</v>
      </c>
      <c r="BB244" s="5">
        <f t="shared" si="595"/>
        <v>0.34301132479677254</v>
      </c>
      <c r="BD244" s="173">
        <f t="shared" si="681"/>
        <v>0.54185874406610202</v>
      </c>
      <c r="BE244" s="173">
        <f t="shared" si="682"/>
        <v>3.9766198811039253</v>
      </c>
      <c r="BG244" s="528">
        <f t="shared" si="683"/>
        <v>3.5820529619548999E-3</v>
      </c>
      <c r="BH244" s="528">
        <f t="shared" si="634"/>
        <v>0.71029566385185205</v>
      </c>
      <c r="BI244" s="528">
        <f t="shared" si="635"/>
        <v>0.31466973275972332</v>
      </c>
      <c r="BJ244" s="528">
        <f t="shared" si="684"/>
        <v>0.10661386846762701</v>
      </c>
      <c r="BK244">
        <f t="shared" si="685"/>
        <v>1.6183014827642912E-2</v>
      </c>
      <c r="BL244" s="460">
        <f t="shared" si="686"/>
        <v>330.8527475873662</v>
      </c>
      <c r="BM244" s="528">
        <f t="shared" si="636"/>
        <v>0.82215847519298146</v>
      </c>
      <c r="BN244" s="460">
        <f t="shared" si="687"/>
        <v>822.15847519298143</v>
      </c>
      <c r="BO244" s="528">
        <f t="shared" si="637"/>
        <v>1.1759999999999999</v>
      </c>
      <c r="BR244" s="460">
        <f t="shared" si="688"/>
        <v>1176</v>
      </c>
      <c r="BS244" s="528">
        <f t="shared" si="689"/>
        <v>8.8083269556268034E-3</v>
      </c>
      <c r="BT244" s="528">
        <f t="shared" si="690"/>
        <v>0.47440517036372987</v>
      </c>
      <c r="BU244" s="528">
        <f t="shared" si="691"/>
        <v>0.61713852869219699</v>
      </c>
      <c r="BV244" s="528"/>
      <c r="BW244" s="528">
        <f t="shared" si="692"/>
        <v>3.3651318840439932E-2</v>
      </c>
      <c r="BX244" s="460">
        <f t="shared" si="693"/>
        <v>1134.0033448519935</v>
      </c>
      <c r="BY244" s="173">
        <f t="shared" si="694"/>
        <v>3.4613476777207937</v>
      </c>
      <c r="BZ244" s="5">
        <f t="shared" si="695"/>
        <v>6.7200000000000006</v>
      </c>
      <c r="CA244" s="173">
        <f t="shared" si="696"/>
        <v>0.66003050015716058</v>
      </c>
      <c r="CB244" s="5">
        <f t="shared" si="697"/>
        <v>66.003050015716056</v>
      </c>
      <c r="CE244" s="562">
        <f t="shared" si="638"/>
        <v>-50</v>
      </c>
      <c r="CF244">
        <f t="shared" si="639"/>
        <v>-50</v>
      </c>
      <c r="CG244" s="173">
        <f t="shared" si="640"/>
        <v>0.46957427527495588</v>
      </c>
      <c r="CI244" s="170">
        <v>28</v>
      </c>
      <c r="CJ244" s="217">
        <f t="shared" si="698"/>
        <v>1.6800000000000002</v>
      </c>
      <c r="CK244" s="217"/>
      <c r="CL244" s="217">
        <f t="shared" si="641"/>
        <v>6.7200000000000006</v>
      </c>
      <c r="CM244" s="541">
        <f t="shared" si="642"/>
        <v>36</v>
      </c>
      <c r="CN244" s="443">
        <f t="shared" si="643"/>
        <v>18.8</v>
      </c>
      <c r="CO244" s="443">
        <f t="shared" si="644"/>
        <v>54.8</v>
      </c>
      <c r="CP244" s="443"/>
      <c r="CQ244" s="217">
        <f t="shared" si="645"/>
        <v>0.34306569343065696</v>
      </c>
      <c r="CR244" s="172">
        <f t="shared" si="646"/>
        <v>41.723649635036502</v>
      </c>
      <c r="CS244" s="172">
        <f t="shared" si="647"/>
        <v>6.7200000000000006</v>
      </c>
      <c r="CT244" s="217">
        <f t="shared" si="648"/>
        <v>10.430912408759125</v>
      </c>
      <c r="CU244" s="217">
        <f t="shared" si="649"/>
        <v>4</v>
      </c>
      <c r="CV244" s="217"/>
      <c r="CW244" s="172">
        <f t="shared" si="650"/>
        <v>62.528210497121158</v>
      </c>
      <c r="CX244" s="172">
        <f t="shared" si="651"/>
        <v>4</v>
      </c>
      <c r="CY244" s="217">
        <f t="shared" si="652"/>
        <v>1.0882269503546098</v>
      </c>
      <c r="CZ244" s="217">
        <f t="shared" si="653"/>
        <v>0.36274231678486996</v>
      </c>
      <c r="DA244" s="217">
        <f t="shared" si="654"/>
        <v>0.69461294703485721</v>
      </c>
      <c r="DB244" s="197">
        <f t="shared" si="655"/>
        <v>350</v>
      </c>
      <c r="DC244" s="443">
        <f t="shared" si="656"/>
        <v>350</v>
      </c>
      <c r="DE244" s="217">
        <f t="shared" si="657"/>
        <v>2.940563086548488</v>
      </c>
      <c r="DF244" s="173">
        <f t="shared" si="658"/>
        <v>1.8769551616266944</v>
      </c>
      <c r="DG244" s="173">
        <f t="shared" si="659"/>
        <v>3.8635135443702762</v>
      </c>
      <c r="DH244" s="173"/>
      <c r="DI244" s="173">
        <f t="shared" si="660"/>
        <v>0.85106382978723416</v>
      </c>
      <c r="DJ244" s="545">
        <f t="shared" si="661"/>
        <v>740.24999999999989</v>
      </c>
      <c r="DK244" s="528">
        <f t="shared" si="662"/>
        <v>0.79432624113475192</v>
      </c>
      <c r="DM244" s="173">
        <f t="shared" si="663"/>
        <v>1.9390719429665317</v>
      </c>
      <c r="DN244" s="173">
        <f t="shared" si="664"/>
        <v>1.9390719429665317</v>
      </c>
      <c r="DO244" s="173">
        <f t="shared" si="665"/>
        <v>1.6486952663949617</v>
      </c>
      <c r="DQ244" s="545">
        <f t="shared" si="666"/>
        <v>1680.0000000000002</v>
      </c>
      <c r="DR244" s="460">
        <f t="shared" si="667"/>
        <v>350</v>
      </c>
      <c r="DT244">
        <f t="shared" si="668"/>
        <v>1680.0000000000002</v>
      </c>
      <c r="DU244">
        <f t="shared" si="669"/>
        <v>350</v>
      </c>
      <c r="DW244" s="5">
        <f t="shared" si="670"/>
        <v>2.8571428571428572</v>
      </c>
      <c r="DX244" s="5">
        <f t="shared" si="671"/>
        <v>0.64635731432217725</v>
      </c>
      <c r="DY244" s="5">
        <f t="shared" si="672"/>
        <v>2.21078554282068</v>
      </c>
      <c r="DZ244" s="5"/>
      <c r="EA244" s="173">
        <f t="shared" si="673"/>
        <v>0.22622506001276202</v>
      </c>
      <c r="EB244" s="173">
        <f t="shared" si="699"/>
        <v>7.8960000000000017</v>
      </c>
      <c r="EC244" s="173">
        <f t="shared" si="700"/>
        <v>3.0008105525997304</v>
      </c>
      <c r="ED244" s="173">
        <f t="shared" si="701"/>
        <v>2.6312890672686282</v>
      </c>
      <c r="EE244" s="460">
        <f t="shared" si="674"/>
        <v>27.147007201531448</v>
      </c>
      <c r="EF244" s="5">
        <f t="shared" si="675"/>
        <v>0.34389997332766131</v>
      </c>
      <c r="EH244" s="173">
        <f t="shared" si="702"/>
        <v>0.53248043020314695</v>
      </c>
      <c r="EI244" s="173">
        <f t="shared" si="703"/>
        <v>3.9391327467532853</v>
      </c>
      <c r="EK244" s="528">
        <f t="shared" si="704"/>
        <v>3.459131984301807E-3</v>
      </c>
      <c r="EL244" s="528">
        <f t="shared" si="705"/>
        <v>0.74382799732196159</v>
      </c>
      <c r="EM244" s="528">
        <f t="shared" si="706"/>
        <v>4.3749999999999997E-2</v>
      </c>
      <c r="EN244" s="528">
        <f t="shared" si="707"/>
        <v>0.10510639999999997</v>
      </c>
      <c r="EO244">
        <f t="shared" si="708"/>
        <v>1.6199999999999999E-2</v>
      </c>
      <c r="EP244" s="460">
        <f t="shared" si="709"/>
        <v>59.949999999999996</v>
      </c>
      <c r="EQ244" s="460"/>
      <c r="ER244" s="460">
        <f t="shared" si="710"/>
        <v>912.34352930626324</v>
      </c>
      <c r="ES244" s="528">
        <f t="shared" si="711"/>
        <v>1.1759999999999999</v>
      </c>
      <c r="EV244" s="460">
        <f t="shared" si="712"/>
        <v>1176</v>
      </c>
      <c r="EW244" s="528">
        <f t="shared" si="713"/>
        <v>8.506062256479853E-3</v>
      </c>
      <c r="EX244" s="528">
        <f t="shared" si="714"/>
        <v>0.46550300389632249</v>
      </c>
      <c r="EY244" s="528">
        <f t="shared" si="715"/>
        <v>0.59996362622776322</v>
      </c>
      <c r="EZ244" s="528"/>
      <c r="FA244" s="528">
        <f t="shared" si="716"/>
        <v>3.2900000000000006E-2</v>
      </c>
      <c r="FB244" s="460">
        <f t="shared" si="717"/>
        <v>1106.8726923805657</v>
      </c>
      <c r="FC244" s="173">
        <f t="shared" si="718"/>
        <v>3.1952162216868287</v>
      </c>
      <c r="FD244" s="5">
        <f t="shared" si="719"/>
        <v>6.7200000000000006</v>
      </c>
      <c r="FE244" s="173">
        <f t="shared" si="720"/>
        <v>0.67774618825778443</v>
      </c>
      <c r="FF244" s="5">
        <f t="shared" si="721"/>
        <v>67.774618825778447</v>
      </c>
      <c r="FI244" s="562">
        <f t="shared" si="676"/>
        <v>-50</v>
      </c>
      <c r="FJ244">
        <f t="shared" si="677"/>
        <v>-50</v>
      </c>
      <c r="FL244">
        <f t="shared" si="678"/>
        <v>0.4331969234286932</v>
      </c>
    </row>
    <row r="245" spans="5:168">
      <c r="E245" s="170">
        <v>29</v>
      </c>
      <c r="F245" s="217">
        <f t="shared" si="679"/>
        <v>1.7399999999999998</v>
      </c>
      <c r="G245" s="217"/>
      <c r="H245" s="217">
        <f t="shared" si="603"/>
        <v>6.9599999999999991</v>
      </c>
      <c r="I245" s="541">
        <f t="shared" si="604"/>
        <v>35.961587070629058</v>
      </c>
      <c r="J245" s="172">
        <f t="shared" si="605"/>
        <v>19.236924315119744</v>
      </c>
      <c r="K245" s="172">
        <f t="shared" si="606"/>
        <v>55.198511385748802</v>
      </c>
      <c r="L245" s="443"/>
      <c r="M245" s="217">
        <f t="shared" si="607"/>
        <v>0.34893716441079858</v>
      </c>
      <c r="N245" s="172">
        <f t="shared" si="608"/>
        <v>42.392455773697314</v>
      </c>
      <c r="O245" s="172">
        <f t="shared" si="599"/>
        <v>6.9599999999999991</v>
      </c>
      <c r="P245" s="217">
        <f t="shared" si="609"/>
        <v>10.598113943424329</v>
      </c>
      <c r="Q245" s="217">
        <f t="shared" si="610"/>
        <v>4</v>
      </c>
      <c r="R245" s="217"/>
      <c r="S245" s="172">
        <f t="shared" si="611"/>
        <v>60.005201983132885</v>
      </c>
      <c r="T245" s="172">
        <f t="shared" si="612"/>
        <v>4</v>
      </c>
      <c r="U245" s="217">
        <f t="shared" si="613"/>
        <v>1.3362765503465788</v>
      </c>
      <c r="V245" s="217">
        <f t="shared" si="614"/>
        <v>0.44590130498593844</v>
      </c>
      <c r="W245" s="217">
        <f t="shared" si="615"/>
        <v>0.83356977141899891</v>
      </c>
      <c r="X245" s="197">
        <f t="shared" si="616"/>
        <v>350</v>
      </c>
      <c r="Y245" s="443">
        <f t="shared" si="680"/>
        <v>350</v>
      </c>
      <c r="AA245" s="217">
        <f t="shared" si="617"/>
        <v>2.9839932073477331</v>
      </c>
      <c r="AB245" s="173">
        <f t="shared" si="618"/>
        <v>1.8614159884191397</v>
      </c>
      <c r="AC245" s="173">
        <f t="shared" si="619"/>
        <v>3.8881168658438261</v>
      </c>
      <c r="AD245" s="173"/>
      <c r="AE245" s="173">
        <f t="shared" si="620"/>
        <v>0.83173379163447669</v>
      </c>
      <c r="AF245" s="545">
        <f t="shared" si="621"/>
        <v>784.50581972597672</v>
      </c>
      <c r="AG245" s="528">
        <f t="shared" si="622"/>
        <v>0.77628487219217845</v>
      </c>
      <c r="AI245" s="173">
        <f t="shared" si="623"/>
        <v>1.9961942453766375</v>
      </c>
      <c r="AJ245" s="173">
        <f t="shared" si="624"/>
        <v>1.9961942453766375</v>
      </c>
      <c r="AK245" s="173">
        <f t="shared" si="625"/>
        <v>1.69100808299504</v>
      </c>
      <c r="AM245" s="545">
        <f t="shared" si="626"/>
        <v>1739.9999999999998</v>
      </c>
      <c r="AN245" s="460">
        <f t="shared" si="627"/>
        <v>350</v>
      </c>
      <c r="AP245">
        <f t="shared" si="628"/>
        <v>1739.9999999999998</v>
      </c>
      <c r="AQ245">
        <f t="shared" si="629"/>
        <v>350</v>
      </c>
      <c r="AS245" s="5">
        <f t="shared" si="600"/>
        <v>2.8571428571428572</v>
      </c>
      <c r="AT245" s="5">
        <f t="shared" si="630"/>
        <v>0.66610883711758917</v>
      </c>
      <c r="AU245" s="5">
        <f t="shared" si="722"/>
        <v>2.1910340200252678</v>
      </c>
      <c r="AV245" s="5"/>
      <c r="AW245" s="173">
        <f t="shared" si="723"/>
        <v>0.2331380929911562</v>
      </c>
      <c r="AX245" s="173">
        <f t="shared" si="631"/>
        <v>8.3680620770770862</v>
      </c>
      <c r="AY245" s="173">
        <f t="shared" si="632"/>
        <v>3.0616106515392163</v>
      </c>
      <c r="AZ245" s="173">
        <f t="shared" si="633"/>
        <v>2.7332221596727417</v>
      </c>
      <c r="BA245" s="460">
        <f t="shared" ref="BA245:BA308" si="724">F245*AT245/Vout_ripple*1000</f>
        <v>28.975734414615122</v>
      </c>
      <c r="BB245" s="5">
        <f t="shared" ref="BB245:BB308" si="725">H245/Efficiency/I245*AU245/Vinripple1</f>
        <v>0.35337698781724697</v>
      </c>
      <c r="BD245" s="173">
        <f t="shared" si="681"/>
        <v>0.55647901523226151</v>
      </c>
      <c r="BE245" s="173">
        <f t="shared" si="682"/>
        <v>4.0370185580240276</v>
      </c>
      <c r="BG245" s="528">
        <f t="shared" si="683"/>
        <v>3.7779605116051835E-3</v>
      </c>
      <c r="BH245" s="528">
        <f t="shared" si="634"/>
        <v>0.72310186450417502</v>
      </c>
      <c r="BI245" s="528">
        <f t="shared" si="635"/>
        <v>0.31466388686800423</v>
      </c>
      <c r="BJ245" s="528">
        <f t="shared" si="684"/>
        <v>0.10664064807209242</v>
      </c>
      <c r="BK245">
        <f t="shared" si="685"/>
        <v>1.6182714181783076E-2</v>
      </c>
      <c r="BL245" s="460">
        <f t="shared" si="686"/>
        <v>330.8466010497873</v>
      </c>
      <c r="BM245" s="528">
        <f t="shared" si="636"/>
        <v>0.83529031527926578</v>
      </c>
      <c r="BN245" s="460">
        <f t="shared" si="687"/>
        <v>835.29031527926577</v>
      </c>
      <c r="BO245" s="528">
        <f t="shared" si="637"/>
        <v>1.2179999999999997</v>
      </c>
      <c r="BR245" s="460">
        <f t="shared" si="688"/>
        <v>1217.9999999999998</v>
      </c>
      <c r="BS245" s="528">
        <f t="shared" si="689"/>
        <v>9.2900668318160254E-3</v>
      </c>
      <c r="BT245" s="528">
        <f t="shared" si="690"/>
        <v>0.48892556513491198</v>
      </c>
      <c r="BU245" s="528">
        <f t="shared" si="691"/>
        <v>0.64512981484173848</v>
      </c>
      <c r="BV245" s="528"/>
      <c r="BW245" s="528">
        <f t="shared" si="692"/>
        <v>3.4866925321154527E-2</v>
      </c>
      <c r="BX245" s="460">
        <f t="shared" si="693"/>
        <v>1178.2123721296209</v>
      </c>
      <c r="BY245" s="173">
        <f t="shared" si="694"/>
        <v>3.5605794462672806</v>
      </c>
      <c r="BZ245" s="5">
        <f t="shared" si="695"/>
        <v>6.9599999999999991</v>
      </c>
      <c r="CA245" s="173">
        <f t="shared" si="696"/>
        <v>0.66156051912800473</v>
      </c>
      <c r="CB245" s="5">
        <f t="shared" si="697"/>
        <v>66.156051912800478</v>
      </c>
      <c r="CE245" s="562">
        <f t="shared" si="638"/>
        <v>-50</v>
      </c>
      <c r="CF245">
        <f t="shared" si="639"/>
        <v>-50</v>
      </c>
      <c r="CG245" s="173">
        <f t="shared" si="640"/>
        <v>0.47788596966221969</v>
      </c>
      <c r="CI245" s="170">
        <v>29</v>
      </c>
      <c r="CJ245" s="217">
        <f t="shared" si="698"/>
        <v>1.7399999999999998</v>
      </c>
      <c r="CK245" s="217"/>
      <c r="CL245" s="217">
        <f t="shared" si="641"/>
        <v>6.9599999999999991</v>
      </c>
      <c r="CM245" s="541">
        <f t="shared" si="642"/>
        <v>36</v>
      </c>
      <c r="CN245" s="443">
        <f t="shared" si="643"/>
        <v>18.8</v>
      </c>
      <c r="CO245" s="443">
        <f t="shared" si="644"/>
        <v>54.8</v>
      </c>
      <c r="CP245" s="443"/>
      <c r="CQ245" s="217">
        <f t="shared" si="645"/>
        <v>0.34306569343065696</v>
      </c>
      <c r="CR245" s="172">
        <f t="shared" si="646"/>
        <v>41.723649635036502</v>
      </c>
      <c r="CS245" s="172">
        <f t="shared" si="647"/>
        <v>6.9599999999999991</v>
      </c>
      <c r="CT245" s="217">
        <f t="shared" si="648"/>
        <v>10.430912408759125</v>
      </c>
      <c r="CU245" s="217">
        <f t="shared" si="649"/>
        <v>4</v>
      </c>
      <c r="CV245" s="217"/>
      <c r="CW245" s="172">
        <f t="shared" si="650"/>
        <v>60.069188200077299</v>
      </c>
      <c r="CX245" s="172">
        <f t="shared" si="651"/>
        <v>4</v>
      </c>
      <c r="CY245" s="217">
        <f t="shared" si="652"/>
        <v>1.1270921985815601</v>
      </c>
      <c r="CZ245" s="217">
        <f t="shared" si="653"/>
        <v>0.37569739952718673</v>
      </c>
      <c r="DA245" s="217">
        <f t="shared" si="654"/>
        <v>0.71942055228610213</v>
      </c>
      <c r="DB245" s="197">
        <f t="shared" si="655"/>
        <v>350</v>
      </c>
      <c r="DC245" s="443">
        <f t="shared" si="656"/>
        <v>350</v>
      </c>
      <c r="DE245" s="217">
        <f t="shared" si="657"/>
        <v>2.940563086548488</v>
      </c>
      <c r="DF245" s="173">
        <f t="shared" si="658"/>
        <v>1.8769551616266944</v>
      </c>
      <c r="DG245" s="173">
        <f t="shared" si="659"/>
        <v>3.8635135443702762</v>
      </c>
      <c r="DH245" s="173"/>
      <c r="DI245" s="173">
        <f t="shared" si="660"/>
        <v>0.85106382978723416</v>
      </c>
      <c r="DJ245" s="545">
        <f t="shared" si="661"/>
        <v>766.68749999999977</v>
      </c>
      <c r="DK245" s="528">
        <f t="shared" si="662"/>
        <v>0.79432624113475192</v>
      </c>
      <c r="DM245" s="173">
        <f t="shared" si="663"/>
        <v>1.9733944649475721</v>
      </c>
      <c r="DN245" s="173">
        <f t="shared" si="664"/>
        <v>1.9733944649475721</v>
      </c>
      <c r="DO245" s="173">
        <f t="shared" si="665"/>
        <v>1.6741193567512878</v>
      </c>
      <c r="DQ245" s="545">
        <f t="shared" si="666"/>
        <v>1739.9999999999998</v>
      </c>
      <c r="DR245" s="460">
        <f t="shared" si="667"/>
        <v>350</v>
      </c>
      <c r="DT245">
        <f t="shared" si="668"/>
        <v>1739.9999999999998</v>
      </c>
      <c r="DU245">
        <f t="shared" si="669"/>
        <v>350</v>
      </c>
      <c r="DW245" s="5">
        <f t="shared" si="670"/>
        <v>2.8571428571428572</v>
      </c>
      <c r="DX245" s="5">
        <f t="shared" si="671"/>
        <v>0.65779815498252403</v>
      </c>
      <c r="DY245" s="5">
        <f t="shared" si="672"/>
        <v>2.1993447021603334</v>
      </c>
      <c r="DZ245" s="5"/>
      <c r="EA245" s="173">
        <f t="shared" si="673"/>
        <v>0.23022935424388341</v>
      </c>
      <c r="EB245" s="173">
        <f t="shared" si="699"/>
        <v>8.177999999999999</v>
      </c>
      <c r="EC245" s="173">
        <f t="shared" si="700"/>
        <v>3.0381222632284777</v>
      </c>
      <c r="ED245" s="173">
        <f t="shared" si="701"/>
        <v>2.6917942371778025</v>
      </c>
      <c r="EE245" s="460">
        <f t="shared" si="674"/>
        <v>28.614219741739795</v>
      </c>
      <c r="EF245" s="5">
        <f t="shared" si="675"/>
        <v>0.35433886868138692</v>
      </c>
      <c r="EH245" s="173">
        <f t="shared" si="702"/>
        <v>0.54668055426704798</v>
      </c>
      <c r="EI245" s="173">
        <f t="shared" si="703"/>
        <v>3.9984709271050329</v>
      </c>
      <c r="EK245" s="528">
        <f t="shared" si="704"/>
        <v>3.6460874666474669E-3</v>
      </c>
      <c r="EL245" s="528">
        <f t="shared" si="705"/>
        <v>0.75699411675388861</v>
      </c>
      <c r="EM245" s="528">
        <f t="shared" si="706"/>
        <v>4.3749999999999997E-2</v>
      </c>
      <c r="EN245" s="528">
        <f t="shared" si="707"/>
        <v>0.10510639999999997</v>
      </c>
      <c r="EO245">
        <f t="shared" si="708"/>
        <v>1.6199999999999999E-2</v>
      </c>
      <c r="EP245" s="460">
        <f t="shared" si="709"/>
        <v>59.949999999999996</v>
      </c>
      <c r="EQ245" s="460"/>
      <c r="ER245" s="460">
        <f t="shared" si="710"/>
        <v>925.69660422053596</v>
      </c>
      <c r="ES245" s="528">
        <f t="shared" si="711"/>
        <v>1.2179999999999997</v>
      </c>
      <c r="EV245" s="460">
        <f t="shared" si="712"/>
        <v>1217.9999999999998</v>
      </c>
      <c r="EW245" s="528">
        <f t="shared" si="713"/>
        <v>8.9657888524118049E-3</v>
      </c>
      <c r="EX245" s="528">
        <f t="shared" si="714"/>
        <v>0.47963309264712545</v>
      </c>
      <c r="EY245" s="528">
        <f t="shared" si="715"/>
        <v>0.62686623727191904</v>
      </c>
      <c r="EZ245" s="528"/>
      <c r="FA245" s="528">
        <f t="shared" si="716"/>
        <v>3.4075000000000001E-2</v>
      </c>
      <c r="FB245" s="460">
        <f t="shared" si="717"/>
        <v>1149.5401187714563</v>
      </c>
      <c r="FC245" s="173">
        <f t="shared" si="718"/>
        <v>3.2932367229919919</v>
      </c>
      <c r="FD245" s="5">
        <f t="shared" si="719"/>
        <v>6.9599999999999991</v>
      </c>
      <c r="FE245" s="173">
        <f t="shared" si="720"/>
        <v>0.67881003706788556</v>
      </c>
      <c r="FF245" s="5">
        <f t="shared" si="721"/>
        <v>67.881003706788562</v>
      </c>
      <c r="FI245" s="562">
        <f t="shared" si="676"/>
        <v>-50</v>
      </c>
      <c r="FJ245">
        <f t="shared" si="677"/>
        <v>-50</v>
      </c>
      <c r="FL245">
        <f t="shared" si="678"/>
        <v>0.44086472089254264</v>
      </c>
    </row>
    <row r="246" spans="5:168">
      <c r="E246" s="170">
        <v>30</v>
      </c>
      <c r="F246" s="217">
        <f t="shared" si="679"/>
        <v>1.7999999999999998</v>
      </c>
      <c r="G246" s="217"/>
      <c r="H246" s="217">
        <f t="shared" si="603"/>
        <v>7.1999999999999993</v>
      </c>
      <c r="I246" s="541">
        <f t="shared" si="604"/>
        <v>35.960930391789596</v>
      </c>
      <c r="J246" s="172">
        <f t="shared" si="605"/>
        <v>19.244393647890824</v>
      </c>
      <c r="K246" s="172">
        <f t="shared" si="606"/>
        <v>55.20532403968042</v>
      </c>
      <c r="L246" s="443"/>
      <c r="M246" s="217">
        <f t="shared" si="607"/>
        <v>0.34903673443981398</v>
      </c>
      <c r="N246" s="172">
        <f t="shared" si="608"/>
        <v>42.403778228237222</v>
      </c>
      <c r="O246" s="172">
        <f t="shared" si="599"/>
        <v>7.1999999999999993</v>
      </c>
      <c r="P246" s="217">
        <f t="shared" si="609"/>
        <v>10.600944557059305</v>
      </c>
      <c r="Q246" s="217">
        <f t="shared" si="610"/>
        <v>4</v>
      </c>
      <c r="R246" s="217"/>
      <c r="S246" s="172">
        <f t="shared" si="611"/>
        <v>57.711820772441229</v>
      </c>
      <c r="T246" s="172">
        <f t="shared" si="612"/>
        <v>4</v>
      </c>
      <c r="U246" s="217">
        <f t="shared" si="613"/>
        <v>1.382566494325153</v>
      </c>
      <c r="V246" s="217">
        <f t="shared" si="614"/>
        <v>0.46135619271101386</v>
      </c>
      <c r="W246" s="217">
        <f t="shared" si="615"/>
        <v>0.86211071314892684</v>
      </c>
      <c r="X246" s="197">
        <f t="shared" si="616"/>
        <v>350</v>
      </c>
      <c r="Y246" s="443">
        <f t="shared" si="680"/>
        <v>350</v>
      </c>
      <c r="AA246" s="217">
        <f t="shared" si="617"/>
        <v>2.9847289465991298</v>
      </c>
      <c r="AB246" s="173">
        <f t="shared" si="618"/>
        <v>1.8611522926894117</v>
      </c>
      <c r="AC246" s="173">
        <f t="shared" si="619"/>
        <v>3.8885245854135961</v>
      </c>
      <c r="AD246" s="173"/>
      <c r="AE246" s="173">
        <f t="shared" si="620"/>
        <v>0.83141097052717972</v>
      </c>
      <c r="AF246" s="545">
        <f t="shared" si="621"/>
        <v>811.87285702039378</v>
      </c>
      <c r="AG246" s="528">
        <f t="shared" si="622"/>
        <v>0.77598357249203453</v>
      </c>
      <c r="AI246" s="173">
        <f t="shared" si="623"/>
        <v>2.0307138249477075</v>
      </c>
      <c r="AJ246" s="173">
        <f t="shared" si="624"/>
        <v>2.0307138249477075</v>
      </c>
      <c r="AK246" s="173">
        <f t="shared" si="625"/>
        <v>1.7165781419365733</v>
      </c>
      <c r="AM246" s="545">
        <f t="shared" si="626"/>
        <v>1799.9999999999998</v>
      </c>
      <c r="AN246" s="460">
        <f t="shared" si="627"/>
        <v>350</v>
      </c>
      <c r="AP246">
        <f t="shared" si="628"/>
        <v>1799.9999999999998</v>
      </c>
      <c r="AQ246">
        <f t="shared" si="629"/>
        <v>350</v>
      </c>
      <c r="AS246" s="5">
        <f t="shared" si="600"/>
        <v>2.8571428571428572</v>
      </c>
      <c r="AT246" s="5">
        <f t="shared" si="630"/>
        <v>0.67764002860549422</v>
      </c>
      <c r="AU246" s="5">
        <f t="shared" si="722"/>
        <v>2.179502828537363</v>
      </c>
      <c r="AV246" s="5"/>
      <c r="AW246" s="173">
        <f t="shared" si="723"/>
        <v>0.23717401001192298</v>
      </c>
      <c r="AX246" s="173">
        <f t="shared" si="631"/>
        <v>8.6599771415508719</v>
      </c>
      <c r="AY246" s="173">
        <f t="shared" si="632"/>
        <v>3.0981625677964191</v>
      </c>
      <c r="AZ246" s="173">
        <f t="shared" si="633"/>
        <v>2.7951977832171395</v>
      </c>
      <c r="BA246" s="460">
        <f t="shared" si="724"/>
        <v>30.493801287247233</v>
      </c>
      <c r="BB246" s="5">
        <f t="shared" si="725"/>
        <v>0.36364512343679095</v>
      </c>
      <c r="BD246" s="173">
        <f t="shared" si="681"/>
        <v>0.57098098615567161</v>
      </c>
      <c r="BE246" s="173">
        <f t="shared" si="682"/>
        <v>4.0960083197700907</v>
      </c>
      <c r="BG246" s="528">
        <f t="shared" si="683"/>
        <v>3.9774352959258989E-3</v>
      </c>
      <c r="BH246" s="528">
        <f t="shared" si="634"/>
        <v>0.73569703421876176</v>
      </c>
      <c r="BI246" s="528">
        <f t="shared" si="635"/>
        <v>0.31465814092815897</v>
      </c>
      <c r="BJ246" s="528">
        <f t="shared" si="684"/>
        <v>0.1066669730814141</v>
      </c>
      <c r="BK246">
        <f t="shared" si="685"/>
        <v>1.6182418676305318E-2</v>
      </c>
      <c r="BL246" s="460">
        <f t="shared" si="686"/>
        <v>330.84055960446432</v>
      </c>
      <c r="BM246" s="528">
        <f t="shared" si="636"/>
        <v>0.8482169479052647</v>
      </c>
      <c r="BN246" s="460">
        <f t="shared" si="687"/>
        <v>848.21694790526465</v>
      </c>
      <c r="BO246" s="528">
        <f t="shared" si="637"/>
        <v>1.2599999999999998</v>
      </c>
      <c r="BR246" s="460">
        <f t="shared" si="688"/>
        <v>1259.9999999999998</v>
      </c>
      <c r="BS246" s="528">
        <f t="shared" si="689"/>
        <v>9.7805785965390975E-3</v>
      </c>
      <c r="BT246" s="528">
        <f t="shared" si="690"/>
        <v>0.50331852466877403</v>
      </c>
      <c r="BU246" s="528">
        <f t="shared" si="691"/>
        <v>0.6733826600504762</v>
      </c>
      <c r="BV246" s="528"/>
      <c r="BW246" s="528">
        <f t="shared" si="692"/>
        <v>3.60832380897953E-2</v>
      </c>
      <c r="BX246" s="460">
        <f t="shared" si="693"/>
        <v>1222.5650014055846</v>
      </c>
      <c r="BY246" s="173">
        <f t="shared" si="694"/>
        <v>3.6597470036061504</v>
      </c>
      <c r="BZ246" s="5">
        <f t="shared" si="695"/>
        <v>7.1999999999999993</v>
      </c>
      <c r="CA246" s="173">
        <f t="shared" si="696"/>
        <v>0.66299887074801345</v>
      </c>
      <c r="CB246" s="5">
        <f t="shared" si="697"/>
        <v>66.299887074801347</v>
      </c>
      <c r="CE246" s="562">
        <f t="shared" si="638"/>
        <v>-50</v>
      </c>
      <c r="CF246">
        <f t="shared" si="639"/>
        <v>-50</v>
      </c>
      <c r="CG246" s="173">
        <f t="shared" si="640"/>
        <v>0.48605555238058951</v>
      </c>
      <c r="CI246" s="170">
        <v>30</v>
      </c>
      <c r="CJ246" s="217">
        <f t="shared" si="698"/>
        <v>1.7999999999999998</v>
      </c>
      <c r="CK246" s="217"/>
      <c r="CL246" s="217">
        <f t="shared" si="641"/>
        <v>7.1999999999999993</v>
      </c>
      <c r="CM246" s="541">
        <f t="shared" si="642"/>
        <v>36</v>
      </c>
      <c r="CN246" s="443">
        <f t="shared" si="643"/>
        <v>18.8</v>
      </c>
      <c r="CO246" s="443">
        <f t="shared" si="644"/>
        <v>54.8</v>
      </c>
      <c r="CP246" s="443"/>
      <c r="CQ246" s="217">
        <f t="shared" si="645"/>
        <v>0.34306569343065696</v>
      </c>
      <c r="CR246" s="172">
        <f t="shared" si="646"/>
        <v>41.723649635036502</v>
      </c>
      <c r="CS246" s="172">
        <f t="shared" si="647"/>
        <v>7.1999999999999993</v>
      </c>
      <c r="CT246" s="217">
        <f t="shared" si="648"/>
        <v>10.430912408759125</v>
      </c>
      <c r="CU246" s="217">
        <f t="shared" si="649"/>
        <v>4</v>
      </c>
      <c r="CV246" s="217"/>
      <c r="CW246" s="172">
        <f t="shared" si="650"/>
        <v>57.774406110622408</v>
      </c>
      <c r="CX246" s="172">
        <f t="shared" si="651"/>
        <v>4</v>
      </c>
      <c r="CY246" s="217">
        <f t="shared" si="652"/>
        <v>1.1659574468085103</v>
      </c>
      <c r="CZ246" s="217">
        <f t="shared" si="653"/>
        <v>0.3886524822695035</v>
      </c>
      <c r="DA246" s="217">
        <f t="shared" si="654"/>
        <v>0.74422815753734695</v>
      </c>
      <c r="DB246" s="197">
        <f t="shared" si="655"/>
        <v>350</v>
      </c>
      <c r="DC246" s="443">
        <f t="shared" si="656"/>
        <v>350</v>
      </c>
      <c r="DE246" s="217">
        <f t="shared" si="657"/>
        <v>2.940563086548488</v>
      </c>
      <c r="DF246" s="173">
        <f t="shared" si="658"/>
        <v>1.8769551616266944</v>
      </c>
      <c r="DG246" s="173">
        <f t="shared" si="659"/>
        <v>3.8635135443702762</v>
      </c>
      <c r="DH246" s="173"/>
      <c r="DI246" s="173">
        <f t="shared" si="660"/>
        <v>0.85106382978723416</v>
      </c>
      <c r="DJ246" s="545">
        <f t="shared" si="661"/>
        <v>793.12499999999977</v>
      </c>
      <c r="DK246" s="528">
        <f t="shared" si="662"/>
        <v>0.79432624113475192</v>
      </c>
      <c r="DM246" s="173">
        <f t="shared" si="663"/>
        <v>2.0071301473923979</v>
      </c>
      <c r="DN246" s="173">
        <f t="shared" si="664"/>
        <v>2.0071301473923979</v>
      </c>
      <c r="DO246" s="173">
        <f t="shared" si="665"/>
        <v>1.6991087511548626</v>
      </c>
      <c r="DQ246" s="545">
        <f t="shared" si="666"/>
        <v>1799.9999999999998</v>
      </c>
      <c r="DR246" s="460">
        <f t="shared" si="667"/>
        <v>350</v>
      </c>
      <c r="DT246">
        <f t="shared" si="668"/>
        <v>1799.9999999999998</v>
      </c>
      <c r="DU246">
        <f t="shared" si="669"/>
        <v>350</v>
      </c>
      <c r="DW246" s="5">
        <f t="shared" si="670"/>
        <v>2.8571428571428572</v>
      </c>
      <c r="DX246" s="5">
        <f t="shared" si="671"/>
        <v>0.66904338246413264</v>
      </c>
      <c r="DY246" s="5">
        <f t="shared" si="672"/>
        <v>2.1880994746787246</v>
      </c>
      <c r="DZ246" s="5"/>
      <c r="EA246" s="173">
        <f t="shared" si="673"/>
        <v>0.23416518386244642</v>
      </c>
      <c r="EB246" s="173">
        <f t="shared" si="699"/>
        <v>8.4600000000000026</v>
      </c>
      <c r="EC246" s="173">
        <f t="shared" si="700"/>
        <v>3.0742602947847955</v>
      </c>
      <c r="ED246" s="173">
        <f t="shared" si="701"/>
        <v>2.7518814897852426</v>
      </c>
      <c r="EE246" s="460">
        <f t="shared" si="674"/>
        <v>30.106952210885968</v>
      </c>
      <c r="EF246" s="5">
        <f t="shared" si="675"/>
        <v>0.36468324577978734</v>
      </c>
      <c r="EH246" s="173">
        <f t="shared" si="702"/>
        <v>0.56075876253353574</v>
      </c>
      <c r="EI246" s="173">
        <f t="shared" si="703"/>
        <v>4.0564156652867824</v>
      </c>
      <c r="EK246" s="528">
        <f t="shared" si="704"/>
        <v>3.8362947550493361E-3</v>
      </c>
      <c r="EL246" s="528">
        <f t="shared" si="705"/>
        <v>0.76993512453972368</v>
      </c>
      <c r="EM246" s="528">
        <f t="shared" si="706"/>
        <v>4.3749999999999997E-2</v>
      </c>
      <c r="EN246" s="528">
        <f t="shared" si="707"/>
        <v>0.10510639999999997</v>
      </c>
      <c r="EO246">
        <f t="shared" si="708"/>
        <v>1.6199999999999999E-2</v>
      </c>
      <c r="EP246" s="460">
        <f t="shared" si="709"/>
        <v>59.949999999999996</v>
      </c>
      <c r="EQ246" s="460"/>
      <c r="ER246" s="460">
        <f t="shared" si="710"/>
        <v>938.82781929477289</v>
      </c>
      <c r="ES246" s="528">
        <f t="shared" si="711"/>
        <v>1.2599999999999998</v>
      </c>
      <c r="EV246" s="460">
        <f t="shared" si="712"/>
        <v>1259.9999999999998</v>
      </c>
      <c r="EW246" s="528">
        <f t="shared" si="713"/>
        <v>9.4335116927442685E-3</v>
      </c>
      <c r="EX246" s="528">
        <f t="shared" si="714"/>
        <v>0.4936352414875203</v>
      </c>
      <c r="EY246" s="528">
        <f t="shared" si="715"/>
        <v>0.65400181048788231</v>
      </c>
      <c r="EZ246" s="528"/>
      <c r="FA246" s="528">
        <f t="shared" si="716"/>
        <v>3.525000000000001E-2</v>
      </c>
      <c r="FB246" s="460">
        <f t="shared" si="717"/>
        <v>1192.3205636681469</v>
      </c>
      <c r="FC246" s="173">
        <f t="shared" si="718"/>
        <v>3.3911483829629194</v>
      </c>
      <c r="FD246" s="5">
        <f t="shared" si="719"/>
        <v>7.1999999999999993</v>
      </c>
      <c r="FE246" s="173">
        <f t="shared" si="720"/>
        <v>0.67981296641845068</v>
      </c>
      <c r="FF246" s="5">
        <f t="shared" si="721"/>
        <v>67.981296641845063</v>
      </c>
      <c r="FI246" s="562">
        <f t="shared" si="676"/>
        <v>-50</v>
      </c>
      <c r="FJ246">
        <f t="shared" si="677"/>
        <v>-50</v>
      </c>
      <c r="FL246">
        <f t="shared" si="678"/>
        <v>0.44840141590681226</v>
      </c>
    </row>
    <row r="247" spans="5:168">
      <c r="E247" s="170">
        <v>31</v>
      </c>
      <c r="F247" s="217">
        <f t="shared" si="679"/>
        <v>1.8599999999999999</v>
      </c>
      <c r="G247" s="217"/>
      <c r="H247" s="217">
        <f t="shared" si="603"/>
        <v>7.4399999999999995</v>
      </c>
      <c r="I247" s="541">
        <f t="shared" si="604"/>
        <v>35.960284569389579</v>
      </c>
      <c r="J247" s="172">
        <f t="shared" si="605"/>
        <v>19.251739495094874</v>
      </c>
      <c r="K247" s="172">
        <f t="shared" si="606"/>
        <v>55.212024064484453</v>
      </c>
      <c r="L247" s="443"/>
      <c r="M247" s="217">
        <f t="shared" si="607"/>
        <v>0.34913463218841362</v>
      </c>
      <c r="N247" s="172">
        <f t="shared" si="608"/>
        <v>42.414909887775323</v>
      </c>
      <c r="O247" s="172">
        <f t="shared" si="599"/>
        <v>7.4399999999999995</v>
      </c>
      <c r="P247" s="217">
        <f t="shared" si="609"/>
        <v>10.603727471943831</v>
      </c>
      <c r="Q247" s="217">
        <f t="shared" si="610"/>
        <v>4</v>
      </c>
      <c r="R247" s="217"/>
      <c r="S247" s="172">
        <f t="shared" si="611"/>
        <v>55.566726466342459</v>
      </c>
      <c r="T247" s="172">
        <f t="shared" si="612"/>
        <v>4</v>
      </c>
      <c r="U247" s="217">
        <f t="shared" si="613"/>
        <v>1.4288669300794905</v>
      </c>
      <c r="V247" s="217">
        <f t="shared" si="614"/>
        <v>0.47681500205783672</v>
      </c>
      <c r="W247" s="217">
        <f t="shared" si="615"/>
        <v>0.89064176072622403</v>
      </c>
      <c r="X247" s="197">
        <f t="shared" si="616"/>
        <v>350</v>
      </c>
      <c r="Y247" s="443">
        <f t="shared" si="680"/>
        <v>350</v>
      </c>
      <c r="AA247" s="217">
        <f t="shared" si="617"/>
        <v>2.9854523040074614</v>
      </c>
      <c r="AB247" s="173">
        <f t="shared" si="618"/>
        <v>1.8608930199381439</v>
      </c>
      <c r="AC247" s="173">
        <f t="shared" si="619"/>
        <v>3.888925147720014</v>
      </c>
      <c r="AD247" s="173"/>
      <c r="AE247" s="173">
        <f t="shared" si="620"/>
        <v>0.831093730728936</v>
      </c>
      <c r="AF247" s="545">
        <f t="shared" si="621"/>
        <v>839.25551861429187</v>
      </c>
      <c r="AG247" s="528">
        <f t="shared" si="622"/>
        <v>0.77568748201367377</v>
      </c>
      <c r="AI247" s="173">
        <f t="shared" si="623"/>
        <v>2.0646755614173053</v>
      </c>
      <c r="AJ247" s="173">
        <f t="shared" si="624"/>
        <v>2.0646755614173053</v>
      </c>
      <c r="AK247" s="173">
        <f t="shared" si="625"/>
        <v>1.7417349837659049</v>
      </c>
      <c r="AM247" s="545">
        <f t="shared" si="626"/>
        <v>1859.9999999999998</v>
      </c>
      <c r="AN247" s="460">
        <f t="shared" si="627"/>
        <v>350</v>
      </c>
      <c r="AP247">
        <f t="shared" si="628"/>
        <v>1859.9999999999998</v>
      </c>
      <c r="AQ247">
        <f t="shared" si="629"/>
        <v>350</v>
      </c>
      <c r="AS247" s="5">
        <f t="shared" si="600"/>
        <v>2.8571428571428572</v>
      </c>
      <c r="AT247" s="5">
        <f t="shared" si="630"/>
        <v>0.68898528011365612</v>
      </c>
      <c r="AU247" s="5">
        <f t="shared" si="722"/>
        <v>2.1681575770292012</v>
      </c>
      <c r="AV247" s="5"/>
      <c r="AW247" s="173">
        <f t="shared" si="723"/>
        <v>0.24114484803977965</v>
      </c>
      <c r="AX247" s="173">
        <f t="shared" si="631"/>
        <v>8.9520588652191169</v>
      </c>
      <c r="AY247" s="173">
        <f t="shared" si="632"/>
        <v>3.1335793738157651</v>
      </c>
      <c r="AZ247" s="173">
        <f t="shared" si="633"/>
        <v>2.8568157360310229</v>
      </c>
      <c r="BA247" s="460">
        <f t="shared" si="724"/>
        <v>32.037815525285005</v>
      </c>
      <c r="BB247" s="5">
        <f t="shared" si="725"/>
        <v>0.37381731369900645</v>
      </c>
      <c r="BD247" s="173">
        <f t="shared" si="681"/>
        <v>0.58536962609804322</v>
      </c>
      <c r="BE247" s="173">
        <f t="shared" si="682"/>
        <v>4.1536569439081843</v>
      </c>
      <c r="BG247" s="528">
        <f t="shared" si="683"/>
        <v>4.1804227097295872E-3</v>
      </c>
      <c r="BH247" s="528">
        <f t="shared" si="634"/>
        <v>0.74809164138400919</v>
      </c>
      <c r="BI247" s="528">
        <f t="shared" si="635"/>
        <v>0.31465248998215878</v>
      </c>
      <c r="BJ247" s="528">
        <f t="shared" si="684"/>
        <v>0.10669286604540237</v>
      </c>
      <c r="BK247">
        <f t="shared" si="685"/>
        <v>1.618212805622531E-2</v>
      </c>
      <c r="BL247" s="460">
        <f t="shared" si="686"/>
        <v>330.83461803838412</v>
      </c>
      <c r="BM247" s="528">
        <f t="shared" si="636"/>
        <v>0.86094879753622822</v>
      </c>
      <c r="BN247" s="460">
        <f t="shared" si="687"/>
        <v>860.9487975362282</v>
      </c>
      <c r="BO247" s="528">
        <f t="shared" si="637"/>
        <v>1.3019999999999998</v>
      </c>
      <c r="BR247" s="460">
        <f t="shared" si="688"/>
        <v>1301.9999999999998</v>
      </c>
      <c r="BS247" s="528">
        <f t="shared" si="689"/>
        <v>1.0279727974744886E-2</v>
      </c>
      <c r="BT247" s="528">
        <f t="shared" si="690"/>
        <v>0.51758598023030022</v>
      </c>
      <c r="BU247" s="528">
        <f t="shared" si="691"/>
        <v>0.70189097525381039</v>
      </c>
      <c r="BV247" s="528"/>
      <c r="BW247" s="528">
        <f t="shared" si="692"/>
        <v>3.7300245271746323E-2</v>
      </c>
      <c r="BX247" s="460">
        <f t="shared" si="693"/>
        <v>1267.0569287306016</v>
      </c>
      <c r="BY247" s="173">
        <f t="shared" si="694"/>
        <v>3.7588564769081265</v>
      </c>
      <c r="BZ247" s="5">
        <f t="shared" si="695"/>
        <v>7.4399999999999995</v>
      </c>
      <c r="CA247" s="173">
        <f t="shared" si="696"/>
        <v>0.66435354496605681</v>
      </c>
      <c r="CB247" s="5">
        <f t="shared" si="697"/>
        <v>66.435354496605683</v>
      </c>
      <c r="CE247" s="562">
        <f t="shared" si="638"/>
        <v>-50</v>
      </c>
      <c r="CF247">
        <f t="shared" si="639"/>
        <v>-50</v>
      </c>
      <c r="CG247" s="173">
        <f t="shared" si="640"/>
        <v>0.4940900727600181</v>
      </c>
      <c r="CI247" s="170">
        <v>31</v>
      </c>
      <c r="CJ247" s="217">
        <f t="shared" si="698"/>
        <v>1.8599999999999999</v>
      </c>
      <c r="CK247" s="217"/>
      <c r="CL247" s="217">
        <f t="shared" si="641"/>
        <v>7.4399999999999995</v>
      </c>
      <c r="CM247" s="541">
        <f t="shared" si="642"/>
        <v>36</v>
      </c>
      <c r="CN247" s="443">
        <f t="shared" si="643"/>
        <v>18.8</v>
      </c>
      <c r="CO247" s="443">
        <f t="shared" si="644"/>
        <v>54.8</v>
      </c>
      <c r="CP247" s="443"/>
      <c r="CQ247" s="217">
        <f t="shared" si="645"/>
        <v>0.34306569343065696</v>
      </c>
      <c r="CR247" s="172">
        <f t="shared" si="646"/>
        <v>41.723649635036502</v>
      </c>
      <c r="CS247" s="172">
        <f t="shared" si="647"/>
        <v>7.4399999999999995</v>
      </c>
      <c r="CT247" s="217">
        <f t="shared" si="648"/>
        <v>10.430912408759125</v>
      </c>
      <c r="CU247" s="217">
        <f t="shared" si="649"/>
        <v>4</v>
      </c>
      <c r="CV247" s="217"/>
      <c r="CW247" s="172">
        <f t="shared" si="650"/>
        <v>55.627973992292702</v>
      </c>
      <c r="CX247" s="172">
        <f t="shared" si="651"/>
        <v>4</v>
      </c>
      <c r="CY247" s="217">
        <f t="shared" si="652"/>
        <v>1.2048226950354608</v>
      </c>
      <c r="CZ247" s="217">
        <f t="shared" si="653"/>
        <v>0.40160756501182027</v>
      </c>
      <c r="DA247" s="217">
        <f t="shared" si="654"/>
        <v>0.76903576278859187</v>
      </c>
      <c r="DB247" s="197">
        <f t="shared" si="655"/>
        <v>350</v>
      </c>
      <c r="DC247" s="443">
        <f t="shared" si="656"/>
        <v>350</v>
      </c>
      <c r="DE247" s="217">
        <f t="shared" si="657"/>
        <v>2.940563086548488</v>
      </c>
      <c r="DF247" s="173">
        <f t="shared" si="658"/>
        <v>1.8769551616266944</v>
      </c>
      <c r="DG247" s="173">
        <f t="shared" si="659"/>
        <v>3.8635135443702762</v>
      </c>
      <c r="DH247" s="173"/>
      <c r="DI247" s="173">
        <f t="shared" si="660"/>
        <v>0.85106382978723416</v>
      </c>
      <c r="DJ247" s="545">
        <f t="shared" si="661"/>
        <v>819.56249999999977</v>
      </c>
      <c r="DK247" s="528">
        <f t="shared" si="662"/>
        <v>0.79432624113475192</v>
      </c>
      <c r="DM247" s="173">
        <f t="shared" si="663"/>
        <v>2.0403080999832213</v>
      </c>
      <c r="DN247" s="173">
        <f t="shared" si="664"/>
        <v>2.0403080999832213</v>
      </c>
      <c r="DO247" s="173">
        <f t="shared" si="665"/>
        <v>1.7236850123332501</v>
      </c>
      <c r="DQ247" s="545">
        <f t="shared" si="666"/>
        <v>1859.9999999999998</v>
      </c>
      <c r="DR247" s="460">
        <f t="shared" si="667"/>
        <v>350</v>
      </c>
      <c r="DT247">
        <f t="shared" si="668"/>
        <v>1859.9999999999998</v>
      </c>
      <c r="DU247">
        <f t="shared" si="669"/>
        <v>350</v>
      </c>
      <c r="DW247" s="5">
        <f t="shared" si="670"/>
        <v>2.8571428571428572</v>
      </c>
      <c r="DX247" s="5">
        <f t="shared" si="671"/>
        <v>0.6801026999944072</v>
      </c>
      <c r="DY247" s="5">
        <f t="shared" si="672"/>
        <v>2.1770401571484501</v>
      </c>
      <c r="DZ247" s="5"/>
      <c r="EA247" s="173">
        <f t="shared" si="673"/>
        <v>0.23803594499804251</v>
      </c>
      <c r="EB247" s="173">
        <f t="shared" si="699"/>
        <v>8.7419999999999991</v>
      </c>
      <c r="EC247" s="173">
        <f t="shared" si="700"/>
        <v>3.1092828666331092</v>
      </c>
      <c r="ED247" s="173">
        <f t="shared" si="701"/>
        <v>2.8115807969142046</v>
      </c>
      <c r="EE247" s="460">
        <f t="shared" si="674"/>
        <v>31.62477554973993</v>
      </c>
      <c r="EF247" s="5">
        <f t="shared" si="675"/>
        <v>0.37493469373112187</v>
      </c>
      <c r="EH247" s="173">
        <f t="shared" si="702"/>
        <v>0.57472011561914538</v>
      </c>
      <c r="EI247" s="173">
        <f t="shared" si="703"/>
        <v>4.1130345708671374</v>
      </c>
      <c r="EK247" s="528">
        <f t="shared" si="704"/>
        <v>4.0296991778268629E-3</v>
      </c>
      <c r="EL247" s="528">
        <f t="shared" si="705"/>
        <v>0.78266218715356362</v>
      </c>
      <c r="EM247" s="528">
        <f t="shared" si="706"/>
        <v>4.3749999999999997E-2</v>
      </c>
      <c r="EN247" s="528">
        <f t="shared" si="707"/>
        <v>0.10510639999999997</v>
      </c>
      <c r="EO247">
        <f t="shared" si="708"/>
        <v>1.6199999999999999E-2</v>
      </c>
      <c r="EP247" s="460">
        <f t="shared" si="709"/>
        <v>59.949999999999996</v>
      </c>
      <c r="EQ247" s="460"/>
      <c r="ER247" s="460">
        <f t="shared" si="710"/>
        <v>951.74828633139043</v>
      </c>
      <c r="ES247" s="528">
        <f t="shared" si="711"/>
        <v>1.3019999999999998</v>
      </c>
      <c r="EV247" s="460">
        <f t="shared" si="712"/>
        <v>1301.9999999999998</v>
      </c>
      <c r="EW247" s="528">
        <f t="shared" si="713"/>
        <v>9.9090963389185157E-3</v>
      </c>
      <c r="EX247" s="528">
        <f t="shared" si="714"/>
        <v>0.50751160143444651</v>
      </c>
      <c r="EY247" s="528">
        <f t="shared" si="715"/>
        <v>0.68136449527337561</v>
      </c>
      <c r="EZ247" s="528"/>
      <c r="FA247" s="528">
        <f t="shared" si="716"/>
        <v>3.6425000000000006E-2</v>
      </c>
      <c r="FB247" s="460">
        <f t="shared" si="717"/>
        <v>1235.2101930467406</v>
      </c>
      <c r="FC247" s="173">
        <f t="shared" si="718"/>
        <v>3.4889584793781308</v>
      </c>
      <c r="FD247" s="5">
        <f t="shared" si="719"/>
        <v>7.4399999999999995</v>
      </c>
      <c r="FE247" s="173">
        <f t="shared" si="720"/>
        <v>0.68076020364049772</v>
      </c>
      <c r="FF247" s="5">
        <f t="shared" si="721"/>
        <v>68.076020364049768</v>
      </c>
      <c r="FI247" s="562">
        <f t="shared" si="676"/>
        <v>-50</v>
      </c>
      <c r="FJ247">
        <f t="shared" si="677"/>
        <v>-50</v>
      </c>
      <c r="FL247">
        <f t="shared" si="678"/>
        <v>0.45581351169837919</v>
      </c>
    </row>
    <row r="248" spans="5:168">
      <c r="E248" s="170">
        <v>32</v>
      </c>
      <c r="F248" s="217">
        <f t="shared" si="679"/>
        <v>1.92</v>
      </c>
      <c r="G248" s="217"/>
      <c r="H248" s="217">
        <f t="shared" ref="H248:H279" si="726">F248*Vout</f>
        <v>7.68</v>
      </c>
      <c r="I248" s="541">
        <f t="shared" ref="I248:I279" si="727">VIN_max-F248*(Rdcr_pri+RON/1000)/CG248/Nps</f>
        <v>35.959649082148871</v>
      </c>
      <c r="J248" s="172">
        <f t="shared" ref="J248:J279" si="728">(T248+Vfwd1+F248/CG248*Rdcr_sec)*Nps</f>
        <v>19.258967785984407</v>
      </c>
      <c r="K248" s="172">
        <f t="shared" ref="K248:K279" si="729">(Vout+Vfwd1+F248/CG248*Rdcr_sec)*Nps+I248</f>
        <v>55.218616868133282</v>
      </c>
      <c r="L248" s="443"/>
      <c r="M248" s="217">
        <f t="shared" ref="M248:M279" si="730">(Vout+Vfwd1+F248/FL248*Rdcr_sec)*Nps/((Vout+Vfwd1+F248/FL248*Rdcr_sec)*Nps+I248)</f>
        <v>0.34923093796246102</v>
      </c>
      <c r="N248" s="172">
        <f t="shared" ref="N248:N279" si="731">M248*I248*(Isw_max+VIN_max/Lmag*ILIM_delay)*0.5*Efficiency</f>
        <v>42.4258599148652</v>
      </c>
      <c r="O248" s="172">
        <f t="shared" si="599"/>
        <v>7.68</v>
      </c>
      <c r="P248" s="217">
        <f t="shared" ref="P248:P279" si="732">N248/Vout</f>
        <v>10.6064649787163</v>
      </c>
      <c r="Q248" s="217">
        <f t="shared" ref="Q248:Q279" si="733">MIN(Vout,N248/F248)</f>
        <v>4</v>
      </c>
      <c r="R248" s="217"/>
      <c r="S248" s="172">
        <f t="shared" ref="S248:S279" si="734">(SQRT(Isw_max^2*Nps^2*I248^2+4*Isw_max*F248/Efficiency*(Nps^2*Vfwd1*I248-Nps*I248^2)+4*(F248/Efficiency)^2*Nps^2*Vfwd1^2+8*(F248/Efficiency)^2*Nps*Vfwd1*I248+4*(F248/Efficiency)^2*I248^2)-2*F248/Efficiency*I248-2*F248/Efficiency*Nps*Vfwd1+Isw_max*Nps*I248)/(4*F248/Efficiency*Nps)</f>
        <v>53.556020049834089</v>
      </c>
      <c r="T248" s="172">
        <f t="shared" ref="T248:T279" si="735">MIN(Vout, S248)</f>
        <v>4</v>
      </c>
      <c r="U248" s="217">
        <f t="shared" ref="U248:U279" si="736">MIN(2*(Vout+Vfwd1+F248/FL248*Rdcr_sec)*F248/(I248*M248), Isw_max)</f>
        <v>1.4751776874491667</v>
      </c>
      <c r="V248" s="217">
        <f t="shared" ref="V248:V279" si="737">L*U248/I248*1000000</f>
        <v>0.49227766958876457</v>
      </c>
      <c r="W248" s="217">
        <f t="shared" ref="W248:W279" si="738">L*U248/J248*1000000</f>
        <v>0.91916308527566137</v>
      </c>
      <c r="X248" s="197">
        <f t="shared" ref="X248:X279" si="739">IF(1/((350000*L)*(1/I248+1/J248))&gt;Isw_min, 350, 0.001/((Isw_min*L)*(1/I248+1/J248)))</f>
        <v>350</v>
      </c>
      <c r="Y248" s="443">
        <f t="shared" si="680"/>
        <v>350</v>
      </c>
      <c r="AA248" s="217">
        <f t="shared" ref="AA248:AA279" si="740">1/((X248*1000*L)*(1/I248+1/J248))</f>
        <v>2.9861638741732035</v>
      </c>
      <c r="AB248" s="173">
        <f t="shared" ref="AB248:AB279" si="741">L*AA248/J248*1000000</f>
        <v>1.8606379577703216</v>
      </c>
      <c r="AC248" s="173">
        <f t="shared" ref="AC248:AC279" si="742">0.5*AB248*AA248*Nps*X248/1000</f>
        <v>3.8893188966863992</v>
      </c>
      <c r="AD248" s="173"/>
      <c r="AE248" s="173">
        <f t="shared" ref="AE248:AE279" si="743">L*Isw_min/J248*1000000</f>
        <v>0.83078180397829537</v>
      </c>
      <c r="AF248" s="545">
        <f t="shared" ref="AF248:AF279" si="744">MAX(12000,F248/(0.5*AE248/1000000*Isw_min*Nps))/1000</f>
        <v>866.65355036929782</v>
      </c>
      <c r="AG248" s="528">
        <f t="shared" ref="AG248:AG279" si="745">0.5*AE248/1000000*Isw_min*Nps*X248*1000</f>
        <v>0.77539635037974253</v>
      </c>
      <c r="AI248" s="173">
        <f t="shared" ref="AI248:AI279" si="746">SQRT(F248/(0.5*L/J248*Fsw_DCM*Nps))</f>
        <v>2.0981062365031895</v>
      </c>
      <c r="AJ248" s="173">
        <f t="shared" ref="AJ248:AJ279" si="747">MAX(IF(F248&gt;AC248,U248,AI248),Isw_min)</f>
        <v>2.0981062365031895</v>
      </c>
      <c r="AK248" s="173">
        <f t="shared" ref="AK248:AK279" si="748">IF(F248&gt;AG248, (AJ248-Isw_min)/1.08*0.8+1.2, AF248*0.2/350+1)</f>
        <v>1.766498446792486</v>
      </c>
      <c r="AM248" s="545">
        <f t="shared" ref="AM248:AM279" si="749">F248*1000</f>
        <v>1920</v>
      </c>
      <c r="AN248" s="460">
        <f t="shared" ref="AN248:AN279" si="750">IF(F248&gt;AG248, Y248, AF248)</f>
        <v>350</v>
      </c>
      <c r="AP248">
        <f t="shared" ref="AP248:AP279" si="751">IF(H248&gt;N248, "",AM248)</f>
        <v>1920</v>
      </c>
      <c r="AQ248">
        <f t="shared" ref="AQ248:AQ279" si="752">IF(H248&gt;N248, "",AN248)</f>
        <v>350</v>
      </c>
      <c r="AS248" s="5">
        <f t="shared" si="600"/>
        <v>2.8571428571428572</v>
      </c>
      <c r="AT248" s="5">
        <f t="shared" ref="AT248:AT279" si="753">L*AJ248/I248*1000000</f>
        <v>0.70015351875435294</v>
      </c>
      <c r="AU248" s="5">
        <f t="shared" si="722"/>
        <v>2.1569893383885042</v>
      </c>
      <c r="AV248" s="5"/>
      <c r="AW248" s="173">
        <f t="shared" si="723"/>
        <v>0.24505373156402352</v>
      </c>
      <c r="AX248" s="173">
        <f t="shared" si="631"/>
        <v>9.2443045372725141</v>
      </c>
      <c r="AY248" s="173">
        <f t="shared" si="632"/>
        <v>3.1679149480606665</v>
      </c>
      <c r="AZ248" s="173">
        <f t="shared" si="633"/>
        <v>2.9181037650432158</v>
      </c>
      <c r="BA248" s="460">
        <f t="shared" si="724"/>
        <v>33.60736890020894</v>
      </c>
      <c r="BB248" s="5">
        <f t="shared" si="725"/>
        <v>0.38389506344041008</v>
      </c>
      <c r="BD248" s="173">
        <f t="shared" si="681"/>
        <v>0.59964954349316857</v>
      </c>
      <c r="BE248" s="173">
        <f t="shared" si="682"/>
        <v>4.2100267961895481</v>
      </c>
      <c r="BG248" s="528">
        <f t="shared" si="683"/>
        <v>4.386870815141098E-3</v>
      </c>
      <c r="BH248" s="528">
        <f t="shared" ref="BH248:BH279" si="754">0.5*K248*AJ248*AN248*1000*Tfall</f>
        <v>0.76029531652010118</v>
      </c>
      <c r="BI248" s="528">
        <f t="shared" ref="BI248:BI279" si="755">Qg*Vdd*AN248*1000*0+Qg*I248*AN248*1000</f>
        <v>0.31464692946880263</v>
      </c>
      <c r="BJ248" s="528">
        <f t="shared" si="684"/>
        <v>0.10671834770903926</v>
      </c>
      <c r="BK248">
        <f t="shared" si="685"/>
        <v>1.6181842086966991E-2</v>
      </c>
      <c r="BL248" s="460">
        <f t="shared" si="686"/>
        <v>330.82877155576961</v>
      </c>
      <c r="BM248" s="528">
        <f t="shared" ref="BM248:BM279" si="756">(BH248+BI248*0+BJ248+BK248*0+BG248*(1+RdsonTC*(Ta-25)))/(1-BG248*RdsonTC*ThetaJA)</f>
        <v>0.87349545238600768</v>
      </c>
      <c r="BN248" s="460">
        <f t="shared" si="687"/>
        <v>873.49545238600763</v>
      </c>
      <c r="BO248" s="528">
        <f t="shared" si="637"/>
        <v>1.3439999999999999</v>
      </c>
      <c r="BR248" s="460">
        <f t="shared" si="688"/>
        <v>1343.9999999999998</v>
      </c>
      <c r="BS248" s="528">
        <f t="shared" si="689"/>
        <v>1.0787387250346963E-2</v>
      </c>
      <c r="BT248" s="528">
        <f t="shared" si="690"/>
        <v>0.53172976873902089</v>
      </c>
      <c r="BU248" s="528">
        <f t="shared" si="691"/>
        <v>0.73064901294663764</v>
      </c>
      <c r="BV248" s="528"/>
      <c r="BW248" s="528">
        <f t="shared" si="692"/>
        <v>3.8517935571968809E-2</v>
      </c>
      <c r="BX248" s="460">
        <f t="shared" si="693"/>
        <v>1311.6841045079743</v>
      </c>
      <c r="BY248" s="173">
        <f t="shared" si="694"/>
        <v>3.8579134111080253</v>
      </c>
      <c r="BZ248" s="5">
        <f t="shared" si="695"/>
        <v>7.68</v>
      </c>
      <c r="CA248" s="173">
        <f t="shared" si="696"/>
        <v>0.66563162041120427</v>
      </c>
      <c r="CB248" s="5">
        <f t="shared" si="697"/>
        <v>66.563162041120421</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0.50199601592044529</v>
      </c>
      <c r="CI248" s="170">
        <v>32</v>
      </c>
      <c r="CJ248" s="217">
        <f t="shared" si="698"/>
        <v>1.92</v>
      </c>
      <c r="CK248" s="217"/>
      <c r="CL248" s="217">
        <f t="shared" si="641"/>
        <v>7.68</v>
      </c>
      <c r="CM248" s="541">
        <f t="shared" si="642"/>
        <v>36</v>
      </c>
      <c r="CN248" s="443">
        <f t="shared" si="643"/>
        <v>18.8</v>
      </c>
      <c r="CO248" s="443">
        <f t="shared" si="644"/>
        <v>54.8</v>
      </c>
      <c r="CP248" s="443"/>
      <c r="CQ248" s="217">
        <f t="shared" si="645"/>
        <v>0.34306569343065696</v>
      </c>
      <c r="CR248" s="172">
        <f t="shared" si="646"/>
        <v>41.723649635036502</v>
      </c>
      <c r="CS248" s="172">
        <f t="shared" si="647"/>
        <v>7.68</v>
      </c>
      <c r="CT248" s="217">
        <f t="shared" si="648"/>
        <v>10.430912408759125</v>
      </c>
      <c r="CU248" s="217">
        <f t="shared" si="649"/>
        <v>4</v>
      </c>
      <c r="CV248" s="217"/>
      <c r="CW248" s="172">
        <f t="shared" si="650"/>
        <v>53.615987948263061</v>
      </c>
      <c r="CX248" s="172">
        <f t="shared" si="651"/>
        <v>4</v>
      </c>
      <c r="CY248" s="217">
        <f t="shared" si="652"/>
        <v>1.2436879432624111</v>
      </c>
      <c r="CZ248" s="217">
        <f t="shared" si="653"/>
        <v>0.41456264775413704</v>
      </c>
      <c r="DA248" s="217">
        <f t="shared" si="654"/>
        <v>0.79384336803983679</v>
      </c>
      <c r="DB248" s="197">
        <f t="shared" si="655"/>
        <v>350</v>
      </c>
      <c r="DC248" s="443">
        <f t="shared" si="656"/>
        <v>350</v>
      </c>
      <c r="DE248" s="217">
        <f t="shared" si="657"/>
        <v>2.940563086548488</v>
      </c>
      <c r="DF248" s="173">
        <f t="shared" si="658"/>
        <v>1.8769551616266944</v>
      </c>
      <c r="DG248" s="173">
        <f t="shared" si="659"/>
        <v>3.8635135443702762</v>
      </c>
      <c r="DH248" s="173"/>
      <c r="DI248" s="173">
        <f t="shared" si="660"/>
        <v>0.85106382978723416</v>
      </c>
      <c r="DJ248" s="545">
        <f t="shared" si="661"/>
        <v>845.99999999999977</v>
      </c>
      <c r="DK248" s="528">
        <f t="shared" si="662"/>
        <v>0.79432624113475192</v>
      </c>
      <c r="DM248" s="173">
        <f t="shared" si="663"/>
        <v>2.0729551025390918</v>
      </c>
      <c r="DN248" s="173">
        <f t="shared" si="664"/>
        <v>2.0729551025390918</v>
      </c>
      <c r="DO248" s="173">
        <f t="shared" si="665"/>
        <v>1.7478679771894505</v>
      </c>
      <c r="DQ248" s="545">
        <f t="shared" si="666"/>
        <v>1920</v>
      </c>
      <c r="DR248" s="460">
        <f t="shared" si="667"/>
        <v>350</v>
      </c>
      <c r="DT248">
        <f t="shared" si="668"/>
        <v>1920</v>
      </c>
      <c r="DU248">
        <f t="shared" si="669"/>
        <v>350</v>
      </c>
      <c r="DW248" s="5">
        <f t="shared" si="670"/>
        <v>2.8571428571428572</v>
      </c>
      <c r="DX248" s="5">
        <f t="shared" si="671"/>
        <v>0.69098503417969726</v>
      </c>
      <c r="DY248" s="5">
        <f t="shared" si="672"/>
        <v>2.16615782296316</v>
      </c>
      <c r="DZ248" s="5"/>
      <c r="EA248" s="173">
        <f t="shared" si="673"/>
        <v>0.24184476196289403</v>
      </c>
      <c r="EB248" s="173">
        <f t="shared" si="699"/>
        <v>9.0239999999999974</v>
      </c>
      <c r="EC248" s="173">
        <f t="shared" si="700"/>
        <v>3.1432435384115167</v>
      </c>
      <c r="ED248" s="173">
        <f t="shared" si="701"/>
        <v>2.8709197647982458</v>
      </c>
      <c r="EE248" s="460">
        <f t="shared" si="674"/>
        <v>33.167281640625468</v>
      </c>
      <c r="EF248" s="5">
        <f t="shared" si="675"/>
        <v>0.38509472408233947</v>
      </c>
      <c r="EH248" s="173">
        <f t="shared" si="702"/>
        <v>0.58856930812671071</v>
      </c>
      <c r="EI248" s="173">
        <f t="shared" si="703"/>
        <v>4.1683898510810096</v>
      </c>
      <c r="EK248" s="528">
        <f t="shared" si="704"/>
        <v>4.2262487317188098E-3</v>
      </c>
      <c r="EL248" s="528">
        <f t="shared" si="705"/>
        <v>0.79518557733399553</v>
      </c>
      <c r="EM248" s="528">
        <f t="shared" si="706"/>
        <v>4.3749999999999997E-2</v>
      </c>
      <c r="EN248" s="528">
        <f t="shared" si="707"/>
        <v>0.10510639999999997</v>
      </c>
      <c r="EO248">
        <f t="shared" si="708"/>
        <v>1.6199999999999999E-2</v>
      </c>
      <c r="EP248" s="460">
        <f t="shared" si="709"/>
        <v>59.949999999999996</v>
      </c>
      <c r="EQ248" s="460"/>
      <c r="ER248" s="460">
        <f t="shared" si="710"/>
        <v>964.46822606571425</v>
      </c>
      <c r="ES248" s="528">
        <f t="shared" si="711"/>
        <v>1.3439999999999999</v>
      </c>
      <c r="EV248" s="460">
        <f t="shared" si="712"/>
        <v>1343.9999999999998</v>
      </c>
      <c r="EW248" s="528">
        <f t="shared" si="713"/>
        <v>1.0392414914062648E-2</v>
      </c>
      <c r="EX248" s="528">
        <f t="shared" si="714"/>
        <v>0.52126421851785487</v>
      </c>
      <c r="EY248" s="528">
        <f t="shared" si="715"/>
        <v>0.70894877282410895</v>
      </c>
      <c r="EZ248" s="528"/>
      <c r="FA248" s="528">
        <f t="shared" si="716"/>
        <v>3.7599999999999995E-2</v>
      </c>
      <c r="FB248" s="460">
        <f t="shared" si="717"/>
        <v>1278.2054062560267</v>
      </c>
      <c r="FC248" s="173">
        <f t="shared" si="718"/>
        <v>3.5866736323217405</v>
      </c>
      <c r="FD248" s="5">
        <f t="shared" si="719"/>
        <v>7.68</v>
      </c>
      <c r="FE248" s="173">
        <f t="shared" si="720"/>
        <v>0.68165638329734513</v>
      </c>
      <c r="FF248" s="5">
        <f t="shared" si="721"/>
        <v>68.165638329734506</v>
      </c>
      <c r="FI248" s="562">
        <f t="shared" si="676"/>
        <v>-50</v>
      </c>
      <c r="FJ248">
        <f t="shared" si="677"/>
        <v>-50</v>
      </c>
      <c r="FL248">
        <f t="shared" ref="FL248:FL279" si="760">MIN(SQRT(2*L*DR248*1000*CJ248*(CX248+Vfwd1))/(Nps*(CX248+Vfwd1)), 1-EA248)</f>
        <v>0.46310699099277586</v>
      </c>
    </row>
    <row r="249" spans="5:168">
      <c r="E249" s="170">
        <v>33</v>
      </c>
      <c r="F249" s="217">
        <f t="shared" ref="F249:F280" si="761">IF(PLOT_TYPE=1, E249/100*Iout_max, min_I*EXP(N249*rr/100))</f>
        <v>1.98</v>
      </c>
      <c r="G249" s="217"/>
      <c r="H249" s="217">
        <f t="shared" si="726"/>
        <v>7.92</v>
      </c>
      <c r="I249" s="541">
        <f t="shared" si="727"/>
        <v>35.959023449214392</v>
      </c>
      <c r="J249" s="172">
        <f t="shared" si="728"/>
        <v>19.266083989978508</v>
      </c>
      <c r="K249" s="172">
        <f t="shared" si="729"/>
        <v>55.225107439192897</v>
      </c>
      <c r="L249" s="443"/>
      <c r="M249" s="217">
        <f t="shared" si="730"/>
        <v>0.34932572583966975</v>
      </c>
      <c r="N249" s="172">
        <f t="shared" si="731"/>
        <v>42.436636761451453</v>
      </c>
      <c r="O249" s="172">
        <f t="shared" si="599"/>
        <v>7.92</v>
      </c>
      <c r="P249" s="217">
        <f t="shared" si="732"/>
        <v>10.609159190362863</v>
      </c>
      <c r="Q249" s="217">
        <f t="shared" si="733"/>
        <v>4</v>
      </c>
      <c r="R249" s="217"/>
      <c r="S249" s="172">
        <f t="shared" si="734"/>
        <v>51.667487369839904</v>
      </c>
      <c r="T249" s="172">
        <f t="shared" si="735"/>
        <v>4</v>
      </c>
      <c r="U249" s="217">
        <f t="shared" si="736"/>
        <v>1.5214986043171239</v>
      </c>
      <c r="V249" s="217">
        <f t="shared" si="737"/>
        <v>0.50774413486482983</v>
      </c>
      <c r="W249" s="217">
        <f t="shared" si="738"/>
        <v>0.94767484981912276</v>
      </c>
      <c r="X249" s="197">
        <f t="shared" si="739"/>
        <v>350</v>
      </c>
      <c r="Y249" s="443">
        <f t="shared" si="680"/>
        <v>350</v>
      </c>
      <c r="AA249" s="217">
        <f t="shared" si="740"/>
        <v>2.9868642055823451</v>
      </c>
      <c r="AB249" s="173">
        <f t="shared" si="741"/>
        <v>1.8603869102632375</v>
      </c>
      <c r="AC249" s="173">
        <f t="shared" si="742"/>
        <v>3.8897061495594389</v>
      </c>
      <c r="AD249" s="173"/>
      <c r="AE249" s="173">
        <f t="shared" si="743"/>
        <v>0.83047494282297329</v>
      </c>
      <c r="AF249" s="545">
        <f t="shared" si="744"/>
        <v>894.06671015993993</v>
      </c>
      <c r="AG249" s="528">
        <f t="shared" si="745"/>
        <v>0.77510994663477506</v>
      </c>
      <c r="AI249" s="173">
        <f t="shared" si="746"/>
        <v>2.1310305549684685</v>
      </c>
      <c r="AJ249" s="173">
        <f t="shared" si="747"/>
        <v>2.1310305549684685</v>
      </c>
      <c r="AK249" s="173">
        <f t="shared" si="748"/>
        <v>1.7908868308408405</v>
      </c>
      <c r="AM249" s="545">
        <f t="shared" si="749"/>
        <v>1980</v>
      </c>
      <c r="AN249" s="460">
        <f t="shared" si="750"/>
        <v>350</v>
      </c>
      <c r="AP249">
        <f t="shared" si="751"/>
        <v>1980</v>
      </c>
      <c r="AQ249">
        <f t="shared" si="752"/>
        <v>350</v>
      </c>
      <c r="AS249" s="5">
        <f t="shared" si="600"/>
        <v>2.8571428571428572</v>
      </c>
      <c r="AT249" s="5">
        <f t="shared" si="753"/>
        <v>0.71115297932764931</v>
      </c>
      <c r="AU249" s="5">
        <f t="shared" si="722"/>
        <v>2.1459898778152078</v>
      </c>
      <c r="AV249" s="5"/>
      <c r="AW249" s="173">
        <f t="shared" si="723"/>
        <v>0.24890354276467724</v>
      </c>
      <c r="AX249" s="173">
        <f t="shared" si="631"/>
        <v>9.5367115750393605</v>
      </c>
      <c r="AY249" s="173">
        <f t="shared" si="632"/>
        <v>3.2012190001940808</v>
      </c>
      <c r="AZ249" s="173">
        <f t="shared" si="633"/>
        <v>2.9790875208666376</v>
      </c>
      <c r="BA249" s="460">
        <f t="shared" si="724"/>
        <v>35.202072476718648</v>
      </c>
      <c r="BB249" s="5">
        <f t="shared" si="725"/>
        <v>0.39387980637415793</v>
      </c>
      <c r="BD249" s="173">
        <f t="shared" si="681"/>
        <v>0.61382502255111215</v>
      </c>
      <c r="BE249" s="173">
        <f t="shared" si="682"/>
        <v>4.2651754172786216</v>
      </c>
      <c r="BG249" s="528">
        <f t="shared" si="683"/>
        <v>4.5967301313804545E-3</v>
      </c>
      <c r="BH249" s="528">
        <f t="shared" si="754"/>
        <v>0.77231694326283351</v>
      </c>
      <c r="BI249" s="528">
        <f t="shared" si="755"/>
        <v>0.31464145518062592</v>
      </c>
      <c r="BJ249" s="528">
        <f t="shared" si="684"/>
        <v>0.10674343720846395</v>
      </c>
      <c r="BK249">
        <f t="shared" si="685"/>
        <v>1.6181560552146475E-2</v>
      </c>
      <c r="BL249" s="460">
        <f t="shared" si="686"/>
        <v>330.82301573277238</v>
      </c>
      <c r="BM249" s="528">
        <f t="shared" si="756"/>
        <v>0.88586575532657519</v>
      </c>
      <c r="BN249" s="460">
        <f t="shared" si="687"/>
        <v>885.86575532657514</v>
      </c>
      <c r="BO249" s="528">
        <f t="shared" si="637"/>
        <v>1.3859999999999999</v>
      </c>
      <c r="BR249" s="460">
        <f t="shared" si="688"/>
        <v>1386</v>
      </c>
      <c r="BS249" s="528">
        <f t="shared" si="689"/>
        <v>1.1303434749296201E-2</v>
      </c>
      <c r="BT249" s="528">
        <f t="shared" si="690"/>
        <v>0.54575164020473588</v>
      </c>
      <c r="BU249" s="528">
        <f t="shared" si="691"/>
        <v>0.75965133784129635</v>
      </c>
      <c r="BV249" s="528"/>
      <c r="BW249" s="528">
        <f t="shared" si="692"/>
        <v>3.9736298229330662E-2</v>
      </c>
      <c r="BX249" s="460">
        <f t="shared" si="693"/>
        <v>1356.442711024659</v>
      </c>
      <c r="BY249" s="173">
        <f t="shared" si="694"/>
        <v>3.9569228373601089</v>
      </c>
      <c r="BZ249" s="5">
        <f t="shared" si="695"/>
        <v>7.92</v>
      </c>
      <c r="CA249" s="173">
        <f t="shared" si="696"/>
        <v>0.66683939168879736</v>
      </c>
      <c r="CB249" s="5">
        <f t="shared" si="697"/>
        <v>66.683939168879732</v>
      </c>
      <c r="CE249" s="562">
        <f t="shared" si="757"/>
        <v>-50</v>
      </c>
      <c r="CF249">
        <f t="shared" si="758"/>
        <v>-50</v>
      </c>
      <c r="CG249" s="173">
        <f t="shared" si="759"/>
        <v>0.50977936403899282</v>
      </c>
      <c r="CI249" s="170">
        <v>33</v>
      </c>
      <c r="CJ249" s="217">
        <f t="shared" si="698"/>
        <v>1.98</v>
      </c>
      <c r="CK249" s="217"/>
      <c r="CL249" s="217">
        <f t="shared" si="641"/>
        <v>7.92</v>
      </c>
      <c r="CM249" s="541">
        <f t="shared" si="642"/>
        <v>36</v>
      </c>
      <c r="CN249" s="443">
        <f t="shared" si="643"/>
        <v>18.8</v>
      </c>
      <c r="CO249" s="443">
        <f t="shared" si="644"/>
        <v>54.8</v>
      </c>
      <c r="CP249" s="443"/>
      <c r="CQ249" s="217">
        <f t="shared" si="645"/>
        <v>0.34306569343065696</v>
      </c>
      <c r="CR249" s="172">
        <f t="shared" si="646"/>
        <v>41.723649635036502</v>
      </c>
      <c r="CS249" s="172">
        <f t="shared" si="647"/>
        <v>7.92</v>
      </c>
      <c r="CT249" s="217">
        <f t="shared" si="648"/>
        <v>10.430912408759125</v>
      </c>
      <c r="CU249" s="217">
        <f t="shared" si="649"/>
        <v>4</v>
      </c>
      <c r="CV249" s="217"/>
      <c r="CW249" s="172">
        <f t="shared" si="650"/>
        <v>51.726229461701891</v>
      </c>
      <c r="CX249" s="172">
        <f t="shared" si="651"/>
        <v>4</v>
      </c>
      <c r="CY249" s="217">
        <f t="shared" si="652"/>
        <v>1.2825531914893615</v>
      </c>
      <c r="CZ249" s="217">
        <f t="shared" si="653"/>
        <v>0.42751773049645381</v>
      </c>
      <c r="DA249" s="217">
        <f t="shared" si="654"/>
        <v>0.81865097329108172</v>
      </c>
      <c r="DB249" s="197">
        <f t="shared" si="655"/>
        <v>350</v>
      </c>
      <c r="DC249" s="443">
        <f t="shared" si="656"/>
        <v>350</v>
      </c>
      <c r="DE249" s="217">
        <f t="shared" si="657"/>
        <v>2.940563086548488</v>
      </c>
      <c r="DF249" s="173">
        <f t="shared" si="658"/>
        <v>1.8769551616266944</v>
      </c>
      <c r="DG249" s="173">
        <f t="shared" si="659"/>
        <v>3.8635135443702762</v>
      </c>
      <c r="DH249" s="173"/>
      <c r="DI249" s="173">
        <f t="shared" si="660"/>
        <v>0.85106382978723416</v>
      </c>
      <c r="DJ249" s="545">
        <f t="shared" si="661"/>
        <v>872.43749999999977</v>
      </c>
      <c r="DK249" s="528">
        <f t="shared" si="662"/>
        <v>0.79432624113475192</v>
      </c>
      <c r="DM249" s="173">
        <f t="shared" si="663"/>
        <v>2.1050958580142072</v>
      </c>
      <c r="DN249" s="173">
        <f t="shared" si="664"/>
        <v>2.1050958580142072</v>
      </c>
      <c r="DO249" s="173">
        <f t="shared" si="665"/>
        <v>1.7716759442080545</v>
      </c>
      <c r="DQ249" s="545">
        <f t="shared" si="666"/>
        <v>1980</v>
      </c>
      <c r="DR249" s="460">
        <f t="shared" si="667"/>
        <v>350</v>
      </c>
      <c r="DT249">
        <f t="shared" si="668"/>
        <v>1980</v>
      </c>
      <c r="DU249">
        <f t="shared" si="669"/>
        <v>350</v>
      </c>
      <c r="DW249" s="5">
        <f t="shared" si="670"/>
        <v>2.8571428571428572</v>
      </c>
      <c r="DX249" s="5">
        <f t="shared" si="671"/>
        <v>0.70169861933806899</v>
      </c>
      <c r="DY249" s="5">
        <f t="shared" si="672"/>
        <v>2.1554442378047884</v>
      </c>
      <c r="DZ249" s="5"/>
      <c r="EA249" s="173">
        <f t="shared" si="673"/>
        <v>0.24559451676832414</v>
      </c>
      <c r="EB249" s="173">
        <f t="shared" si="699"/>
        <v>9.3059999999999992</v>
      </c>
      <c r="EC249" s="173">
        <f t="shared" si="700"/>
        <v>3.1761917160284145</v>
      </c>
      <c r="ED249" s="173">
        <f t="shared" si="701"/>
        <v>2.9299238937744105</v>
      </c>
      <c r="EE249" s="460">
        <f t="shared" si="674"/>
        <v>34.73408165723442</v>
      </c>
      <c r="EF249" s="5">
        <f t="shared" si="675"/>
        <v>0.39516477693087781</v>
      </c>
      <c r="EH249" s="173">
        <f t="shared" si="702"/>
        <v>0.60231070569746781</v>
      </c>
      <c r="EI249" s="173">
        <f t="shared" si="703"/>
        <v>4.2225388968156601</v>
      </c>
      <c r="EK249" s="528">
        <f t="shared" si="704"/>
        <v>4.4258938716129365E-3</v>
      </c>
      <c r="EL249" s="528">
        <f t="shared" si="705"/>
        <v>0.80751477113424985</v>
      </c>
      <c r="EM249" s="528">
        <f t="shared" si="706"/>
        <v>4.3749999999999997E-2</v>
      </c>
      <c r="EN249" s="528">
        <f t="shared" si="707"/>
        <v>0.10510639999999997</v>
      </c>
      <c r="EO249">
        <f t="shared" si="708"/>
        <v>1.6199999999999999E-2</v>
      </c>
      <c r="EP249" s="460">
        <f t="shared" si="709"/>
        <v>59.949999999999996</v>
      </c>
      <c r="EQ249" s="460"/>
      <c r="ER249" s="460">
        <f t="shared" si="710"/>
        <v>976.99706500586274</v>
      </c>
      <c r="ES249" s="528">
        <f t="shared" si="711"/>
        <v>1.3859999999999999</v>
      </c>
      <c r="EV249" s="460">
        <f t="shared" si="712"/>
        <v>1386</v>
      </c>
      <c r="EW249" s="528">
        <f t="shared" si="713"/>
        <v>1.088334558593345E-2</v>
      </c>
      <c r="EX249" s="528">
        <f t="shared" si="714"/>
        <v>0.53489504205363625</v>
      </c>
      <c r="EY249" s="528">
        <f t="shared" si="715"/>
        <v>0.73674942748731631</v>
      </c>
      <c r="EZ249" s="528"/>
      <c r="FA249" s="528">
        <f t="shared" si="716"/>
        <v>3.8775000000000004E-2</v>
      </c>
      <c r="FB249" s="460">
        <f t="shared" si="717"/>
        <v>1321.3028151268859</v>
      </c>
      <c r="FC249" s="173">
        <f t="shared" si="718"/>
        <v>3.6842998801327482</v>
      </c>
      <c r="FD249" s="5">
        <f t="shared" si="719"/>
        <v>7.92</v>
      </c>
      <c r="FE249" s="173">
        <f t="shared" si="720"/>
        <v>0.68250562996562258</v>
      </c>
      <c r="FF249" s="5">
        <f t="shared" si="721"/>
        <v>68.250562996562252</v>
      </c>
      <c r="FI249" s="562">
        <f t="shared" si="676"/>
        <v>-50</v>
      </c>
      <c r="FJ249">
        <f t="shared" si="677"/>
        <v>-50</v>
      </c>
      <c r="FL249">
        <f t="shared" si="760"/>
        <v>0.4702873725350889</v>
      </c>
    </row>
    <row r="250" spans="5:168">
      <c r="E250" s="170">
        <v>34</v>
      </c>
      <c r="F250" s="217">
        <f t="shared" si="761"/>
        <v>2.04</v>
      </c>
      <c r="G250" s="217"/>
      <c r="H250" s="217">
        <f t="shared" si="726"/>
        <v>8.16</v>
      </c>
      <c r="I250" s="541">
        <f t="shared" si="727"/>
        <v>35.958407225902292</v>
      </c>
      <c r="J250" s="172">
        <f t="shared" si="728"/>
        <v>19.273093165092398</v>
      </c>
      <c r="K250" s="172">
        <f t="shared" si="729"/>
        <v>55.23150039099469</v>
      </c>
      <c r="L250" s="443"/>
      <c r="M250" s="217">
        <f t="shared" si="730"/>
        <v>0.34941906432555764</v>
      </c>
      <c r="N250" s="172">
        <f t="shared" si="731"/>
        <v>42.447248243711876</v>
      </c>
      <c r="O250" s="172">
        <f t="shared" si="599"/>
        <v>8.16</v>
      </c>
      <c r="P250" s="217">
        <f t="shared" si="732"/>
        <v>10.611812060927969</v>
      </c>
      <c r="Q250" s="217">
        <f t="shared" si="733"/>
        <v>4</v>
      </c>
      <c r="R250" s="217"/>
      <c r="S250" s="172">
        <f t="shared" si="734"/>
        <v>49.890351354903565</v>
      </c>
      <c r="T250" s="172">
        <f t="shared" si="735"/>
        <v>4</v>
      </c>
      <c r="U250" s="217">
        <f t="shared" si="736"/>
        <v>1.5678295259952388</v>
      </c>
      <c r="V250" s="217">
        <f t="shared" si="737"/>
        <v>0.52321434021667157</v>
      </c>
      <c r="W250" s="217">
        <f t="shared" si="738"/>
        <v>0.97617720989482226</v>
      </c>
      <c r="X250" s="197">
        <f t="shared" si="739"/>
        <v>350</v>
      </c>
      <c r="Y250" s="443">
        <f t="shared" si="680"/>
        <v>350</v>
      </c>
      <c r="AA250" s="217">
        <f t="shared" si="740"/>
        <v>2.9875538054632051</v>
      </c>
      <c r="AB250" s="173">
        <f t="shared" si="741"/>
        <v>1.8601396962316086</v>
      </c>
      <c r="AC250" s="173">
        <f t="shared" si="742"/>
        <v>3.8900871997189386</v>
      </c>
      <c r="AD250" s="173"/>
      <c r="AE250" s="173">
        <f t="shared" si="743"/>
        <v>0.83017291842802632</v>
      </c>
      <c r="AF250" s="545">
        <f t="shared" si="744"/>
        <v>921.49476695598014</v>
      </c>
      <c r="AG250" s="528">
        <f t="shared" si="745"/>
        <v>0.77482805719949133</v>
      </c>
      <c r="AI250" s="173">
        <f t="shared" si="746"/>
        <v>2.1634713633634877</v>
      </c>
      <c r="AJ250" s="173">
        <f t="shared" si="747"/>
        <v>2.1634713633634877</v>
      </c>
      <c r="AK250" s="173">
        <f t="shared" si="748"/>
        <v>1.8149170592815955</v>
      </c>
      <c r="AM250" s="545">
        <f t="shared" si="749"/>
        <v>2040</v>
      </c>
      <c r="AN250" s="460">
        <f t="shared" si="750"/>
        <v>350</v>
      </c>
      <c r="AP250">
        <f t="shared" si="751"/>
        <v>2040</v>
      </c>
      <c r="AQ250">
        <f t="shared" si="752"/>
        <v>350</v>
      </c>
      <c r="AS250" s="5">
        <f t="shared" si="600"/>
        <v>2.8571428571428572</v>
      </c>
      <c r="AT250" s="5">
        <f t="shared" si="753"/>
        <v>0.72199127723489998</v>
      </c>
      <c r="AU250" s="5">
        <f t="shared" si="722"/>
        <v>2.1351515799079572</v>
      </c>
      <c r="AV250" s="5"/>
      <c r="AW250" s="173">
        <f t="shared" si="723"/>
        <v>0.25269694703221496</v>
      </c>
      <c r="AX250" s="173">
        <f t="shared" si="631"/>
        <v>9.8292775141971234</v>
      </c>
      <c r="AY250" s="173">
        <f t="shared" si="632"/>
        <v>3.2335375096998211</v>
      </c>
      <c r="AZ250" s="173">
        <f t="shared" si="633"/>
        <v>3.0397907816784859</v>
      </c>
      <c r="BA250" s="460">
        <f t="shared" si="724"/>
        <v>36.821555138979903</v>
      </c>
      <c r="BB250" s="5">
        <f t="shared" si="725"/>
        <v>0.40377291052300734</v>
      </c>
      <c r="BD250" s="173">
        <f t="shared" si="681"/>
        <v>0.627900055156138</v>
      </c>
      <c r="BE250" s="173">
        <f t="shared" si="682"/>
        <v>4.3191560300895979</v>
      </c>
      <c r="BG250" s="528">
        <f t="shared" si="683"/>
        <v>4.8099534470339902E-3</v>
      </c>
      <c r="BH250" s="528">
        <f t="shared" si="754"/>
        <v>0.78416473702557554</v>
      </c>
      <c r="BI250" s="528">
        <f t="shared" si="755"/>
        <v>0.31463606322664506</v>
      </c>
      <c r="BJ250" s="528">
        <f t="shared" si="684"/>
        <v>0.10676815224041562</v>
      </c>
      <c r="BK250">
        <f t="shared" si="685"/>
        <v>1.6181283251656031E-2</v>
      </c>
      <c r="BL250" s="460">
        <f t="shared" si="686"/>
        <v>330.81734647830109</v>
      </c>
      <c r="BM250" s="528">
        <f t="shared" si="756"/>
        <v>0.89806788247810665</v>
      </c>
      <c r="BN250" s="460">
        <f t="shared" si="687"/>
        <v>898.06788247810664</v>
      </c>
      <c r="BO250" s="528">
        <f t="shared" si="637"/>
        <v>1.4279999999999999</v>
      </c>
      <c r="BR250" s="460">
        <f t="shared" si="688"/>
        <v>1428</v>
      </c>
      <c r="BS250" s="528">
        <f t="shared" si="689"/>
        <v>1.1827754377952434E-2</v>
      </c>
      <c r="BT250" s="528">
        <f t="shared" si="690"/>
        <v>0.55965326436778007</v>
      </c>
      <c r="BU250" s="528">
        <f t="shared" si="691"/>
        <v>0.7888928008654249</v>
      </c>
      <c r="BV250" s="528"/>
      <c r="BW250" s="528">
        <f t="shared" si="692"/>
        <v>4.095532297582135E-2</v>
      </c>
      <c r="BX250" s="460">
        <f t="shared" si="693"/>
        <v>1401.3291425869786</v>
      </c>
      <c r="BY250" s="173">
        <f t="shared" si="694"/>
        <v>4.0558893317783049</v>
      </c>
      <c r="BZ250" s="5">
        <f t="shared" si="695"/>
        <v>8.16</v>
      </c>
      <c r="CA250" s="173">
        <f t="shared" si="696"/>
        <v>0.66798247580490511</v>
      </c>
      <c r="CB250" s="5">
        <f t="shared" si="697"/>
        <v>66.798247580490511</v>
      </c>
      <c r="CE250" s="562">
        <f t="shared" si="757"/>
        <v>-50</v>
      </c>
      <c r="CF250">
        <f t="shared" si="758"/>
        <v>-50</v>
      </c>
      <c r="CG250" s="173">
        <f t="shared" si="759"/>
        <v>0.5174456493198103</v>
      </c>
      <c r="CI250" s="170">
        <v>34</v>
      </c>
      <c r="CJ250" s="217">
        <f t="shared" si="698"/>
        <v>2.04</v>
      </c>
      <c r="CK250" s="217"/>
      <c r="CL250" s="217">
        <f t="shared" si="641"/>
        <v>8.16</v>
      </c>
      <c r="CM250" s="541">
        <f t="shared" si="642"/>
        <v>36</v>
      </c>
      <c r="CN250" s="443">
        <f t="shared" si="643"/>
        <v>18.8</v>
      </c>
      <c r="CO250" s="443">
        <f t="shared" si="644"/>
        <v>54.8</v>
      </c>
      <c r="CP250" s="443"/>
      <c r="CQ250" s="217">
        <f t="shared" si="645"/>
        <v>0.34306569343065696</v>
      </c>
      <c r="CR250" s="172">
        <f t="shared" si="646"/>
        <v>41.723649635036502</v>
      </c>
      <c r="CS250" s="172">
        <f t="shared" si="647"/>
        <v>8.16</v>
      </c>
      <c r="CT250" s="217">
        <f t="shared" si="648"/>
        <v>10.430912408759125</v>
      </c>
      <c r="CU250" s="217">
        <f t="shared" si="649"/>
        <v>4</v>
      </c>
      <c r="CV250" s="217"/>
      <c r="CW250" s="172">
        <f t="shared" si="650"/>
        <v>49.947917546660797</v>
      </c>
      <c r="CX250" s="172">
        <f t="shared" si="651"/>
        <v>4</v>
      </c>
      <c r="CY250" s="217">
        <f t="shared" si="652"/>
        <v>1.321418439716312</v>
      </c>
      <c r="CZ250" s="217">
        <f t="shared" si="653"/>
        <v>0.44047281323877063</v>
      </c>
      <c r="DA250" s="217">
        <f t="shared" si="654"/>
        <v>0.84345857854232675</v>
      </c>
      <c r="DB250" s="197">
        <f t="shared" si="655"/>
        <v>350</v>
      </c>
      <c r="DC250" s="443">
        <f t="shared" si="656"/>
        <v>350</v>
      </c>
      <c r="DE250" s="217">
        <f t="shared" si="657"/>
        <v>2.940563086548488</v>
      </c>
      <c r="DF250" s="173">
        <f t="shared" si="658"/>
        <v>1.8769551616266944</v>
      </c>
      <c r="DG250" s="173">
        <f t="shared" si="659"/>
        <v>3.8635135443702762</v>
      </c>
      <c r="DH250" s="173"/>
      <c r="DI250" s="173">
        <f t="shared" si="660"/>
        <v>0.85106382978723416</v>
      </c>
      <c r="DJ250" s="545">
        <f t="shared" si="661"/>
        <v>898.87499999999977</v>
      </c>
      <c r="DK250" s="528">
        <f t="shared" si="662"/>
        <v>0.79432624113475192</v>
      </c>
      <c r="DM250" s="173">
        <f t="shared" si="663"/>
        <v>2.136753211232941</v>
      </c>
      <c r="DN250" s="173">
        <f t="shared" si="664"/>
        <v>2.136753211232941</v>
      </c>
      <c r="DO250" s="173">
        <f t="shared" si="665"/>
        <v>1.7951258354811905</v>
      </c>
      <c r="DQ250" s="545">
        <f t="shared" si="666"/>
        <v>2040</v>
      </c>
      <c r="DR250" s="460">
        <f t="shared" si="667"/>
        <v>350</v>
      </c>
      <c r="DT250">
        <f t="shared" si="668"/>
        <v>2040</v>
      </c>
      <c r="DU250">
        <f t="shared" si="669"/>
        <v>350</v>
      </c>
      <c r="DW250" s="5">
        <f t="shared" si="670"/>
        <v>2.8571428571428572</v>
      </c>
      <c r="DX250" s="5">
        <f t="shared" si="671"/>
        <v>0.71225107041098035</v>
      </c>
      <c r="DY250" s="5">
        <f t="shared" si="672"/>
        <v>2.1448917867318769</v>
      </c>
      <c r="DZ250" s="5"/>
      <c r="EA250" s="173">
        <f t="shared" si="673"/>
        <v>0.24928787464384311</v>
      </c>
      <c r="EB250" s="173">
        <f t="shared" si="699"/>
        <v>9.588000000000001</v>
      </c>
      <c r="EC250" s="173">
        <f t="shared" si="700"/>
        <v>3.2081730891325484</v>
      </c>
      <c r="ED250" s="173">
        <f t="shared" si="701"/>
        <v>2.9886168026527775</v>
      </c>
      <c r="EE250" s="460">
        <f t="shared" si="674"/>
        <v>36.324804590959999</v>
      </c>
      <c r="EF250" s="5">
        <f t="shared" si="675"/>
        <v>0.40514622638268782</v>
      </c>
      <c r="EH250" s="173">
        <f t="shared" si="702"/>
        <v>0.61594837730574636</v>
      </c>
      <c r="EI250" s="173">
        <f t="shared" si="703"/>
        <v>4.2755347892850644</v>
      </c>
      <c r="EK250" s="528">
        <f t="shared" si="704"/>
        <v>4.6285873227681004E-3</v>
      </c>
      <c r="EL250" s="528">
        <f t="shared" si="705"/>
        <v>0.8196585318289562</v>
      </c>
      <c r="EM250" s="528">
        <f t="shared" si="706"/>
        <v>4.3749999999999997E-2</v>
      </c>
      <c r="EN250" s="528">
        <f t="shared" si="707"/>
        <v>0.10510639999999997</v>
      </c>
      <c r="EO250">
        <f t="shared" si="708"/>
        <v>1.6199999999999999E-2</v>
      </c>
      <c r="EP250" s="460">
        <f t="shared" si="709"/>
        <v>59.949999999999996</v>
      </c>
      <c r="EQ250" s="460"/>
      <c r="ER250" s="460">
        <f t="shared" si="710"/>
        <v>989.34351915172419</v>
      </c>
      <c r="ES250" s="528">
        <f t="shared" si="711"/>
        <v>1.4279999999999999</v>
      </c>
      <c r="EV250" s="460">
        <f t="shared" si="712"/>
        <v>1428</v>
      </c>
      <c r="EW250" s="528">
        <f t="shared" si="713"/>
        <v>1.1381772105167462E-2</v>
      </c>
      <c r="EX250" s="528">
        <f t="shared" si="714"/>
        <v>0.54840593203160637</v>
      </c>
      <c r="EY250" s="528">
        <f t="shared" si="715"/>
        <v>0.76476152138581777</v>
      </c>
      <c r="EZ250" s="528"/>
      <c r="FA250" s="528">
        <f t="shared" si="716"/>
        <v>3.9949999999999999E-2</v>
      </c>
      <c r="FB250" s="460">
        <f t="shared" si="717"/>
        <v>1364.4992255225914</v>
      </c>
      <c r="FC250" s="173">
        <f t="shared" si="718"/>
        <v>3.7818427446743157</v>
      </c>
      <c r="FD250" s="5">
        <f t="shared" si="719"/>
        <v>8.16</v>
      </c>
      <c r="FE250" s="173">
        <f t="shared" si="720"/>
        <v>0.6833116273984684</v>
      </c>
      <c r="FF250" s="5">
        <f t="shared" si="721"/>
        <v>68.331162739846846</v>
      </c>
      <c r="FI250" s="562">
        <f t="shared" si="676"/>
        <v>-50</v>
      </c>
      <c r="FJ250">
        <f t="shared" si="677"/>
        <v>-50</v>
      </c>
      <c r="FL250">
        <f t="shared" si="760"/>
        <v>0.47735975995629537</v>
      </c>
    </row>
    <row r="251" spans="5:168">
      <c r="E251" s="170">
        <v>35</v>
      </c>
      <c r="F251" s="217">
        <f t="shared" si="761"/>
        <v>2.0999999999999996</v>
      </c>
      <c r="G251" s="217"/>
      <c r="H251" s="217">
        <f t="shared" si="726"/>
        <v>8.3999999999999986</v>
      </c>
      <c r="I251" s="541">
        <f t="shared" si="727"/>
        <v>35.957799999999999</v>
      </c>
      <c r="J251" s="172">
        <f t="shared" si="728"/>
        <v>19.28</v>
      </c>
      <c r="K251" s="172">
        <f t="shared" si="729"/>
        <v>55.2378</v>
      </c>
      <c r="L251" s="443"/>
      <c r="M251" s="217">
        <f t="shared" si="730"/>
        <v>0.34951101692316328</v>
      </c>
      <c r="N251" s="172">
        <f t="shared" si="731"/>
        <v>42.457701607060123</v>
      </c>
      <c r="O251" s="172">
        <f t="shared" si="599"/>
        <v>8.3999999999999986</v>
      </c>
      <c r="P251" s="217">
        <f t="shared" si="732"/>
        <v>10.614425401765031</v>
      </c>
      <c r="Q251" s="217">
        <f t="shared" si="733"/>
        <v>4</v>
      </c>
      <c r="R251" s="217"/>
      <c r="S251" s="172">
        <f t="shared" si="734"/>
        <v>48.215066712445946</v>
      </c>
      <c r="T251" s="172">
        <f t="shared" si="735"/>
        <v>4</v>
      </c>
      <c r="U251" s="217">
        <f t="shared" si="736"/>
        <v>1.6141703046736646</v>
      </c>
      <c r="V251" s="217">
        <f t="shared" si="737"/>
        <v>0.53868823053924253</v>
      </c>
      <c r="W251" s="217">
        <f t="shared" si="738"/>
        <v>1.0046703141122393</v>
      </c>
      <c r="X251" s="197">
        <f t="shared" si="739"/>
        <v>350</v>
      </c>
      <c r="Y251" s="443">
        <f t="shared" si="680"/>
        <v>350</v>
      </c>
      <c r="AA251" s="217">
        <f t="shared" si="740"/>
        <v>2.9882331440047354</v>
      </c>
      <c r="AB251" s="173">
        <f t="shared" si="741"/>
        <v>1.8598961477207896</v>
      </c>
      <c r="AC251" s="173">
        <f t="shared" si="742"/>
        <v>3.8904623191181935</v>
      </c>
      <c r="AD251" s="173"/>
      <c r="AE251" s="173">
        <f t="shared" si="743"/>
        <v>0.82987551867219922</v>
      </c>
      <c r="AF251" s="545">
        <f t="shared" si="744"/>
        <v>948.93749999999977</v>
      </c>
      <c r="AG251" s="528">
        <f t="shared" si="745"/>
        <v>0.77455048409405269</v>
      </c>
      <c r="AI251" s="173">
        <f t="shared" si="746"/>
        <v>2.1954498400100149</v>
      </c>
      <c r="AJ251" s="173">
        <f t="shared" si="747"/>
        <v>2.1954498400100149</v>
      </c>
      <c r="AK251" s="173">
        <f t="shared" si="748"/>
        <v>1.8386048197605047</v>
      </c>
      <c r="AM251" s="545">
        <f t="shared" si="749"/>
        <v>2099.9999999999995</v>
      </c>
      <c r="AN251" s="460">
        <f t="shared" si="750"/>
        <v>350</v>
      </c>
      <c r="AP251">
        <f t="shared" si="751"/>
        <v>2099.9999999999995</v>
      </c>
      <c r="AQ251">
        <f t="shared" si="752"/>
        <v>350</v>
      </c>
      <c r="AS251" s="5">
        <f t="shared" si="600"/>
        <v>2.8571428571428572</v>
      </c>
      <c r="AT251" s="5">
        <f t="shared" si="753"/>
        <v>0.73267547180640036</v>
      </c>
      <c r="AU251" s="5">
        <f t="shared" si="722"/>
        <v>2.1244673853364571</v>
      </c>
      <c r="AV251" s="5"/>
      <c r="AW251" s="173">
        <f t="shared" si="723"/>
        <v>0.25643641513224014</v>
      </c>
      <c r="AX251" s="173">
        <f t="shared" si="631"/>
        <v>10.122000000000002</v>
      </c>
      <c r="AY251" s="173">
        <f t="shared" si="632"/>
        <v>3.2649131068703929</v>
      </c>
      <c r="AZ251" s="173">
        <f t="shared" si="633"/>
        <v>3.1002356475276982</v>
      </c>
      <c r="BA251" s="460">
        <f t="shared" si="724"/>
        <v>38.46546226983601</v>
      </c>
      <c r="BB251" s="5">
        <f t="shared" si="725"/>
        <v>0.41357568308837567</v>
      </c>
      <c r="BD251" s="173">
        <f t="shared" si="681"/>
        <v>0.64187836878373283</v>
      </c>
      <c r="BE251" s="173">
        <f t="shared" si="682"/>
        <v>4.3720179804830641</v>
      </c>
      <c r="BG251" s="528">
        <f t="shared" si="683"/>
        <v>5.0264956518120815E-3</v>
      </c>
      <c r="BH251" s="528">
        <f t="shared" si="754"/>
        <v>0.79584631331956535</v>
      </c>
      <c r="BI251" s="528">
        <f t="shared" si="755"/>
        <v>0.31463074999999996</v>
      </c>
      <c r="BJ251" s="528">
        <f t="shared" si="684"/>
        <v>0.10679250920940001</v>
      </c>
      <c r="BK251">
        <f t="shared" si="685"/>
        <v>1.6181009999999999E-2</v>
      </c>
      <c r="BL251" s="460">
        <f t="shared" si="686"/>
        <v>330.81175999999994</v>
      </c>
      <c r="BM251" s="528">
        <f t="shared" si="756"/>
        <v>0.91010941146021884</v>
      </c>
      <c r="BN251" s="460">
        <f t="shared" si="687"/>
        <v>910.10941146021889</v>
      </c>
      <c r="BO251" s="528">
        <f t="shared" si="637"/>
        <v>1.4699999999999998</v>
      </c>
      <c r="BR251" s="460">
        <f t="shared" si="688"/>
        <v>1469.9999999999998</v>
      </c>
      <c r="BS251" s="528">
        <f t="shared" si="689"/>
        <v>1.2360235209373972E-2</v>
      </c>
      <c r="BT251" s="528">
        <f t="shared" si="690"/>
        <v>0.57343623665001631</v>
      </c>
      <c r="BU251" s="528">
        <f t="shared" si="691"/>
        <v>0.81836851603188598</v>
      </c>
      <c r="BV251" s="528"/>
      <c r="BW251" s="528">
        <f t="shared" si="692"/>
        <v>4.2175000000000011E-2</v>
      </c>
      <c r="BX251" s="460">
        <f t="shared" si="693"/>
        <v>1446.3399878912765</v>
      </c>
      <c r="BY251" s="173">
        <f t="shared" si="694"/>
        <v>4.154817066072054</v>
      </c>
      <c r="BZ251" s="5">
        <f t="shared" si="695"/>
        <v>8.3999999999999986</v>
      </c>
      <c r="CA251" s="173">
        <f t="shared" si="696"/>
        <v>0.66906590162114199</v>
      </c>
      <c r="CB251" s="5">
        <f t="shared" si="697"/>
        <v>66.906590162114199</v>
      </c>
      <c r="CE251" s="562">
        <f t="shared" si="757"/>
        <v>-50</v>
      </c>
      <c r="CF251">
        <f t="shared" si="758"/>
        <v>-50</v>
      </c>
      <c r="CG251" s="173">
        <f t="shared" si="759"/>
        <v>0.52499999999999991</v>
      </c>
      <c r="CI251" s="170">
        <v>35</v>
      </c>
      <c r="CJ251" s="217">
        <f t="shared" si="698"/>
        <v>2.0999999999999996</v>
      </c>
      <c r="CK251" s="217"/>
      <c r="CL251" s="217">
        <f t="shared" si="641"/>
        <v>8.3999999999999986</v>
      </c>
      <c r="CM251" s="541">
        <f t="shared" si="642"/>
        <v>36</v>
      </c>
      <c r="CN251" s="443">
        <f t="shared" si="643"/>
        <v>18.8</v>
      </c>
      <c r="CO251" s="443">
        <f t="shared" si="644"/>
        <v>54.8</v>
      </c>
      <c r="CP251" s="443"/>
      <c r="CQ251" s="217">
        <f t="shared" si="645"/>
        <v>0.34306569343065696</v>
      </c>
      <c r="CR251" s="172">
        <f t="shared" si="646"/>
        <v>41.723649635036502</v>
      </c>
      <c r="CS251" s="172">
        <f t="shared" si="647"/>
        <v>8.3999999999999986</v>
      </c>
      <c r="CT251" s="217">
        <f t="shared" si="648"/>
        <v>10.430912408759125</v>
      </c>
      <c r="CU251" s="217">
        <f t="shared" si="649"/>
        <v>4</v>
      </c>
      <c r="CV251" s="217"/>
      <c r="CW251" s="172">
        <f t="shared" si="650"/>
        <v>48.271503387391725</v>
      </c>
      <c r="CX251" s="172">
        <f t="shared" si="651"/>
        <v>4</v>
      </c>
      <c r="CY251" s="217">
        <f t="shared" si="652"/>
        <v>1.360283687943262</v>
      </c>
      <c r="CZ251" s="217">
        <f t="shared" si="653"/>
        <v>0.45342789598108735</v>
      </c>
      <c r="DA251" s="217">
        <f t="shared" si="654"/>
        <v>0.86826618379357146</v>
      </c>
      <c r="DB251" s="197">
        <f t="shared" si="655"/>
        <v>350</v>
      </c>
      <c r="DC251" s="443">
        <f t="shared" si="656"/>
        <v>350</v>
      </c>
      <c r="DE251" s="217">
        <f t="shared" si="657"/>
        <v>2.940563086548488</v>
      </c>
      <c r="DF251" s="173">
        <f t="shared" si="658"/>
        <v>1.8769551616266944</v>
      </c>
      <c r="DG251" s="173">
        <f t="shared" si="659"/>
        <v>3.8635135443702762</v>
      </c>
      <c r="DH251" s="173"/>
      <c r="DI251" s="173">
        <f t="shared" si="660"/>
        <v>0.85106382978723416</v>
      </c>
      <c r="DJ251" s="545">
        <f t="shared" si="661"/>
        <v>925.31249999999966</v>
      </c>
      <c r="DK251" s="528">
        <f t="shared" si="662"/>
        <v>0.79432624113475192</v>
      </c>
      <c r="DM251" s="173">
        <f t="shared" si="663"/>
        <v>2.16794833886788</v>
      </c>
      <c r="DN251" s="173">
        <f t="shared" si="664"/>
        <v>2.16794833886788</v>
      </c>
      <c r="DO251" s="173">
        <f t="shared" si="665"/>
        <v>1.8182333374329973</v>
      </c>
      <c r="DQ251" s="545">
        <f t="shared" si="666"/>
        <v>2099.9999999999995</v>
      </c>
      <c r="DR251" s="460">
        <f t="shared" si="667"/>
        <v>350</v>
      </c>
      <c r="DT251">
        <f t="shared" si="668"/>
        <v>2099.9999999999995</v>
      </c>
      <c r="DU251">
        <f t="shared" si="669"/>
        <v>350</v>
      </c>
      <c r="DW251" s="5">
        <f t="shared" si="670"/>
        <v>2.8571428571428572</v>
      </c>
      <c r="DX251" s="5">
        <f t="shared" si="671"/>
        <v>0.72264944628929328</v>
      </c>
      <c r="DY251" s="5">
        <f t="shared" si="672"/>
        <v>2.134493410853564</v>
      </c>
      <c r="DZ251" s="5"/>
      <c r="EA251" s="173">
        <f t="shared" si="673"/>
        <v>0.25292730620125264</v>
      </c>
      <c r="EB251" s="173">
        <f t="shared" si="699"/>
        <v>9.870000000000001</v>
      </c>
      <c r="EC251" s="173">
        <f t="shared" si="700"/>
        <v>3.2392300110690933</v>
      </c>
      <c r="ED251" s="173">
        <f t="shared" si="701"/>
        <v>3.0470204234562681</v>
      </c>
      <c r="EE251" s="460">
        <f t="shared" si="674"/>
        <v>37.939095930187889</v>
      </c>
      <c r="EF251" s="5">
        <f t="shared" si="675"/>
        <v>0.41504038544374844</v>
      </c>
      <c r="EH251" s="173">
        <f t="shared" si="702"/>
        <v>0.62948612352878419</v>
      </c>
      <c r="EI251" s="173">
        <f t="shared" si="703"/>
        <v>4.3274267401334399</v>
      </c>
      <c r="EK251" s="528">
        <f t="shared" si="704"/>
        <v>4.8342839125266081E-3</v>
      </c>
      <c r="EL251" s="528">
        <f t="shared" si="705"/>
        <v>0.83162498278971864</v>
      </c>
      <c r="EM251" s="528">
        <f t="shared" si="706"/>
        <v>4.3749999999999997E-2</v>
      </c>
      <c r="EN251" s="528">
        <f t="shared" si="707"/>
        <v>0.10510639999999997</v>
      </c>
      <c r="EO251">
        <f t="shared" si="708"/>
        <v>1.6199999999999999E-2</v>
      </c>
      <c r="EP251" s="460">
        <f t="shared" si="709"/>
        <v>59.949999999999996</v>
      </c>
      <c r="EQ251" s="460"/>
      <c r="ER251" s="460">
        <f t="shared" si="710"/>
        <v>1001.5156667022451</v>
      </c>
      <c r="ES251" s="528">
        <f t="shared" si="711"/>
        <v>1.4699999999999998</v>
      </c>
      <c r="EV251" s="460">
        <f t="shared" si="712"/>
        <v>1469.9999999999998</v>
      </c>
      <c r="EW251" s="528">
        <f t="shared" si="713"/>
        <v>1.1887583391458872E-2</v>
      </c>
      <c r="EX251" s="528">
        <f t="shared" si="714"/>
        <v>0.56179866573665793</v>
      </c>
      <c r="EY251" s="528">
        <f t="shared" si="715"/>
        <v>0.79298037185354031</v>
      </c>
      <c r="EZ251" s="528"/>
      <c r="FA251" s="528">
        <f t="shared" si="716"/>
        <v>4.1125000000000002E-2</v>
      </c>
      <c r="FB251" s="460">
        <f t="shared" si="717"/>
        <v>1407.7916209816572</v>
      </c>
      <c r="FC251" s="173">
        <f t="shared" si="718"/>
        <v>3.8793072876839019</v>
      </c>
      <c r="FD251" s="5">
        <f t="shared" si="719"/>
        <v>8.3999999999999986</v>
      </c>
      <c r="FE251" s="173">
        <f t="shared" si="720"/>
        <v>0.68407767663125163</v>
      </c>
      <c r="FF251" s="5">
        <f t="shared" si="721"/>
        <v>68.407767663125156</v>
      </c>
      <c r="FI251" s="562">
        <f t="shared" si="676"/>
        <v>-50</v>
      </c>
      <c r="FJ251">
        <f t="shared" si="677"/>
        <v>-50</v>
      </c>
      <c r="FL251">
        <f t="shared" si="760"/>
        <v>0.48432888421516457</v>
      </c>
    </row>
    <row r="252" spans="5:168">
      <c r="E252" s="170">
        <v>36</v>
      </c>
      <c r="F252" s="217">
        <f t="shared" si="761"/>
        <v>2.16</v>
      </c>
      <c r="G252" s="217"/>
      <c r="H252" s="217">
        <f t="shared" si="726"/>
        <v>8.64</v>
      </c>
      <c r="I252" s="541">
        <f t="shared" si="727"/>
        <v>35.957201388540547</v>
      </c>
      <c r="J252" s="172">
        <f t="shared" si="728"/>
        <v>19.286808850723627</v>
      </c>
      <c r="K252" s="172">
        <f t="shared" si="729"/>
        <v>55.244010239264171</v>
      </c>
      <c r="L252" s="443"/>
      <c r="M252" s="217">
        <f t="shared" si="730"/>
        <v>0.34960164262998938</v>
      </c>
      <c r="N252" s="172">
        <f t="shared" si="731"/>
        <v>42.468003582845199</v>
      </c>
      <c r="O252" s="172">
        <f t="shared" si="599"/>
        <v>8.64</v>
      </c>
      <c r="P252" s="217">
        <f t="shared" si="732"/>
        <v>10.6170008957113</v>
      </c>
      <c r="Q252" s="217">
        <f t="shared" si="733"/>
        <v>4</v>
      </c>
      <c r="R252" s="217"/>
      <c r="S252" s="172">
        <f t="shared" si="734"/>
        <v>46.633148843919052</v>
      </c>
      <c r="T252" s="172">
        <f t="shared" si="735"/>
        <v>4</v>
      </c>
      <c r="U252" s="217">
        <f t="shared" si="736"/>
        <v>1.6605207989256805</v>
      </c>
      <c r="V252" s="217">
        <f t="shared" si="737"/>
        <v>0.55416575310720939</v>
      </c>
      <c r="W252" s="217">
        <f t="shared" si="738"/>
        <v>1.033154304651106</v>
      </c>
      <c r="X252" s="197">
        <f t="shared" si="739"/>
        <v>350</v>
      </c>
      <c r="Y252" s="443">
        <f t="shared" si="680"/>
        <v>350</v>
      </c>
      <c r="AA252" s="217">
        <f t="shared" si="740"/>
        <v>2.9889026580359825</v>
      </c>
      <c r="AB252" s="173">
        <f t="shared" si="741"/>
        <v>1.8596561086924495</v>
      </c>
      <c r="AC252" s="173">
        <f t="shared" si="742"/>
        <v>3.8908317604125999</v>
      </c>
      <c r="AD252" s="173"/>
      <c r="AE252" s="173">
        <f t="shared" si="743"/>
        <v>0.82958254648745033</v>
      </c>
      <c r="AF252" s="545">
        <f t="shared" si="744"/>
        <v>976.3946980678835</v>
      </c>
      <c r="AG252" s="528">
        <f t="shared" si="745"/>
        <v>0.77427704338828707</v>
      </c>
      <c r="AI252" s="173">
        <f t="shared" si="746"/>
        <v>2.2269856607179173</v>
      </c>
      <c r="AJ252" s="173">
        <f t="shared" si="747"/>
        <v>2.2269856607179173</v>
      </c>
      <c r="AK252" s="173">
        <f t="shared" si="748"/>
        <v>1.8619646869515436</v>
      </c>
      <c r="AM252" s="545">
        <f t="shared" si="749"/>
        <v>2160</v>
      </c>
      <c r="AN252" s="460">
        <f t="shared" si="750"/>
        <v>350</v>
      </c>
      <c r="AP252">
        <f t="shared" si="751"/>
        <v>2160</v>
      </c>
      <c r="AQ252">
        <f t="shared" si="752"/>
        <v>350</v>
      </c>
      <c r="AS252" s="5">
        <f t="shared" si="600"/>
        <v>2.8571428571428572</v>
      </c>
      <c r="AT252" s="5">
        <f t="shared" si="753"/>
        <v>0.74321212153990968</v>
      </c>
      <c r="AU252" s="5">
        <f t="shared" si="722"/>
        <v>2.1139307356029473</v>
      </c>
      <c r="AV252" s="5"/>
      <c r="AW252" s="173">
        <f t="shared" si="723"/>
        <v>0.26012424253896838</v>
      </c>
      <c r="AX252" s="173">
        <f t="shared" si="631"/>
        <v>10.41487677939076</v>
      </c>
      <c r="AY252" s="173">
        <f t="shared" si="632"/>
        <v>3.2953854051570501</v>
      </c>
      <c r="AZ252" s="173">
        <f t="shared" si="633"/>
        <v>3.1604427097031498</v>
      </c>
      <c r="BA252" s="460">
        <f t="shared" si="724"/>
        <v>40.133454563155126</v>
      </c>
      <c r="BB252" s="5">
        <f t="shared" si="725"/>
        <v>0.42328937482859508</v>
      </c>
      <c r="BD252" s="173">
        <f t="shared" si="681"/>
        <v>0.65576345103278699</v>
      </c>
      <c r="BE252" s="173">
        <f t="shared" si="682"/>
        <v>4.4238071217218486</v>
      </c>
      <c r="BG252" s="528">
        <f t="shared" si="683"/>
        <v>5.2463135852672503E-3</v>
      </c>
      <c r="BH252" s="528">
        <f t="shared" si="754"/>
        <v>0.80736874734728037</v>
      </c>
      <c r="BI252" s="528">
        <f t="shared" si="755"/>
        <v>0.31462551214972978</v>
      </c>
      <c r="BJ252" s="528">
        <f t="shared" si="684"/>
        <v>0.10681652335605737</v>
      </c>
      <c r="BK252">
        <f t="shared" si="685"/>
        <v>1.6180740624843246E-2</v>
      </c>
      <c r="BL252" s="460">
        <f t="shared" si="686"/>
        <v>330.80625277457307</v>
      </c>
      <c r="BM252" s="528">
        <f t="shared" si="756"/>
        <v>0.92199738091932648</v>
      </c>
      <c r="BN252" s="460">
        <f t="shared" si="687"/>
        <v>921.99738091932647</v>
      </c>
      <c r="BO252" s="528">
        <f t="shared" si="637"/>
        <v>1.512</v>
      </c>
      <c r="BR252" s="460">
        <f t="shared" si="688"/>
        <v>1512</v>
      </c>
      <c r="BS252" s="528">
        <f t="shared" si="689"/>
        <v>1.2900771111312912E-2</v>
      </c>
      <c r="BT252" s="528">
        <f t="shared" si="690"/>
        <v>0.58710208350590842</v>
      </c>
      <c r="BU252" s="528">
        <f t="shared" si="691"/>
        <v>0.84807383979002215</v>
      </c>
      <c r="BV252" s="528"/>
      <c r="BW252" s="528">
        <f t="shared" si="692"/>
        <v>4.3395319914128171E-2</v>
      </c>
      <c r="BX252" s="460">
        <f t="shared" si="693"/>
        <v>1491.4720143213717</v>
      </c>
      <c r="BY252" s="173">
        <f t="shared" si="694"/>
        <v>4.2537098513845493</v>
      </c>
      <c r="BZ252" s="5">
        <f t="shared" si="695"/>
        <v>8.64</v>
      </c>
      <c r="CA252" s="173">
        <f t="shared" si="696"/>
        <v>0.67009418542734012</v>
      </c>
      <c r="CB252" s="5">
        <f t="shared" si="697"/>
        <v>67.009418542734011</v>
      </c>
      <c r="CE252" s="562">
        <f t="shared" si="757"/>
        <v>-50</v>
      </c>
      <c r="CF252">
        <f t="shared" si="758"/>
        <v>-50</v>
      </c>
      <c r="CG252" s="173">
        <f t="shared" si="759"/>
        <v>0.53244718047896544</v>
      </c>
      <c r="CI252" s="170">
        <v>36</v>
      </c>
      <c r="CJ252" s="217">
        <f t="shared" si="698"/>
        <v>2.16</v>
      </c>
      <c r="CK252" s="217"/>
      <c r="CL252" s="217">
        <f t="shared" si="641"/>
        <v>8.64</v>
      </c>
      <c r="CM252" s="541">
        <f t="shared" si="642"/>
        <v>36</v>
      </c>
      <c r="CN252" s="443">
        <f t="shared" si="643"/>
        <v>18.8</v>
      </c>
      <c r="CO252" s="443">
        <f t="shared" si="644"/>
        <v>54.8</v>
      </c>
      <c r="CP252" s="443"/>
      <c r="CQ252" s="217">
        <f t="shared" si="645"/>
        <v>0.34306569343065696</v>
      </c>
      <c r="CR252" s="172">
        <f t="shared" si="646"/>
        <v>41.723649635036502</v>
      </c>
      <c r="CS252" s="172">
        <f t="shared" si="647"/>
        <v>8.64</v>
      </c>
      <c r="CT252" s="217">
        <f t="shared" si="648"/>
        <v>10.430912408759125</v>
      </c>
      <c r="CU252" s="217">
        <f t="shared" si="649"/>
        <v>4</v>
      </c>
      <c r="CV252" s="217"/>
      <c r="CW252" s="172">
        <f t="shared" si="650"/>
        <v>46.688499204452711</v>
      </c>
      <c r="CX252" s="172">
        <f t="shared" si="651"/>
        <v>4</v>
      </c>
      <c r="CY252" s="217">
        <f t="shared" si="652"/>
        <v>1.3991489361702127</v>
      </c>
      <c r="CZ252" s="217">
        <f t="shared" si="653"/>
        <v>0.46638297872340423</v>
      </c>
      <c r="DA252" s="217">
        <f t="shared" si="654"/>
        <v>0.8930737890448166</v>
      </c>
      <c r="DB252" s="197">
        <f t="shared" si="655"/>
        <v>350</v>
      </c>
      <c r="DC252" s="443">
        <f t="shared" si="656"/>
        <v>350</v>
      </c>
      <c r="DE252" s="217">
        <f t="shared" si="657"/>
        <v>2.940563086548488</v>
      </c>
      <c r="DF252" s="173">
        <f t="shared" si="658"/>
        <v>1.8769551616266944</v>
      </c>
      <c r="DG252" s="173">
        <f t="shared" si="659"/>
        <v>3.8635135443702762</v>
      </c>
      <c r="DH252" s="173"/>
      <c r="DI252" s="173">
        <f t="shared" si="660"/>
        <v>0.85106382978723416</v>
      </c>
      <c r="DJ252" s="545">
        <f t="shared" si="661"/>
        <v>951.74999999999989</v>
      </c>
      <c r="DK252" s="528">
        <f t="shared" si="662"/>
        <v>0.79432624113475192</v>
      </c>
      <c r="DM252" s="173">
        <f t="shared" si="663"/>
        <v>2.1987009151509702</v>
      </c>
      <c r="DN252" s="173">
        <f t="shared" si="664"/>
        <v>2.1987009151509702</v>
      </c>
      <c r="DO252" s="173">
        <f t="shared" si="665"/>
        <v>1.8410130235686197</v>
      </c>
      <c r="DQ252" s="545">
        <f t="shared" si="666"/>
        <v>2160</v>
      </c>
      <c r="DR252" s="460">
        <f t="shared" si="667"/>
        <v>350</v>
      </c>
      <c r="DT252">
        <f t="shared" si="668"/>
        <v>2160</v>
      </c>
      <c r="DU252">
        <f t="shared" si="669"/>
        <v>350</v>
      </c>
      <c r="DW252" s="5">
        <f t="shared" si="670"/>
        <v>2.8571428571428572</v>
      </c>
      <c r="DX252" s="5">
        <f t="shared" si="671"/>
        <v>0.73290030505032344</v>
      </c>
      <c r="DY252" s="5">
        <f t="shared" si="672"/>
        <v>2.1242425520925337</v>
      </c>
      <c r="DZ252" s="5"/>
      <c r="EA252" s="173">
        <f t="shared" si="673"/>
        <v>0.25651510676761319</v>
      </c>
      <c r="EB252" s="173">
        <f t="shared" si="699"/>
        <v>10.151999999999999</v>
      </c>
      <c r="EC252" s="173">
        <f t="shared" si="700"/>
        <v>3.2694018303019403</v>
      </c>
      <c r="ED252" s="173">
        <f t="shared" si="701"/>
        <v>3.105155171171611</v>
      </c>
      <c r="EE252" s="460">
        <f t="shared" si="674"/>
        <v>39.576616472717468</v>
      </c>
      <c r="EF252" s="5">
        <f t="shared" si="675"/>
        <v>0.42484851041850674</v>
      </c>
      <c r="EH252" s="173">
        <f t="shared" si="702"/>
        <v>0.64292750139372823</v>
      </c>
      <c r="EI252" s="173">
        <f t="shared" si="703"/>
        <v>4.3782604753581102</v>
      </c>
      <c r="EK252" s="528">
        <f t="shared" si="704"/>
        <v>5.0429404189902653E-3</v>
      </c>
      <c r="EL252" s="528">
        <f t="shared" si="705"/>
        <v>0.84342167105191213</v>
      </c>
      <c r="EM252" s="528">
        <f t="shared" si="706"/>
        <v>4.3749999999999997E-2</v>
      </c>
      <c r="EN252" s="528">
        <f t="shared" si="707"/>
        <v>0.10510639999999997</v>
      </c>
      <c r="EO252">
        <f t="shared" si="708"/>
        <v>1.6199999999999999E-2</v>
      </c>
      <c r="EP252" s="460">
        <f t="shared" si="709"/>
        <v>59.949999999999996</v>
      </c>
      <c r="EQ252" s="460"/>
      <c r="ER252" s="460">
        <f t="shared" si="710"/>
        <v>1013.5210114709023</v>
      </c>
      <c r="ES252" s="528">
        <f t="shared" si="711"/>
        <v>1.512</v>
      </c>
      <c r="EV252" s="460">
        <f t="shared" si="712"/>
        <v>1512</v>
      </c>
      <c r="EW252" s="528">
        <f t="shared" si="713"/>
        <v>1.2400673161451473E-2</v>
      </c>
      <c r="EX252" s="528">
        <f t="shared" si="714"/>
        <v>0.57507494370249079</v>
      </c>
      <c r="EY252" s="528">
        <f t="shared" si="715"/>
        <v>0.82140153129920868</v>
      </c>
      <c r="EZ252" s="528"/>
      <c r="FA252" s="528">
        <f t="shared" si="716"/>
        <v>4.2299999999999997E-2</v>
      </c>
      <c r="FB252" s="460">
        <f t="shared" si="717"/>
        <v>1451.1771481631511</v>
      </c>
      <c r="FC252" s="173">
        <f t="shared" si="718"/>
        <v>3.9766981596340534</v>
      </c>
      <c r="FD252" s="5">
        <f t="shared" si="719"/>
        <v>8.64</v>
      </c>
      <c r="FE252" s="173">
        <f t="shared" si="720"/>
        <v>0.68480674505179751</v>
      </c>
      <c r="FF252" s="5">
        <f t="shared" si="721"/>
        <v>68.480674505179749</v>
      </c>
      <c r="FI252" s="562">
        <f t="shared" si="676"/>
        <v>-50</v>
      </c>
      <c r="FJ252">
        <f t="shared" si="677"/>
        <v>-50</v>
      </c>
      <c r="FL252">
        <f t="shared" si="760"/>
        <v>0.49119914061883374</v>
      </c>
    </row>
    <row r="253" spans="5:168">
      <c r="E253" s="170">
        <v>37</v>
      </c>
      <c r="F253" s="217">
        <f t="shared" si="761"/>
        <v>2.2199999999999998</v>
      </c>
      <c r="G253" s="217"/>
      <c r="H253" s="217">
        <f t="shared" si="726"/>
        <v>8.879999999999999</v>
      </c>
      <c r="I253" s="541">
        <f t="shared" si="727"/>
        <v>35.956611034977605</v>
      </c>
      <c r="J253" s="172">
        <f t="shared" si="728"/>
        <v>19.293523772766534</v>
      </c>
      <c r="K253" s="172">
        <f t="shared" si="729"/>
        <v>55.250134807744139</v>
      </c>
      <c r="L253" s="443"/>
      <c r="M253" s="217">
        <f t="shared" si="730"/>
        <v>0.34969099637322121</v>
      </c>
      <c r="N253" s="172">
        <f t="shared" si="731"/>
        <v>42.478160438008423</v>
      </c>
      <c r="O253" s="172">
        <f t="shared" si="599"/>
        <v>8.879999999999999</v>
      </c>
      <c r="P253" s="217">
        <f t="shared" si="732"/>
        <v>10.619540109502106</v>
      </c>
      <c r="Q253" s="217">
        <f t="shared" si="733"/>
        <v>4</v>
      </c>
      <c r="R253" s="217"/>
      <c r="S253" s="172">
        <f t="shared" si="734"/>
        <v>45.137030504088351</v>
      </c>
      <c r="T253" s="172">
        <f t="shared" si="735"/>
        <v>4</v>
      </c>
      <c r="U253" s="217">
        <f t="shared" si="736"/>
        <v>1.7068808732610503</v>
      </c>
      <c r="V253" s="217">
        <f t="shared" si="737"/>
        <v>0.56964685740843934</v>
      </c>
      <c r="W253" s="217">
        <f t="shared" si="738"/>
        <v>1.0616293177114928</v>
      </c>
      <c r="X253" s="197">
        <f t="shared" si="739"/>
        <v>350</v>
      </c>
      <c r="Y253" s="443">
        <f t="shared" si="680"/>
        <v>350</v>
      </c>
      <c r="AA253" s="217">
        <f t="shared" si="740"/>
        <v>2.9895627542485421</v>
      </c>
      <c r="AB253" s="173">
        <f t="shared" si="741"/>
        <v>1.8594194338735024</v>
      </c>
      <c r="AC253" s="173">
        <f t="shared" si="742"/>
        <v>3.8911957588238923</v>
      </c>
      <c r="AD253" s="173"/>
      <c r="AE253" s="173">
        <f t="shared" si="743"/>
        <v>0.8292938184047306</v>
      </c>
      <c r="AF253" s="545">
        <f t="shared" si="744"/>
        <v>1003.8661588017582</v>
      </c>
      <c r="AG253" s="528">
        <f t="shared" si="745"/>
        <v>0.77400756384441549</v>
      </c>
      <c r="AI253" s="173">
        <f t="shared" si="746"/>
        <v>2.2580971439187492</v>
      </c>
      <c r="AJ253" s="173">
        <f t="shared" si="747"/>
        <v>2.2580971439187492</v>
      </c>
      <c r="AK253" s="173">
        <f t="shared" si="748"/>
        <v>1.885010230063271</v>
      </c>
      <c r="AM253" s="545">
        <f t="shared" si="749"/>
        <v>2219.9999999999995</v>
      </c>
      <c r="AN253" s="460">
        <f t="shared" si="750"/>
        <v>350</v>
      </c>
      <c r="AP253">
        <f t="shared" si="751"/>
        <v>2219.9999999999995</v>
      </c>
      <c r="AQ253">
        <f t="shared" si="752"/>
        <v>350</v>
      </c>
      <c r="AS253" s="5">
        <f t="shared" si="600"/>
        <v>2.8571428571428572</v>
      </c>
      <c r="AT253" s="5">
        <f t="shared" si="753"/>
        <v>0.75360733247818068</v>
      </c>
      <c r="AU253" s="5">
        <f t="shared" si="722"/>
        <v>2.1035355246646765</v>
      </c>
      <c r="AV253" s="5"/>
      <c r="AW253" s="173">
        <f t="shared" si="723"/>
        <v>0.26376256636736323</v>
      </c>
      <c r="AX253" s="173">
        <f t="shared" si="631"/>
        <v>10.707905693885424</v>
      </c>
      <c r="AY253" s="173">
        <f t="shared" si="632"/>
        <v>3.3249912922638534</v>
      </c>
      <c r="AZ253" s="173">
        <f t="shared" si="633"/>
        <v>3.2204311989625811</v>
      </c>
      <c r="BA253" s="460">
        <f t="shared" si="724"/>
        <v>41.825206952539027</v>
      </c>
      <c r="BB253" s="5">
        <f t="shared" si="725"/>
        <v>0.43291518400819995</v>
      </c>
      <c r="BD253" s="173">
        <f t="shared" si="681"/>
        <v>0.66955857126571405</v>
      </c>
      <c r="BE253" s="173">
        <f t="shared" si="682"/>
        <v>4.4745661512197934</v>
      </c>
      <c r="BG253" s="528">
        <f t="shared" si="683"/>
        <v>5.4693659003356883E-3</v>
      </c>
      <c r="BH253" s="528">
        <f t="shared" si="754"/>
        <v>0.81873862619385962</v>
      </c>
      <c r="BI253" s="528">
        <f t="shared" si="755"/>
        <v>0.31462034655605403</v>
      </c>
      <c r="BJ253" s="528">
        <f t="shared" si="684"/>
        <v>0.10684020886958651</v>
      </c>
      <c r="BK253">
        <f t="shared" si="685"/>
        <v>1.6180474965739922E-2</v>
      </c>
      <c r="BL253" s="460">
        <f t="shared" si="686"/>
        <v>330.80082152179398</v>
      </c>
      <c r="BM253" s="528">
        <f t="shared" si="756"/>
        <v>0.93373834265718936</v>
      </c>
      <c r="BN253" s="460">
        <f t="shared" si="687"/>
        <v>933.73834265718938</v>
      </c>
      <c r="BO253" s="528">
        <f t="shared" si="637"/>
        <v>1.5539999999999998</v>
      </c>
      <c r="BR253" s="460">
        <f t="shared" si="688"/>
        <v>1553.9999999999998</v>
      </c>
      <c r="BS253" s="528">
        <f t="shared" si="689"/>
        <v>1.3449260410661528E-2</v>
      </c>
      <c r="BT253" s="528">
        <f t="shared" si="690"/>
        <v>0.60065226724925735</v>
      </c>
      <c r="BU253" s="528">
        <f t="shared" si="691"/>
        <v>0.87800435253009435</v>
      </c>
      <c r="BV253" s="528"/>
      <c r="BW253" s="528">
        <f t="shared" si="692"/>
        <v>4.4616273724522607E-2</v>
      </c>
      <c r="BX253" s="460">
        <f t="shared" si="693"/>
        <v>1536.722153914536</v>
      </c>
      <c r="BY253" s="173">
        <f t="shared" si="694"/>
        <v>4.3525711764001116</v>
      </c>
      <c r="BZ253" s="5">
        <f t="shared" si="695"/>
        <v>8.879999999999999</v>
      </c>
      <c r="CA253" s="173">
        <f t="shared" si="696"/>
        <v>0.67107139509192359</v>
      </c>
      <c r="CB253" s="5">
        <f t="shared" si="697"/>
        <v>67.107139509192365</v>
      </c>
      <c r="CE253" s="562">
        <f t="shared" si="757"/>
        <v>-50</v>
      </c>
      <c r="CF253">
        <f t="shared" si="758"/>
        <v>-50</v>
      </c>
      <c r="CG253" s="173">
        <f t="shared" si="759"/>
        <v>0.5397916264633974</v>
      </c>
      <c r="CI253" s="170">
        <v>37</v>
      </c>
      <c r="CJ253" s="217">
        <f t="shared" si="698"/>
        <v>2.2199999999999998</v>
      </c>
      <c r="CK253" s="217"/>
      <c r="CL253" s="217">
        <f t="shared" si="641"/>
        <v>8.879999999999999</v>
      </c>
      <c r="CM253" s="541">
        <f t="shared" si="642"/>
        <v>36</v>
      </c>
      <c r="CN253" s="443">
        <f t="shared" si="643"/>
        <v>18.8</v>
      </c>
      <c r="CO253" s="443">
        <f t="shared" si="644"/>
        <v>54.8</v>
      </c>
      <c r="CP253" s="443"/>
      <c r="CQ253" s="217">
        <f t="shared" si="645"/>
        <v>0.34306569343065696</v>
      </c>
      <c r="CR253" s="172">
        <f t="shared" si="646"/>
        <v>41.723649635036502</v>
      </c>
      <c r="CS253" s="172">
        <f t="shared" si="647"/>
        <v>8.879999999999999</v>
      </c>
      <c r="CT253" s="217">
        <f t="shared" si="648"/>
        <v>10.430912408759125</v>
      </c>
      <c r="CU253" s="217">
        <f t="shared" si="649"/>
        <v>4</v>
      </c>
      <c r="CV253" s="217"/>
      <c r="CW253" s="172">
        <f t="shared" si="650"/>
        <v>45.191334872263766</v>
      </c>
      <c r="CX253" s="172">
        <f t="shared" si="651"/>
        <v>4</v>
      </c>
      <c r="CY253" s="217">
        <f t="shared" si="652"/>
        <v>1.4380141843971628</v>
      </c>
      <c r="CZ253" s="217">
        <f t="shared" si="653"/>
        <v>0.47933806146572083</v>
      </c>
      <c r="DA253" s="217">
        <f t="shared" si="654"/>
        <v>0.9178813942960613</v>
      </c>
      <c r="DB253" s="197">
        <f t="shared" si="655"/>
        <v>350</v>
      </c>
      <c r="DC253" s="443">
        <f t="shared" si="656"/>
        <v>350</v>
      </c>
      <c r="DE253" s="217">
        <f t="shared" si="657"/>
        <v>2.940563086548488</v>
      </c>
      <c r="DF253" s="173">
        <f t="shared" si="658"/>
        <v>1.8769551616266944</v>
      </c>
      <c r="DG253" s="173">
        <f t="shared" si="659"/>
        <v>3.8635135443702762</v>
      </c>
      <c r="DH253" s="173"/>
      <c r="DI253" s="173">
        <f t="shared" si="660"/>
        <v>0.85106382978723416</v>
      </c>
      <c r="DJ253" s="545">
        <f t="shared" si="661"/>
        <v>978.18749999999966</v>
      </c>
      <c r="DK253" s="528">
        <f t="shared" si="662"/>
        <v>0.79432624113475192</v>
      </c>
      <c r="DM253" s="173">
        <f t="shared" si="663"/>
        <v>2.2290292570021211</v>
      </c>
      <c r="DN253" s="173">
        <f t="shared" si="664"/>
        <v>2.2290292570021211</v>
      </c>
      <c r="DO253" s="173">
        <f t="shared" si="665"/>
        <v>1.8634784619768796</v>
      </c>
      <c r="DQ253" s="545">
        <f t="shared" si="666"/>
        <v>2219.9999999999995</v>
      </c>
      <c r="DR253" s="460">
        <f t="shared" si="667"/>
        <v>350</v>
      </c>
      <c r="DT253">
        <f t="shared" si="668"/>
        <v>2219.9999999999995</v>
      </c>
      <c r="DU253">
        <f t="shared" si="669"/>
        <v>350</v>
      </c>
      <c r="DW253" s="5">
        <f t="shared" si="670"/>
        <v>2.8571428571428572</v>
      </c>
      <c r="DX253" s="5">
        <f t="shared" si="671"/>
        <v>0.74300975233404043</v>
      </c>
      <c r="DY253" s="5">
        <f t="shared" si="672"/>
        <v>2.1141331048088166</v>
      </c>
      <c r="DZ253" s="5"/>
      <c r="EA253" s="173">
        <f t="shared" si="673"/>
        <v>0.26005341331691412</v>
      </c>
      <c r="EB253" s="173">
        <f t="shared" si="699"/>
        <v>10.433999999999999</v>
      </c>
      <c r="EC253" s="173">
        <f t="shared" si="700"/>
        <v>3.298725180670909</v>
      </c>
      <c r="ED253" s="173">
        <f t="shared" si="701"/>
        <v>3.1630400923176896</v>
      </c>
      <c r="EE253" s="460">
        <f t="shared" si="674"/>
        <v>41.237041254539236</v>
      </c>
      <c r="EF253" s="5">
        <f t="shared" si="675"/>
        <v>0.43457180487736774</v>
      </c>
      <c r="EH253" s="173">
        <f t="shared" si="702"/>
        <v>0.65627584629963231</v>
      </c>
      <c r="EI253" s="173">
        <f t="shared" si="703"/>
        <v>4.4280785715778395</v>
      </c>
      <c r="EK253" s="528">
        <f t="shared" si="704"/>
        <v>5.2545154345228426E-3</v>
      </c>
      <c r="EL253" s="528">
        <f t="shared" si="705"/>
        <v>0.85505562298601356</v>
      </c>
      <c r="EM253" s="528">
        <f t="shared" si="706"/>
        <v>4.3749999999999997E-2</v>
      </c>
      <c r="EN253" s="528">
        <f t="shared" si="707"/>
        <v>0.10510639999999997</v>
      </c>
      <c r="EO253">
        <f t="shared" si="708"/>
        <v>1.6199999999999999E-2</v>
      </c>
      <c r="EP253" s="460">
        <f t="shared" si="709"/>
        <v>59.949999999999996</v>
      </c>
      <c r="EQ253" s="460"/>
      <c r="ER253" s="460">
        <f t="shared" si="710"/>
        <v>1025.3665384205365</v>
      </c>
      <c r="ES253" s="528">
        <f t="shared" si="711"/>
        <v>1.5539999999999998</v>
      </c>
      <c r="EV253" s="460">
        <f t="shared" si="712"/>
        <v>1553.9999999999998</v>
      </c>
      <c r="EW253" s="528">
        <f t="shared" si="713"/>
        <v>1.2920939593088959E-2</v>
      </c>
      <c r="EX253" s="528">
        <f t="shared" si="714"/>
        <v>0.5882363950820052</v>
      </c>
      <c r="EY253" s="528">
        <f t="shared" si="715"/>
        <v>0.85002076917641956</v>
      </c>
      <c r="EZ253" s="528"/>
      <c r="FA253" s="528">
        <f t="shared" si="716"/>
        <v>4.3475E-2</v>
      </c>
      <c r="FB253" s="460">
        <f t="shared" si="717"/>
        <v>1494.6531038515136</v>
      </c>
      <c r="FC253" s="173">
        <f t="shared" si="718"/>
        <v>4.0740196422720496</v>
      </c>
      <c r="FD253" s="5">
        <f t="shared" si="719"/>
        <v>8.879999999999999</v>
      </c>
      <c r="FE253" s="173">
        <f t="shared" si="720"/>
        <v>0.68550150804329846</v>
      </c>
      <c r="FF253" s="5">
        <f t="shared" si="721"/>
        <v>68.550150804329846</v>
      </c>
      <c r="FI253" s="562">
        <f t="shared" si="676"/>
        <v>-50</v>
      </c>
      <c r="FJ253">
        <f t="shared" si="677"/>
        <v>-50</v>
      </c>
      <c r="FL253">
        <f t="shared" si="760"/>
        <v>0.49797462124515479</v>
      </c>
    </row>
    <row r="254" spans="5:168">
      <c r="E254" s="170">
        <v>38</v>
      </c>
      <c r="F254" s="217">
        <f t="shared" si="761"/>
        <v>2.2800000000000002</v>
      </c>
      <c r="G254" s="217"/>
      <c r="H254" s="217">
        <f t="shared" si="726"/>
        <v>9.120000000000001</v>
      </c>
      <c r="I254" s="541">
        <f t="shared" si="727"/>
        <v>35.956028606701956</v>
      </c>
      <c r="J254" s="172">
        <f t="shared" si="728"/>
        <v>19.300148549361658</v>
      </c>
      <c r="K254" s="172">
        <f t="shared" si="729"/>
        <v>55.256177156063615</v>
      </c>
      <c r="L254" s="443"/>
      <c r="M254" s="217">
        <f t="shared" si="730"/>
        <v>0.34977912939234002</v>
      </c>
      <c r="N254" s="172">
        <f t="shared" si="731"/>
        <v>42.488178018738232</v>
      </c>
      <c r="O254" s="172">
        <f t="shared" si="599"/>
        <v>9.120000000000001</v>
      </c>
      <c r="P254" s="217">
        <f t="shared" si="732"/>
        <v>10.622044504684558</v>
      </c>
      <c r="Q254" s="217">
        <f t="shared" si="733"/>
        <v>4</v>
      </c>
      <c r="R254" s="217"/>
      <c r="S254" s="172">
        <f t="shared" si="734"/>
        <v>43.719941093592382</v>
      </c>
      <c r="T254" s="172">
        <f t="shared" si="735"/>
        <v>4</v>
      </c>
      <c r="U254" s="217">
        <f t="shared" si="736"/>
        <v>1.7532503977219616</v>
      </c>
      <c r="V254" s="217">
        <f t="shared" si="737"/>
        <v>0.58513149499336015</v>
      </c>
      <c r="W254" s="217">
        <f t="shared" si="738"/>
        <v>1.0900954839209978</v>
      </c>
      <c r="X254" s="197">
        <f t="shared" si="739"/>
        <v>350</v>
      </c>
      <c r="Y254" s="443">
        <f t="shared" si="680"/>
        <v>350</v>
      </c>
      <c r="AA254" s="217">
        <f t="shared" si="740"/>
        <v>2.9902138120295061</v>
      </c>
      <c r="AB254" s="173">
        <f t="shared" si="741"/>
        <v>1.8591859877441652</v>
      </c>
      <c r="AC254" s="173">
        <f t="shared" si="742"/>
        <v>3.891554533779026</v>
      </c>
      <c r="AD254" s="173"/>
      <c r="AE254" s="173">
        <f t="shared" si="743"/>
        <v>0.82900916327554341</v>
      </c>
      <c r="AF254" s="545">
        <f t="shared" si="744"/>
        <v>1031.3516881065134</v>
      </c>
      <c r="AG254" s="528">
        <f t="shared" si="745"/>
        <v>0.77374188572384073</v>
      </c>
      <c r="AI254" s="173">
        <f t="shared" si="746"/>
        <v>2.2888013782572858</v>
      </c>
      <c r="AJ254" s="173">
        <f t="shared" si="747"/>
        <v>2.2888013782572858</v>
      </c>
      <c r="AK254" s="173">
        <f t="shared" si="748"/>
        <v>1.9077541073510758</v>
      </c>
      <c r="AM254" s="545">
        <f t="shared" si="749"/>
        <v>2280.0000000000005</v>
      </c>
      <c r="AN254" s="460">
        <f t="shared" si="750"/>
        <v>350</v>
      </c>
      <c r="AP254">
        <f t="shared" si="751"/>
        <v>2280.0000000000005</v>
      </c>
      <c r="AQ254">
        <f t="shared" si="752"/>
        <v>350</v>
      </c>
      <c r="AS254" s="5">
        <f t="shared" si="600"/>
        <v>2.8571428571428572</v>
      </c>
      <c r="AT254" s="5">
        <f t="shared" si="753"/>
        <v>0.76386680073916813</v>
      </c>
      <c r="AU254" s="5">
        <f t="shared" si="722"/>
        <v>2.0932760564036892</v>
      </c>
      <c r="AV254" s="5"/>
      <c r="AW254" s="173">
        <f t="shared" si="723"/>
        <v>0.26735338025870886</v>
      </c>
      <c r="AX254" s="173">
        <f t="shared" si="631"/>
        <v>11.001084673136146</v>
      </c>
      <c r="AY254" s="173">
        <f t="shared" si="632"/>
        <v>3.3537651860788174</v>
      </c>
      <c r="AZ254" s="173">
        <f t="shared" si="633"/>
        <v>3.2802191157570233</v>
      </c>
      <c r="BA254" s="460">
        <f t="shared" si="724"/>
        <v>43.540407642132585</v>
      </c>
      <c r="BB254" s="5">
        <f t="shared" si="725"/>
        <v>0.44245425997082249</v>
      </c>
      <c r="BD254" s="173">
        <f t="shared" si="681"/>
        <v>0.68326679976619209</v>
      </c>
      <c r="BE254" s="173">
        <f t="shared" si="682"/>
        <v>4.5243349066276393</v>
      </c>
      <c r="BG254" s="528">
        <f t="shared" si="683"/>
        <v>5.6956129398853502E-3</v>
      </c>
      <c r="BH254" s="528">
        <f t="shared" si="754"/>
        <v>0.82996209471017812</v>
      </c>
      <c r="BI254" s="528">
        <f t="shared" si="755"/>
        <v>0.31461525030864212</v>
      </c>
      <c r="BJ254" s="528">
        <f t="shared" si="684"/>
        <v>0.10686357898658003</v>
      </c>
      <c r="BK254">
        <f t="shared" si="685"/>
        <v>1.6180212873015881E-2</v>
      </c>
      <c r="BL254" s="460">
        <f t="shared" si="686"/>
        <v>330.79546318165796</v>
      </c>
      <c r="BM254" s="528">
        <f t="shared" si="756"/>
        <v>0.94533840745427011</v>
      </c>
      <c r="BN254" s="460">
        <f t="shared" si="687"/>
        <v>945.33840745427017</v>
      </c>
      <c r="BO254" s="528">
        <f t="shared" si="637"/>
        <v>1.5960000000000001</v>
      </c>
      <c r="BR254" s="460">
        <f t="shared" si="688"/>
        <v>1596</v>
      </c>
      <c r="BS254" s="528">
        <f t="shared" si="689"/>
        <v>1.4005605589882009E-2</v>
      </c>
      <c r="BT254" s="528">
        <f t="shared" si="690"/>
        <v>0.61408819041987983</v>
      </c>
      <c r="BU254" s="528">
        <f t="shared" si="691"/>
        <v>0.90815584196392019</v>
      </c>
      <c r="BV254" s="528"/>
      <c r="BW254" s="528">
        <f t="shared" si="692"/>
        <v>4.5837852804733945E-2</v>
      </c>
      <c r="BX254" s="460">
        <f t="shared" si="693"/>
        <v>1582.0874907784159</v>
      </c>
      <c r="BY254" s="173">
        <f t="shared" si="694"/>
        <v>4.4514042405967178</v>
      </c>
      <c r="BZ254" s="5">
        <f t="shared" si="695"/>
        <v>9.120000000000001</v>
      </c>
      <c r="CA254" s="173">
        <f t="shared" si="696"/>
        <v>0.67200120476250769</v>
      </c>
      <c r="CB254" s="5">
        <f t="shared" si="697"/>
        <v>67.200120476250774</v>
      </c>
      <c r="CE254" s="562">
        <f t="shared" si="757"/>
        <v>-50</v>
      </c>
      <c r="CF254">
        <f t="shared" si="758"/>
        <v>-50</v>
      </c>
      <c r="CG254" s="173">
        <f t="shared" si="759"/>
        <v>0.54703747586431417</v>
      </c>
      <c r="CI254" s="170">
        <v>38</v>
      </c>
      <c r="CJ254" s="217">
        <f t="shared" si="698"/>
        <v>2.2800000000000002</v>
      </c>
      <c r="CK254" s="217"/>
      <c r="CL254" s="217">
        <f t="shared" si="641"/>
        <v>9.120000000000001</v>
      </c>
      <c r="CM254" s="541">
        <f t="shared" si="642"/>
        <v>36</v>
      </c>
      <c r="CN254" s="443">
        <f t="shared" si="643"/>
        <v>18.8</v>
      </c>
      <c r="CO254" s="443">
        <f t="shared" si="644"/>
        <v>54.8</v>
      </c>
      <c r="CP254" s="443"/>
      <c r="CQ254" s="217">
        <f t="shared" si="645"/>
        <v>0.34306569343065696</v>
      </c>
      <c r="CR254" s="172">
        <f t="shared" si="646"/>
        <v>41.723649635036502</v>
      </c>
      <c r="CS254" s="172">
        <f t="shared" si="647"/>
        <v>9.120000000000001</v>
      </c>
      <c r="CT254" s="217">
        <f t="shared" si="648"/>
        <v>10.430912408759125</v>
      </c>
      <c r="CU254" s="217">
        <f t="shared" si="649"/>
        <v>4</v>
      </c>
      <c r="CV254" s="217"/>
      <c r="CW254" s="172">
        <f t="shared" si="650"/>
        <v>43.773237176003043</v>
      </c>
      <c r="CX254" s="172">
        <f t="shared" si="651"/>
        <v>4</v>
      </c>
      <c r="CY254" s="217">
        <f t="shared" si="652"/>
        <v>1.4768794326241135</v>
      </c>
      <c r="CZ254" s="217">
        <f t="shared" si="653"/>
        <v>0.49229314420803777</v>
      </c>
      <c r="DA254" s="217">
        <f t="shared" si="654"/>
        <v>0.94268899954730645</v>
      </c>
      <c r="DB254" s="197">
        <f t="shared" si="655"/>
        <v>350</v>
      </c>
      <c r="DC254" s="443">
        <f t="shared" si="656"/>
        <v>350</v>
      </c>
      <c r="DE254" s="217">
        <f t="shared" si="657"/>
        <v>2.940563086548488</v>
      </c>
      <c r="DF254" s="173">
        <f t="shared" si="658"/>
        <v>1.8769551616266944</v>
      </c>
      <c r="DG254" s="173">
        <f t="shared" si="659"/>
        <v>3.8635135443702762</v>
      </c>
      <c r="DH254" s="173"/>
      <c r="DI254" s="173">
        <f t="shared" si="660"/>
        <v>0.85106382978723416</v>
      </c>
      <c r="DJ254" s="545">
        <f t="shared" si="661"/>
        <v>1004.6249999999999</v>
      </c>
      <c r="DK254" s="528">
        <f t="shared" si="662"/>
        <v>0.79432624113475192</v>
      </c>
      <c r="DM254" s="173">
        <f t="shared" si="663"/>
        <v>2.2589504516162244</v>
      </c>
      <c r="DN254" s="173">
        <f t="shared" si="664"/>
        <v>2.2589504516162244</v>
      </c>
      <c r="DO254" s="173">
        <f t="shared" si="665"/>
        <v>1.8856423098391784</v>
      </c>
      <c r="DQ254" s="545">
        <f t="shared" si="666"/>
        <v>2280.0000000000005</v>
      </c>
      <c r="DR254" s="460">
        <f t="shared" si="667"/>
        <v>350</v>
      </c>
      <c r="DT254">
        <f t="shared" si="668"/>
        <v>2280.0000000000005</v>
      </c>
      <c r="DU254">
        <f t="shared" si="669"/>
        <v>350</v>
      </c>
      <c r="DW254" s="5">
        <f t="shared" si="670"/>
        <v>2.8571428571428572</v>
      </c>
      <c r="DX254" s="5">
        <f t="shared" si="671"/>
        <v>0.75298348387207481</v>
      </c>
      <c r="DY254" s="5">
        <f t="shared" si="672"/>
        <v>2.1041593732707824</v>
      </c>
      <c r="DZ254" s="5"/>
      <c r="EA254" s="173">
        <f t="shared" si="673"/>
        <v>0.26354421935522615</v>
      </c>
      <c r="EB254" s="173">
        <f t="shared" si="699"/>
        <v>10.716000000000003</v>
      </c>
      <c r="EC254" s="173">
        <f t="shared" si="700"/>
        <v>3.3272342365657819</v>
      </c>
      <c r="ED254" s="173">
        <f t="shared" si="701"/>
        <v>3.2206929954713872</v>
      </c>
      <c r="EE254" s="460">
        <f t="shared" si="674"/>
        <v>42.920058580708272</v>
      </c>
      <c r="EF254" s="5">
        <f t="shared" si="675"/>
        <v>0.44421142324605406</v>
      </c>
      <c r="EH254" s="173">
        <f t="shared" si="702"/>
        <v>0.66953429142838428</v>
      </c>
      <c r="EI254" s="173">
        <f t="shared" si="703"/>
        <v>4.4769207516843501</v>
      </c>
      <c r="EK254" s="528">
        <f t="shared" si="704"/>
        <v>5.468969242261805E-3</v>
      </c>
      <c r="EL254" s="528">
        <f t="shared" si="705"/>
        <v>0.8665333932399838</v>
      </c>
      <c r="EM254" s="528">
        <f t="shared" si="706"/>
        <v>4.3749999999999997E-2</v>
      </c>
      <c r="EN254" s="528">
        <f t="shared" si="707"/>
        <v>0.10510639999999997</v>
      </c>
      <c r="EO254">
        <f t="shared" si="708"/>
        <v>1.6199999999999999E-2</v>
      </c>
      <c r="EP254" s="460">
        <f t="shared" si="709"/>
        <v>59.949999999999996</v>
      </c>
      <c r="EQ254" s="460"/>
      <c r="ER254" s="460">
        <f t="shared" si="710"/>
        <v>1037.0587624822456</v>
      </c>
      <c r="ES254" s="528">
        <f t="shared" si="711"/>
        <v>1.5960000000000001</v>
      </c>
      <c r="EV254" s="460">
        <f t="shared" si="712"/>
        <v>1596</v>
      </c>
      <c r="EW254" s="528">
        <f t="shared" si="713"/>
        <v>1.3448285021955258E-2</v>
      </c>
      <c r="EX254" s="528">
        <f t="shared" si="714"/>
        <v>0.60128458250585903</v>
      </c>
      <c r="EY254" s="528">
        <f t="shared" si="715"/>
        <v>0.87883405578853424</v>
      </c>
      <c r="EZ254" s="528"/>
      <c r="FA254" s="528">
        <f t="shared" si="716"/>
        <v>4.4650000000000016E-2</v>
      </c>
      <c r="FB254" s="460">
        <f t="shared" si="717"/>
        <v>1538.2169233163488</v>
      </c>
      <c r="FC254" s="173">
        <f t="shared" si="718"/>
        <v>4.1712756857985935</v>
      </c>
      <c r="FD254" s="5">
        <f t="shared" si="719"/>
        <v>9.120000000000001</v>
      </c>
      <c r="FE254" s="173">
        <f t="shared" si="720"/>
        <v>0.68616438448752504</v>
      </c>
      <c r="FF254" s="5">
        <f t="shared" si="721"/>
        <v>68.616438448752504</v>
      </c>
      <c r="FI254" s="562">
        <f t="shared" si="676"/>
        <v>-50</v>
      </c>
      <c r="FJ254">
        <f t="shared" si="677"/>
        <v>-50</v>
      </c>
      <c r="FL254">
        <f t="shared" si="760"/>
        <v>0.50465914344617779</v>
      </c>
    </row>
    <row r="255" spans="5:168">
      <c r="E255" s="170">
        <v>39</v>
      </c>
      <c r="F255" s="217">
        <f t="shared" si="761"/>
        <v>2.34</v>
      </c>
      <c r="G255" s="217"/>
      <c r="H255" s="217">
        <f t="shared" si="726"/>
        <v>9.36</v>
      </c>
      <c r="I255" s="541">
        <f t="shared" si="727"/>
        <v>35.95545379285025</v>
      </c>
      <c r="J255" s="172">
        <f t="shared" si="728"/>
        <v>19.30668671639528</v>
      </c>
      <c r="K255" s="172">
        <f t="shared" si="729"/>
        <v>55.262140509245526</v>
      </c>
      <c r="L255" s="443"/>
      <c r="M255" s="217">
        <f t="shared" si="730"/>
        <v>0.3498660895767009</v>
      </c>
      <c r="N255" s="172">
        <f t="shared" si="731"/>
        <v>42.498061788986632</v>
      </c>
      <c r="O255" s="172">
        <f t="shared" si="599"/>
        <v>9.36</v>
      </c>
      <c r="P255" s="217">
        <f t="shared" si="732"/>
        <v>10.624515447246658</v>
      </c>
      <c r="Q255" s="217">
        <f t="shared" si="733"/>
        <v>4</v>
      </c>
      <c r="R255" s="217"/>
      <c r="S255" s="172">
        <f t="shared" si="734"/>
        <v>42.375804522323328</v>
      </c>
      <c r="T255" s="172">
        <f t="shared" si="735"/>
        <v>4</v>
      </c>
      <c r="U255" s="217">
        <f t="shared" si="736"/>
        <v>1.7996292475164366</v>
      </c>
      <c r="V255" s="217">
        <f t="shared" si="737"/>
        <v>0.60061961933829133</v>
      </c>
      <c r="W255" s="217">
        <f t="shared" si="738"/>
        <v>1.1185529287041391</v>
      </c>
      <c r="X255" s="197">
        <f t="shared" si="739"/>
        <v>350</v>
      </c>
      <c r="Y255" s="443">
        <f t="shared" si="680"/>
        <v>350</v>
      </c>
      <c r="AA255" s="217">
        <f t="shared" si="740"/>
        <v>2.9908561859609559</v>
      </c>
      <c r="AB255" s="173">
        <f t="shared" si="741"/>
        <v>1.8589556436451304</v>
      </c>
      <c r="AC255" s="173">
        <f t="shared" si="742"/>
        <v>3.8919082903561479</v>
      </c>
      <c r="AD255" s="173"/>
      <c r="AE255" s="173">
        <f t="shared" si="743"/>
        <v>0.82872842114399503</v>
      </c>
      <c r="AF255" s="545">
        <f t="shared" si="744"/>
        <v>1058.8510996023033</v>
      </c>
      <c r="AG255" s="528">
        <f t="shared" si="745"/>
        <v>0.77347985973439548</v>
      </c>
      <c r="AI255" s="173">
        <f t="shared" si="746"/>
        <v>2.3191143351648829</v>
      </c>
      <c r="AJ255" s="173">
        <f t="shared" si="747"/>
        <v>2.3191143351648829</v>
      </c>
      <c r="AK255" s="173">
        <f t="shared" si="748"/>
        <v>1.9302081495048513</v>
      </c>
      <c r="AM255" s="545">
        <f t="shared" si="749"/>
        <v>2340</v>
      </c>
      <c r="AN255" s="460">
        <f t="shared" si="750"/>
        <v>350</v>
      </c>
      <c r="AP255">
        <f t="shared" si="751"/>
        <v>2340</v>
      </c>
      <c r="AQ255">
        <f t="shared" si="752"/>
        <v>350</v>
      </c>
      <c r="AS255" s="5">
        <f t="shared" si="600"/>
        <v>2.8571428571428572</v>
      </c>
      <c r="AT255" s="5">
        <f t="shared" si="753"/>
        <v>0.77399585004020932</v>
      </c>
      <c r="AU255" s="5">
        <f t="shared" si="722"/>
        <v>2.0831470071026477</v>
      </c>
      <c r="AV255" s="5"/>
      <c r="AW255" s="173">
        <f t="shared" si="723"/>
        <v>0.27089854751407327</v>
      </c>
      <c r="AX255" s="173">
        <f t="shared" si="631"/>
        <v>11.294411729091239</v>
      </c>
      <c r="AY255" s="173">
        <f t="shared" si="632"/>
        <v>3.3817392604993008</v>
      </c>
      <c r="AZ255" s="173">
        <f t="shared" si="633"/>
        <v>3.3398233450510499</v>
      </c>
      <c r="BA255" s="460">
        <f t="shared" si="724"/>
        <v>45.278757227352237</v>
      </c>
      <c r="BB255" s="5">
        <f t="shared" si="725"/>
        <v>0.45190770638060124</v>
      </c>
      <c r="BD255" s="173">
        <f t="shared" si="681"/>
        <v>0.6968910247569432</v>
      </c>
      <c r="BE255" s="173">
        <f t="shared" si="682"/>
        <v>4.5731506271027396</v>
      </c>
      <c r="BG255" s="528">
        <f t="shared" si="683"/>
        <v>5.9250166247187454E-3</v>
      </c>
      <c r="BH255" s="528">
        <f t="shared" si="754"/>
        <v>0.84104489599519772</v>
      </c>
      <c r="BI255" s="528">
        <f t="shared" si="755"/>
        <v>0.31461022068743966</v>
      </c>
      <c r="BJ255" s="528">
        <f t="shared" si="684"/>
        <v>0.10688664607822584</v>
      </c>
      <c r="BK255">
        <f t="shared" si="685"/>
        <v>1.6179954206782612E-2</v>
      </c>
      <c r="BL255" s="460">
        <f t="shared" si="686"/>
        <v>330.79017489422222</v>
      </c>
      <c r="BM255" s="528">
        <f t="shared" si="756"/>
        <v>0.95680328549547589</v>
      </c>
      <c r="BN255" s="460">
        <f t="shared" si="687"/>
        <v>956.80328549547585</v>
      </c>
      <c r="BO255" s="528">
        <f t="shared" si="637"/>
        <v>1.6379999999999999</v>
      </c>
      <c r="BR255" s="460">
        <f t="shared" si="688"/>
        <v>1638</v>
      </c>
      <c r="BS255" s="528">
        <f t="shared" si="689"/>
        <v>1.4569713011603473E-2</v>
      </c>
      <c r="BT255" s="528">
        <f t="shared" si="690"/>
        <v>0.6274111997451054</v>
      </c>
      <c r="BU255" s="528">
        <f t="shared" si="691"/>
        <v>0.93852428814671596</v>
      </c>
      <c r="BV255" s="528"/>
      <c r="BW255" s="528">
        <f t="shared" si="692"/>
        <v>4.7060048871213497E-2</v>
      </c>
      <c r="BX255" s="460">
        <f t="shared" si="693"/>
        <v>1627.5652497746382</v>
      </c>
      <c r="BY255" s="173">
        <f t="shared" si="694"/>
        <v>4.5502119833670029</v>
      </c>
      <c r="BZ255" s="5">
        <f t="shared" si="695"/>
        <v>9.36</v>
      </c>
      <c r="CA255" s="173">
        <f t="shared" si="696"/>
        <v>0.67288694170815844</v>
      </c>
      <c r="CB255" s="5">
        <f t="shared" si="697"/>
        <v>67.288694170815845</v>
      </c>
      <c r="CE255" s="562">
        <f t="shared" si="757"/>
        <v>-50</v>
      </c>
      <c r="CF255">
        <f t="shared" si="758"/>
        <v>-50</v>
      </c>
      <c r="CG255" s="173">
        <f t="shared" si="759"/>
        <v>0.55418859605733495</v>
      </c>
      <c r="CI255" s="170">
        <v>39</v>
      </c>
      <c r="CJ255" s="217">
        <f t="shared" si="698"/>
        <v>2.34</v>
      </c>
      <c r="CK255" s="217"/>
      <c r="CL255" s="217">
        <f t="shared" si="641"/>
        <v>9.36</v>
      </c>
      <c r="CM255" s="541">
        <f t="shared" si="642"/>
        <v>36</v>
      </c>
      <c r="CN255" s="443">
        <f t="shared" si="643"/>
        <v>18.8</v>
      </c>
      <c r="CO255" s="443">
        <f t="shared" si="644"/>
        <v>54.8</v>
      </c>
      <c r="CP255" s="443"/>
      <c r="CQ255" s="217">
        <f t="shared" si="645"/>
        <v>0.34306569343065696</v>
      </c>
      <c r="CR255" s="172">
        <f t="shared" si="646"/>
        <v>41.723649635036502</v>
      </c>
      <c r="CS255" s="172">
        <f t="shared" si="647"/>
        <v>9.36</v>
      </c>
      <c r="CT255" s="217">
        <f t="shared" si="648"/>
        <v>10.430912408759125</v>
      </c>
      <c r="CU255" s="217">
        <f t="shared" si="649"/>
        <v>4</v>
      </c>
      <c r="CV255" s="217"/>
      <c r="CW255" s="172">
        <f t="shared" si="650"/>
        <v>42.428127644372154</v>
      </c>
      <c r="CX255" s="172">
        <f t="shared" si="651"/>
        <v>4</v>
      </c>
      <c r="CY255" s="217">
        <f t="shared" si="652"/>
        <v>1.5157446808510635</v>
      </c>
      <c r="CZ255" s="217">
        <f t="shared" si="653"/>
        <v>0.50524822695035454</v>
      </c>
      <c r="DA255" s="217">
        <f t="shared" si="654"/>
        <v>0.96749660479855115</v>
      </c>
      <c r="DB255" s="197">
        <f t="shared" si="655"/>
        <v>350</v>
      </c>
      <c r="DC255" s="443">
        <f t="shared" si="656"/>
        <v>350</v>
      </c>
      <c r="DE255" s="217">
        <f t="shared" si="657"/>
        <v>2.940563086548488</v>
      </c>
      <c r="DF255" s="173">
        <f t="shared" si="658"/>
        <v>1.8769551616266944</v>
      </c>
      <c r="DG255" s="173">
        <f t="shared" si="659"/>
        <v>3.8635135443702762</v>
      </c>
      <c r="DH255" s="173"/>
      <c r="DI255" s="173">
        <f t="shared" si="660"/>
        <v>0.85106382978723416</v>
      </c>
      <c r="DJ255" s="545">
        <f t="shared" si="661"/>
        <v>1031.0624999999995</v>
      </c>
      <c r="DK255" s="528">
        <f t="shared" si="662"/>
        <v>0.79432624113475192</v>
      </c>
      <c r="DM255" s="173">
        <f t="shared" si="663"/>
        <v>2.2884804690324225</v>
      </c>
      <c r="DN255" s="173">
        <f t="shared" si="664"/>
        <v>2.2884804690324225</v>
      </c>
      <c r="DO255" s="173">
        <f t="shared" si="665"/>
        <v>1.90751639681414</v>
      </c>
      <c r="DQ255" s="545">
        <f t="shared" si="666"/>
        <v>2340</v>
      </c>
      <c r="DR255" s="460">
        <f t="shared" si="667"/>
        <v>350</v>
      </c>
      <c r="DT255">
        <f t="shared" si="668"/>
        <v>2340</v>
      </c>
      <c r="DU255">
        <f t="shared" si="669"/>
        <v>350</v>
      </c>
      <c r="DW255" s="5">
        <f t="shared" si="670"/>
        <v>2.8571428571428572</v>
      </c>
      <c r="DX255" s="5">
        <f t="shared" si="671"/>
        <v>0.76282682301080751</v>
      </c>
      <c r="DY255" s="5">
        <f t="shared" si="672"/>
        <v>2.0943160341320497</v>
      </c>
      <c r="DZ255" s="5"/>
      <c r="EA255" s="173">
        <f t="shared" si="673"/>
        <v>0.26698938805378264</v>
      </c>
      <c r="EB255" s="173">
        <f t="shared" si="699"/>
        <v>10.998000000000001</v>
      </c>
      <c r="EC255" s="173">
        <f t="shared" si="700"/>
        <v>3.3549609380648455</v>
      </c>
      <c r="ED255" s="173">
        <f t="shared" si="701"/>
        <v>3.2781305663557712</v>
      </c>
      <c r="EE255" s="460">
        <f t="shared" si="674"/>
        <v>44.625369146132236</v>
      </c>
      <c r="EF255" s="5">
        <f t="shared" si="675"/>
        <v>0.45376847406194404</v>
      </c>
      <c r="EH255" s="173">
        <f t="shared" si="702"/>
        <v>0.68270578499057943</v>
      </c>
      <c r="EI255" s="173">
        <f t="shared" si="703"/>
        <v>4.5248241457182523</v>
      </c>
      <c r="EK255" s="528">
        <f t="shared" si="704"/>
        <v>5.6862637040871597E-3</v>
      </c>
      <c r="EL255" s="528">
        <f t="shared" si="705"/>
        <v>0.87786110792083727</v>
      </c>
      <c r="EM255" s="528">
        <f t="shared" si="706"/>
        <v>4.3749999999999997E-2</v>
      </c>
      <c r="EN255" s="528">
        <f t="shared" si="707"/>
        <v>0.10510639999999997</v>
      </c>
      <c r="EO255">
        <f t="shared" si="708"/>
        <v>1.6199999999999999E-2</v>
      </c>
      <c r="EP255" s="460">
        <f t="shared" si="709"/>
        <v>59.949999999999996</v>
      </c>
      <c r="EQ255" s="460"/>
      <c r="ER255" s="460">
        <f t="shared" si="710"/>
        <v>1048.6037716249243</v>
      </c>
      <c r="ES255" s="528">
        <f t="shared" si="711"/>
        <v>1.6379999999999999</v>
      </c>
      <c r="EV255" s="460">
        <f t="shared" si="712"/>
        <v>1638</v>
      </c>
      <c r="EW255" s="528">
        <f t="shared" si="713"/>
        <v>1.3982615665788097E-2</v>
      </c>
      <c r="EX255" s="528">
        <f t="shared" si="714"/>
        <v>0.61422100649024725</v>
      </c>
      <c r="EY255" s="528">
        <f t="shared" si="715"/>
        <v>0.90783754769809655</v>
      </c>
      <c r="EZ255" s="528"/>
      <c r="FA255" s="528">
        <f t="shared" si="716"/>
        <v>4.5825000000000005E-2</v>
      </c>
      <c r="FB255" s="460">
        <f t="shared" si="717"/>
        <v>1581.8661698541318</v>
      </c>
      <c r="FC255" s="173">
        <f t="shared" si="718"/>
        <v>4.2684699414790561</v>
      </c>
      <c r="FD255" s="5">
        <f t="shared" si="719"/>
        <v>9.36</v>
      </c>
      <c r="FE255" s="173">
        <f t="shared" si="720"/>
        <v>0.68679756716579643</v>
      </c>
      <c r="FF255" s="5">
        <f t="shared" si="721"/>
        <v>68.679756716579647</v>
      </c>
      <c r="FI255" s="562">
        <f t="shared" si="676"/>
        <v>-50</v>
      </c>
      <c r="FJ255">
        <f t="shared" si="677"/>
        <v>-50</v>
      </c>
      <c r="FL255">
        <f t="shared" si="760"/>
        <v>0.51125627499660498</v>
      </c>
    </row>
    <row r="256" spans="5:168">
      <c r="E256" s="170">
        <v>40</v>
      </c>
      <c r="F256" s="217">
        <f t="shared" si="761"/>
        <v>2.4000000000000004</v>
      </c>
      <c r="G256" s="217"/>
      <c r="H256" s="217">
        <f t="shared" si="726"/>
        <v>9.6000000000000014</v>
      </c>
      <c r="I256" s="541">
        <f t="shared" si="727"/>
        <v>35.954886302365182</v>
      </c>
      <c r="J256" s="172">
        <f t="shared" si="728"/>
        <v>19.313141584471854</v>
      </c>
      <c r="K256" s="172">
        <f t="shared" si="729"/>
        <v>55.268027886837032</v>
      </c>
      <c r="L256" s="443"/>
      <c r="M256" s="217">
        <f t="shared" si="730"/>
        <v>0.34995192176438866</v>
      </c>
      <c r="N256" s="172">
        <f t="shared" si="731"/>
        <v>42.507816864567609</v>
      </c>
      <c r="O256" s="172">
        <f t="shared" si="599"/>
        <v>9.6000000000000014</v>
      </c>
      <c r="P256" s="217">
        <f t="shared" si="732"/>
        <v>10.626954216141902</v>
      </c>
      <c r="Q256" s="217">
        <f t="shared" si="733"/>
        <v>4</v>
      </c>
      <c r="R256" s="217"/>
      <c r="S256" s="172">
        <f t="shared" si="734"/>
        <v>41.099152393675077</v>
      </c>
      <c r="T256" s="172">
        <f t="shared" si="735"/>
        <v>4</v>
      </c>
      <c r="U256" s="217">
        <f t="shared" si="736"/>
        <v>1.8460173026848909</v>
      </c>
      <c r="V256" s="217">
        <f t="shared" si="737"/>
        <v>0.61611118572113166</v>
      </c>
      <c r="W256" s="217">
        <f t="shared" si="738"/>
        <v>1.1470017726183659</v>
      </c>
      <c r="X256" s="197">
        <f t="shared" si="739"/>
        <v>350</v>
      </c>
      <c r="Y256" s="443">
        <f t="shared" si="680"/>
        <v>350</v>
      </c>
      <c r="AA256" s="217">
        <f t="shared" si="740"/>
        <v>2.9914902080327486</v>
      </c>
      <c r="AB256" s="173">
        <f t="shared" si="741"/>
        <v>1.8587282829871443</v>
      </c>
      <c r="AC256" s="173">
        <f t="shared" si="742"/>
        <v>3.8922572205646961</v>
      </c>
      <c r="AD256" s="173"/>
      <c r="AE256" s="173">
        <f t="shared" si="743"/>
        <v>0.82845144224823153</v>
      </c>
      <c r="AF256" s="545">
        <f t="shared" si="744"/>
        <v>1086.3642141265418</v>
      </c>
      <c r="AG256" s="528">
        <f t="shared" si="745"/>
        <v>0.77322134609834947</v>
      </c>
      <c r="AI256" s="173">
        <f t="shared" si="746"/>
        <v>2.3490509685203182</v>
      </c>
      <c r="AJ256" s="173">
        <f t="shared" si="747"/>
        <v>2.3490509685203182</v>
      </c>
      <c r="AK256" s="173">
        <f t="shared" si="748"/>
        <v>1.9523834334718404</v>
      </c>
      <c r="AM256" s="545">
        <f t="shared" si="749"/>
        <v>2400.0000000000005</v>
      </c>
      <c r="AN256" s="460">
        <f t="shared" si="750"/>
        <v>350</v>
      </c>
      <c r="AP256">
        <f t="shared" si="751"/>
        <v>2400.0000000000005</v>
      </c>
      <c r="AQ256">
        <f t="shared" si="752"/>
        <v>350</v>
      </c>
      <c r="AS256" s="5">
        <f t="shared" si="600"/>
        <v>2.8571428571428572</v>
      </c>
      <c r="AT256" s="5">
        <f t="shared" si="753"/>
        <v>0.78399946491805539</v>
      </c>
      <c r="AU256" s="5">
        <f t="shared" si="722"/>
        <v>2.0731433922248019</v>
      </c>
      <c r="AV256" s="5"/>
      <c r="AW256" s="173">
        <f t="shared" si="723"/>
        <v>0.27439981272131936</v>
      </c>
      <c r="AX256" s="173">
        <f t="shared" si="631"/>
        <v>11.587884950683115</v>
      </c>
      <c r="AY256" s="173">
        <f t="shared" si="632"/>
        <v>3.4089436453710178</v>
      </c>
      <c r="AZ256" s="173">
        <f t="shared" si="633"/>
        <v>3.3992597579071826</v>
      </c>
      <c r="BA256" s="460">
        <f t="shared" si="724"/>
        <v>47.039967895083329</v>
      </c>
      <c r="BB256" s="5">
        <f t="shared" si="725"/>
        <v>0.46127658417063089</v>
      </c>
      <c r="BD256" s="173">
        <f t="shared" si="681"/>
        <v>0.71043396756519128</v>
      </c>
      <c r="BE256" s="173">
        <f t="shared" si="682"/>
        <v>4.6210481846409328</v>
      </c>
      <c r="BG256" s="528">
        <f t="shared" si="683"/>
        <v>6.1575403516991138E-3</v>
      </c>
      <c r="BH256" s="528">
        <f t="shared" si="754"/>
        <v>0.85199240723482261</v>
      </c>
      <c r="BI256" s="528">
        <f t="shared" si="755"/>
        <v>0.31460525514569532</v>
      </c>
      <c r="BJ256" s="528">
        <f t="shared" si="684"/>
        <v>0.10690942172750686</v>
      </c>
      <c r="BK256">
        <f t="shared" si="685"/>
        <v>1.6179698836064332E-2</v>
      </c>
      <c r="BL256" s="460">
        <f t="shared" si="686"/>
        <v>330.78495398175966</v>
      </c>
      <c r="BM256" s="528">
        <f t="shared" si="756"/>
        <v>0.96813832215543161</v>
      </c>
      <c r="BN256" s="460">
        <f t="shared" si="687"/>
        <v>968.13832215543164</v>
      </c>
      <c r="BO256" s="528">
        <f t="shared" si="637"/>
        <v>1.6800000000000002</v>
      </c>
      <c r="BR256" s="460">
        <f t="shared" si="688"/>
        <v>1680.0000000000002</v>
      </c>
      <c r="BS256" s="528">
        <f t="shared" si="689"/>
        <v>1.5141492668112577E-2</v>
      </c>
      <c r="BT256" s="528">
        <f t="shared" si="690"/>
        <v>0.64062258974319775</v>
      </c>
      <c r="BU256" s="528">
        <f t="shared" si="691"/>
        <v>0.96910584993992477</v>
      </c>
      <c r="BV256" s="528"/>
      <c r="BW256" s="528">
        <f t="shared" si="692"/>
        <v>4.8282853961179643E-2</v>
      </c>
      <c r="BX256" s="460">
        <f t="shared" si="693"/>
        <v>1673.1527863124149</v>
      </c>
      <c r="BY256" s="173">
        <f t="shared" si="694"/>
        <v>4.648997109608203</v>
      </c>
      <c r="BZ256" s="5">
        <f t="shared" si="695"/>
        <v>9.6000000000000014</v>
      </c>
      <c r="CA256" s="173">
        <f t="shared" si="696"/>
        <v>0.67373162659473418</v>
      </c>
      <c r="CB256" s="5">
        <f t="shared" si="697"/>
        <v>67.373162659473422</v>
      </c>
      <c r="CE256" s="562">
        <f t="shared" si="757"/>
        <v>-50</v>
      </c>
      <c r="CF256">
        <f t="shared" si="758"/>
        <v>-50</v>
      </c>
      <c r="CG256" s="173">
        <f t="shared" si="759"/>
        <v>0.56124860801609122</v>
      </c>
      <c r="CI256" s="170">
        <v>40</v>
      </c>
      <c r="CJ256" s="217">
        <f t="shared" si="698"/>
        <v>2.4000000000000004</v>
      </c>
      <c r="CK256" s="217"/>
      <c r="CL256" s="217">
        <f t="shared" si="641"/>
        <v>9.6000000000000014</v>
      </c>
      <c r="CM256" s="541">
        <f t="shared" si="642"/>
        <v>36</v>
      </c>
      <c r="CN256" s="443">
        <f t="shared" si="643"/>
        <v>18.8</v>
      </c>
      <c r="CO256" s="443">
        <f t="shared" si="644"/>
        <v>54.8</v>
      </c>
      <c r="CP256" s="443"/>
      <c r="CQ256" s="217">
        <f t="shared" si="645"/>
        <v>0.34306569343065696</v>
      </c>
      <c r="CR256" s="172">
        <f t="shared" si="646"/>
        <v>41.723649635036502</v>
      </c>
      <c r="CS256" s="172">
        <f t="shared" si="647"/>
        <v>9.6000000000000014</v>
      </c>
      <c r="CT256" s="217">
        <f t="shared" si="648"/>
        <v>10.430912408759125</v>
      </c>
      <c r="CU256" s="217">
        <f t="shared" si="649"/>
        <v>4</v>
      </c>
      <c r="CV256" s="217"/>
      <c r="CW256" s="172">
        <f t="shared" si="650"/>
        <v>41.150535707452789</v>
      </c>
      <c r="CX256" s="172">
        <f t="shared" si="651"/>
        <v>4</v>
      </c>
      <c r="CY256" s="217">
        <f t="shared" si="652"/>
        <v>1.5546099290780142</v>
      </c>
      <c r="CZ256" s="217">
        <f t="shared" si="653"/>
        <v>0.51820330969267137</v>
      </c>
      <c r="DA256" s="217">
        <f t="shared" si="654"/>
        <v>0.9923042100497963</v>
      </c>
      <c r="DB256" s="197">
        <f t="shared" si="655"/>
        <v>350</v>
      </c>
      <c r="DC256" s="443">
        <f t="shared" si="656"/>
        <v>350</v>
      </c>
      <c r="DE256" s="217">
        <f t="shared" si="657"/>
        <v>2.940563086548488</v>
      </c>
      <c r="DF256" s="173">
        <f t="shared" si="658"/>
        <v>1.8769551616266944</v>
      </c>
      <c r="DG256" s="173">
        <f t="shared" si="659"/>
        <v>3.8635135443702762</v>
      </c>
      <c r="DH256" s="173"/>
      <c r="DI256" s="173">
        <f t="shared" si="660"/>
        <v>0.85106382978723416</v>
      </c>
      <c r="DJ256" s="545">
        <f t="shared" si="661"/>
        <v>1057.5</v>
      </c>
      <c r="DK256" s="528">
        <f t="shared" si="662"/>
        <v>0.79432624113475192</v>
      </c>
      <c r="DM256" s="173">
        <f t="shared" si="663"/>
        <v>2.3176342617912287</v>
      </c>
      <c r="DN256" s="173">
        <f t="shared" si="664"/>
        <v>2.3176342617912287</v>
      </c>
      <c r="DO256" s="173">
        <f t="shared" si="665"/>
        <v>1.9291117988577</v>
      </c>
      <c r="DQ256" s="545">
        <f t="shared" si="666"/>
        <v>2400.0000000000005</v>
      </c>
      <c r="DR256" s="460">
        <f t="shared" si="667"/>
        <v>350</v>
      </c>
      <c r="DT256">
        <f t="shared" si="668"/>
        <v>2400.0000000000005</v>
      </c>
      <c r="DU256">
        <f t="shared" si="669"/>
        <v>350</v>
      </c>
      <c r="DW256" s="5">
        <f t="shared" si="670"/>
        <v>2.8571428571428572</v>
      </c>
      <c r="DX256" s="5">
        <f t="shared" si="671"/>
        <v>0.77254475393040967</v>
      </c>
      <c r="DY256" s="5">
        <f t="shared" si="672"/>
        <v>2.0845981032124477</v>
      </c>
      <c r="DZ256" s="5"/>
      <c r="EA256" s="173">
        <f t="shared" si="673"/>
        <v>0.27039066387564337</v>
      </c>
      <c r="EB256" s="173">
        <f t="shared" si="699"/>
        <v>11.280000000000005</v>
      </c>
      <c r="EC256" s="173">
        <f t="shared" si="700"/>
        <v>3.3819351902491235</v>
      </c>
      <c r="ED256" s="173">
        <f t="shared" si="701"/>
        <v>3.3353684696628045</v>
      </c>
      <c r="EE256" s="460">
        <f t="shared" si="674"/>
        <v>46.352685235824588</v>
      </c>
      <c r="EF256" s="5">
        <f t="shared" si="675"/>
        <v>0.46324402293609951</v>
      </c>
      <c r="EH256" s="173">
        <f t="shared" si="702"/>
        <v>0.69579310559705199</v>
      </c>
      <c r="EI256" s="173">
        <f t="shared" si="703"/>
        <v>4.5718235218429868</v>
      </c>
      <c r="EK256" s="528">
        <f t="shared" si="704"/>
        <v>5.9063621587159615E-3</v>
      </c>
      <c r="EL256" s="528">
        <f t="shared" si="705"/>
        <v>0.8890445028231152</v>
      </c>
      <c r="EM256" s="528">
        <f t="shared" si="706"/>
        <v>4.3749999999999997E-2</v>
      </c>
      <c r="EN256" s="528">
        <f t="shared" si="707"/>
        <v>0.10510639999999997</v>
      </c>
      <c r="EO256">
        <f t="shared" si="708"/>
        <v>1.6199999999999999E-2</v>
      </c>
      <c r="EP256" s="460">
        <f t="shared" si="709"/>
        <v>59.949999999999996</v>
      </c>
      <c r="EQ256" s="460"/>
      <c r="ER256" s="460">
        <f t="shared" si="710"/>
        <v>1060.007264981831</v>
      </c>
      <c r="ES256" s="528">
        <f t="shared" si="711"/>
        <v>1.6800000000000002</v>
      </c>
      <c r="EV256" s="460">
        <f t="shared" si="712"/>
        <v>1680.0000000000002</v>
      </c>
      <c r="EW256" s="528">
        <f t="shared" si="713"/>
        <v>1.452384137389171E-2</v>
      </c>
      <c r="EX256" s="528">
        <f t="shared" si="714"/>
        <v>0.62704710944630426</v>
      </c>
      <c r="EY256" s="528">
        <f t="shared" si="715"/>
        <v>0.93702757454458263</v>
      </c>
      <c r="EZ256" s="528"/>
      <c r="FA256" s="528">
        <f t="shared" si="716"/>
        <v>4.7000000000000021E-2</v>
      </c>
      <c r="FB256" s="460">
        <f t="shared" si="717"/>
        <v>1625.5985253647787</v>
      </c>
      <c r="FC256" s="173">
        <f t="shared" si="718"/>
        <v>4.365605790346609</v>
      </c>
      <c r="FD256" s="5">
        <f t="shared" si="719"/>
        <v>9.6000000000000014</v>
      </c>
      <c r="FE256" s="173">
        <f t="shared" si="720"/>
        <v>0.68740304889858561</v>
      </c>
      <c r="FF256" s="5">
        <f t="shared" si="721"/>
        <v>68.740304889858564</v>
      </c>
      <c r="FI256" s="562">
        <f t="shared" si="676"/>
        <v>-50</v>
      </c>
      <c r="FJ256">
        <f t="shared" si="677"/>
        <v>-50</v>
      </c>
      <c r="FL256">
        <f t="shared" si="760"/>
        <v>0.51776935635761479</v>
      </c>
    </row>
    <row r="257" spans="5:168">
      <c r="E257" s="170">
        <v>41</v>
      </c>
      <c r="F257" s="217">
        <f t="shared" si="761"/>
        <v>2.46</v>
      </c>
      <c r="G257" s="217"/>
      <c r="H257" s="217">
        <f t="shared" si="726"/>
        <v>9.84</v>
      </c>
      <c r="I257" s="541">
        <f t="shared" si="727"/>
        <v>35.954325862272583</v>
      </c>
      <c r="J257" s="172">
        <f t="shared" si="728"/>
        <v>19.31951625851088</v>
      </c>
      <c r="K257" s="172">
        <f t="shared" si="729"/>
        <v>55.273842120783463</v>
      </c>
      <c r="L257" s="443"/>
      <c r="M257" s="217">
        <f t="shared" si="730"/>
        <v>0.35003666800764505</v>
      </c>
      <c r="N257" s="172">
        <f t="shared" si="731"/>
        <v>42.517448043441412</v>
      </c>
      <c r="O257" s="172">
        <f t="shared" si="599"/>
        <v>9.84</v>
      </c>
      <c r="P257" s="217">
        <f t="shared" si="732"/>
        <v>10.629362010860353</v>
      </c>
      <c r="Q257" s="217">
        <f t="shared" si="733"/>
        <v>4</v>
      </c>
      <c r="R257" s="217"/>
      <c r="S257" s="172">
        <f t="shared" si="734"/>
        <v>39.885049893852035</v>
      </c>
      <c r="T257" s="172">
        <f t="shared" si="735"/>
        <v>4</v>
      </c>
      <c r="U257" s="217">
        <f t="shared" si="736"/>
        <v>1.8924144477960605</v>
      </c>
      <c r="V257" s="217">
        <f t="shared" si="737"/>
        <v>0.63160615110799767</v>
      </c>
      <c r="W257" s="217">
        <f t="shared" si="738"/>
        <v>1.1754421316604489</v>
      </c>
      <c r="X257" s="197">
        <f t="shared" si="739"/>
        <v>350</v>
      </c>
      <c r="Y257" s="443">
        <f t="shared" si="680"/>
        <v>350</v>
      </c>
      <c r="AA257" s="217">
        <f t="shared" si="740"/>
        <v>2.9921161896078097</v>
      </c>
      <c r="AB257" s="173">
        <f t="shared" si="741"/>
        <v>1.8585037945490077</v>
      </c>
      <c r="AC257" s="173">
        <f t="shared" si="742"/>
        <v>3.8926015044823425</v>
      </c>
      <c r="AD257" s="173"/>
      <c r="AE257" s="173">
        <f t="shared" si="743"/>
        <v>0.8281780861335738</v>
      </c>
      <c r="AF257" s="545">
        <f t="shared" si="744"/>
        <v>1113.8908592797677</v>
      </c>
      <c r="AG257" s="528">
        <f t="shared" si="745"/>
        <v>0.772966213724669</v>
      </c>
      <c r="AI257" s="173">
        <f t="shared" si="746"/>
        <v>2.3786253031634921</v>
      </c>
      <c r="AJ257" s="173">
        <f t="shared" si="747"/>
        <v>2.3786253031634921</v>
      </c>
      <c r="AK257" s="173">
        <f t="shared" si="748"/>
        <v>1.9742903480223397</v>
      </c>
      <c r="AM257" s="545">
        <f t="shared" si="749"/>
        <v>2460</v>
      </c>
      <c r="AN257" s="460">
        <f t="shared" si="750"/>
        <v>350</v>
      </c>
      <c r="AP257">
        <f t="shared" si="751"/>
        <v>2460</v>
      </c>
      <c r="AQ257">
        <f t="shared" si="752"/>
        <v>350</v>
      </c>
      <c r="AS257" s="5">
        <f t="shared" si="600"/>
        <v>2.8571428571428572</v>
      </c>
      <c r="AT257" s="5">
        <f t="shared" si="753"/>
        <v>0.79388232023321115</v>
      </c>
      <c r="AU257" s="5">
        <f t="shared" si="722"/>
        <v>2.0632605369096462</v>
      </c>
      <c r="AV257" s="5"/>
      <c r="AW257" s="173">
        <f t="shared" si="723"/>
        <v>0.27785881208162388</v>
      </c>
      <c r="AX257" s="173">
        <f t="shared" si="631"/>
        <v>11.881502498984192</v>
      </c>
      <c r="AY257" s="173">
        <f t="shared" si="632"/>
        <v>3.4354066040783833</v>
      </c>
      <c r="AZ257" s="173">
        <f t="shared" si="633"/>
        <v>3.4585433016513756</v>
      </c>
      <c r="BA257" s="460">
        <f t="shared" si="724"/>
        <v>48.823762694342484</v>
      </c>
      <c r="BB257" s="5">
        <f t="shared" si="725"/>
        <v>0.47056191423163857</v>
      </c>
      <c r="BD257" s="173">
        <f t="shared" si="681"/>
        <v>0.72389819617855811</v>
      </c>
      <c r="BE257" s="173">
        <f t="shared" si="682"/>
        <v>4.66806028956091</v>
      </c>
      <c r="BG257" s="528">
        <f t="shared" si="683"/>
        <v>6.3931489008529551E-3</v>
      </c>
      <c r="BH257" s="528">
        <f t="shared" si="754"/>
        <v>0.86280967153210963</v>
      </c>
      <c r="BI257" s="528">
        <f t="shared" si="755"/>
        <v>0.31460035129488512</v>
      </c>
      <c r="BJ257" s="528">
        <f t="shared" si="684"/>
        <v>0.10693191679776536</v>
      </c>
      <c r="BK257">
        <f t="shared" si="685"/>
        <v>1.6179446638022663E-2</v>
      </c>
      <c r="BL257" s="460">
        <f t="shared" si="686"/>
        <v>330.7797979329078</v>
      </c>
      <c r="BM257" s="528">
        <f t="shared" si="756"/>
        <v>0.97934852977802278</v>
      </c>
      <c r="BN257" s="460">
        <f t="shared" si="687"/>
        <v>979.34852977802279</v>
      </c>
      <c r="BO257" s="528">
        <f t="shared" si="637"/>
        <v>1.722</v>
      </c>
      <c r="BR257" s="460">
        <f t="shared" si="688"/>
        <v>1722</v>
      </c>
      <c r="BS257" s="528">
        <f t="shared" si="689"/>
        <v>1.5720857952917104E-2</v>
      </c>
      <c r="BT257" s="528">
        <f t="shared" si="690"/>
        <v>0.6537236060092646</v>
      </c>
      <c r="BU257" s="528">
        <f t="shared" si="691"/>
        <v>0.99989685274362117</v>
      </c>
      <c r="BV257" s="528"/>
      <c r="BW257" s="528">
        <f t="shared" si="692"/>
        <v>4.9506260412434132E-2</v>
      </c>
      <c r="BX257" s="460">
        <f t="shared" si="693"/>
        <v>1718.847577118237</v>
      </c>
      <c r="BY257" s="173">
        <f t="shared" si="694"/>
        <v>4.7477621122818725</v>
      </c>
      <c r="BZ257" s="5">
        <f t="shared" si="695"/>
        <v>9.84</v>
      </c>
      <c r="CA257" s="173">
        <f t="shared" si="696"/>
        <v>0.67453800824702304</v>
      </c>
      <c r="CB257" s="5">
        <f t="shared" si="697"/>
        <v>67.453800824702299</v>
      </c>
      <c r="CE257" s="562">
        <f t="shared" si="757"/>
        <v>-50</v>
      </c>
      <c r="CF257">
        <f t="shared" si="758"/>
        <v>-50</v>
      </c>
      <c r="CG257" s="173">
        <f t="shared" si="759"/>
        <v>0.56822090774627432</v>
      </c>
      <c r="CI257" s="170">
        <v>41</v>
      </c>
      <c r="CJ257" s="217">
        <f t="shared" si="698"/>
        <v>2.46</v>
      </c>
      <c r="CK257" s="217"/>
      <c r="CL257" s="217">
        <f t="shared" si="641"/>
        <v>9.84</v>
      </c>
      <c r="CM257" s="541">
        <f t="shared" si="642"/>
        <v>36</v>
      </c>
      <c r="CN257" s="443">
        <f t="shared" si="643"/>
        <v>18.8</v>
      </c>
      <c r="CO257" s="443">
        <f t="shared" si="644"/>
        <v>54.8</v>
      </c>
      <c r="CP257" s="443"/>
      <c r="CQ257" s="217">
        <f t="shared" si="645"/>
        <v>0.34306569343065696</v>
      </c>
      <c r="CR257" s="172">
        <f t="shared" si="646"/>
        <v>41.723649635036502</v>
      </c>
      <c r="CS257" s="172">
        <f t="shared" si="647"/>
        <v>9.84</v>
      </c>
      <c r="CT257" s="217">
        <f t="shared" si="648"/>
        <v>10.430912408759125</v>
      </c>
      <c r="CU257" s="217">
        <f t="shared" si="649"/>
        <v>4</v>
      </c>
      <c r="CV257" s="217"/>
      <c r="CW257" s="172">
        <f t="shared" si="650"/>
        <v>39.935524563175719</v>
      </c>
      <c r="CX257" s="172">
        <f t="shared" si="651"/>
        <v>4</v>
      </c>
      <c r="CY257" s="217">
        <f t="shared" si="652"/>
        <v>1.5934751773049642</v>
      </c>
      <c r="CZ257" s="217">
        <f t="shared" si="653"/>
        <v>0.53115839243498808</v>
      </c>
      <c r="DA257" s="217">
        <f t="shared" si="654"/>
        <v>1.017111815301041</v>
      </c>
      <c r="DB257" s="197">
        <f t="shared" si="655"/>
        <v>350</v>
      </c>
      <c r="DC257" s="443">
        <f t="shared" si="656"/>
        <v>350</v>
      </c>
      <c r="DE257" s="217">
        <f t="shared" si="657"/>
        <v>2.940563086548488</v>
      </c>
      <c r="DF257" s="173">
        <f t="shared" si="658"/>
        <v>1.8769551616266944</v>
      </c>
      <c r="DG257" s="173">
        <f t="shared" si="659"/>
        <v>3.8635135443702762</v>
      </c>
      <c r="DH257" s="173"/>
      <c r="DI257" s="173">
        <f t="shared" si="660"/>
        <v>0.85106382978723416</v>
      </c>
      <c r="DJ257" s="545">
        <f t="shared" si="661"/>
        <v>1083.9374999999998</v>
      </c>
      <c r="DK257" s="528">
        <f t="shared" si="662"/>
        <v>0.79432624113475192</v>
      </c>
      <c r="DM257" s="173">
        <f t="shared" si="663"/>
        <v>2.3464258534448272</v>
      </c>
      <c r="DN257" s="173">
        <f t="shared" si="664"/>
        <v>2.3464258534448272</v>
      </c>
      <c r="DO257" s="173">
        <f t="shared" si="665"/>
        <v>1.9504389037862917</v>
      </c>
      <c r="DQ257" s="545">
        <f t="shared" si="666"/>
        <v>2460</v>
      </c>
      <c r="DR257" s="460">
        <f t="shared" si="667"/>
        <v>350</v>
      </c>
      <c r="DT257">
        <f t="shared" si="668"/>
        <v>2460</v>
      </c>
      <c r="DU257">
        <f t="shared" si="669"/>
        <v>350</v>
      </c>
      <c r="DW257" s="5">
        <f t="shared" si="670"/>
        <v>2.8571428571428572</v>
      </c>
      <c r="DX257" s="5">
        <f t="shared" si="671"/>
        <v>0.78214195114827578</v>
      </c>
      <c r="DY257" s="5">
        <f t="shared" si="672"/>
        <v>2.0750009059945813</v>
      </c>
      <c r="DZ257" s="5"/>
      <c r="EA257" s="173">
        <f t="shared" si="673"/>
        <v>0.2737496829018965</v>
      </c>
      <c r="EB257" s="173">
        <f t="shared" si="699"/>
        <v>11.562000000000001</v>
      </c>
      <c r="EC257" s="173">
        <f t="shared" si="700"/>
        <v>3.4081850402229876</v>
      </c>
      <c r="ED257" s="173">
        <f t="shared" si="701"/>
        <v>3.3924214394308629</v>
      </c>
      <c r="EE257" s="460">
        <f t="shared" si="674"/>
        <v>48.10172999561896</v>
      </c>
      <c r="EF257" s="5">
        <f t="shared" si="675"/>
        <v>0.47263909525432118</v>
      </c>
      <c r="EH257" s="173">
        <f t="shared" si="702"/>
        <v>0.7087988760014432</v>
      </c>
      <c r="EI257" s="173">
        <f t="shared" si="703"/>
        <v>4.6179514915030211</v>
      </c>
      <c r="EK257" s="528">
        <f t="shared" si="704"/>
        <v>6.129229328775093E-3</v>
      </c>
      <c r="EL257" s="528">
        <f t="shared" si="705"/>
        <v>0.90008895738143568</v>
      </c>
      <c r="EM257" s="528">
        <f t="shared" si="706"/>
        <v>4.3749999999999997E-2</v>
      </c>
      <c r="EN257" s="528">
        <f t="shared" si="707"/>
        <v>0.10510639999999997</v>
      </c>
      <c r="EO257">
        <f t="shared" si="708"/>
        <v>1.6199999999999999E-2</v>
      </c>
      <c r="EP257" s="460">
        <f t="shared" si="709"/>
        <v>59.949999999999996</v>
      </c>
      <c r="EQ257" s="460"/>
      <c r="ER257" s="460">
        <f t="shared" si="710"/>
        <v>1071.2745867102108</v>
      </c>
      <c r="ES257" s="528">
        <f t="shared" si="711"/>
        <v>1.722</v>
      </c>
      <c r="EV257" s="460">
        <f t="shared" si="712"/>
        <v>1722</v>
      </c>
      <c r="EW257" s="528">
        <f t="shared" si="713"/>
        <v>1.5071875398627279E-2</v>
      </c>
      <c r="EX257" s="528">
        <f t="shared" si="714"/>
        <v>0.63976427933624924</v>
      </c>
      <c r="EY257" s="528">
        <f t="shared" si="715"/>
        <v>0.96640062710257724</v>
      </c>
      <c r="EZ257" s="528"/>
      <c r="FA257" s="528">
        <f t="shared" si="716"/>
        <v>4.8175000000000003E-2</v>
      </c>
      <c r="FB257" s="460">
        <f t="shared" si="717"/>
        <v>1669.4117818374539</v>
      </c>
      <c r="FC257" s="173">
        <f t="shared" si="718"/>
        <v>4.4626863685476641</v>
      </c>
      <c r="FD257" s="5">
        <f t="shared" si="719"/>
        <v>9.84</v>
      </c>
      <c r="FE257" s="173">
        <f t="shared" si="720"/>
        <v>0.68798264510914964</v>
      </c>
      <c r="FF257" s="5">
        <f t="shared" si="721"/>
        <v>68.798264510914962</v>
      </c>
      <c r="FI257" s="562">
        <f t="shared" si="676"/>
        <v>-50</v>
      </c>
      <c r="FJ257">
        <f t="shared" si="677"/>
        <v>-50</v>
      </c>
      <c r="FL257">
        <f t="shared" si="760"/>
        <v>0.52420152045044011</v>
      </c>
    </row>
    <row r="258" spans="5:168">
      <c r="E258" s="170">
        <v>42</v>
      </c>
      <c r="F258" s="217">
        <f t="shared" si="761"/>
        <v>2.52</v>
      </c>
      <c r="G258" s="217"/>
      <c r="H258" s="217">
        <f t="shared" si="726"/>
        <v>10.08</v>
      </c>
      <c r="I258" s="541">
        <f t="shared" si="727"/>
        <v>35.953772216146561</v>
      </c>
      <c r="J258" s="172">
        <f t="shared" si="728"/>
        <v>19.325813655204961</v>
      </c>
      <c r="K258" s="172">
        <f t="shared" si="729"/>
        <v>55.279585871351522</v>
      </c>
      <c r="L258" s="443"/>
      <c r="M258" s="217">
        <f t="shared" si="730"/>
        <v>0.35012036780932909</v>
      </c>
      <c r="N258" s="172">
        <f t="shared" si="731"/>
        <v>42.526959832693827</v>
      </c>
      <c r="O258" s="172">
        <f t="shared" si="599"/>
        <v>10.08</v>
      </c>
      <c r="P258" s="217">
        <f t="shared" si="732"/>
        <v>10.631739958173457</v>
      </c>
      <c r="Q258" s="217">
        <f t="shared" si="733"/>
        <v>4</v>
      </c>
      <c r="R258" s="217"/>
      <c r="S258" s="172">
        <f t="shared" si="734"/>
        <v>38.729032268687732</v>
      </c>
      <c r="T258" s="172">
        <f t="shared" si="735"/>
        <v>4</v>
      </c>
      <c r="U258" s="217">
        <f t="shared" si="736"/>
        <v>1.9388205716690676</v>
      </c>
      <c r="V258" s="217">
        <f t="shared" si="737"/>
        <v>0.64710447404960469</v>
      </c>
      <c r="W258" s="217">
        <f t="shared" si="738"/>
        <v>1.2038741175465437</v>
      </c>
      <c r="X258" s="197">
        <f t="shared" si="739"/>
        <v>350</v>
      </c>
      <c r="Y258" s="443">
        <f t="shared" si="680"/>
        <v>350</v>
      </c>
      <c r="AA258" s="217">
        <f t="shared" si="740"/>
        <v>2.9927344231729118</v>
      </c>
      <c r="AB258" s="173">
        <f t="shared" si="741"/>
        <v>1.8582820738521744</v>
      </c>
      <c r="AC258" s="173">
        <f t="shared" si="742"/>
        <v>3.8929413112677844</v>
      </c>
      <c r="AD258" s="173"/>
      <c r="AE258" s="173">
        <f t="shared" si="743"/>
        <v>0.82790822086245119</v>
      </c>
      <c r="AF258" s="545">
        <f t="shared" si="744"/>
        <v>1141.4308690105424</v>
      </c>
      <c r="AG258" s="528">
        <f t="shared" si="745"/>
        <v>0.77271433947162127</v>
      </c>
      <c r="AI258" s="173">
        <f t="shared" si="746"/>
        <v>2.4078505137490342</v>
      </c>
      <c r="AJ258" s="173">
        <f t="shared" si="747"/>
        <v>2.4078505137490342</v>
      </c>
      <c r="AK258" s="173">
        <f t="shared" si="748"/>
        <v>1.9959386521597784</v>
      </c>
      <c r="AM258" s="545">
        <f t="shared" si="749"/>
        <v>2520</v>
      </c>
      <c r="AN258" s="460">
        <f t="shared" si="750"/>
        <v>350</v>
      </c>
      <c r="AP258">
        <f t="shared" si="751"/>
        <v>2520</v>
      </c>
      <c r="AQ258">
        <f t="shared" si="752"/>
        <v>350</v>
      </c>
      <c r="AS258" s="5">
        <f t="shared" si="600"/>
        <v>2.8571428571428572</v>
      </c>
      <c r="AT258" s="5">
        <f t="shared" si="753"/>
        <v>0.80364880745426337</v>
      </c>
      <c r="AU258" s="5">
        <f t="shared" si="722"/>
        <v>2.0534940496885938</v>
      </c>
      <c r="AV258" s="5"/>
      <c r="AW258" s="173">
        <f t="shared" si="723"/>
        <v>0.28127708260899215</v>
      </c>
      <c r="AX258" s="173">
        <f t="shared" si="631"/>
        <v>12.175262602779124</v>
      </c>
      <c r="AY258" s="173">
        <f t="shared" si="632"/>
        <v>3.4611546917662861</v>
      </c>
      <c r="AZ258" s="173">
        <f t="shared" si="633"/>
        <v>3.51768808014931</v>
      </c>
      <c r="BA258" s="460">
        <f t="shared" si="724"/>
        <v>50.629874869618597</v>
      </c>
      <c r="BB258" s="5">
        <f t="shared" si="725"/>
        <v>0.47976467986960314</v>
      </c>
      <c r="BD258" s="173">
        <f t="shared" si="681"/>
        <v>0.7372861373972166</v>
      </c>
      <c r="BE258" s="173">
        <f t="shared" si="682"/>
        <v>4.7142176735868082</v>
      </c>
      <c r="BG258" s="528">
        <f t="shared" si="683"/>
        <v>6.6318083504569086E-3</v>
      </c>
      <c r="BH258" s="528">
        <f t="shared" si="754"/>
        <v>0.87350142626359994</v>
      </c>
      <c r="BI258" s="528">
        <f t="shared" si="755"/>
        <v>0.31459550689128241</v>
      </c>
      <c r="BJ258" s="528">
        <f t="shared" si="684"/>
        <v>0.10695414149378443</v>
      </c>
      <c r="BK258">
        <f t="shared" si="685"/>
        <v>1.6179197497265953E-2</v>
      </c>
      <c r="BL258" s="460">
        <f t="shared" si="686"/>
        <v>330.77470438854834</v>
      </c>
      <c r="BM258" s="528">
        <f t="shared" si="756"/>
        <v>0.99043861598484761</v>
      </c>
      <c r="BN258" s="460">
        <f t="shared" si="687"/>
        <v>990.43861598484762</v>
      </c>
      <c r="BO258" s="528">
        <f t="shared" si="637"/>
        <v>1.7639999999999998</v>
      </c>
      <c r="BR258" s="460">
        <f t="shared" si="688"/>
        <v>1763.9999999999998</v>
      </c>
      <c r="BS258" s="528">
        <f t="shared" si="689"/>
        <v>1.6307725451943221E-2</v>
      </c>
      <c r="BT258" s="528">
        <f t="shared" si="690"/>
        <v>0.66671544821874651</v>
      </c>
      <c r="BU258" s="528">
        <f t="shared" si="691"/>
        <v>1.0308937773512015</v>
      </c>
      <c r="BV258" s="528"/>
      <c r="BW258" s="528">
        <f t="shared" si="692"/>
        <v>5.0730260844913021E-2</v>
      </c>
      <c r="BX258" s="460">
        <f t="shared" si="693"/>
        <v>1764.6472118668041</v>
      </c>
      <c r="BY258" s="173">
        <f t="shared" si="694"/>
        <v>4.8465092923631943</v>
      </c>
      <c r="BZ258" s="5">
        <f t="shared" si="695"/>
        <v>10.08</v>
      </c>
      <c r="CA258" s="173">
        <f t="shared" si="696"/>
        <v>0.67530859376191865</v>
      </c>
      <c r="CB258" s="5">
        <f t="shared" si="697"/>
        <v>67.53085937619187</v>
      </c>
      <c r="CE258" s="562">
        <f t="shared" si="757"/>
        <v>-50</v>
      </c>
      <c r="CF258">
        <f t="shared" si="758"/>
        <v>-50</v>
      </c>
      <c r="CG258" s="173">
        <f t="shared" si="759"/>
        <v>0.57510868538042448</v>
      </c>
      <c r="CI258" s="170">
        <v>42</v>
      </c>
      <c r="CJ258" s="217">
        <f t="shared" si="698"/>
        <v>2.52</v>
      </c>
      <c r="CK258" s="217"/>
      <c r="CL258" s="217">
        <f t="shared" si="641"/>
        <v>10.08</v>
      </c>
      <c r="CM258" s="541">
        <f t="shared" si="642"/>
        <v>36</v>
      </c>
      <c r="CN258" s="443">
        <f t="shared" si="643"/>
        <v>18.8</v>
      </c>
      <c r="CO258" s="443">
        <f t="shared" si="644"/>
        <v>54.8</v>
      </c>
      <c r="CP258" s="443"/>
      <c r="CQ258" s="217">
        <f t="shared" si="645"/>
        <v>0.34306569343065696</v>
      </c>
      <c r="CR258" s="172">
        <f t="shared" si="646"/>
        <v>41.723649635036502</v>
      </c>
      <c r="CS258" s="172">
        <f t="shared" si="647"/>
        <v>10.08</v>
      </c>
      <c r="CT258" s="217">
        <f t="shared" si="648"/>
        <v>10.430912408759125</v>
      </c>
      <c r="CU258" s="217">
        <f t="shared" si="649"/>
        <v>4</v>
      </c>
      <c r="CV258" s="217"/>
      <c r="CW258" s="172">
        <f t="shared" si="650"/>
        <v>38.778627634299376</v>
      </c>
      <c r="CX258" s="172">
        <f t="shared" si="651"/>
        <v>4</v>
      </c>
      <c r="CY258" s="217">
        <f t="shared" si="652"/>
        <v>1.6323404255319147</v>
      </c>
      <c r="CZ258" s="217">
        <f t="shared" si="653"/>
        <v>0.54411347517730491</v>
      </c>
      <c r="DA258" s="217">
        <f t="shared" si="654"/>
        <v>1.0419194205522859</v>
      </c>
      <c r="DB258" s="197">
        <f t="shared" si="655"/>
        <v>350</v>
      </c>
      <c r="DC258" s="443">
        <f t="shared" si="656"/>
        <v>350</v>
      </c>
      <c r="DE258" s="217">
        <f t="shared" si="657"/>
        <v>2.940563086548488</v>
      </c>
      <c r="DF258" s="173">
        <f t="shared" si="658"/>
        <v>1.8769551616266944</v>
      </c>
      <c r="DG258" s="173">
        <f t="shared" si="659"/>
        <v>3.8635135443702762</v>
      </c>
      <c r="DH258" s="173"/>
      <c r="DI258" s="173">
        <f t="shared" si="660"/>
        <v>0.85106382978723416</v>
      </c>
      <c r="DJ258" s="545">
        <f t="shared" si="661"/>
        <v>1110.3749999999998</v>
      </c>
      <c r="DK258" s="528">
        <f t="shared" si="662"/>
        <v>0.79432624113475192</v>
      </c>
      <c r="DM258" s="173">
        <f t="shared" si="663"/>
        <v>2.3748684174075834</v>
      </c>
      <c r="DN258" s="173">
        <f t="shared" si="664"/>
        <v>2.3748684174075834</v>
      </c>
      <c r="DO258" s="173">
        <f t="shared" si="665"/>
        <v>1.9715074696846295</v>
      </c>
      <c r="DQ258" s="545">
        <f t="shared" si="666"/>
        <v>2520</v>
      </c>
      <c r="DR258" s="460">
        <f t="shared" si="667"/>
        <v>350</v>
      </c>
      <c r="DT258">
        <f t="shared" si="668"/>
        <v>2520</v>
      </c>
      <c r="DU258">
        <f t="shared" si="669"/>
        <v>350</v>
      </c>
      <c r="DW258" s="5">
        <f t="shared" si="670"/>
        <v>2.8571428571428572</v>
      </c>
      <c r="DX258" s="5">
        <f t="shared" si="671"/>
        <v>0.79162280580252786</v>
      </c>
      <c r="DY258" s="5">
        <f t="shared" si="672"/>
        <v>2.0655200513403296</v>
      </c>
      <c r="DZ258" s="5"/>
      <c r="EA258" s="173">
        <f t="shared" si="673"/>
        <v>0.27706798203088473</v>
      </c>
      <c r="EB258" s="173">
        <f t="shared" si="699"/>
        <v>11.844000000000001</v>
      </c>
      <c r="EC258" s="173">
        <f t="shared" si="700"/>
        <v>3.4337368348151664</v>
      </c>
      <c r="ED258" s="173">
        <f t="shared" si="701"/>
        <v>3.4493033595096545</v>
      </c>
      <c r="EE258" s="460">
        <f t="shared" si="674"/>
        <v>49.872236765559258</v>
      </c>
      <c r="EF258" s="5">
        <f t="shared" si="675"/>
        <v>0.48195467864607683</v>
      </c>
      <c r="EH258" s="173">
        <f t="shared" si="702"/>
        <v>0.72172557542189353</v>
      </c>
      <c r="EI258" s="173">
        <f t="shared" si="703"/>
        <v>4.6632386922085578</v>
      </c>
      <c r="EK258" s="528">
        <f t="shared" si="704"/>
        <v>6.3548312358603721E-3</v>
      </c>
      <c r="EL258" s="528">
        <f t="shared" si="705"/>
        <v>0.9109995249175491</v>
      </c>
      <c r="EM258" s="528">
        <f t="shared" si="706"/>
        <v>4.3749999999999997E-2</v>
      </c>
      <c r="EN258" s="528">
        <f t="shared" si="707"/>
        <v>0.10510639999999997</v>
      </c>
      <c r="EO258">
        <f t="shared" si="708"/>
        <v>1.6199999999999999E-2</v>
      </c>
      <c r="EP258" s="460">
        <f t="shared" si="709"/>
        <v>59.949999999999996</v>
      </c>
      <c r="EQ258" s="460"/>
      <c r="ER258" s="460">
        <f t="shared" si="710"/>
        <v>1082.4107561534092</v>
      </c>
      <c r="ES258" s="528">
        <f t="shared" si="711"/>
        <v>1.7639999999999998</v>
      </c>
      <c r="EV258" s="460">
        <f t="shared" si="712"/>
        <v>1763.9999999999998</v>
      </c>
      <c r="EW258" s="528">
        <f t="shared" si="713"/>
        <v>1.5626634186541897E-2</v>
      </c>
      <c r="EX258" s="528">
        <f t="shared" si="714"/>
        <v>0.65237385301532946</v>
      </c>
      <c r="EY258" s="528">
        <f t="shared" si="715"/>
        <v>0.99595334643616062</v>
      </c>
      <c r="EZ258" s="528"/>
      <c r="FA258" s="528">
        <f t="shared" si="716"/>
        <v>4.9349999999999998E-2</v>
      </c>
      <c r="FB258" s="460">
        <f t="shared" si="717"/>
        <v>1713.3038336380318</v>
      </c>
      <c r="FC258" s="173">
        <f t="shared" si="718"/>
        <v>4.5597145897914402</v>
      </c>
      <c r="FD258" s="5">
        <f t="shared" si="719"/>
        <v>10.08</v>
      </c>
      <c r="FE258" s="173">
        <f t="shared" si="720"/>
        <v>0.68853801337281406</v>
      </c>
      <c r="FF258" s="5">
        <f t="shared" si="721"/>
        <v>68.853801337281411</v>
      </c>
      <c r="FI258" s="562">
        <f t="shared" si="676"/>
        <v>-50</v>
      </c>
      <c r="FJ258">
        <f t="shared" si="677"/>
        <v>-50</v>
      </c>
      <c r="FL258">
        <f t="shared" si="760"/>
        <v>0.53055571027190696</v>
      </c>
    </row>
    <row r="259" spans="5:168">
      <c r="E259" s="170">
        <v>43</v>
      </c>
      <c r="F259" s="217">
        <f t="shared" si="761"/>
        <v>2.58</v>
      </c>
      <c r="G259" s="217"/>
      <c r="H259" s="217">
        <f t="shared" si="726"/>
        <v>10.32</v>
      </c>
      <c r="I259" s="541">
        <f t="shared" si="727"/>
        <v>35.953225122738189</v>
      </c>
      <c r="J259" s="172">
        <f t="shared" si="728"/>
        <v>19.332036518617716</v>
      </c>
      <c r="K259" s="172">
        <f t="shared" si="729"/>
        <v>55.285261641355902</v>
      </c>
      <c r="L259" s="443"/>
      <c r="M259" s="217">
        <f t="shared" si="730"/>
        <v>0.35020305833418086</v>
      </c>
      <c r="N259" s="172">
        <f t="shared" si="731"/>
        <v>42.536356472640605</v>
      </c>
      <c r="O259" s="172">
        <f t="shared" si="599"/>
        <v>10.32</v>
      </c>
      <c r="P259" s="217">
        <f t="shared" si="732"/>
        <v>10.634089118160151</v>
      </c>
      <c r="Q259" s="217">
        <f t="shared" si="733"/>
        <v>4</v>
      </c>
      <c r="R259" s="217"/>
      <c r="S259" s="172">
        <f t="shared" si="734"/>
        <v>37.627050164392273</v>
      </c>
      <c r="T259" s="172">
        <f t="shared" si="735"/>
        <v>4</v>
      </c>
      <c r="U259" s="217">
        <f t="shared" si="736"/>
        <v>1.9852355671187936</v>
      </c>
      <c r="V259" s="217">
        <f t="shared" si="737"/>
        <v>0.66260611458633956</v>
      </c>
      <c r="W259" s="217">
        <f t="shared" si="738"/>
        <v>1.2322978379687497</v>
      </c>
      <c r="X259" s="197">
        <f t="shared" si="739"/>
        <v>350</v>
      </c>
      <c r="Y259" s="443">
        <f t="shared" si="680"/>
        <v>350</v>
      </c>
      <c r="AA259" s="217">
        <f t="shared" si="740"/>
        <v>2.9933451839029344</v>
      </c>
      <c r="AB259" s="173">
        <f t="shared" si="741"/>
        <v>1.8580630226020067</v>
      </c>
      <c r="AC259" s="173">
        <f t="shared" si="742"/>
        <v>3.8932768000656921</v>
      </c>
      <c r="AD259" s="173"/>
      <c r="AE259" s="173">
        <f t="shared" si="743"/>
        <v>0.82764172230852151</v>
      </c>
      <c r="AF259" s="545">
        <f t="shared" si="744"/>
        <v>1168.9840832351647</v>
      </c>
      <c r="AG259" s="528">
        <f t="shared" si="745"/>
        <v>0.77246560748795356</v>
      </c>
      <c r="AI259" s="173">
        <f t="shared" si="746"/>
        <v>2.4367389951979468</v>
      </c>
      <c r="AJ259" s="173">
        <f t="shared" si="747"/>
        <v>2.4367389951979468</v>
      </c>
      <c r="AK259" s="173">
        <f t="shared" si="748"/>
        <v>2.017337527307121</v>
      </c>
      <c r="AM259" s="545">
        <f t="shared" si="749"/>
        <v>2580</v>
      </c>
      <c r="AN259" s="460">
        <f t="shared" si="750"/>
        <v>350</v>
      </c>
      <c r="AP259">
        <f t="shared" si="751"/>
        <v>2580</v>
      </c>
      <c r="AQ259">
        <f t="shared" si="752"/>
        <v>350</v>
      </c>
      <c r="AS259" s="5">
        <f t="shared" si="600"/>
        <v>2.8571428571428572</v>
      </c>
      <c r="AT259" s="5">
        <f t="shared" si="753"/>
        <v>0.81330305814157189</v>
      </c>
      <c r="AU259" s="5">
        <f t="shared" si="722"/>
        <v>2.0438397990012853</v>
      </c>
      <c r="AV259" s="5"/>
      <c r="AW259" s="173">
        <f t="shared" si="723"/>
        <v>0.28465607034955015</v>
      </c>
      <c r="AX259" s="173">
        <f t="shared" si="631"/>
        <v>12.469163554508429</v>
      </c>
      <c r="AY259" s="173">
        <f t="shared" si="632"/>
        <v>3.4862128967147754</v>
      </c>
      <c r="AZ259" s="173">
        <f t="shared" si="633"/>
        <v>3.5767074254870423</v>
      </c>
      <c r="BA259" s="460">
        <f t="shared" si="724"/>
        <v>52.458047250131386</v>
      </c>
      <c r="BB259" s="5">
        <f t="shared" si="725"/>
        <v>0.48888582905722894</v>
      </c>
      <c r="BD259" s="173">
        <f t="shared" si="681"/>
        <v>0.75060008775753462</v>
      </c>
      <c r="BE259" s="173">
        <f t="shared" si="682"/>
        <v>4.7595492534445976</v>
      </c>
      <c r="BG259" s="528">
        <f t="shared" si="683"/>
        <v>6.8734859992477474E-3</v>
      </c>
      <c r="BH259" s="528">
        <f t="shared" si="754"/>
        <v>0.88407212841421134</v>
      </c>
      <c r="BI259" s="528">
        <f t="shared" si="755"/>
        <v>0.31459071982395914</v>
      </c>
      <c r="BJ259" s="528">
        <f t="shared" si="684"/>
        <v>0.10697610541636125</v>
      </c>
      <c r="BK259">
        <f t="shared" si="685"/>
        <v>1.6178951305232184E-2</v>
      </c>
      <c r="BL259" s="460">
        <f t="shared" si="686"/>
        <v>330.76967112919129</v>
      </c>
      <c r="BM259" s="528">
        <f t="shared" si="756"/>
        <v>1.0014130089648858</v>
      </c>
      <c r="BN259" s="460">
        <f t="shared" si="687"/>
        <v>1001.4130089648859</v>
      </c>
      <c r="BO259" s="528">
        <f t="shared" si="637"/>
        <v>1.8059999999999998</v>
      </c>
      <c r="BR259" s="460">
        <f t="shared" si="688"/>
        <v>1805.9999999999998</v>
      </c>
      <c r="BS259" s="528">
        <f t="shared" si="689"/>
        <v>1.6902014752248559E-2</v>
      </c>
      <c r="BT259" s="528">
        <f t="shared" si="690"/>
        <v>0.67959927287895072</v>
      </c>
      <c r="BU259" s="528">
        <f t="shared" si="691"/>
        <v>1.0620932497992686</v>
      </c>
      <c r="BV259" s="528"/>
      <c r="BW259" s="528">
        <f t="shared" si="692"/>
        <v>5.1954848143785121E-2</v>
      </c>
      <c r="BX259" s="460">
        <f t="shared" si="693"/>
        <v>1810.5493855742527</v>
      </c>
      <c r="BY259" s="173">
        <f t="shared" si="694"/>
        <v>4.9452407765332635</v>
      </c>
      <c r="BZ259" s="5">
        <f t="shared" si="695"/>
        <v>10.32</v>
      </c>
      <c r="CA259" s="173">
        <f t="shared" si="696"/>
        <v>0.67604567468497356</v>
      </c>
      <c r="CB259" s="5">
        <f t="shared" si="697"/>
        <v>67.604567468497351</v>
      </c>
      <c r="CE259" s="562">
        <f t="shared" si="757"/>
        <v>-50</v>
      </c>
      <c r="CF259">
        <f t="shared" si="758"/>
        <v>-50</v>
      </c>
      <c r="CG259" s="173">
        <f t="shared" si="759"/>
        <v>0.58191494223812468</v>
      </c>
      <c r="CI259" s="170">
        <v>43</v>
      </c>
      <c r="CJ259" s="217">
        <f t="shared" si="698"/>
        <v>2.58</v>
      </c>
      <c r="CK259" s="217"/>
      <c r="CL259" s="217">
        <f t="shared" si="641"/>
        <v>10.32</v>
      </c>
      <c r="CM259" s="541">
        <f t="shared" si="642"/>
        <v>36</v>
      </c>
      <c r="CN259" s="443">
        <f t="shared" si="643"/>
        <v>18.8</v>
      </c>
      <c r="CO259" s="443">
        <f t="shared" si="644"/>
        <v>54.8</v>
      </c>
      <c r="CP259" s="443"/>
      <c r="CQ259" s="217">
        <f t="shared" si="645"/>
        <v>0.34306569343065696</v>
      </c>
      <c r="CR259" s="172">
        <f t="shared" si="646"/>
        <v>41.723649635036502</v>
      </c>
      <c r="CS259" s="172">
        <f t="shared" si="647"/>
        <v>10.32</v>
      </c>
      <c r="CT259" s="217">
        <f t="shared" si="648"/>
        <v>10.430912408759125</v>
      </c>
      <c r="CU259" s="217">
        <f t="shared" si="649"/>
        <v>4</v>
      </c>
      <c r="CV259" s="217"/>
      <c r="CW259" s="172">
        <f t="shared" si="650"/>
        <v>37.675793891861709</v>
      </c>
      <c r="CX259" s="172">
        <f t="shared" si="651"/>
        <v>4</v>
      </c>
      <c r="CY259" s="217">
        <f t="shared" si="652"/>
        <v>1.6712056737588652</v>
      </c>
      <c r="CZ259" s="217">
        <f t="shared" si="653"/>
        <v>0.55706855791962173</v>
      </c>
      <c r="DA259" s="217">
        <f t="shared" si="654"/>
        <v>1.0667270258035311</v>
      </c>
      <c r="DB259" s="197">
        <f t="shared" si="655"/>
        <v>350</v>
      </c>
      <c r="DC259" s="443">
        <f t="shared" si="656"/>
        <v>350</v>
      </c>
      <c r="DE259" s="217">
        <f t="shared" si="657"/>
        <v>2.940563086548488</v>
      </c>
      <c r="DF259" s="173">
        <f t="shared" si="658"/>
        <v>1.8769551616266944</v>
      </c>
      <c r="DG259" s="173">
        <f t="shared" si="659"/>
        <v>3.8635135443702762</v>
      </c>
      <c r="DH259" s="173"/>
      <c r="DI259" s="173">
        <f t="shared" si="660"/>
        <v>0.85106382978723416</v>
      </c>
      <c r="DJ259" s="545">
        <f t="shared" si="661"/>
        <v>1136.8124999999998</v>
      </c>
      <c r="DK259" s="528">
        <f t="shared" si="662"/>
        <v>0.79432624113475192</v>
      </c>
      <c r="DM259" s="173">
        <f t="shared" si="663"/>
        <v>2.4029743474048395</v>
      </c>
      <c r="DN259" s="173">
        <f t="shared" si="664"/>
        <v>2.4029743474048395</v>
      </c>
      <c r="DO259" s="173">
        <f t="shared" si="665"/>
        <v>1.9923266770900043</v>
      </c>
      <c r="DQ259" s="545">
        <f t="shared" si="666"/>
        <v>2580</v>
      </c>
      <c r="DR259" s="460">
        <f t="shared" si="667"/>
        <v>350</v>
      </c>
      <c r="DT259">
        <f t="shared" si="668"/>
        <v>2580</v>
      </c>
      <c r="DU259">
        <f t="shared" si="669"/>
        <v>350</v>
      </c>
      <c r="DW259" s="5">
        <f t="shared" si="670"/>
        <v>2.8571428571428572</v>
      </c>
      <c r="DX259" s="5">
        <f t="shared" si="671"/>
        <v>0.80099144913494658</v>
      </c>
      <c r="DY259" s="5">
        <f t="shared" si="672"/>
        <v>2.0561514080079109</v>
      </c>
      <c r="DZ259" s="5"/>
      <c r="EA259" s="173">
        <f t="shared" si="673"/>
        <v>0.28034700719723127</v>
      </c>
      <c r="EB259" s="173">
        <f t="shared" si="699"/>
        <v>12.125999999999999</v>
      </c>
      <c r="EC259" s="173">
        <f t="shared" si="700"/>
        <v>3.4586153614763457</v>
      </c>
      <c r="ED259" s="173">
        <f t="shared" si="701"/>
        <v>3.5060273354085525</v>
      </c>
      <c r="EE259" s="460">
        <f t="shared" si="674"/>
        <v>51.663948469204058</v>
      </c>
      <c r="EF259" s="5">
        <f t="shared" si="675"/>
        <v>0.4911917252463342</v>
      </c>
      <c r="EH259" s="173">
        <f t="shared" si="702"/>
        <v>0.73457555061902402</v>
      </c>
      <c r="EI259" s="173">
        <f t="shared" si="703"/>
        <v>4.7077139508592278</v>
      </c>
      <c r="EK259" s="528">
        <f t="shared" si="704"/>
        <v>6.5831351227203568E-3</v>
      </c>
      <c r="EL259" s="528">
        <f t="shared" si="705"/>
        <v>0.92178095966449647</v>
      </c>
      <c r="EM259" s="528">
        <f t="shared" si="706"/>
        <v>4.3749999999999997E-2</v>
      </c>
      <c r="EN259" s="528">
        <f t="shared" si="707"/>
        <v>0.10510639999999997</v>
      </c>
      <c r="EO259">
        <f t="shared" si="708"/>
        <v>1.6199999999999999E-2</v>
      </c>
      <c r="EP259" s="460">
        <f t="shared" si="709"/>
        <v>59.949999999999996</v>
      </c>
      <c r="EQ259" s="460"/>
      <c r="ER259" s="460">
        <f t="shared" si="710"/>
        <v>1093.4204947872167</v>
      </c>
      <c r="ES259" s="528">
        <f t="shared" si="711"/>
        <v>1.8059999999999998</v>
      </c>
      <c r="EV259" s="460">
        <f t="shared" si="712"/>
        <v>1805.9999999999998</v>
      </c>
      <c r="EW259" s="528">
        <f t="shared" si="713"/>
        <v>1.6188037187017272E-2</v>
      </c>
      <c r="EX259" s="528">
        <f t="shared" si="714"/>
        <v>0.66487711929343796</v>
      </c>
      <c r="EY259" s="528">
        <f t="shared" si="715"/>
        <v>1.0256825140250467</v>
      </c>
      <c r="EZ259" s="528"/>
      <c r="FA259" s="528">
        <f t="shared" si="716"/>
        <v>5.0525E-2</v>
      </c>
      <c r="FB259" s="460">
        <f t="shared" si="717"/>
        <v>1757.2726705055018</v>
      </c>
      <c r="FC259" s="173">
        <f t="shared" si="718"/>
        <v>4.6566931652927188</v>
      </c>
      <c r="FD259" s="5">
        <f t="shared" si="719"/>
        <v>10.32</v>
      </c>
      <c r="FE259" s="173">
        <f t="shared" si="720"/>
        <v>0.68907067041446568</v>
      </c>
      <c r="FF259" s="5">
        <f t="shared" si="721"/>
        <v>68.907067041446567</v>
      </c>
      <c r="FI259" s="562">
        <f t="shared" si="676"/>
        <v>-50</v>
      </c>
      <c r="FJ259">
        <f t="shared" si="677"/>
        <v>-50</v>
      </c>
      <c r="FL259">
        <f t="shared" si="760"/>
        <v>0.53683469463299605</v>
      </c>
    </row>
    <row r="260" spans="5:168">
      <c r="E260" s="170">
        <v>44</v>
      </c>
      <c r="F260" s="217">
        <f t="shared" si="761"/>
        <v>2.64</v>
      </c>
      <c r="G260" s="217"/>
      <c r="H260" s="217">
        <f t="shared" si="726"/>
        <v>10.56</v>
      </c>
      <c r="I260" s="541">
        <f t="shared" si="727"/>
        <v>35.952684354746928</v>
      </c>
      <c r="J260" s="172">
        <f t="shared" si="728"/>
        <v>19.338187434158133</v>
      </c>
      <c r="K260" s="172">
        <f t="shared" si="729"/>
        <v>55.290871788905065</v>
      </c>
      <c r="L260" s="443"/>
      <c r="M260" s="217">
        <f t="shared" si="730"/>
        <v>0.35028477459809554</v>
      </c>
      <c r="N260" s="172">
        <f t="shared" si="731"/>
        <v>42.545641958422969</v>
      </c>
      <c r="O260" s="172">
        <f t="shared" si="599"/>
        <v>10.56</v>
      </c>
      <c r="P260" s="217">
        <f t="shared" si="732"/>
        <v>10.636410489605742</v>
      </c>
      <c r="Q260" s="217">
        <f t="shared" si="733"/>
        <v>4</v>
      </c>
      <c r="R260" s="217"/>
      <c r="S260" s="172">
        <f t="shared" si="734"/>
        <v>36.575422422029497</v>
      </c>
      <c r="T260" s="172">
        <f t="shared" si="735"/>
        <v>4</v>
      </c>
      <c r="U260" s="217">
        <f t="shared" si="736"/>
        <v>2.0316593307221127</v>
      </c>
      <c r="V260" s="217">
        <f t="shared" si="737"/>
        <v>0.67811103416110874</v>
      </c>
      <c r="W260" s="217">
        <f t="shared" si="738"/>
        <v>1.2607133968306532</v>
      </c>
      <c r="X260" s="197">
        <f t="shared" si="739"/>
        <v>350</v>
      </c>
      <c r="Y260" s="443">
        <f t="shared" si="680"/>
        <v>350</v>
      </c>
      <c r="AA260" s="217">
        <f t="shared" si="740"/>
        <v>2.9939487310622743</v>
      </c>
      <c r="AB260" s="173">
        <f t="shared" si="741"/>
        <v>1.8578465481871751</v>
      </c>
      <c r="AC260" s="173">
        <f t="shared" si="742"/>
        <v>3.8936081208173934</v>
      </c>
      <c r="AD260" s="173"/>
      <c r="AE260" s="173">
        <f t="shared" si="743"/>
        <v>0.82737847352427141</v>
      </c>
      <c r="AF260" s="545">
        <f t="shared" si="744"/>
        <v>1196.5503474885343</v>
      </c>
      <c r="AG260" s="528">
        <f t="shared" si="745"/>
        <v>0.77221990862265344</v>
      </c>
      <c r="AI260" s="173">
        <f t="shared" si="746"/>
        <v>2.465302425816235</v>
      </c>
      <c r="AJ260" s="173">
        <f t="shared" si="747"/>
        <v>2.465302425816235</v>
      </c>
      <c r="AK260" s="173">
        <f t="shared" si="748"/>
        <v>2.0384956240614085</v>
      </c>
      <c r="AM260" s="545">
        <f t="shared" si="749"/>
        <v>2640</v>
      </c>
      <c r="AN260" s="460">
        <f t="shared" si="750"/>
        <v>350</v>
      </c>
      <c r="AP260">
        <f t="shared" si="751"/>
        <v>2640</v>
      </c>
      <c r="AQ260">
        <f t="shared" si="752"/>
        <v>350</v>
      </c>
      <c r="AS260" s="5">
        <f t="shared" si="600"/>
        <v>2.8571428571428572</v>
      </c>
      <c r="AT260" s="5">
        <f t="shared" si="753"/>
        <v>0.82284896498663851</v>
      </c>
      <c r="AU260" s="5">
        <f t="shared" si="722"/>
        <v>2.0342938921562186</v>
      </c>
      <c r="AV260" s="5"/>
      <c r="AW260" s="173">
        <f t="shared" si="723"/>
        <v>0.28799713774532348</v>
      </c>
      <c r="AX260" s="173">
        <f t="shared" si="631"/>
        <v>12.763203706544367</v>
      </c>
      <c r="AY260" s="173">
        <f t="shared" si="632"/>
        <v>3.5106047670091138</v>
      </c>
      <c r="AZ260" s="173">
        <f t="shared" si="633"/>
        <v>3.6356139621544679</v>
      </c>
      <c r="BA260" s="460">
        <f t="shared" si="724"/>
        <v>54.308031689118145</v>
      </c>
      <c r="BB260" s="5">
        <f t="shared" si="725"/>
        <v>0.49792627650099508</v>
      </c>
      <c r="BD260" s="173">
        <f t="shared" si="681"/>
        <v>0.7638422233770118</v>
      </c>
      <c r="BE260" s="173">
        <f t="shared" si="682"/>
        <v>4.8040822774496297</v>
      </c>
      <c r="BG260" s="528">
        <f t="shared" si="683"/>
        <v>7.1181502950051481E-3</v>
      </c>
      <c r="BH260" s="528">
        <f t="shared" si="754"/>
        <v>0.89452597727510119</v>
      </c>
      <c r="BI260" s="528">
        <f t="shared" si="755"/>
        <v>0.3145859881040356</v>
      </c>
      <c r="BJ260" s="528">
        <f t="shared" si="684"/>
        <v>0.10699781761119984</v>
      </c>
      <c r="BK260">
        <f t="shared" si="685"/>
        <v>1.6178707959636118E-2</v>
      </c>
      <c r="BL260" s="460">
        <f t="shared" si="686"/>
        <v>330.76469606367169</v>
      </c>
      <c r="BM260" s="528">
        <f t="shared" si="756"/>
        <v>1.0122758801296514</v>
      </c>
      <c r="BN260" s="460">
        <f t="shared" si="687"/>
        <v>1012.2758801296515</v>
      </c>
      <c r="BO260" s="528">
        <f t="shared" si="637"/>
        <v>1.8479999999999999</v>
      </c>
      <c r="BR260" s="460">
        <f t="shared" si="688"/>
        <v>1847.9999999999998</v>
      </c>
      <c r="BS260" s="528">
        <f t="shared" si="689"/>
        <v>1.7503648266406102E-2</v>
      </c>
      <c r="BT260" s="528">
        <f t="shared" si="690"/>
        <v>0.69237619585516852</v>
      </c>
      <c r="BU260" s="528">
        <f t="shared" si="691"/>
        <v>1.0934920321026367</v>
      </c>
      <c r="BV260" s="528"/>
      <c r="BW260" s="528">
        <f t="shared" si="692"/>
        <v>5.3180015443934872E-2</v>
      </c>
      <c r="BX260" s="460">
        <f t="shared" si="693"/>
        <v>1856.551891668146</v>
      </c>
      <c r="BY260" s="173">
        <f t="shared" si="694"/>
        <v>5.0439585329131242</v>
      </c>
      <c r="BZ260" s="5">
        <f t="shared" si="695"/>
        <v>10.56</v>
      </c>
      <c r="CA260" s="173">
        <f t="shared" si="696"/>
        <v>0.67675134984023433</v>
      </c>
      <c r="CB260" s="5">
        <f t="shared" si="697"/>
        <v>67.67513498402343</v>
      </c>
      <c r="CE260" s="562">
        <f t="shared" si="757"/>
        <v>-50</v>
      </c>
      <c r="CF260">
        <f t="shared" si="758"/>
        <v>-50</v>
      </c>
      <c r="CG260" s="173">
        <f t="shared" si="759"/>
        <v>0.58864250611045754</v>
      </c>
      <c r="CI260" s="170">
        <v>44</v>
      </c>
      <c r="CJ260" s="217">
        <f t="shared" si="698"/>
        <v>2.64</v>
      </c>
      <c r="CK260" s="217"/>
      <c r="CL260" s="217">
        <f t="shared" si="641"/>
        <v>10.56</v>
      </c>
      <c r="CM260" s="541">
        <f t="shared" si="642"/>
        <v>36</v>
      </c>
      <c r="CN260" s="443">
        <f t="shared" si="643"/>
        <v>18.8</v>
      </c>
      <c r="CO260" s="443">
        <f t="shared" si="644"/>
        <v>54.8</v>
      </c>
      <c r="CP260" s="443"/>
      <c r="CQ260" s="217">
        <f t="shared" si="645"/>
        <v>0.34306569343065696</v>
      </c>
      <c r="CR260" s="172">
        <f t="shared" si="646"/>
        <v>41.723649635036502</v>
      </c>
      <c r="CS260" s="172">
        <f t="shared" si="647"/>
        <v>10.56</v>
      </c>
      <c r="CT260" s="217">
        <f t="shared" si="648"/>
        <v>10.430912408759125</v>
      </c>
      <c r="CU260" s="217">
        <f t="shared" si="649"/>
        <v>4</v>
      </c>
      <c r="CV260" s="217"/>
      <c r="CW260" s="172">
        <f t="shared" si="650"/>
        <v>36.623340634529193</v>
      </c>
      <c r="CX260" s="172">
        <f t="shared" si="651"/>
        <v>4</v>
      </c>
      <c r="CY260" s="217">
        <f t="shared" si="652"/>
        <v>1.7100709219858155</v>
      </c>
      <c r="CZ260" s="217">
        <f t="shared" si="653"/>
        <v>0.57002364066193845</v>
      </c>
      <c r="DA260" s="217">
        <f t="shared" si="654"/>
        <v>1.0915346310547758</v>
      </c>
      <c r="DB260" s="197">
        <f t="shared" si="655"/>
        <v>350</v>
      </c>
      <c r="DC260" s="443">
        <f t="shared" si="656"/>
        <v>350</v>
      </c>
      <c r="DE260" s="217">
        <f t="shared" si="657"/>
        <v>2.940563086548488</v>
      </c>
      <c r="DF260" s="173">
        <f t="shared" si="658"/>
        <v>1.8769551616266944</v>
      </c>
      <c r="DG260" s="173">
        <f t="shared" si="659"/>
        <v>3.8635135443702762</v>
      </c>
      <c r="DH260" s="173"/>
      <c r="DI260" s="173">
        <f t="shared" si="660"/>
        <v>0.85106382978723416</v>
      </c>
      <c r="DJ260" s="545">
        <f t="shared" si="661"/>
        <v>1163.2499999999998</v>
      </c>
      <c r="DK260" s="528">
        <f t="shared" si="662"/>
        <v>0.79432624113475192</v>
      </c>
      <c r="DM260" s="173">
        <f t="shared" si="663"/>
        <v>2.4307553205889376</v>
      </c>
      <c r="DN260" s="173">
        <f t="shared" si="664"/>
        <v>2.4307553205889376</v>
      </c>
      <c r="DO260" s="173">
        <f t="shared" si="665"/>
        <v>2.0129051757448919</v>
      </c>
      <c r="DQ260" s="545">
        <f t="shared" si="666"/>
        <v>2640</v>
      </c>
      <c r="DR260" s="460">
        <f t="shared" si="667"/>
        <v>350</v>
      </c>
      <c r="DT260">
        <f t="shared" si="668"/>
        <v>2640</v>
      </c>
      <c r="DU260">
        <f t="shared" si="669"/>
        <v>350</v>
      </c>
      <c r="DW260" s="5">
        <f t="shared" si="670"/>
        <v>2.8571428571428572</v>
      </c>
      <c r="DX260" s="5">
        <f t="shared" si="671"/>
        <v>0.81025177352964584</v>
      </c>
      <c r="DY260" s="5">
        <f t="shared" si="672"/>
        <v>2.0468910836132115</v>
      </c>
      <c r="DZ260" s="5"/>
      <c r="EA260" s="173">
        <f t="shared" si="673"/>
        <v>0.28358812073537604</v>
      </c>
      <c r="EB260" s="173">
        <f t="shared" si="699"/>
        <v>12.408000000000003</v>
      </c>
      <c r="EC260" s="173">
        <f t="shared" si="700"/>
        <v>3.4828439745112085</v>
      </c>
      <c r="ED260" s="173">
        <f t="shared" si="701"/>
        <v>3.5626057586290165</v>
      </c>
      <c r="EE260" s="460">
        <f t="shared" si="674"/>
        <v>53.476617052956627</v>
      </c>
      <c r="EF260" s="5">
        <f t="shared" si="675"/>
        <v>0.50035115377211825</v>
      </c>
      <c r="EH260" s="173">
        <f t="shared" si="702"/>
        <v>0.74735102588170432</v>
      </c>
      <c r="EI260" s="173">
        <f t="shared" si="703"/>
        <v>4.7514044300814868</v>
      </c>
      <c r="EK260" s="528">
        <f t="shared" si="704"/>
        <v>6.814109381814518E-3</v>
      </c>
      <c r="EL260" s="528">
        <f t="shared" si="705"/>
        <v>0.93243774097791643</v>
      </c>
      <c r="EM260" s="528">
        <f t="shared" si="706"/>
        <v>4.3749999999999997E-2</v>
      </c>
      <c r="EN260" s="528">
        <f t="shared" si="707"/>
        <v>0.10510639999999997</v>
      </c>
      <c r="EO260">
        <f t="shared" si="708"/>
        <v>1.6199999999999999E-2</v>
      </c>
      <c r="EP260" s="460">
        <f t="shared" si="709"/>
        <v>59.949999999999996</v>
      </c>
      <c r="EQ260" s="460"/>
      <c r="ER260" s="460">
        <f t="shared" si="710"/>
        <v>1104.3082503597309</v>
      </c>
      <c r="ES260" s="528">
        <f t="shared" si="711"/>
        <v>1.8479999999999999</v>
      </c>
      <c r="EV260" s="460">
        <f t="shared" si="712"/>
        <v>1847.9999999999998</v>
      </c>
      <c r="EW260" s="528">
        <f t="shared" si="713"/>
        <v>1.6756006676593077E-2</v>
      </c>
      <c r="EX260" s="528">
        <f t="shared" si="714"/>
        <v>0.67727532174593941</v>
      </c>
      <c r="EY260" s="528">
        <f t="shared" si="715"/>
        <v>1.0555850427547722</v>
      </c>
      <c r="EZ260" s="528"/>
      <c r="FA260" s="528">
        <f t="shared" si="716"/>
        <v>5.1700000000000017E-2</v>
      </c>
      <c r="FB260" s="460">
        <f t="shared" si="717"/>
        <v>1801.3163711773045</v>
      </c>
      <c r="FC260" s="173">
        <f t="shared" si="718"/>
        <v>4.7536246215370355</v>
      </c>
      <c r="FD260" s="5">
        <f t="shared" si="719"/>
        <v>10.56</v>
      </c>
      <c r="FE260" s="173">
        <f t="shared" si="720"/>
        <v>0.68958200693704141</v>
      </c>
      <c r="FF260" s="5">
        <f t="shared" si="721"/>
        <v>68.958200693704143</v>
      </c>
      <c r="FI260" s="562">
        <f t="shared" si="676"/>
        <v>-50</v>
      </c>
      <c r="FJ260">
        <f t="shared" si="677"/>
        <v>-50</v>
      </c>
      <c r="FL260">
        <f t="shared" si="760"/>
        <v>0.54304108225923076</v>
      </c>
    </row>
    <row r="261" spans="5:168">
      <c r="E261" s="170">
        <v>45</v>
      </c>
      <c r="F261" s="217">
        <f t="shared" si="761"/>
        <v>2.7</v>
      </c>
      <c r="G261" s="217"/>
      <c r="H261" s="217">
        <f t="shared" si="726"/>
        <v>10.8</v>
      </c>
      <c r="I261" s="541">
        <f t="shared" si="727"/>
        <v>35.952149697717033</v>
      </c>
      <c r="J261" s="172">
        <f t="shared" si="728"/>
        <v>19.344268841133289</v>
      </c>
      <c r="K261" s="172">
        <f t="shared" si="729"/>
        <v>55.296418538850318</v>
      </c>
      <c r="L261" s="443"/>
      <c r="M261" s="217">
        <f t="shared" si="730"/>
        <v>0.35036554963814187</v>
      </c>
      <c r="N261" s="172">
        <f t="shared" si="731"/>
        <v>42.554820059406055</v>
      </c>
      <c r="O261" s="172">
        <f t="shared" si="599"/>
        <v>10.8</v>
      </c>
      <c r="P261" s="217">
        <f t="shared" si="732"/>
        <v>10.638705014851514</v>
      </c>
      <c r="Q261" s="217">
        <f t="shared" si="733"/>
        <v>4</v>
      </c>
      <c r="R261" s="217"/>
      <c r="S261" s="172">
        <f t="shared" si="734"/>
        <v>35.570795166231825</v>
      </c>
      <c r="T261" s="172">
        <f t="shared" si="735"/>
        <v>4</v>
      </c>
      <c r="U261" s="217">
        <f t="shared" si="736"/>
        <v>2.0780917626028388</v>
      </c>
      <c r="V261" s="217">
        <f t="shared" si="737"/>
        <v>0.6936191955391634</v>
      </c>
      <c r="W261" s="217">
        <f t="shared" si="738"/>
        <v>1.289120894464012</v>
      </c>
      <c r="X261" s="197">
        <f t="shared" si="739"/>
        <v>350</v>
      </c>
      <c r="Y261" s="443">
        <f t="shared" si="680"/>
        <v>350</v>
      </c>
      <c r="AA261" s="217">
        <f t="shared" si="740"/>
        <v>2.9945453092637071</v>
      </c>
      <c r="AB261" s="173">
        <f t="shared" si="741"/>
        <v>1.8576325632299915</v>
      </c>
      <c r="AC261" s="173">
        <f t="shared" si="742"/>
        <v>3.8939354149891217</v>
      </c>
      <c r="AD261" s="173"/>
      <c r="AE261" s="173">
        <f t="shared" si="743"/>
        <v>0.8271183641729537</v>
      </c>
      <c r="AF261" s="545">
        <f t="shared" si="744"/>
        <v>1224.1295126029656</v>
      </c>
      <c r="AG261" s="528">
        <f t="shared" si="745"/>
        <v>0.7719771398947568</v>
      </c>
      <c r="AI261" s="173">
        <f t="shared" si="746"/>
        <v>2.4935518239923748</v>
      </c>
      <c r="AJ261" s="173">
        <f t="shared" si="747"/>
        <v>2.4935518239923748</v>
      </c>
      <c r="AK261" s="173">
        <f t="shared" si="748"/>
        <v>2.0594211041918822</v>
      </c>
      <c r="AM261" s="545">
        <f t="shared" si="749"/>
        <v>2700</v>
      </c>
      <c r="AN261" s="460">
        <f t="shared" si="750"/>
        <v>350</v>
      </c>
      <c r="AP261">
        <f t="shared" si="751"/>
        <v>2700</v>
      </c>
      <c r="AQ261">
        <f t="shared" si="752"/>
        <v>350</v>
      </c>
      <c r="AS261" s="5">
        <f t="shared" si="600"/>
        <v>2.8571428571428572</v>
      </c>
      <c r="AT261" s="5">
        <f t="shared" si="753"/>
        <v>0.83229020071110216</v>
      </c>
      <c r="AU261" s="5">
        <f t="shared" si="722"/>
        <v>2.0248526564317553</v>
      </c>
      <c r="AV261" s="5"/>
      <c r="AW261" s="173">
        <f t="shared" si="723"/>
        <v>0.29130157024888576</v>
      </c>
      <c r="AX261" s="173">
        <f t="shared" si="631"/>
        <v>13.057381467764969</v>
      </c>
      <c r="AY261" s="173">
        <f t="shared" si="632"/>
        <v>3.5343525243328462</v>
      </c>
      <c r="AZ261" s="173">
        <f t="shared" si="633"/>
        <v>3.6944196646682026</v>
      </c>
      <c r="BA261" s="460">
        <f t="shared" si="724"/>
        <v>56.179588547999408</v>
      </c>
      <c r="BB261" s="5">
        <f t="shared" si="725"/>
        <v>0.50688690554275817</v>
      </c>
      <c r="BD261" s="173">
        <f t="shared" si="681"/>
        <v>0.77701460884906337</v>
      </c>
      <c r="BE261" s="173">
        <f t="shared" si="682"/>
        <v>4.8478424571987961</v>
      </c>
      <c r="BG261" s="528">
        <f t="shared" si="683"/>
        <v>7.3657707688513279E-3</v>
      </c>
      <c r="BH261" s="528">
        <f t="shared" si="754"/>
        <v>0.9048669348324111</v>
      </c>
      <c r="BI261" s="528">
        <f t="shared" si="755"/>
        <v>0.31458130985502403</v>
      </c>
      <c r="BJ261" s="528">
        <f t="shared" si="684"/>
        <v>0.10701928661282982</v>
      </c>
      <c r="BK261">
        <f t="shared" si="685"/>
        <v>1.6178467363972663E-2</v>
      </c>
      <c r="BL261" s="460">
        <f t="shared" si="686"/>
        <v>330.7597772189967</v>
      </c>
      <c r="BM261" s="528">
        <f t="shared" si="756"/>
        <v>1.0230311644616052</v>
      </c>
      <c r="BN261" s="460">
        <f t="shared" si="687"/>
        <v>1023.0311644616053</v>
      </c>
      <c r="BO261" s="528">
        <f t="shared" si="637"/>
        <v>1.89</v>
      </c>
      <c r="BR261" s="460">
        <f t="shared" si="688"/>
        <v>1890</v>
      </c>
      <c r="BS261" s="528">
        <f t="shared" si="689"/>
        <v>1.8112551070945889E-2</v>
      </c>
      <c r="BT261" s="528">
        <f t="shared" si="690"/>
        <v>0.70504729469457783</v>
      </c>
      <c r="BU261" s="528">
        <f t="shared" si="691"/>
        <v>1.1250870137788171</v>
      </c>
      <c r="BV261" s="528"/>
      <c r="BW261" s="528">
        <f t="shared" si="692"/>
        <v>5.4405756115687383E-2</v>
      </c>
      <c r="BX261" s="460">
        <f t="shared" si="693"/>
        <v>1902.6526156600282</v>
      </c>
      <c r="BY261" s="173">
        <f t="shared" si="694"/>
        <v>5.1426643850931164</v>
      </c>
      <c r="BZ261" s="5">
        <f t="shared" si="695"/>
        <v>10.8</v>
      </c>
      <c r="CA261" s="173">
        <f t="shared" si="696"/>
        <v>0.67742754530405436</v>
      </c>
      <c r="CB261" s="5">
        <f t="shared" si="697"/>
        <v>67.742754530405435</v>
      </c>
      <c r="CE261" s="562">
        <f t="shared" si="757"/>
        <v>-50</v>
      </c>
      <c r="CF261">
        <f t="shared" si="758"/>
        <v>-50</v>
      </c>
      <c r="CG261" s="173">
        <f t="shared" si="759"/>
        <v>0.59529404498953298</v>
      </c>
      <c r="CI261" s="170">
        <v>45</v>
      </c>
      <c r="CJ261" s="217">
        <f t="shared" si="698"/>
        <v>2.7</v>
      </c>
      <c r="CK261" s="217"/>
      <c r="CL261" s="217">
        <f t="shared" si="641"/>
        <v>10.8</v>
      </c>
      <c r="CM261" s="541">
        <f t="shared" si="642"/>
        <v>36</v>
      </c>
      <c r="CN261" s="443">
        <f t="shared" si="643"/>
        <v>18.8</v>
      </c>
      <c r="CO261" s="443">
        <f t="shared" si="644"/>
        <v>54.8</v>
      </c>
      <c r="CP261" s="443"/>
      <c r="CQ261" s="217">
        <f t="shared" si="645"/>
        <v>0.34306569343065696</v>
      </c>
      <c r="CR261" s="172">
        <f t="shared" si="646"/>
        <v>41.723649635036502</v>
      </c>
      <c r="CS261" s="172">
        <f t="shared" si="647"/>
        <v>10.8</v>
      </c>
      <c r="CT261" s="217">
        <f t="shared" si="648"/>
        <v>10.430912408759125</v>
      </c>
      <c r="CU261" s="217">
        <f t="shared" si="649"/>
        <v>4</v>
      </c>
      <c r="CV261" s="217"/>
      <c r="CW261" s="172">
        <f t="shared" si="650"/>
        <v>35.617912564036715</v>
      </c>
      <c r="CX261" s="172">
        <f t="shared" si="651"/>
        <v>4</v>
      </c>
      <c r="CY261" s="217">
        <f t="shared" si="652"/>
        <v>1.7489361702127659</v>
      </c>
      <c r="CZ261" s="217">
        <f t="shared" si="653"/>
        <v>0.58297872340425538</v>
      </c>
      <c r="DA261" s="217">
        <f t="shared" si="654"/>
        <v>1.1163422363060209</v>
      </c>
      <c r="DB261" s="197">
        <f t="shared" si="655"/>
        <v>350</v>
      </c>
      <c r="DC261" s="443">
        <f t="shared" si="656"/>
        <v>350</v>
      </c>
      <c r="DE261" s="217">
        <f t="shared" si="657"/>
        <v>2.940563086548488</v>
      </c>
      <c r="DF261" s="173">
        <f t="shared" si="658"/>
        <v>1.8769551616266944</v>
      </c>
      <c r="DG261" s="173">
        <f t="shared" si="659"/>
        <v>3.8635135443702762</v>
      </c>
      <c r="DH261" s="173"/>
      <c r="DI261" s="173">
        <f t="shared" si="660"/>
        <v>0.85106382978723416</v>
      </c>
      <c r="DJ261" s="545">
        <f t="shared" si="661"/>
        <v>1189.6874999999998</v>
      </c>
      <c r="DK261" s="528">
        <f t="shared" si="662"/>
        <v>0.79432624113475192</v>
      </c>
      <c r="DM261" s="173">
        <f t="shared" si="663"/>
        <v>2.4582223542342834</v>
      </c>
      <c r="DN261" s="173">
        <f t="shared" si="664"/>
        <v>2.4582223542342834</v>
      </c>
      <c r="DO261" s="173">
        <f t="shared" si="665"/>
        <v>2.0332511265932962</v>
      </c>
      <c r="DQ261" s="545">
        <f t="shared" si="666"/>
        <v>2700</v>
      </c>
      <c r="DR261" s="460">
        <f t="shared" si="667"/>
        <v>350</v>
      </c>
      <c r="DT261">
        <f t="shared" si="668"/>
        <v>2700</v>
      </c>
      <c r="DU261">
        <f t="shared" si="669"/>
        <v>350</v>
      </c>
      <c r="DW261" s="5">
        <f t="shared" si="670"/>
        <v>2.8571428571428572</v>
      </c>
      <c r="DX261" s="5">
        <f t="shared" si="671"/>
        <v>0.81940745141142779</v>
      </c>
      <c r="DY261" s="5">
        <f t="shared" si="672"/>
        <v>2.0377354057314294</v>
      </c>
      <c r="DZ261" s="5"/>
      <c r="EA261" s="173">
        <f t="shared" si="673"/>
        <v>0.28679260799399969</v>
      </c>
      <c r="EB261" s="173">
        <f t="shared" si="699"/>
        <v>12.69</v>
      </c>
      <c r="EC261" s="173">
        <f t="shared" si="700"/>
        <v>3.5064447084685666</v>
      </c>
      <c r="ED261" s="173">
        <f t="shared" si="701"/>
        <v>3.6190503644195018</v>
      </c>
      <c r="EE261" s="460">
        <f t="shared" si="674"/>
        <v>55.310002970271377</v>
      </c>
      <c r="EF261" s="5">
        <f t="shared" si="675"/>
        <v>0.50943385143285735</v>
      </c>
      <c r="EH261" s="173">
        <f t="shared" si="702"/>
        <v>0.76005411205062012</v>
      </c>
      <c r="EI261" s="173">
        <f t="shared" si="703"/>
        <v>4.794335759690858</v>
      </c>
      <c r="EK261" s="528">
        <f t="shared" si="704"/>
        <v>7.0477234895896905E-3</v>
      </c>
      <c r="EL261" s="528">
        <f t="shared" si="705"/>
        <v>0.9429740950842711</v>
      </c>
      <c r="EM261" s="528">
        <f t="shared" si="706"/>
        <v>4.3749999999999997E-2</v>
      </c>
      <c r="EN261" s="528">
        <f t="shared" si="707"/>
        <v>0.10510639999999997</v>
      </c>
      <c r="EO261">
        <f t="shared" si="708"/>
        <v>1.6199999999999999E-2</v>
      </c>
      <c r="EP261" s="460">
        <f t="shared" si="709"/>
        <v>59.949999999999996</v>
      </c>
      <c r="EQ261" s="460"/>
      <c r="ER261" s="460">
        <f t="shared" si="710"/>
        <v>1115.0782185738608</v>
      </c>
      <c r="ES261" s="528">
        <f t="shared" si="711"/>
        <v>1.89</v>
      </c>
      <c r="EV261" s="460">
        <f t="shared" si="712"/>
        <v>1890</v>
      </c>
      <c r="EW261" s="528">
        <f t="shared" si="713"/>
        <v>1.7330467597351698E-2</v>
      </c>
      <c r="EX261" s="528">
        <f t="shared" si="714"/>
        <v>0.68956966129951547</v>
      </c>
      <c r="EY261" s="528">
        <f t="shared" si="715"/>
        <v>1.0856579686773229</v>
      </c>
      <c r="EZ261" s="528"/>
      <c r="FA261" s="528">
        <f t="shared" si="716"/>
        <v>5.2875000000000005E-2</v>
      </c>
      <c r="FB261" s="460">
        <f t="shared" si="717"/>
        <v>1845.4330975741902</v>
      </c>
      <c r="FC261" s="173">
        <f t="shared" si="718"/>
        <v>4.8505113161480509</v>
      </c>
      <c r="FD261" s="5">
        <f t="shared" si="719"/>
        <v>10.8</v>
      </c>
      <c r="FE261" s="173">
        <f t="shared" si="720"/>
        <v>0.69007330059923744</v>
      </c>
      <c r="FF261" s="5">
        <f t="shared" si="721"/>
        <v>69.007330059923746</v>
      </c>
      <c r="FI261" s="562">
        <f t="shared" si="676"/>
        <v>-50</v>
      </c>
      <c r="FJ261">
        <f t="shared" si="677"/>
        <v>-50</v>
      </c>
      <c r="FL261">
        <f t="shared" si="760"/>
        <v>0.54917733445659522</v>
      </c>
    </row>
    <row r="262" spans="5:168">
      <c r="E262" s="170">
        <v>46</v>
      </c>
      <c r="F262" s="217">
        <f t="shared" si="761"/>
        <v>2.7600000000000002</v>
      </c>
      <c r="G262" s="217"/>
      <c r="H262" s="217">
        <f t="shared" si="726"/>
        <v>11.040000000000001</v>
      </c>
      <c r="I262" s="541">
        <f t="shared" si="727"/>
        <v>35.951620949043736</v>
      </c>
      <c r="J262" s="172">
        <f t="shared" si="728"/>
        <v>19.350283044052269</v>
      </c>
      <c r="K262" s="172">
        <f t="shared" si="729"/>
        <v>55.301903993096005</v>
      </c>
      <c r="L262" s="443"/>
      <c r="M262" s="217">
        <f t="shared" si="730"/>
        <v>0.35044541466566748</v>
      </c>
      <c r="N262" s="172">
        <f t="shared" si="731"/>
        <v>42.563894336647671</v>
      </c>
      <c r="O262" s="172">
        <f t="shared" ref="O262:O316" si="762">T262*F262</f>
        <v>11.040000000000001</v>
      </c>
      <c r="P262" s="217">
        <f t="shared" si="732"/>
        <v>10.640973584161918</v>
      </c>
      <c r="Q262" s="217">
        <f t="shared" si="733"/>
        <v>4</v>
      </c>
      <c r="R262" s="217"/>
      <c r="S262" s="172">
        <f t="shared" si="734"/>
        <v>34.610106230314109</v>
      </c>
      <c r="T262" s="172">
        <f t="shared" si="735"/>
        <v>4</v>
      </c>
      <c r="U262" s="217">
        <f t="shared" si="736"/>
        <v>2.1245327662334947</v>
      </c>
      <c r="V262" s="217">
        <f t="shared" si="737"/>
        <v>0.70913056273419717</v>
      </c>
      <c r="W262" s="217">
        <f t="shared" si="738"/>
        <v>1.3175204278284807</v>
      </c>
      <c r="X262" s="197">
        <f t="shared" si="739"/>
        <v>350</v>
      </c>
      <c r="Y262" s="443">
        <f t="shared" si="680"/>
        <v>350</v>
      </c>
      <c r="AA262" s="217">
        <f t="shared" si="740"/>
        <v>2.9951351496019987</v>
      </c>
      <c r="AB262" s="173">
        <f t="shared" si="741"/>
        <v>1.8574209851814767</v>
      </c>
      <c r="AC262" s="173">
        <f t="shared" si="742"/>
        <v>3.8942588162277896</v>
      </c>
      <c r="AD262" s="173"/>
      <c r="AE262" s="173">
        <f t="shared" si="743"/>
        <v>0.82686129001704456</v>
      </c>
      <c r="AF262" s="545">
        <f t="shared" si="744"/>
        <v>1251.7214344121307</v>
      </c>
      <c r="AG262" s="528">
        <f t="shared" si="745"/>
        <v>0.7717372040159084</v>
      </c>
      <c r="AI262" s="173">
        <f t="shared" si="746"/>
        <v>2.5214975992544084</v>
      </c>
      <c r="AJ262" s="173">
        <f t="shared" si="747"/>
        <v>2.5214975992544084</v>
      </c>
      <c r="AK262" s="173">
        <f t="shared" si="748"/>
        <v>2.0801216784600554</v>
      </c>
      <c r="AM262" s="545">
        <f t="shared" si="749"/>
        <v>2760.0000000000005</v>
      </c>
      <c r="AN262" s="460">
        <f t="shared" si="750"/>
        <v>350</v>
      </c>
      <c r="AP262">
        <f t="shared" si="751"/>
        <v>2760.0000000000005</v>
      </c>
      <c r="AQ262">
        <f t="shared" si="752"/>
        <v>350</v>
      </c>
      <c r="AS262" s="5">
        <f t="shared" si="600"/>
        <v>2.8571428571428572</v>
      </c>
      <c r="AT262" s="5">
        <f t="shared" si="753"/>
        <v>0.8416302350856234</v>
      </c>
      <c r="AU262" s="5">
        <f t="shared" si="722"/>
        <v>2.0155126220572339</v>
      </c>
      <c r="AV262" s="5"/>
      <c r="AW262" s="173">
        <f t="shared" si="723"/>
        <v>0.29457058227996819</v>
      </c>
      <c r="AX262" s="173">
        <f t="shared" si="631"/>
        <v>13.351695300396065</v>
      </c>
      <c r="AY262" s="173">
        <f t="shared" si="632"/>
        <v>3.5574771664489906</v>
      </c>
      <c r="AZ262" s="173">
        <f t="shared" si="633"/>
        <v>3.7531359094353616</v>
      </c>
      <c r="BA262" s="460">
        <f t="shared" si="724"/>
        <v>58.072486220908011</v>
      </c>
      <c r="BB262" s="5">
        <f t="shared" si="725"/>
        <v>0.51576856991255526</v>
      </c>
      <c r="BD262" s="173">
        <f t="shared" si="681"/>
        <v>0.79011920529837198</v>
      </c>
      <c r="BE262" s="173">
        <f t="shared" si="682"/>
        <v>4.8908540861771801</v>
      </c>
      <c r="BG262" s="528">
        <f t="shared" si="683"/>
        <v>7.6163179746922367E-3</v>
      </c>
      <c r="BH262" s="528">
        <f t="shared" si="754"/>
        <v>0.91509874412768022</v>
      </c>
      <c r="BI262" s="528">
        <f t="shared" si="755"/>
        <v>0.31457668330413269</v>
      </c>
      <c r="BJ262" s="528">
        <f t="shared" si="684"/>
        <v>0.10704052048415628</v>
      </c>
      <c r="BK262">
        <f t="shared" si="685"/>
        <v>1.6178229427069681E-2</v>
      </c>
      <c r="BL262" s="460">
        <f t="shared" si="686"/>
        <v>330.75491273120241</v>
      </c>
      <c r="BM262" s="528">
        <f t="shared" si="756"/>
        <v>1.0336825788364794</v>
      </c>
      <c r="BN262" s="460">
        <f t="shared" si="687"/>
        <v>1033.6825788364795</v>
      </c>
      <c r="BO262" s="528">
        <f t="shared" si="637"/>
        <v>1.9319999999999999</v>
      </c>
      <c r="BR262" s="460">
        <f t="shared" si="688"/>
        <v>1932</v>
      </c>
      <c r="BS262" s="528">
        <f t="shared" si="689"/>
        <v>1.8728650757439926E-2</v>
      </c>
      <c r="BT262" s="528">
        <f t="shared" si="690"/>
        <v>0.71761361076828056</v>
      </c>
      <c r="BU262" s="528">
        <f t="shared" si="691"/>
        <v>1.1568752040785599</v>
      </c>
      <c r="BV262" s="528"/>
      <c r="BW262" s="528">
        <f t="shared" si="692"/>
        <v>5.5632063751650272E-2</v>
      </c>
      <c r="BX262" s="460">
        <f t="shared" si="693"/>
        <v>1948.8495293559306</v>
      </c>
      <c r="BY262" s="173">
        <f t="shared" si="694"/>
        <v>5.2413600246736616</v>
      </c>
      <c r="BZ262" s="5">
        <f t="shared" si="695"/>
        <v>11.040000000000001</v>
      </c>
      <c r="CA262" s="173">
        <f t="shared" si="696"/>
        <v>0.67807603193279808</v>
      </c>
      <c r="CB262" s="5">
        <f t="shared" si="697"/>
        <v>67.807603193279803</v>
      </c>
      <c r="CE262" s="562">
        <f t="shared" si="757"/>
        <v>-50</v>
      </c>
      <c r="CF262">
        <f t="shared" si="758"/>
        <v>-50</v>
      </c>
      <c r="CG262" s="173">
        <f t="shared" si="759"/>
        <v>0.60187207943216647</v>
      </c>
      <c r="CI262" s="170">
        <v>46</v>
      </c>
      <c r="CJ262" s="217">
        <f t="shared" si="698"/>
        <v>2.7600000000000002</v>
      </c>
      <c r="CK262" s="217"/>
      <c r="CL262" s="217">
        <f t="shared" si="641"/>
        <v>11.040000000000001</v>
      </c>
      <c r="CM262" s="541">
        <f t="shared" si="642"/>
        <v>36</v>
      </c>
      <c r="CN262" s="443">
        <f t="shared" si="643"/>
        <v>18.8</v>
      </c>
      <c r="CO262" s="443">
        <f t="shared" si="644"/>
        <v>54.8</v>
      </c>
      <c r="CP262" s="443"/>
      <c r="CQ262" s="217">
        <f t="shared" si="645"/>
        <v>0.34306569343065696</v>
      </c>
      <c r="CR262" s="172">
        <f t="shared" si="646"/>
        <v>41.723649635036502</v>
      </c>
      <c r="CS262" s="172">
        <f t="shared" si="647"/>
        <v>11.040000000000001</v>
      </c>
      <c r="CT262" s="217">
        <f t="shared" si="648"/>
        <v>10.430912408759125</v>
      </c>
      <c r="CU262" s="217">
        <f t="shared" si="649"/>
        <v>4</v>
      </c>
      <c r="CV262" s="217"/>
      <c r="CW262" s="172">
        <f t="shared" si="650"/>
        <v>34.656446198616933</v>
      </c>
      <c r="CX262" s="172">
        <f t="shared" si="651"/>
        <v>4</v>
      </c>
      <c r="CY262" s="217">
        <f t="shared" si="652"/>
        <v>1.7878014184397162</v>
      </c>
      <c r="CZ262" s="217">
        <f t="shared" si="653"/>
        <v>0.5959338061465721</v>
      </c>
      <c r="DA262" s="217">
        <f t="shared" si="654"/>
        <v>1.1411498415572656</v>
      </c>
      <c r="DB262" s="197">
        <f t="shared" si="655"/>
        <v>350</v>
      </c>
      <c r="DC262" s="443">
        <f t="shared" si="656"/>
        <v>350</v>
      </c>
      <c r="DE262" s="217">
        <f t="shared" si="657"/>
        <v>2.940563086548488</v>
      </c>
      <c r="DF262" s="173">
        <f t="shared" si="658"/>
        <v>1.8769551616266944</v>
      </c>
      <c r="DG262" s="173">
        <f t="shared" si="659"/>
        <v>3.8635135443702762</v>
      </c>
      <c r="DH262" s="173"/>
      <c r="DI262" s="173">
        <f t="shared" si="660"/>
        <v>0.85106382978723416</v>
      </c>
      <c r="DJ262" s="545">
        <f t="shared" si="661"/>
        <v>1216.1249999999998</v>
      </c>
      <c r="DK262" s="528">
        <f t="shared" si="662"/>
        <v>0.79432624113475192</v>
      </c>
      <c r="DM262" s="173">
        <f t="shared" si="663"/>
        <v>2.4853858567922322</v>
      </c>
      <c r="DN262" s="173">
        <f t="shared" si="664"/>
        <v>2.4853858567922322</v>
      </c>
      <c r="DO262" s="173">
        <f t="shared" si="665"/>
        <v>2.053372239599184</v>
      </c>
      <c r="DQ262" s="545">
        <f t="shared" si="666"/>
        <v>2760.0000000000005</v>
      </c>
      <c r="DR262" s="460">
        <f t="shared" si="667"/>
        <v>350</v>
      </c>
      <c r="DT262">
        <f t="shared" si="668"/>
        <v>2760.0000000000005</v>
      </c>
      <c r="DU262">
        <f t="shared" si="669"/>
        <v>350</v>
      </c>
      <c r="DW262" s="5">
        <f t="shared" si="670"/>
        <v>2.8571428571428572</v>
      </c>
      <c r="DX262" s="5">
        <f t="shared" si="671"/>
        <v>0.82846195226407737</v>
      </c>
      <c r="DY262" s="5">
        <f t="shared" si="672"/>
        <v>2.0286809048787799</v>
      </c>
      <c r="DZ262" s="5"/>
      <c r="EA262" s="173">
        <f t="shared" si="673"/>
        <v>0.28996168329242705</v>
      </c>
      <c r="EB262" s="173">
        <f t="shared" si="699"/>
        <v>12.972000000000003</v>
      </c>
      <c r="EC262" s="173">
        <f t="shared" si="700"/>
        <v>3.5294383802511313</v>
      </c>
      <c r="ED262" s="173">
        <f t="shared" si="701"/>
        <v>3.6753722837560923</v>
      </c>
      <c r="EE262" s="460">
        <f t="shared" si="674"/>
        <v>57.163874706221343</v>
      </c>
      <c r="EF262" s="5">
        <f t="shared" si="675"/>
        <v>0.51844067569124375</v>
      </c>
      <c r="EH262" s="173">
        <f t="shared" si="702"/>
        <v>0.77268681469163936</v>
      </c>
      <c r="EI262" s="173">
        <f t="shared" si="703"/>
        <v>4.8365321550868368</v>
      </c>
      <c r="EK262" s="528">
        <f t="shared" si="704"/>
        <v>7.2839479458994038E-3</v>
      </c>
      <c r="EL262" s="528">
        <f t="shared" si="705"/>
        <v>0.95339401466550011</v>
      </c>
      <c r="EM262" s="528">
        <f t="shared" si="706"/>
        <v>4.3749999999999997E-2</v>
      </c>
      <c r="EN262" s="528">
        <f t="shared" si="707"/>
        <v>0.10510639999999997</v>
      </c>
      <c r="EO262">
        <f t="shared" si="708"/>
        <v>1.6199999999999999E-2</v>
      </c>
      <c r="EP262" s="460">
        <f t="shared" si="709"/>
        <v>59.949999999999996</v>
      </c>
      <c r="EQ262" s="460"/>
      <c r="ER262" s="460">
        <f t="shared" si="710"/>
        <v>1125.7343626113993</v>
      </c>
      <c r="ES262" s="528">
        <f t="shared" si="711"/>
        <v>1.9319999999999999</v>
      </c>
      <c r="EV262" s="460">
        <f t="shared" si="712"/>
        <v>1932</v>
      </c>
      <c r="EW262" s="528">
        <f t="shared" si="713"/>
        <v>1.7911347407949352E-2</v>
      </c>
      <c r="EX262" s="528">
        <f t="shared" si="714"/>
        <v>0.70176129861566761</v>
      </c>
      <c r="EY262" s="528">
        <f t="shared" si="715"/>
        <v>1.1158984434606098</v>
      </c>
      <c r="EZ262" s="528"/>
      <c r="FA262" s="528">
        <f t="shared" si="716"/>
        <v>5.4050000000000008E-2</v>
      </c>
      <c r="FB262" s="460">
        <f t="shared" si="717"/>
        <v>1889.6210894842268</v>
      </c>
      <c r="FC262" s="173">
        <f t="shared" si="718"/>
        <v>4.9473554520956267</v>
      </c>
      <c r="FD262" s="5">
        <f t="shared" si="719"/>
        <v>11.040000000000001</v>
      </c>
      <c r="FE262" s="173">
        <f t="shared" si="720"/>
        <v>0.69054572740814835</v>
      </c>
      <c r="FF262" s="5">
        <f t="shared" si="721"/>
        <v>69.054572740814834</v>
      </c>
      <c r="FI262" s="562">
        <f t="shared" si="676"/>
        <v>-50</v>
      </c>
      <c r="FJ262">
        <f t="shared" si="677"/>
        <v>-50</v>
      </c>
      <c r="FL262">
        <f t="shared" si="760"/>
        <v>0.55524577651741358</v>
      </c>
    </row>
    <row r="263" spans="5:168">
      <c r="E263" s="170">
        <v>47</v>
      </c>
      <c r="F263" s="217">
        <f t="shared" si="761"/>
        <v>2.82</v>
      </c>
      <c r="G263" s="217"/>
      <c r="H263" s="217">
        <f t="shared" si="726"/>
        <v>11.28</v>
      </c>
      <c r="I263" s="541">
        <f t="shared" si="727"/>
        <v>35.951097917076204</v>
      </c>
      <c r="J263" s="172">
        <f t="shared" si="728"/>
        <v>19.356232222829895</v>
      </c>
      <c r="K263" s="172">
        <f t="shared" si="729"/>
        <v>55.307330139906099</v>
      </c>
      <c r="L263" s="443"/>
      <c r="M263" s="217">
        <f t="shared" si="730"/>
        <v>0.35052439920450051</v>
      </c>
      <c r="N263" s="172">
        <f t="shared" si="731"/>
        <v>42.572868158666658</v>
      </c>
      <c r="O263" s="172">
        <f t="shared" si="762"/>
        <v>11.28</v>
      </c>
      <c r="P263" s="217">
        <f t="shared" si="732"/>
        <v>10.643217039666665</v>
      </c>
      <c r="Q263" s="217">
        <f t="shared" si="733"/>
        <v>4</v>
      </c>
      <c r="R263" s="217"/>
      <c r="S263" s="172">
        <f t="shared" si="734"/>
        <v>33.690554122987052</v>
      </c>
      <c r="T263" s="172">
        <f t="shared" si="735"/>
        <v>4</v>
      </c>
      <c r="U263" s="217">
        <f t="shared" si="736"/>
        <v>2.1709822482522587</v>
      </c>
      <c r="V263" s="217">
        <f t="shared" si="737"/>
        <v>0.72464510094010004</v>
      </c>
      <c r="W263" s="217">
        <f t="shared" si="738"/>
        <v>1.3459120906960433</v>
      </c>
      <c r="X263" s="197">
        <f t="shared" si="739"/>
        <v>350</v>
      </c>
      <c r="Y263" s="443">
        <f t="shared" si="680"/>
        <v>350</v>
      </c>
      <c r="AA263" s="217">
        <f t="shared" si="740"/>
        <v>2.9957184706771889</v>
      </c>
      <c r="AB263" s="173">
        <f t="shared" si="741"/>
        <v>1.8572117359558395</v>
      </c>
      <c r="AC263" s="173">
        <f t="shared" si="742"/>
        <v>3.894578450952948</v>
      </c>
      <c r="AD263" s="173"/>
      <c r="AE263" s="173">
        <f t="shared" si="743"/>
        <v>0.82660715245649141</v>
      </c>
      <c r="AF263" s="545">
        <f t="shared" si="744"/>
        <v>1279.325973477663</v>
      </c>
      <c r="AG263" s="528">
        <f t="shared" si="745"/>
        <v>0.77150000895939208</v>
      </c>
      <c r="AI263" s="173">
        <f t="shared" si="746"/>
        <v>2.5491495983576913</v>
      </c>
      <c r="AJ263" s="173">
        <f t="shared" si="747"/>
        <v>2.5491495983576913</v>
      </c>
      <c r="AK263" s="173">
        <f t="shared" si="748"/>
        <v>2.1006046407587835</v>
      </c>
      <c r="AM263" s="545">
        <f t="shared" si="749"/>
        <v>2820</v>
      </c>
      <c r="AN263" s="460">
        <f t="shared" si="750"/>
        <v>350</v>
      </c>
      <c r="AP263">
        <f t="shared" si="751"/>
        <v>2820</v>
      </c>
      <c r="AQ263">
        <f t="shared" si="752"/>
        <v>350</v>
      </c>
      <c r="AS263" s="5">
        <f t="shared" ref="AS263:AS316" si="763">1/AN263*1000</f>
        <v>2.8571428571428572</v>
      </c>
      <c r="AT263" s="5">
        <f t="shared" si="753"/>
        <v>0.85087235029232933</v>
      </c>
      <c r="AU263" s="5">
        <f t="shared" si="722"/>
        <v>2.006270506850528</v>
      </c>
      <c r="AV263" s="5"/>
      <c r="AW263" s="173">
        <f t="shared" si="723"/>
        <v>0.29780532260231524</v>
      </c>
      <c r="AX263" s="173">
        <f t="shared" si="631"/>
        <v>13.646143717095077</v>
      </c>
      <c r="AY263" s="173">
        <f t="shared" si="632"/>
        <v>3.5799985597144337</v>
      </c>
      <c r="AZ263" s="173">
        <f t="shared" si="633"/>
        <v>3.811773521546777</v>
      </c>
      <c r="BA263" s="460">
        <f t="shared" si="724"/>
        <v>59.986500695609216</v>
      </c>
      <c r="BB263" s="5">
        <f t="shared" si="725"/>
        <v>0.52457209534725391</v>
      </c>
      <c r="BD263" s="173">
        <f t="shared" si="681"/>
        <v>0.80315787769250746</v>
      </c>
      <c r="BE263" s="173">
        <f t="shared" si="682"/>
        <v>4.9331401468347149</v>
      </c>
      <c r="BG263" s="528">
        <f t="shared" si="683"/>
        <v>7.8697634332942999E-3</v>
      </c>
      <c r="BH263" s="528">
        <f t="shared" si="754"/>
        <v>0.92522494583122983</v>
      </c>
      <c r="BI263" s="528">
        <f t="shared" si="755"/>
        <v>0.31457210677441677</v>
      </c>
      <c r="BJ263" s="528">
        <f t="shared" si="684"/>
        <v>0.10706152685215978</v>
      </c>
      <c r="BK263">
        <f t="shared" si="685"/>
        <v>1.6177994062684293E-2</v>
      </c>
      <c r="BL263" s="460">
        <f t="shared" si="686"/>
        <v>330.75010083710106</v>
      </c>
      <c r="BM263" s="528">
        <f t="shared" si="756"/>
        <v>1.044233638560677</v>
      </c>
      <c r="BN263" s="460">
        <f t="shared" si="687"/>
        <v>1044.233638560677</v>
      </c>
      <c r="BO263" s="528">
        <f t="shared" si="637"/>
        <v>1.9739999999999998</v>
      </c>
      <c r="BR263" s="460">
        <f t="shared" si="688"/>
        <v>1973.9999999999998</v>
      </c>
      <c r="BS263" s="528">
        <f t="shared" si="689"/>
        <v>1.9351877294985984E-2</v>
      </c>
      <c r="BT263" s="528">
        <f t="shared" si="690"/>
        <v>0.73007615124937297</v>
      </c>
      <c r="BU263" s="528">
        <f t="shared" si="691"/>
        <v>1.1888537248494897</v>
      </c>
      <c r="BV263" s="528"/>
      <c r="BW263" s="528">
        <f t="shared" si="692"/>
        <v>5.6858932154562822E-2</v>
      </c>
      <c r="BX263" s="460">
        <f t="shared" si="693"/>
        <v>1995.1406855484113</v>
      </c>
      <c r="BY263" s="173">
        <f t="shared" si="694"/>
        <v>5.3400470225021959</v>
      </c>
      <c r="BZ263" s="5">
        <f t="shared" si="695"/>
        <v>11.28</v>
      </c>
      <c r="CA263" s="173">
        <f t="shared" si="696"/>
        <v>0.6786984407882718</v>
      </c>
      <c r="CB263" s="5">
        <f t="shared" si="697"/>
        <v>67.869844078827185</v>
      </c>
      <c r="CE263" s="562">
        <f t="shared" si="757"/>
        <v>-50</v>
      </c>
      <c r="CF263">
        <f t="shared" si="758"/>
        <v>-50</v>
      </c>
      <c r="CG263" s="173">
        <f t="shared" si="759"/>
        <v>0.60837899372019744</v>
      </c>
      <c r="CI263" s="170">
        <v>47</v>
      </c>
      <c r="CJ263" s="217">
        <f t="shared" si="698"/>
        <v>2.82</v>
      </c>
      <c r="CK263" s="217"/>
      <c r="CL263" s="217">
        <f t="shared" si="641"/>
        <v>11.28</v>
      </c>
      <c r="CM263" s="541">
        <f t="shared" si="642"/>
        <v>36</v>
      </c>
      <c r="CN263" s="443">
        <f t="shared" si="643"/>
        <v>18.8</v>
      </c>
      <c r="CO263" s="443">
        <f t="shared" si="644"/>
        <v>54.8</v>
      </c>
      <c r="CP263" s="443"/>
      <c r="CQ263" s="217">
        <f t="shared" si="645"/>
        <v>0.34306569343065696</v>
      </c>
      <c r="CR263" s="172">
        <f t="shared" si="646"/>
        <v>41.723649635036502</v>
      </c>
      <c r="CS263" s="172">
        <f t="shared" si="647"/>
        <v>11.28</v>
      </c>
      <c r="CT263" s="217">
        <f t="shared" si="648"/>
        <v>10.430912408759125</v>
      </c>
      <c r="CU263" s="217">
        <f t="shared" si="649"/>
        <v>4</v>
      </c>
      <c r="CV263" s="217"/>
      <c r="CW263" s="172">
        <f t="shared" si="650"/>
        <v>33.736138829399188</v>
      </c>
      <c r="CX263" s="172">
        <f t="shared" si="651"/>
        <v>4</v>
      </c>
      <c r="CY263" s="217">
        <f t="shared" si="652"/>
        <v>1.8266666666666664</v>
      </c>
      <c r="CZ263" s="217">
        <f t="shared" si="653"/>
        <v>0.60888888888888881</v>
      </c>
      <c r="DA263" s="217">
        <f t="shared" si="654"/>
        <v>1.1659574468085105</v>
      </c>
      <c r="DB263" s="197">
        <f t="shared" si="655"/>
        <v>350</v>
      </c>
      <c r="DC263" s="443">
        <f t="shared" si="656"/>
        <v>350</v>
      </c>
      <c r="DE263" s="217">
        <f t="shared" si="657"/>
        <v>2.940563086548488</v>
      </c>
      <c r="DF263" s="173">
        <f t="shared" si="658"/>
        <v>1.8769551616266944</v>
      </c>
      <c r="DG263" s="173">
        <f t="shared" si="659"/>
        <v>3.8635135443702762</v>
      </c>
      <c r="DH263" s="173"/>
      <c r="DI263" s="173">
        <f t="shared" si="660"/>
        <v>0.85106382978723416</v>
      </c>
      <c r="DJ263" s="545">
        <f t="shared" si="661"/>
        <v>1242.5624999999995</v>
      </c>
      <c r="DK263" s="528">
        <f t="shared" si="662"/>
        <v>0.79432624113475192</v>
      </c>
      <c r="DM263" s="173">
        <f t="shared" si="663"/>
        <v>2.5122556739767892</v>
      </c>
      <c r="DN263" s="173">
        <f t="shared" si="664"/>
        <v>2.5122556739767892</v>
      </c>
      <c r="DO263" s="173">
        <f t="shared" si="665"/>
        <v>2.0732758078840412</v>
      </c>
      <c r="DQ263" s="545">
        <f t="shared" si="666"/>
        <v>2820</v>
      </c>
      <c r="DR263" s="460">
        <f t="shared" si="667"/>
        <v>350</v>
      </c>
      <c r="DT263">
        <f t="shared" si="668"/>
        <v>2820</v>
      </c>
      <c r="DU263">
        <f t="shared" si="669"/>
        <v>350</v>
      </c>
      <c r="DW263" s="5">
        <f t="shared" si="670"/>
        <v>2.8571428571428572</v>
      </c>
      <c r="DX263" s="5">
        <f t="shared" si="671"/>
        <v>0.83741855799226306</v>
      </c>
      <c r="DY263" s="5">
        <f t="shared" si="672"/>
        <v>2.0197242991505941</v>
      </c>
      <c r="DZ263" s="5"/>
      <c r="EA263" s="173">
        <f t="shared" si="673"/>
        <v>0.29309649529729204</v>
      </c>
      <c r="EB263" s="173">
        <f t="shared" si="699"/>
        <v>13.254</v>
      </c>
      <c r="EC263" s="173">
        <f t="shared" si="700"/>
        <v>3.5518446812869118</v>
      </c>
      <c r="ED263" s="173">
        <f t="shared" si="701"/>
        <v>3.7315820902387498</v>
      </c>
      <c r="EE263" s="460">
        <f t="shared" si="674"/>
        <v>59.038008338454539</v>
      </c>
      <c r="EF263" s="5">
        <f t="shared" si="675"/>
        <v>0.52737245588932169</v>
      </c>
      <c r="EH263" s="173">
        <f t="shared" si="702"/>
        <v>0.78525104151579206</v>
      </c>
      <c r="EI263" s="173">
        <f t="shared" si="703"/>
        <v>4.8780165241341891</v>
      </c>
      <c r="EK263" s="528">
        <f t="shared" si="704"/>
        <v>7.5227542180599603E-3</v>
      </c>
      <c r="EL263" s="528">
        <f t="shared" si="705"/>
        <v>0.96370127653749627</v>
      </c>
      <c r="EM263" s="528">
        <f t="shared" si="706"/>
        <v>4.3749999999999997E-2</v>
      </c>
      <c r="EN263" s="528">
        <f t="shared" si="707"/>
        <v>0.10510639999999997</v>
      </c>
      <c r="EO263">
        <f t="shared" si="708"/>
        <v>1.6199999999999999E-2</v>
      </c>
      <c r="EP263" s="460">
        <f t="shared" si="709"/>
        <v>59.949999999999996</v>
      </c>
      <c r="EQ263" s="460"/>
      <c r="ER263" s="460">
        <f t="shared" si="710"/>
        <v>1136.2804307555562</v>
      </c>
      <c r="ES263" s="528">
        <f t="shared" si="711"/>
        <v>1.9739999999999998</v>
      </c>
      <c r="EV263" s="460">
        <f t="shared" si="712"/>
        <v>1973.9999999999998</v>
      </c>
      <c r="EW263" s="528">
        <f t="shared" si="713"/>
        <v>1.8498575946049083E-2</v>
      </c>
      <c r="EX263" s="528">
        <f t="shared" si="714"/>
        <v>0.71385135629178587</v>
      </c>
      <c r="EY263" s="528">
        <f t="shared" si="715"/>
        <v>1.1463037274554211</v>
      </c>
      <c r="EZ263" s="528"/>
      <c r="FA263" s="528">
        <f t="shared" si="716"/>
        <v>5.522500000000001E-2</v>
      </c>
      <c r="FB263" s="460">
        <f t="shared" si="717"/>
        <v>1933.8786596932559</v>
      </c>
      <c r="FC263" s="173">
        <f t="shared" si="718"/>
        <v>5.0441590904488125</v>
      </c>
      <c r="FD263" s="5">
        <f t="shared" si="719"/>
        <v>11.28</v>
      </c>
      <c r="FE263" s="173">
        <f t="shared" si="720"/>
        <v>0.69100037174961582</v>
      </c>
      <c r="FF263" s="5">
        <f t="shared" si="721"/>
        <v>69.100037174961585</v>
      </c>
      <c r="FI263" s="562">
        <f t="shared" si="676"/>
        <v>-50</v>
      </c>
      <c r="FJ263">
        <f t="shared" si="677"/>
        <v>-50</v>
      </c>
      <c r="FL263">
        <f t="shared" si="760"/>
        <v>0.56124860801609122</v>
      </c>
    </row>
    <row r="264" spans="5:168">
      <c r="E264" s="170">
        <v>48</v>
      </c>
      <c r="F264" s="217">
        <f t="shared" si="761"/>
        <v>2.88</v>
      </c>
      <c r="G264" s="217"/>
      <c r="H264" s="217">
        <f t="shared" si="726"/>
        <v>11.52</v>
      </c>
      <c r="I264" s="541">
        <f t="shared" si="727"/>
        <v>35.950580420305883</v>
      </c>
      <c r="J264" s="172">
        <f t="shared" si="728"/>
        <v>19.362118442018357</v>
      </c>
      <c r="K264" s="172">
        <f t="shared" si="729"/>
        <v>55.31269886232424</v>
      </c>
      <c r="L264" s="443"/>
      <c r="M264" s="217">
        <f t="shared" si="730"/>
        <v>0.35060253121598661</v>
      </c>
      <c r="N264" s="172">
        <f t="shared" si="731"/>
        <v>42.581744715709043</v>
      </c>
      <c r="O264" s="172">
        <f t="shared" si="762"/>
        <v>11.52</v>
      </c>
      <c r="P264" s="217">
        <f t="shared" si="732"/>
        <v>10.645436178927261</v>
      </c>
      <c r="Q264" s="217">
        <f t="shared" si="733"/>
        <v>4</v>
      </c>
      <c r="R264" s="217"/>
      <c r="S264" s="172">
        <f t="shared" si="734"/>
        <v>32.809570874339236</v>
      </c>
      <c r="T264" s="172">
        <f t="shared" si="735"/>
        <v>4</v>
      </c>
      <c r="U264" s="217">
        <f t="shared" si="736"/>
        <v>2.2174401182936196</v>
      </c>
      <c r="V264" s="217">
        <f t="shared" si="737"/>
        <v>0.74016277646782513</v>
      </c>
      <c r="W264" s="217">
        <f t="shared" si="738"/>
        <v>1.374295973821634</v>
      </c>
      <c r="X264" s="197">
        <f t="shared" si="739"/>
        <v>350</v>
      </c>
      <c r="Y264" s="443">
        <f t="shared" si="680"/>
        <v>350</v>
      </c>
      <c r="AA264" s="217">
        <f t="shared" si="740"/>
        <v>2.9962954795203842</v>
      </c>
      <c r="AB264" s="173">
        <f t="shared" si="741"/>
        <v>1.8570047415997786</v>
      </c>
      <c r="AC264" s="173">
        <f t="shared" si="742"/>
        <v>3.8948944388923357</v>
      </c>
      <c r="AD264" s="173"/>
      <c r="AE264" s="173">
        <f t="shared" si="743"/>
        <v>0.8263558581109538</v>
      </c>
      <c r="AF264" s="545">
        <f t="shared" si="744"/>
        <v>1306.9429948362385</v>
      </c>
      <c r="AG264" s="528">
        <f t="shared" si="745"/>
        <v>0.77126546757022363</v>
      </c>
      <c r="AI264" s="173">
        <f t="shared" si="746"/>
        <v>2.5765171469819501</v>
      </c>
      <c r="AJ264" s="173">
        <f t="shared" si="747"/>
        <v>2.5765171469819501</v>
      </c>
      <c r="AK264" s="173">
        <f t="shared" si="748"/>
        <v>2.1208768989989752</v>
      </c>
      <c r="AM264" s="545">
        <f t="shared" si="749"/>
        <v>2880</v>
      </c>
      <c r="AN264" s="460">
        <f t="shared" si="750"/>
        <v>350</v>
      </c>
      <c r="AP264">
        <f t="shared" si="751"/>
        <v>2880</v>
      </c>
      <c r="AQ264">
        <f t="shared" si="752"/>
        <v>350</v>
      </c>
      <c r="AS264" s="5">
        <f t="shared" si="763"/>
        <v>2.8571428571428572</v>
      </c>
      <c r="AT264" s="5">
        <f t="shared" si="753"/>
        <v>0.86001965482370757</v>
      </c>
      <c r="AU264" s="5">
        <f t="shared" si="722"/>
        <v>1.9971232023191496</v>
      </c>
      <c r="AV264" s="5"/>
      <c r="AW264" s="173">
        <f t="shared" si="723"/>
        <v>0.30100687918829766</v>
      </c>
      <c r="AX264" s="173">
        <f t="shared" si="631"/>
        <v>13.940725278253217</v>
      </c>
      <c r="AY264" s="173">
        <f t="shared" si="632"/>
        <v>3.6019355227875542</v>
      </c>
      <c r="AZ264" s="173">
        <f t="shared" si="633"/>
        <v>3.8703428170930794</v>
      </c>
      <c r="BA264" s="460">
        <f t="shared" si="724"/>
        <v>61.921415147306945</v>
      </c>
      <c r="BB264" s="5">
        <f t="shared" si="725"/>
        <v>0.53329828108796651</v>
      </c>
      <c r="BD264" s="173">
        <f t="shared" si="681"/>
        <v>0.81613240149280608</v>
      </c>
      <c r="BE264" s="173">
        <f t="shared" si="682"/>
        <v>4.9747224074744185</v>
      </c>
      <c r="BG264" s="528">
        <f t="shared" si="683"/>
        <v>8.1260795805502602E-3</v>
      </c>
      <c r="BH264" s="528">
        <f t="shared" si="754"/>
        <v>0.93524889323661731</v>
      </c>
      <c r="BI264" s="528">
        <f t="shared" si="755"/>
        <v>0.31456757867767648</v>
      </c>
      <c r="BJ264" s="528">
        <f t="shared" si="684"/>
        <v>0.1070823129401958</v>
      </c>
      <c r="BK264">
        <f t="shared" si="685"/>
        <v>1.6177761189137645E-2</v>
      </c>
      <c r="BL264" s="460">
        <f t="shared" si="686"/>
        <v>330.74533986681416</v>
      </c>
      <c r="BM264" s="528">
        <f t="shared" si="756"/>
        <v>1.0546876723317309</v>
      </c>
      <c r="BN264" s="460">
        <f t="shared" si="687"/>
        <v>1054.6876723317309</v>
      </c>
      <c r="BO264" s="528">
        <f t="shared" si="637"/>
        <v>2.016</v>
      </c>
      <c r="BR264" s="460">
        <f t="shared" si="688"/>
        <v>2016</v>
      </c>
      <c r="BS264" s="528">
        <f t="shared" si="689"/>
        <v>1.9982162902992442E-2</v>
      </c>
      <c r="BT264" s="528">
        <f t="shared" si="690"/>
        <v>0.74243589094284224</v>
      </c>
      <c r="BU264" s="528">
        <f t="shared" si="691"/>
        <v>1.2210198039688061</v>
      </c>
      <c r="BV264" s="528"/>
      <c r="BW264" s="528">
        <f t="shared" si="692"/>
        <v>5.8086355326055071E-2</v>
      </c>
      <c r="BX264" s="460">
        <f t="shared" si="693"/>
        <v>2041.5242131406956</v>
      </c>
      <c r="BY264" s="173">
        <f t="shared" si="694"/>
        <v>5.4387268387648735</v>
      </c>
      <c r="BZ264" s="5">
        <f t="shared" si="695"/>
        <v>11.52</v>
      </c>
      <c r="CA264" s="173">
        <f t="shared" si="696"/>
        <v>0.67929627675039639</v>
      </c>
      <c r="CB264" s="5">
        <f t="shared" si="697"/>
        <v>67.92962767503964</v>
      </c>
      <c r="CE264" s="562">
        <f t="shared" si="757"/>
        <v>-50</v>
      </c>
      <c r="CF264">
        <f t="shared" si="758"/>
        <v>-50</v>
      </c>
      <c r="CG264" s="173">
        <f t="shared" si="759"/>
        <v>0.61481704595757591</v>
      </c>
      <c r="CI264" s="170">
        <v>48</v>
      </c>
      <c r="CJ264" s="217">
        <f t="shared" si="698"/>
        <v>2.88</v>
      </c>
      <c r="CK264" s="217"/>
      <c r="CL264" s="217">
        <f t="shared" si="641"/>
        <v>11.52</v>
      </c>
      <c r="CM264" s="541">
        <f t="shared" si="642"/>
        <v>36</v>
      </c>
      <c r="CN264" s="443">
        <f t="shared" si="643"/>
        <v>18.8</v>
      </c>
      <c r="CO264" s="443">
        <f t="shared" si="644"/>
        <v>54.8</v>
      </c>
      <c r="CP264" s="443"/>
      <c r="CQ264" s="217">
        <f t="shared" si="645"/>
        <v>0.34306569343065696</v>
      </c>
      <c r="CR264" s="172">
        <f t="shared" si="646"/>
        <v>41.723649635036502</v>
      </c>
      <c r="CS264" s="172">
        <f t="shared" si="647"/>
        <v>11.52</v>
      </c>
      <c r="CT264" s="217">
        <f t="shared" si="648"/>
        <v>10.430912408759125</v>
      </c>
      <c r="CU264" s="217">
        <f t="shared" si="649"/>
        <v>4</v>
      </c>
      <c r="CV264" s="217"/>
      <c r="CW264" s="172">
        <f t="shared" si="650"/>
        <v>32.854421357260868</v>
      </c>
      <c r="CX264" s="172">
        <f t="shared" si="651"/>
        <v>4</v>
      </c>
      <c r="CY264" s="217">
        <f t="shared" si="652"/>
        <v>1.8655319148936167</v>
      </c>
      <c r="CZ264" s="217">
        <f t="shared" si="653"/>
        <v>0.62184397163120553</v>
      </c>
      <c r="DA264" s="217">
        <f t="shared" si="654"/>
        <v>1.1907650520597552</v>
      </c>
      <c r="DB264" s="197">
        <f t="shared" si="655"/>
        <v>350</v>
      </c>
      <c r="DC264" s="443">
        <f t="shared" si="656"/>
        <v>350</v>
      </c>
      <c r="DE264" s="217">
        <f t="shared" si="657"/>
        <v>2.940563086548488</v>
      </c>
      <c r="DF264" s="173">
        <f t="shared" si="658"/>
        <v>1.8769551616266944</v>
      </c>
      <c r="DG264" s="173">
        <f t="shared" si="659"/>
        <v>3.8635135443702762</v>
      </c>
      <c r="DH264" s="173"/>
      <c r="DI264" s="173">
        <f t="shared" si="660"/>
        <v>0.85106382978723416</v>
      </c>
      <c r="DJ264" s="545">
        <f t="shared" si="661"/>
        <v>1268.9999999999998</v>
      </c>
      <c r="DK264" s="528">
        <f t="shared" si="662"/>
        <v>0.79432624113475192</v>
      </c>
      <c r="DM264" s="173">
        <f t="shared" si="663"/>
        <v>2.5388411304597787</v>
      </c>
      <c r="DN264" s="173">
        <f t="shared" si="664"/>
        <v>2.5388411304597787</v>
      </c>
      <c r="DO264" s="173">
        <f t="shared" si="665"/>
        <v>2.0929687386121816</v>
      </c>
      <c r="DQ264" s="545">
        <f t="shared" si="666"/>
        <v>2880</v>
      </c>
      <c r="DR264" s="460">
        <f t="shared" si="667"/>
        <v>350</v>
      </c>
      <c r="DT264">
        <f t="shared" si="668"/>
        <v>2880</v>
      </c>
      <c r="DU264">
        <f t="shared" si="669"/>
        <v>350</v>
      </c>
      <c r="DW264" s="5">
        <f t="shared" si="670"/>
        <v>2.8571428571428572</v>
      </c>
      <c r="DX264" s="5">
        <f t="shared" si="671"/>
        <v>0.84628037681992629</v>
      </c>
      <c r="DY264" s="5">
        <f t="shared" si="672"/>
        <v>2.0108624803229311</v>
      </c>
      <c r="DZ264" s="5"/>
      <c r="EA264" s="173">
        <f t="shared" si="673"/>
        <v>0.29619813188697419</v>
      </c>
      <c r="EB264" s="173">
        <f t="shared" si="699"/>
        <v>13.536000000000003</v>
      </c>
      <c r="EC264" s="173">
        <f t="shared" si="700"/>
        <v>3.5736822609195569</v>
      </c>
      <c r="ED264" s="173">
        <f t="shared" si="701"/>
        <v>3.7876898424979188</v>
      </c>
      <c r="EE264" s="460">
        <f t="shared" si="674"/>
        <v>60.932187131034688</v>
      </c>
      <c r="EF264" s="5">
        <f t="shared" si="675"/>
        <v>0.53622999475278155</v>
      </c>
      <c r="EH264" s="173">
        <f t="shared" si="702"/>
        <v>0.79774860912983392</v>
      </c>
      <c r="EI264" s="173">
        <f t="shared" si="703"/>
        <v>4.9188105638706503</v>
      </c>
      <c r="EK264" s="528">
        <f t="shared" si="704"/>
        <v>7.764114689096731E-3</v>
      </c>
      <c r="EL264" s="528">
        <f t="shared" si="705"/>
        <v>0.97389945764437114</v>
      </c>
      <c r="EM264" s="528">
        <f t="shared" si="706"/>
        <v>4.3749999999999997E-2</v>
      </c>
      <c r="EN264" s="528">
        <f t="shared" si="707"/>
        <v>0.10510639999999997</v>
      </c>
      <c r="EO264">
        <f t="shared" si="708"/>
        <v>1.6199999999999999E-2</v>
      </c>
      <c r="EP264" s="460">
        <f t="shared" si="709"/>
        <v>59.949999999999996</v>
      </c>
      <c r="EQ264" s="460"/>
      <c r="ER264" s="460">
        <f t="shared" si="710"/>
        <v>1146.7199723334677</v>
      </c>
      <c r="ES264" s="528">
        <f t="shared" si="711"/>
        <v>2.016</v>
      </c>
      <c r="EV264" s="460">
        <f t="shared" si="712"/>
        <v>2016</v>
      </c>
      <c r="EW264" s="528">
        <f t="shared" si="713"/>
        <v>1.9092085301057535E-2</v>
      </c>
      <c r="EX264" s="528">
        <f t="shared" si="714"/>
        <v>0.72584092089736518</v>
      </c>
      <c r="EY264" s="528">
        <f t="shared" si="715"/>
        <v>1.1768711833172589</v>
      </c>
      <c r="EZ264" s="528"/>
      <c r="FA264" s="528">
        <f t="shared" si="716"/>
        <v>5.6400000000000006E-2</v>
      </c>
      <c r="FB264" s="460">
        <f t="shared" si="717"/>
        <v>1978.2041895156817</v>
      </c>
      <c r="FC264" s="173">
        <f t="shared" si="718"/>
        <v>5.1409241618491492</v>
      </c>
      <c r="FD264" s="5">
        <f t="shared" si="719"/>
        <v>11.52</v>
      </c>
      <c r="FE264" s="173">
        <f t="shared" si="720"/>
        <v>0.6914382352438142</v>
      </c>
      <c r="FF264" s="5">
        <f t="shared" si="721"/>
        <v>69.143823524381418</v>
      </c>
      <c r="FI264" s="562">
        <f t="shared" si="676"/>
        <v>-50</v>
      </c>
      <c r="FJ264">
        <f t="shared" si="677"/>
        <v>-50</v>
      </c>
      <c r="FL264">
        <f t="shared" si="760"/>
        <v>0.567187912123993</v>
      </c>
    </row>
    <row r="265" spans="5:168">
      <c r="E265" s="170">
        <v>49</v>
      </c>
      <c r="F265" s="217">
        <f t="shared" si="761"/>
        <v>2.94</v>
      </c>
      <c r="G265" s="217"/>
      <c r="H265" s="217">
        <f t="shared" si="726"/>
        <v>11.76</v>
      </c>
      <c r="I265" s="541">
        <f t="shared" si="727"/>
        <v>35.950068286630639</v>
      </c>
      <c r="J265" s="172">
        <f t="shared" si="728"/>
        <v>19.367943659177563</v>
      </c>
      <c r="K265" s="172">
        <f t="shared" si="729"/>
        <v>55.318011945808202</v>
      </c>
      <c r="L265" s="443"/>
      <c r="M265" s="217">
        <f t="shared" si="730"/>
        <v>0.35067983721235962</v>
      </c>
      <c r="N265" s="172">
        <f t="shared" si="731"/>
        <v>42.590527032683283</v>
      </c>
      <c r="O265" s="172">
        <f t="shared" si="762"/>
        <v>11.76</v>
      </c>
      <c r="P265" s="217">
        <f t="shared" si="732"/>
        <v>10.647631758170821</v>
      </c>
      <c r="Q265" s="217">
        <f t="shared" si="733"/>
        <v>4</v>
      </c>
      <c r="R265" s="217"/>
      <c r="S265" s="172">
        <f t="shared" si="734"/>
        <v>31.964798206894688</v>
      </c>
      <c r="T265" s="172">
        <f t="shared" si="735"/>
        <v>4</v>
      </c>
      <c r="U265" s="217">
        <f t="shared" si="736"/>
        <v>2.2639062888314503</v>
      </c>
      <c r="V265" s="217">
        <f t="shared" si="737"/>
        <v>0.75568355668688425</v>
      </c>
      <c r="W265" s="217">
        <f t="shared" si="738"/>
        <v>1.4026721651012388</v>
      </c>
      <c r="X265" s="197">
        <f t="shared" si="739"/>
        <v>350</v>
      </c>
      <c r="Y265" s="443">
        <f t="shared" si="680"/>
        <v>350</v>
      </c>
      <c r="AA265" s="217">
        <f t="shared" si="740"/>
        <v>2.9968663724331805</v>
      </c>
      <c r="AB265" s="173">
        <f t="shared" si="741"/>
        <v>1.8567999319926394</v>
      </c>
      <c r="AC265" s="173">
        <f t="shared" si="742"/>
        <v>3.8952068935674702</v>
      </c>
      <c r="AD265" s="173"/>
      <c r="AE265" s="173">
        <f t="shared" si="743"/>
        <v>0.82610731844102359</v>
      </c>
      <c r="AF265" s="545">
        <f t="shared" si="744"/>
        <v>1334.5723677652036</v>
      </c>
      <c r="AG265" s="528">
        <f t="shared" si="745"/>
        <v>0.77103349721162218</v>
      </c>
      <c r="AI265" s="173">
        <f t="shared" si="746"/>
        <v>2.6036090875383247</v>
      </c>
      <c r="AJ265" s="173">
        <f t="shared" si="747"/>
        <v>2.6036090875383247</v>
      </c>
      <c r="AK265" s="173">
        <f t="shared" si="748"/>
        <v>2.1409450031148083</v>
      </c>
      <c r="AM265" s="545">
        <f t="shared" si="749"/>
        <v>2940</v>
      </c>
      <c r="AN265" s="460">
        <f t="shared" si="750"/>
        <v>350</v>
      </c>
      <c r="AP265">
        <f t="shared" si="751"/>
        <v>2940</v>
      </c>
      <c r="AQ265">
        <f t="shared" si="752"/>
        <v>350</v>
      </c>
      <c r="AS265" s="5">
        <f t="shared" si="763"/>
        <v>2.8571428571428572</v>
      </c>
      <c r="AT265" s="5">
        <f t="shared" si="753"/>
        <v>0.8690750960848348</v>
      </c>
      <c r="AU265" s="5">
        <f t="shared" si="722"/>
        <v>1.9880677610580224</v>
      </c>
      <c r="AV265" s="5"/>
      <c r="AW265" s="173">
        <f t="shared" si="723"/>
        <v>0.30417628362969218</v>
      </c>
      <c r="AX265" s="173">
        <f t="shared" si="631"/>
        <v>14.235438589495509</v>
      </c>
      <c r="AY265" s="173">
        <f t="shared" si="632"/>
        <v>3.6233059025328465</v>
      </c>
      <c r="AZ265" s="173">
        <f t="shared" si="633"/>
        <v>3.9288536415168052</v>
      </c>
      <c r="BA265" s="460">
        <f t="shared" si="724"/>
        <v>63.877019562235361</v>
      </c>
      <c r="BB265" s="5">
        <f t="shared" si="725"/>
        <v>0.54194790126766235</v>
      </c>
      <c r="BD265" s="173">
        <f t="shared" si="681"/>
        <v>0.82904446871669923</v>
      </c>
      <c r="BE265" s="173">
        <f t="shared" si="682"/>
        <v>5.0156215101130508</v>
      </c>
      <c r="BG265" s="528">
        <f t="shared" si="683"/>
        <v>8.3852397195389988E-3</v>
      </c>
      <c r="BH265" s="528">
        <f t="shared" si="754"/>
        <v>0.94517376585620516</v>
      </c>
      <c r="BI265" s="528">
        <f t="shared" si="755"/>
        <v>0.31456309750801809</v>
      </c>
      <c r="BJ265" s="528">
        <f t="shared" si="684"/>
        <v>0.10710288559728028</v>
      </c>
      <c r="BK265">
        <f t="shared" si="685"/>
        <v>1.6177530728983786E-2</v>
      </c>
      <c r="BL265" s="460">
        <f t="shared" si="686"/>
        <v>330.74062823700189</v>
      </c>
      <c r="BM265" s="528">
        <f t="shared" si="756"/>
        <v>1.0650478358017352</v>
      </c>
      <c r="BN265" s="460">
        <f t="shared" si="687"/>
        <v>1065.0478358017353</v>
      </c>
      <c r="BO265" s="528">
        <f t="shared" si="637"/>
        <v>2.0579999999999998</v>
      </c>
      <c r="BR265" s="460">
        <f t="shared" si="688"/>
        <v>2058</v>
      </c>
      <c r="BS265" s="528">
        <f t="shared" si="689"/>
        <v>2.0619441933292619E-2</v>
      </c>
      <c r="BT265" s="528">
        <f t="shared" si="690"/>
        <v>0.75469377398126158</v>
      </c>
      <c r="BU265" s="528">
        <f t="shared" si="691"/>
        <v>1.2533707692887024</v>
      </c>
      <c r="BV265" s="528"/>
      <c r="BW265" s="528">
        <f t="shared" si="692"/>
        <v>5.9314327456231289E-2</v>
      </c>
      <c r="BX265" s="460">
        <f t="shared" si="693"/>
        <v>2087.998312659488</v>
      </c>
      <c r="BY265" s="173">
        <f t="shared" si="694"/>
        <v>5.5374008320695145</v>
      </c>
      <c r="BZ265" s="5">
        <f t="shared" si="695"/>
        <v>11.76</v>
      </c>
      <c r="CA265" s="173">
        <f t="shared" si="696"/>
        <v>0.67987093056182579</v>
      </c>
      <c r="CB265" s="5">
        <f t="shared" si="697"/>
        <v>67.987093056182573</v>
      </c>
      <c r="CE265" s="562">
        <f t="shared" si="757"/>
        <v>-50</v>
      </c>
      <c r="CF265">
        <f t="shared" si="758"/>
        <v>-50</v>
      </c>
      <c r="CG265" s="173">
        <f t="shared" si="759"/>
        <v>0.62118837722545972</v>
      </c>
      <c r="CI265" s="170">
        <v>49</v>
      </c>
      <c r="CJ265" s="217">
        <f t="shared" si="698"/>
        <v>2.94</v>
      </c>
      <c r="CK265" s="217"/>
      <c r="CL265" s="217">
        <f t="shared" si="641"/>
        <v>11.76</v>
      </c>
      <c r="CM265" s="541">
        <f t="shared" si="642"/>
        <v>36</v>
      </c>
      <c r="CN265" s="443">
        <f t="shared" si="643"/>
        <v>18.8</v>
      </c>
      <c r="CO265" s="443">
        <f t="shared" si="644"/>
        <v>54.8</v>
      </c>
      <c r="CP265" s="443"/>
      <c r="CQ265" s="217">
        <f t="shared" si="645"/>
        <v>0.34306569343065696</v>
      </c>
      <c r="CR265" s="172">
        <f t="shared" si="646"/>
        <v>41.723649635036502</v>
      </c>
      <c r="CS265" s="172">
        <f t="shared" si="647"/>
        <v>11.76</v>
      </c>
      <c r="CT265" s="217">
        <f t="shared" si="648"/>
        <v>10.430912408759125</v>
      </c>
      <c r="CU265" s="217">
        <f t="shared" si="649"/>
        <v>4</v>
      </c>
      <c r="CV265" s="217"/>
      <c r="CW265" s="172">
        <f t="shared" si="650"/>
        <v>32.008934455780739</v>
      </c>
      <c r="CX265" s="172">
        <f t="shared" si="651"/>
        <v>4</v>
      </c>
      <c r="CY265" s="217">
        <f t="shared" si="652"/>
        <v>1.9043971631205672</v>
      </c>
      <c r="CZ265" s="217">
        <f t="shared" si="653"/>
        <v>0.63479905437352235</v>
      </c>
      <c r="DA265" s="217">
        <f t="shared" si="654"/>
        <v>1.2155726573110004</v>
      </c>
      <c r="DB265" s="197">
        <f t="shared" si="655"/>
        <v>350</v>
      </c>
      <c r="DC265" s="443">
        <f t="shared" si="656"/>
        <v>350</v>
      </c>
      <c r="DE265" s="217">
        <f t="shared" si="657"/>
        <v>2.940563086548488</v>
      </c>
      <c r="DF265" s="173">
        <f t="shared" si="658"/>
        <v>1.8769551616266944</v>
      </c>
      <c r="DG265" s="173">
        <f t="shared" si="659"/>
        <v>3.8635135443702762</v>
      </c>
      <c r="DH265" s="173"/>
      <c r="DI265" s="173">
        <f t="shared" si="660"/>
        <v>0.85106382978723416</v>
      </c>
      <c r="DJ265" s="545">
        <f t="shared" si="661"/>
        <v>1295.4374999999998</v>
      </c>
      <c r="DK265" s="528">
        <f t="shared" si="662"/>
        <v>0.79432624113475192</v>
      </c>
      <c r="DM265" s="173">
        <f t="shared" si="663"/>
        <v>2.565151067676132</v>
      </c>
      <c r="DN265" s="173">
        <f t="shared" si="664"/>
        <v>2.565151067676132</v>
      </c>
      <c r="DO265" s="173">
        <f t="shared" si="665"/>
        <v>2.1124575809946657</v>
      </c>
      <c r="DQ265" s="545">
        <f t="shared" si="666"/>
        <v>2940</v>
      </c>
      <c r="DR265" s="460">
        <f t="shared" si="667"/>
        <v>350</v>
      </c>
      <c r="DT265">
        <f t="shared" si="668"/>
        <v>2940</v>
      </c>
      <c r="DU265">
        <f t="shared" si="669"/>
        <v>350</v>
      </c>
      <c r="DW265" s="5">
        <f t="shared" si="670"/>
        <v>2.8571428571428572</v>
      </c>
      <c r="DX265" s="5">
        <f t="shared" si="671"/>
        <v>0.85505035589204392</v>
      </c>
      <c r="DY265" s="5">
        <f t="shared" si="672"/>
        <v>2.0020925012508135</v>
      </c>
      <c r="DZ265" s="5"/>
      <c r="EA265" s="173">
        <f t="shared" si="673"/>
        <v>0.29926762456221534</v>
      </c>
      <c r="EB265" s="173">
        <f t="shared" si="699"/>
        <v>13.818</v>
      </c>
      <c r="EC265" s="173">
        <f t="shared" si="700"/>
        <v>3.594968802018931</v>
      </c>
      <c r="ED265" s="173">
        <f t="shared" si="701"/>
        <v>3.8437051226257721</v>
      </c>
      <c r="EE265" s="460">
        <f t="shared" si="674"/>
        <v>62.846201158065234</v>
      </c>
      <c r="EF265" s="5">
        <f t="shared" si="675"/>
        <v>0.5450140697849436</v>
      </c>
      <c r="EH265" s="173">
        <f t="shared" si="702"/>
        <v>0.81018124919044643</v>
      </c>
      <c r="EI265" s="173">
        <f t="shared" si="703"/>
        <v>4.9589348482004336</v>
      </c>
      <c r="EK265" s="528">
        <f t="shared" si="704"/>
        <v>8.0080026097854636E-3</v>
      </c>
      <c r="EL265" s="528">
        <f t="shared" si="705"/>
        <v>0.98399194956056413</v>
      </c>
      <c r="EM265" s="528">
        <f t="shared" si="706"/>
        <v>4.3749999999999997E-2</v>
      </c>
      <c r="EN265" s="528">
        <f t="shared" si="707"/>
        <v>0.10510639999999997</v>
      </c>
      <c r="EO265">
        <f t="shared" si="708"/>
        <v>1.6199999999999999E-2</v>
      </c>
      <c r="EP265" s="460">
        <f t="shared" si="709"/>
        <v>59.949999999999996</v>
      </c>
      <c r="EQ265" s="460"/>
      <c r="ER265" s="460">
        <f t="shared" si="710"/>
        <v>1157.0563521703496</v>
      </c>
      <c r="ES265" s="528">
        <f t="shared" si="711"/>
        <v>2.0579999999999998</v>
      </c>
      <c r="EV265" s="460">
        <f t="shared" si="712"/>
        <v>2058</v>
      </c>
      <c r="EW265" s="528">
        <f t="shared" si="713"/>
        <v>1.9691809696193767E-2</v>
      </c>
      <c r="EX265" s="528">
        <f t="shared" si="714"/>
        <v>0.73773104486089969</v>
      </c>
      <c r="EY265" s="528">
        <f t="shared" si="715"/>
        <v>1.2075982701279666</v>
      </c>
      <c r="EZ265" s="528"/>
      <c r="FA265" s="528">
        <f t="shared" si="716"/>
        <v>5.7575000000000008E-2</v>
      </c>
      <c r="FB265" s="460">
        <f t="shared" si="717"/>
        <v>2022.5961246850602</v>
      </c>
      <c r="FC265" s="173">
        <f t="shared" si="718"/>
        <v>5.2376524768554091</v>
      </c>
      <c r="FD265" s="5">
        <f t="shared" si="719"/>
        <v>11.76</v>
      </c>
      <c r="FE265" s="173">
        <f t="shared" si="720"/>
        <v>0.69186024458452855</v>
      </c>
      <c r="FF265" s="5">
        <f t="shared" si="721"/>
        <v>69.186024458452849</v>
      </c>
      <c r="FI265" s="562">
        <f t="shared" si="676"/>
        <v>-50</v>
      </c>
      <c r="FJ265">
        <f t="shared" si="677"/>
        <v>-50</v>
      </c>
      <c r="FL265">
        <f t="shared" si="760"/>
        <v>0.57306566405530612</v>
      </c>
    </row>
    <row r="266" spans="5:168">
      <c r="E266" s="170">
        <v>50</v>
      </c>
      <c r="F266" s="217">
        <f t="shared" si="761"/>
        <v>3</v>
      </c>
      <c r="G266" s="217"/>
      <c r="H266" s="217">
        <f t="shared" si="726"/>
        <v>12</v>
      </c>
      <c r="I266" s="541">
        <f t="shared" si="727"/>
        <v>35.949561352686089</v>
      </c>
      <c r="J266" s="172">
        <f t="shared" si="728"/>
        <v>19.37370973248051</v>
      </c>
      <c r="K266" s="172">
        <f t="shared" si="729"/>
        <v>55.323271085166596</v>
      </c>
      <c r="L266" s="443"/>
      <c r="M266" s="217">
        <f t="shared" si="730"/>
        <v>0.35075634235975095</v>
      </c>
      <c r="N266" s="172">
        <f t="shared" si="731"/>
        <v>42.599217980913203</v>
      </c>
      <c r="O266" s="172">
        <f t="shared" si="762"/>
        <v>12</v>
      </c>
      <c r="P266" s="217">
        <f t="shared" si="732"/>
        <v>10.649804495228301</v>
      </c>
      <c r="Q266" s="217">
        <f t="shared" si="733"/>
        <v>4</v>
      </c>
      <c r="R266" s="217"/>
      <c r="S266" s="172">
        <f t="shared" si="734"/>
        <v>31.154066566224703</v>
      </c>
      <c r="T266" s="172">
        <f t="shared" si="735"/>
        <v>4</v>
      </c>
      <c r="U266" s="217">
        <f t="shared" si="736"/>
        <v>2.31038067503335</v>
      </c>
      <c r="V266" s="217">
        <f t="shared" si="737"/>
        <v>0.77120740997104453</v>
      </c>
      <c r="W266" s="217">
        <f t="shared" si="738"/>
        <v>1.4310407497186388</v>
      </c>
      <c r="X266" s="197">
        <f t="shared" si="739"/>
        <v>350</v>
      </c>
      <c r="Y266" s="443">
        <f t="shared" si="680"/>
        <v>350</v>
      </c>
      <c r="AA266" s="217">
        <f t="shared" si="740"/>
        <v>2.9974313357503641</v>
      </c>
      <c r="AB266" s="173">
        <f t="shared" si="741"/>
        <v>1.8565972405739692</v>
      </c>
      <c r="AC266" s="173">
        <f t="shared" si="742"/>
        <v>3.8955159227348508</v>
      </c>
      <c r="AD266" s="173"/>
      <c r="AE266" s="173">
        <f t="shared" si="743"/>
        <v>0.82586144940406547</v>
      </c>
      <c r="AF266" s="545">
        <f t="shared" si="744"/>
        <v>1362.2139655650356</v>
      </c>
      <c r="AG266" s="528">
        <f t="shared" si="745"/>
        <v>0.77080401944379451</v>
      </c>
      <c r="AI266" s="173">
        <f t="shared" si="746"/>
        <v>2.6304338135209688</v>
      </c>
      <c r="AJ266" s="173">
        <f t="shared" si="747"/>
        <v>2.6304338135209688</v>
      </c>
      <c r="AK266" s="173">
        <f t="shared" si="748"/>
        <v>2.1608151705093595</v>
      </c>
      <c r="AM266" s="545">
        <f t="shared" si="749"/>
        <v>3000</v>
      </c>
      <c r="AN266" s="460">
        <f t="shared" si="750"/>
        <v>350</v>
      </c>
      <c r="AP266">
        <f t="shared" si="751"/>
        <v>3000</v>
      </c>
      <c r="AQ266">
        <f t="shared" si="752"/>
        <v>350</v>
      </c>
      <c r="AS266" s="5">
        <f t="shared" si="763"/>
        <v>2.8571428571428572</v>
      </c>
      <c r="AT266" s="5">
        <f t="shared" si="753"/>
        <v>0.87804147184380399</v>
      </c>
      <c r="AU266" s="5">
        <f t="shared" si="722"/>
        <v>1.9791013852990531</v>
      </c>
      <c r="AV266" s="5"/>
      <c r="AW266" s="173">
        <f t="shared" si="723"/>
        <v>0.30731451514533137</v>
      </c>
      <c r="AX266" s="173">
        <f t="shared" si="631"/>
        <v>14.53028229936038</v>
      </c>
      <c r="AY266" s="173">
        <f t="shared" si="632"/>
        <v>3.6441266429937746</v>
      </c>
      <c r="AZ266" s="173">
        <f t="shared" si="633"/>
        <v>3.9873154044457841</v>
      </c>
      <c r="BA266" s="460">
        <f t="shared" si="724"/>
        <v>65.853110388285302</v>
      </c>
      <c r="BB266" s="5">
        <f t="shared" si="725"/>
        <v>0.55052170619911556</v>
      </c>
      <c r="BD266" s="173">
        <f t="shared" si="681"/>
        <v>0.84189569347449966</v>
      </c>
      <c r="BE266" s="173">
        <f t="shared" si="682"/>
        <v>5.0558570503218627</v>
      </c>
      <c r="BG266" s="528">
        <f t="shared" si="683"/>
        <v>8.6472179760290861E-3</v>
      </c>
      <c r="BH266" s="528">
        <f t="shared" si="754"/>
        <v>0.95500258177412223</v>
      </c>
      <c r="BI266" s="528">
        <f t="shared" si="755"/>
        <v>0.31455866183600328</v>
      </c>
      <c r="BJ266" s="528">
        <f t="shared" si="684"/>
        <v>0.10712325132469906</v>
      </c>
      <c r="BK266">
        <f t="shared" si="685"/>
        <v>1.6177302608708741E-2</v>
      </c>
      <c r="BL266" s="460">
        <f t="shared" si="686"/>
        <v>330.73596444471201</v>
      </c>
      <c r="BM266" s="528">
        <f t="shared" si="756"/>
        <v>1.075317123899918</v>
      </c>
      <c r="BN266" s="460">
        <f t="shared" si="687"/>
        <v>1075.317123899918</v>
      </c>
      <c r="BO266" s="528">
        <f t="shared" si="637"/>
        <v>2.0999999999999996</v>
      </c>
      <c r="BR266" s="460">
        <f t="shared" si="688"/>
        <v>2099.9999999999995</v>
      </c>
      <c r="BS266" s="528">
        <f t="shared" si="689"/>
        <v>2.1263650760727261E-2</v>
      </c>
      <c r="BT266" s="528">
        <f t="shared" si="690"/>
        <v>0.76685071539867855</v>
      </c>
      <c r="BU266" s="528">
        <f t="shared" si="691"/>
        <v>1.2859040430447706</v>
      </c>
      <c r="BV266" s="528"/>
      <c r="BW266" s="528">
        <f t="shared" si="692"/>
        <v>6.0542842914001596E-2</v>
      </c>
      <c r="BX266" s="460">
        <f t="shared" si="693"/>
        <v>2134.5612521181779</v>
      </c>
      <c r="BY266" s="173">
        <f t="shared" si="694"/>
        <v>5.6360702676377405</v>
      </c>
      <c r="BZ266" s="5">
        <f t="shared" si="695"/>
        <v>12</v>
      </c>
      <c r="CA266" s="173">
        <f t="shared" si="696"/>
        <v>0.68042368951205912</v>
      </c>
      <c r="CB266" s="5">
        <f t="shared" si="697"/>
        <v>68.042368951205916</v>
      </c>
      <c r="CE266" s="562">
        <f t="shared" si="757"/>
        <v>-50</v>
      </c>
      <c r="CF266">
        <f t="shared" si="758"/>
        <v>-50</v>
      </c>
      <c r="CG266" s="173">
        <f t="shared" si="759"/>
        <v>0.62749501990055667</v>
      </c>
      <c r="CI266" s="170">
        <v>50</v>
      </c>
      <c r="CJ266" s="217">
        <f t="shared" si="698"/>
        <v>3</v>
      </c>
      <c r="CK266" s="217"/>
      <c r="CL266" s="217">
        <f t="shared" si="641"/>
        <v>12</v>
      </c>
      <c r="CM266" s="541">
        <f t="shared" si="642"/>
        <v>36</v>
      </c>
      <c r="CN266" s="443">
        <f t="shared" si="643"/>
        <v>18.8</v>
      </c>
      <c r="CO266" s="443">
        <f t="shared" si="644"/>
        <v>54.8</v>
      </c>
      <c r="CP266" s="443"/>
      <c r="CQ266" s="217">
        <f t="shared" si="645"/>
        <v>0.34306569343065696</v>
      </c>
      <c r="CR266" s="172">
        <f t="shared" si="646"/>
        <v>41.723649635036502</v>
      </c>
      <c r="CS266" s="172">
        <f t="shared" si="647"/>
        <v>12</v>
      </c>
      <c r="CT266" s="217">
        <f t="shared" si="648"/>
        <v>10.430912408759125</v>
      </c>
      <c r="CU266" s="217">
        <f t="shared" si="649"/>
        <v>4</v>
      </c>
      <c r="CV266" s="217"/>
      <c r="CW266" s="172">
        <f t="shared" si="650"/>
        <v>31.197507594639116</v>
      </c>
      <c r="CX266" s="172">
        <f t="shared" si="651"/>
        <v>4</v>
      </c>
      <c r="CY266" s="217">
        <f t="shared" si="652"/>
        <v>1.9432624113475174</v>
      </c>
      <c r="CZ266" s="217">
        <f t="shared" si="653"/>
        <v>0.64775413711583907</v>
      </c>
      <c r="DA266" s="217">
        <f t="shared" si="654"/>
        <v>1.2403802625622451</v>
      </c>
      <c r="DB266" s="197">
        <f t="shared" si="655"/>
        <v>350</v>
      </c>
      <c r="DC266" s="443">
        <f t="shared" si="656"/>
        <v>350</v>
      </c>
      <c r="DE266" s="217">
        <f t="shared" si="657"/>
        <v>2.940563086548488</v>
      </c>
      <c r="DF266" s="173">
        <f t="shared" si="658"/>
        <v>1.8769551616266944</v>
      </c>
      <c r="DG266" s="173">
        <f t="shared" si="659"/>
        <v>3.8635135443702762</v>
      </c>
      <c r="DH266" s="173"/>
      <c r="DI266" s="173">
        <f t="shared" si="660"/>
        <v>0.85106382978723416</v>
      </c>
      <c r="DJ266" s="545">
        <f t="shared" si="661"/>
        <v>1321.8749999999998</v>
      </c>
      <c r="DK266" s="528">
        <f t="shared" si="662"/>
        <v>0.79432624113475192</v>
      </c>
      <c r="DM266" s="173">
        <f t="shared" si="663"/>
        <v>2.5911938781738648</v>
      </c>
      <c r="DN266" s="173">
        <f t="shared" si="664"/>
        <v>2.5911938781738648</v>
      </c>
      <c r="DO266" s="173">
        <f t="shared" si="665"/>
        <v>2.1317485517337267</v>
      </c>
      <c r="DQ266" s="545">
        <f t="shared" si="666"/>
        <v>3000</v>
      </c>
      <c r="DR266" s="460">
        <f t="shared" si="667"/>
        <v>350</v>
      </c>
      <c r="DT266">
        <f t="shared" si="668"/>
        <v>3000</v>
      </c>
      <c r="DU266">
        <f t="shared" si="669"/>
        <v>350</v>
      </c>
      <c r="DW266" s="5">
        <f t="shared" si="670"/>
        <v>2.8571428571428572</v>
      </c>
      <c r="DX266" s="5">
        <f t="shared" si="671"/>
        <v>0.86373129272462157</v>
      </c>
      <c r="DY266" s="5">
        <f t="shared" si="672"/>
        <v>1.9934115644182357</v>
      </c>
      <c r="DZ266" s="5"/>
      <c r="EA266" s="173">
        <f t="shared" si="673"/>
        <v>0.30230595245361752</v>
      </c>
      <c r="EB266" s="173">
        <f t="shared" si="699"/>
        <v>14.099999999999998</v>
      </c>
      <c r="EC266" s="173">
        <f t="shared" si="700"/>
        <v>3.6157210896810632</v>
      </c>
      <c r="ED266" s="173">
        <f t="shared" si="701"/>
        <v>3.899637071078327</v>
      </c>
      <c r="EE266" s="460">
        <f t="shared" si="674"/>
        <v>64.779846954346624</v>
      </c>
      <c r="EF266" s="5">
        <f t="shared" si="675"/>
        <v>0.55372543456062095</v>
      </c>
      <c r="EH266" s="173">
        <f t="shared" si="702"/>
        <v>0.82255061402584029</v>
      </c>
      <c r="EI266" s="173">
        <f t="shared" si="703"/>
        <v>4.9984089075800124</v>
      </c>
      <c r="EK266" s="528">
        <f t="shared" si="704"/>
        <v>8.254392054138299E-3</v>
      </c>
      <c r="EL266" s="528">
        <f t="shared" si="705"/>
        <v>0.99398197166749436</v>
      </c>
      <c r="EM266" s="528">
        <f t="shared" si="706"/>
        <v>4.3749999999999997E-2</v>
      </c>
      <c r="EN266" s="528">
        <f t="shared" si="707"/>
        <v>0.10510639999999997</v>
      </c>
      <c r="EO266">
        <f t="shared" si="708"/>
        <v>1.6199999999999999E-2</v>
      </c>
      <c r="EP266" s="460">
        <f t="shared" si="709"/>
        <v>59.949999999999996</v>
      </c>
      <c r="EQ266" s="460"/>
      <c r="ER266" s="460">
        <f t="shared" si="710"/>
        <v>1167.2927637216326</v>
      </c>
      <c r="ES266" s="528">
        <f t="shared" si="711"/>
        <v>2.0999999999999996</v>
      </c>
      <c r="EV266" s="460">
        <f t="shared" si="712"/>
        <v>2099.9999999999995</v>
      </c>
      <c r="EW266" s="528">
        <f t="shared" si="713"/>
        <v>2.0297685379028606E-2</v>
      </c>
      <c r="EX266" s="528">
        <f t="shared" si="714"/>
        <v>0.74952274822125631</v>
      </c>
      <c r="EY266" s="528">
        <f t="shared" si="715"/>
        <v>1.2384825379685649</v>
      </c>
      <c r="EZ266" s="528"/>
      <c r="FA266" s="528">
        <f t="shared" si="716"/>
        <v>5.8749999999999997E-2</v>
      </c>
      <c r="FB266" s="460">
        <f t="shared" si="717"/>
        <v>2067.0529715688499</v>
      </c>
      <c r="FC266" s="173">
        <f t="shared" si="718"/>
        <v>5.3343457352904817</v>
      </c>
      <c r="FD266" s="5">
        <f t="shared" si="719"/>
        <v>12</v>
      </c>
      <c r="FE266" s="173">
        <f t="shared" si="720"/>
        <v>0.69226725849649773</v>
      </c>
      <c r="FF266" s="5">
        <f t="shared" si="721"/>
        <v>69.226725849649767</v>
      </c>
      <c r="FI266" s="562">
        <f t="shared" si="676"/>
        <v>-50</v>
      </c>
      <c r="FJ266">
        <f t="shared" si="677"/>
        <v>-50</v>
      </c>
      <c r="FL266">
        <f t="shared" si="760"/>
        <v>0.57888373874096988</v>
      </c>
    </row>
    <row r="267" spans="5:168">
      <c r="E267" s="170">
        <v>51</v>
      </c>
      <c r="F267" s="217">
        <f t="shared" si="761"/>
        <v>3.06</v>
      </c>
      <c r="G267" s="217"/>
      <c r="H267" s="217">
        <f t="shared" si="726"/>
        <v>12.24</v>
      </c>
      <c r="I267" s="541">
        <f t="shared" si="727"/>
        <v>35.949059463236885</v>
      </c>
      <c r="J267" s="172">
        <f t="shared" si="728"/>
        <v>19.379418427637329</v>
      </c>
      <c r="K267" s="172">
        <f t="shared" si="729"/>
        <v>55.328477890874211</v>
      </c>
      <c r="L267" s="443"/>
      <c r="M267" s="217">
        <f t="shared" si="730"/>
        <v>0.35083207057197086</v>
      </c>
      <c r="N267" s="172">
        <f t="shared" si="731"/>
        <v>42.607820288838106</v>
      </c>
      <c r="O267" s="172">
        <f t="shared" si="762"/>
        <v>12.24</v>
      </c>
      <c r="P267" s="217">
        <f t="shared" si="732"/>
        <v>10.651955072209526</v>
      </c>
      <c r="Q267" s="217">
        <f t="shared" si="733"/>
        <v>4</v>
      </c>
      <c r="R267" s="217"/>
      <c r="S267" s="172">
        <f t="shared" si="734"/>
        <v>30.375376618617221</v>
      </c>
      <c r="T267" s="172">
        <f t="shared" si="735"/>
        <v>4</v>
      </c>
      <c r="U267" s="217">
        <f t="shared" si="736"/>
        <v>2.3568631946252445</v>
      </c>
      <c r="V267" s="217">
        <f t="shared" si="737"/>
        <v>0.78673430564784985</v>
      </c>
      <c r="W267" s="217">
        <f t="shared" si="738"/>
        <v>1.459401810281828</v>
      </c>
      <c r="X267" s="197">
        <f t="shared" si="739"/>
        <v>350</v>
      </c>
      <c r="Y267" s="443">
        <f t="shared" si="680"/>
        <v>350</v>
      </c>
      <c r="AA267" s="217">
        <f t="shared" si="740"/>
        <v>2.997990546534286</v>
      </c>
      <c r="AB267" s="173">
        <f t="shared" si="741"/>
        <v>1.8563966040954867</v>
      </c>
      <c r="AC267" s="173">
        <f t="shared" si="742"/>
        <v>3.8958216287876342</v>
      </c>
      <c r="AD267" s="173"/>
      <c r="AE267" s="173">
        <f t="shared" si="743"/>
        <v>0.82561817114089042</v>
      </c>
      <c r="AF267" s="545">
        <f t="shared" si="744"/>
        <v>1389.8676653571142</v>
      </c>
      <c r="AG267" s="528">
        <f t="shared" si="745"/>
        <v>0.77057695973149787</v>
      </c>
      <c r="AI267" s="173">
        <f t="shared" si="746"/>
        <v>2.6569993007815409</v>
      </c>
      <c r="AJ267" s="173">
        <f t="shared" si="747"/>
        <v>2.6569993007815409</v>
      </c>
      <c r="AK267" s="173">
        <f t="shared" si="748"/>
        <v>2.1804933092208945</v>
      </c>
      <c r="AM267" s="545">
        <f t="shared" si="749"/>
        <v>3060</v>
      </c>
      <c r="AN267" s="460">
        <f t="shared" si="750"/>
        <v>350</v>
      </c>
      <c r="AP267">
        <f t="shared" si="751"/>
        <v>3060</v>
      </c>
      <c r="AQ267">
        <f t="shared" si="752"/>
        <v>350</v>
      </c>
      <c r="AS267" s="5">
        <f t="shared" si="763"/>
        <v>2.8571428571428572</v>
      </c>
      <c r="AT267" s="5">
        <f t="shared" si="753"/>
        <v>0.88692144065645129</v>
      </c>
      <c r="AU267" s="5">
        <f t="shared" si="722"/>
        <v>1.9702214164864058</v>
      </c>
      <c r="AV267" s="5"/>
      <c r="AW267" s="173">
        <f t="shared" si="723"/>
        <v>0.31042250422975792</v>
      </c>
      <c r="AX267" s="173">
        <f t="shared" si="631"/>
        <v>14.825255097142556</v>
      </c>
      <c r="AY267" s="173">
        <f t="shared" si="632"/>
        <v>3.6644138481924382</v>
      </c>
      <c r="AZ267" s="173">
        <f t="shared" si="633"/>
        <v>4.0457371113951757</v>
      </c>
      <c r="BA267" s="460">
        <f t="shared" si="724"/>
        <v>67.849490210218519</v>
      </c>
      <c r="BB267" s="5">
        <f t="shared" si="725"/>
        <v>0.55902042357221249</v>
      </c>
      <c r="BD267" s="173">
        <f t="shared" si="681"/>
        <v>0.85468761703576923</v>
      </c>
      <c r="BE267" s="173">
        <f t="shared" si="682"/>
        <v>5.0954476499247843</v>
      </c>
      <c r="BG267" s="528">
        <f t="shared" si="683"/>
        <v>8.9119892571142365E-3</v>
      </c>
      <c r="BH267" s="528">
        <f t="shared" si="754"/>
        <v>0.96473820889267314</v>
      </c>
      <c r="BI267" s="528">
        <f t="shared" si="755"/>
        <v>0.31455427030332272</v>
      </c>
      <c r="BJ267" s="528">
        <f t="shared" si="684"/>
        <v>0.10714341630023348</v>
      </c>
      <c r="BK267">
        <f t="shared" si="685"/>
        <v>1.6177076758456598E-2</v>
      </c>
      <c r="BL267" s="460">
        <f t="shared" si="686"/>
        <v>330.73134706177933</v>
      </c>
      <c r="BM267" s="528">
        <f t="shared" si="756"/>
        <v>1.0854983820503024</v>
      </c>
      <c r="BN267" s="460">
        <f t="shared" si="687"/>
        <v>1085.4983820503023</v>
      </c>
      <c r="BO267" s="528">
        <f t="shared" si="637"/>
        <v>2.1419999999999999</v>
      </c>
      <c r="BR267" s="460">
        <f t="shared" si="688"/>
        <v>2142</v>
      </c>
      <c r="BS267" s="528">
        <f t="shared" si="689"/>
        <v>2.191472768142845E-2</v>
      </c>
      <c r="BT267" s="528">
        <f t="shared" si="690"/>
        <v>0.77890760259372016</v>
      </c>
      <c r="BU267" s="528">
        <f t="shared" si="691"/>
        <v>1.3186171366833996</v>
      </c>
      <c r="BV267" s="528"/>
      <c r="BW267" s="528">
        <f t="shared" si="692"/>
        <v>6.1771896238093982E-2</v>
      </c>
      <c r="BX267" s="460">
        <f t="shared" si="693"/>
        <v>2181.2113631966417</v>
      </c>
      <c r="BY267" s="173">
        <f t="shared" si="694"/>
        <v>5.7347363247084422</v>
      </c>
      <c r="BZ267" s="5">
        <f t="shared" si="695"/>
        <v>12.24</v>
      </c>
      <c r="CA267" s="173">
        <f t="shared" si="696"/>
        <v>0.68095574693769745</v>
      </c>
      <c r="CB267" s="5">
        <f t="shared" si="697"/>
        <v>68.095574693769748</v>
      </c>
      <c r="CE267" s="562">
        <f t="shared" si="757"/>
        <v>-50</v>
      </c>
      <c r="CF267">
        <f t="shared" si="758"/>
        <v>-50</v>
      </c>
      <c r="CG267" s="173">
        <f t="shared" si="759"/>
        <v>0.63373890522832821</v>
      </c>
      <c r="CI267" s="170">
        <v>51</v>
      </c>
      <c r="CJ267" s="217">
        <f t="shared" si="698"/>
        <v>3.06</v>
      </c>
      <c r="CK267" s="217"/>
      <c r="CL267" s="217">
        <f t="shared" si="641"/>
        <v>12.24</v>
      </c>
      <c r="CM267" s="541">
        <f t="shared" si="642"/>
        <v>36</v>
      </c>
      <c r="CN267" s="443">
        <f t="shared" si="643"/>
        <v>18.8</v>
      </c>
      <c r="CO267" s="443">
        <f t="shared" si="644"/>
        <v>54.8</v>
      </c>
      <c r="CP267" s="443"/>
      <c r="CQ267" s="217">
        <f t="shared" si="645"/>
        <v>0.34306569343065696</v>
      </c>
      <c r="CR267" s="172">
        <f t="shared" si="646"/>
        <v>41.723649635036502</v>
      </c>
      <c r="CS267" s="172">
        <f t="shared" si="647"/>
        <v>12.24</v>
      </c>
      <c r="CT267" s="217">
        <f t="shared" si="648"/>
        <v>10.430912408759125</v>
      </c>
      <c r="CU267" s="217">
        <f t="shared" si="649"/>
        <v>4</v>
      </c>
      <c r="CV267" s="217"/>
      <c r="CW267" s="172">
        <f t="shared" si="650"/>
        <v>30.41814053085438</v>
      </c>
      <c r="CX267" s="172">
        <f t="shared" si="651"/>
        <v>4</v>
      </c>
      <c r="CY267" s="217">
        <f t="shared" si="652"/>
        <v>1.9821276595744679</v>
      </c>
      <c r="CZ267" s="217">
        <f t="shared" si="653"/>
        <v>0.66070921985815589</v>
      </c>
      <c r="DA267" s="217">
        <f t="shared" si="654"/>
        <v>1.2651878678134902</v>
      </c>
      <c r="DB267" s="197">
        <f t="shared" si="655"/>
        <v>350</v>
      </c>
      <c r="DC267" s="443">
        <f t="shared" si="656"/>
        <v>350</v>
      </c>
      <c r="DE267" s="217">
        <f t="shared" si="657"/>
        <v>2.940563086548488</v>
      </c>
      <c r="DF267" s="173">
        <f t="shared" si="658"/>
        <v>1.8769551616266944</v>
      </c>
      <c r="DG267" s="173">
        <f t="shared" si="659"/>
        <v>3.8635135443702762</v>
      </c>
      <c r="DH267" s="173"/>
      <c r="DI267" s="173">
        <f t="shared" si="660"/>
        <v>0.85106382978723416</v>
      </c>
      <c r="DJ267" s="545">
        <f t="shared" si="661"/>
        <v>1348.3124999999998</v>
      </c>
      <c r="DK267" s="528">
        <f t="shared" si="662"/>
        <v>0.79432624113475192</v>
      </c>
      <c r="DM267" s="173">
        <f t="shared" si="663"/>
        <v>2.6169775368870534</v>
      </c>
      <c r="DN267" s="173">
        <f t="shared" si="664"/>
        <v>2.6169775368870534</v>
      </c>
      <c r="DO267" s="173">
        <f t="shared" si="665"/>
        <v>2.1508475581879405</v>
      </c>
      <c r="DQ267" s="545">
        <f t="shared" si="666"/>
        <v>3060</v>
      </c>
      <c r="DR267" s="460">
        <f t="shared" si="667"/>
        <v>350</v>
      </c>
      <c r="DT267">
        <f t="shared" si="668"/>
        <v>3060</v>
      </c>
      <c r="DU267">
        <f t="shared" si="669"/>
        <v>350</v>
      </c>
      <c r="DW267" s="5">
        <f t="shared" si="670"/>
        <v>2.8571428571428572</v>
      </c>
      <c r="DX267" s="5">
        <f t="shared" si="671"/>
        <v>0.87232584562901783</v>
      </c>
      <c r="DY267" s="5">
        <f t="shared" si="672"/>
        <v>1.9848170115138393</v>
      </c>
      <c r="DZ267" s="5"/>
      <c r="EA267" s="173">
        <f t="shared" si="673"/>
        <v>0.30531404597015621</v>
      </c>
      <c r="EB267" s="173">
        <f t="shared" si="699"/>
        <v>14.382000000000001</v>
      </c>
      <c r="EC267" s="173">
        <f t="shared" si="700"/>
        <v>3.6359550737741069</v>
      </c>
      <c r="ED267" s="173">
        <f t="shared" si="701"/>
        <v>3.9554944184366785</v>
      </c>
      <c r="EE267" s="460">
        <f t="shared" si="674"/>
        <v>66.732927190619861</v>
      </c>
      <c r="EF267" s="5">
        <f t="shared" si="675"/>
        <v>0.56236481992892107</v>
      </c>
      <c r="EH267" s="173">
        <f t="shared" si="702"/>
        <v>0.83485828178055776</v>
      </c>
      <c r="EI267" s="173">
        <f t="shared" si="703"/>
        <v>5.0372513015724083</v>
      </c>
      <c r="EK267" s="528">
        <f t="shared" si="704"/>
        <v>8.5032578780225385E-3</v>
      </c>
      <c r="EL267" s="528">
        <f t="shared" si="705"/>
        <v>1.0038725831498736</v>
      </c>
      <c r="EM267" s="528">
        <f t="shared" si="706"/>
        <v>4.3749999999999997E-2</v>
      </c>
      <c r="EN267" s="528">
        <f t="shared" si="707"/>
        <v>0.10510639999999997</v>
      </c>
      <c r="EO267">
        <f t="shared" si="708"/>
        <v>1.6199999999999999E-2</v>
      </c>
      <c r="EP267" s="460">
        <f t="shared" si="709"/>
        <v>59.949999999999996</v>
      </c>
      <c r="EQ267" s="460"/>
      <c r="ER267" s="460">
        <f t="shared" si="710"/>
        <v>1177.4322410278962</v>
      </c>
      <c r="ES267" s="528">
        <f t="shared" si="711"/>
        <v>2.1419999999999999</v>
      </c>
      <c r="EV267" s="460">
        <f t="shared" si="712"/>
        <v>2142</v>
      </c>
      <c r="EW267" s="528">
        <f t="shared" si="713"/>
        <v>2.0909650519727558E-2</v>
      </c>
      <c r="EX267" s="528">
        <f t="shared" si="714"/>
        <v>0.76121702025578764</v>
      </c>
      <c r="EY267" s="528">
        <f t="shared" si="715"/>
        <v>1.269521622900293</v>
      </c>
      <c r="EZ267" s="528"/>
      <c r="FA267" s="528">
        <f t="shared" si="716"/>
        <v>5.9924999999999999E-2</v>
      </c>
      <c r="FB267" s="460">
        <f t="shared" si="717"/>
        <v>2111.5732936758081</v>
      </c>
      <c r="FC267" s="173">
        <f t="shared" si="718"/>
        <v>5.4310055347037043</v>
      </c>
      <c r="FD267" s="5">
        <f t="shared" si="719"/>
        <v>12.24</v>
      </c>
      <c r="FE267" s="173">
        <f t="shared" si="720"/>
        <v>0.69266007392517259</v>
      </c>
      <c r="FF267" s="5">
        <f t="shared" si="721"/>
        <v>69.266007392517253</v>
      </c>
      <c r="FI267" s="562">
        <f t="shared" si="676"/>
        <v>-50</v>
      </c>
      <c r="FJ267">
        <f t="shared" si="677"/>
        <v>-50</v>
      </c>
      <c r="FL267">
        <f t="shared" si="760"/>
        <v>0.58464391781519276</v>
      </c>
    </row>
    <row r="268" spans="5:168">
      <c r="E268" s="170">
        <v>52</v>
      </c>
      <c r="F268" s="217">
        <f t="shared" si="761"/>
        <v>3.12</v>
      </c>
      <c r="G268" s="217"/>
      <c r="H268" s="217">
        <f t="shared" si="726"/>
        <v>12.48</v>
      </c>
      <c r="I268" s="541">
        <f t="shared" si="727"/>
        <v>35.948562470621425</v>
      </c>
      <c r="J268" s="172">
        <f t="shared" si="728"/>
        <v>19.385071424211244</v>
      </c>
      <c r="K268" s="172">
        <f t="shared" si="729"/>
        <v>55.333633894832673</v>
      </c>
      <c r="L268" s="443"/>
      <c r="M268" s="217">
        <f t="shared" si="730"/>
        <v>0.35090704459605376</v>
      </c>
      <c r="N268" s="172">
        <f t="shared" si="731"/>
        <v>42.616336551773166</v>
      </c>
      <c r="O268" s="172">
        <f t="shared" si="762"/>
        <v>12.48</v>
      </c>
      <c r="P268" s="217">
        <f t="shared" si="732"/>
        <v>10.654084137943292</v>
      </c>
      <c r="Q268" s="217">
        <f t="shared" si="733"/>
        <v>4</v>
      </c>
      <c r="R268" s="217"/>
      <c r="S268" s="172">
        <f t="shared" si="734"/>
        <v>29.626882883692033</v>
      </c>
      <c r="T268" s="172">
        <f t="shared" si="735"/>
        <v>4</v>
      </c>
      <c r="U268" s="217">
        <f t="shared" si="736"/>
        <v>2.4033537677653185</v>
      </c>
      <c r="V268" s="217">
        <f t="shared" si="737"/>
        <v>0.80226421395162051</v>
      </c>
      <c r="W268" s="217">
        <f t="shared" si="738"/>
        <v>1.4877554269500091</v>
      </c>
      <c r="X268" s="197">
        <f t="shared" si="739"/>
        <v>350</v>
      </c>
      <c r="Y268" s="443">
        <f t="shared" si="680"/>
        <v>350</v>
      </c>
      <c r="AA268" s="217">
        <f t="shared" si="740"/>
        <v>2.9985441732082596</v>
      </c>
      <c r="AB268" s="173">
        <f t="shared" si="741"/>
        <v>1.8561979623948277</v>
      </c>
      <c r="AC268" s="173">
        <f t="shared" si="742"/>
        <v>3.8961241091220384</v>
      </c>
      <c r="AD268" s="173"/>
      <c r="AE268" s="173">
        <f t="shared" si="743"/>
        <v>0.82537740768994994</v>
      </c>
      <c r="AF268" s="545">
        <f t="shared" si="744"/>
        <v>1417.5333478954469</v>
      </c>
      <c r="AG268" s="528">
        <f t="shared" si="745"/>
        <v>0.77035224717728679</v>
      </c>
      <c r="AI268" s="173">
        <f t="shared" si="746"/>
        <v>2.6833131360569165</v>
      </c>
      <c r="AJ268" s="173">
        <f t="shared" si="747"/>
        <v>2.6833131360569165</v>
      </c>
      <c r="AK268" s="173">
        <f t="shared" si="748"/>
        <v>2.1999850390545057</v>
      </c>
      <c r="AM268" s="545">
        <f t="shared" si="749"/>
        <v>3120</v>
      </c>
      <c r="AN268" s="460">
        <f t="shared" si="750"/>
        <v>350</v>
      </c>
      <c r="AP268">
        <f t="shared" si="751"/>
        <v>3120</v>
      </c>
      <c r="AQ268">
        <f t="shared" si="752"/>
        <v>350</v>
      </c>
      <c r="AS268" s="5">
        <f t="shared" si="763"/>
        <v>2.8571428571428572</v>
      </c>
      <c r="AT268" s="5">
        <f t="shared" si="753"/>
        <v>0.89571753137550081</v>
      </c>
      <c r="AU268" s="5">
        <f t="shared" si="722"/>
        <v>1.9614253257673564</v>
      </c>
      <c r="AV268" s="5"/>
      <c r="AW268" s="173">
        <f t="shared" si="723"/>
        <v>0.31350113598142526</v>
      </c>
      <c r="AX268" s="173">
        <f t="shared" si="631"/>
        <v>15.120355710884768</v>
      </c>
      <c r="AY268" s="173">
        <f t="shared" si="632"/>
        <v>3.6841828394183849</v>
      </c>
      <c r="AZ268" s="173">
        <f t="shared" si="633"/>
        <v>4.1041273926762525</v>
      </c>
      <c r="BA268" s="460">
        <f t="shared" si="724"/>
        <v>69.865967447289066</v>
      </c>
      <c r="BB268" s="5">
        <f t="shared" si="725"/>
        <v>0.5674447595686537</v>
      </c>
      <c r="BD268" s="173">
        <f t="shared" si="681"/>
        <v>0.86742171247365651</v>
      </c>
      <c r="BE268" s="173">
        <f t="shared" si="682"/>
        <v>5.1344110233201548</v>
      </c>
      <c r="BG268" s="528">
        <f t="shared" si="683"/>
        <v>9.1795292127029166E-3</v>
      </c>
      <c r="BH268" s="528">
        <f t="shared" si="754"/>
        <v>0.97438337519098239</v>
      </c>
      <c r="BI268" s="528">
        <f t="shared" si="755"/>
        <v>0.31454992161793749</v>
      </c>
      <c r="BJ268" s="528">
        <f t="shared" si="684"/>
        <v>0.10716338640025813</v>
      </c>
      <c r="BK268">
        <f t="shared" si="685"/>
        <v>1.6176853111779643E-2</v>
      </c>
      <c r="BL268" s="460">
        <f t="shared" si="686"/>
        <v>330.72677472971714</v>
      </c>
      <c r="BM268" s="528">
        <f t="shared" si="756"/>
        <v>1.0955943164031414</v>
      </c>
      <c r="BN268" s="460">
        <f t="shared" si="687"/>
        <v>1095.5943164031414</v>
      </c>
      <c r="BO268" s="528">
        <f t="shared" si="637"/>
        <v>2.1839999999999997</v>
      </c>
      <c r="BR268" s="460">
        <f t="shared" si="688"/>
        <v>2183.9999999999995</v>
      </c>
      <c r="BS268" s="528">
        <f t="shared" si="689"/>
        <v>2.2572612818121927E-2</v>
      </c>
      <c r="BT268" s="528">
        <f t="shared" si="690"/>
        <v>0.79086529669174555</v>
      </c>
      <c r="BU268" s="528">
        <f t="shared" si="691"/>
        <v>1.3515076460691242</v>
      </c>
      <c r="BV268" s="528"/>
      <c r="BW268" s="528">
        <f t="shared" si="692"/>
        <v>6.3001482128686545E-2</v>
      </c>
      <c r="BX268" s="460">
        <f t="shared" si="693"/>
        <v>2227.9470377076782</v>
      </c>
      <c r="BY268" s="173">
        <f t="shared" si="694"/>
        <v>5.8334001032413383</v>
      </c>
      <c r="BZ268" s="5">
        <f t="shared" si="695"/>
        <v>12.48</v>
      </c>
      <c r="CA268" s="173">
        <f t="shared" si="696"/>
        <v>0.68146821068967589</v>
      </c>
      <c r="CB268" s="5">
        <f t="shared" si="697"/>
        <v>68.146821068967583</v>
      </c>
      <c r="CE268" s="562">
        <f t="shared" si="757"/>
        <v>-50</v>
      </c>
      <c r="CF268">
        <f t="shared" si="758"/>
        <v>-50</v>
      </c>
      <c r="CG268" s="173">
        <f t="shared" si="759"/>
        <v>0.6399218702310463</v>
      </c>
      <c r="CI268" s="170">
        <v>52</v>
      </c>
      <c r="CJ268" s="217">
        <f t="shared" si="698"/>
        <v>3.12</v>
      </c>
      <c r="CK268" s="217"/>
      <c r="CL268" s="217">
        <f t="shared" si="641"/>
        <v>12.48</v>
      </c>
      <c r="CM268" s="541">
        <f t="shared" si="642"/>
        <v>36</v>
      </c>
      <c r="CN268" s="443">
        <f t="shared" si="643"/>
        <v>18.8</v>
      </c>
      <c r="CO268" s="443">
        <f t="shared" si="644"/>
        <v>54.8</v>
      </c>
      <c r="CP268" s="443"/>
      <c r="CQ268" s="217">
        <f t="shared" si="645"/>
        <v>0.34306569343065696</v>
      </c>
      <c r="CR268" s="172">
        <f t="shared" si="646"/>
        <v>41.723649635036502</v>
      </c>
      <c r="CS268" s="172">
        <f t="shared" si="647"/>
        <v>12.48</v>
      </c>
      <c r="CT268" s="217">
        <f t="shared" si="648"/>
        <v>10.430912408759125</v>
      </c>
      <c r="CU268" s="217">
        <f t="shared" si="649"/>
        <v>4</v>
      </c>
      <c r="CV268" s="217"/>
      <c r="CW268" s="172">
        <f t="shared" si="650"/>
        <v>29.668986935646274</v>
      </c>
      <c r="CX268" s="172">
        <f t="shared" si="651"/>
        <v>4</v>
      </c>
      <c r="CY268" s="217">
        <f t="shared" si="652"/>
        <v>2.0209929078014182</v>
      </c>
      <c r="CZ268" s="217">
        <f t="shared" si="653"/>
        <v>0.67366430260047272</v>
      </c>
      <c r="DA268" s="217">
        <f t="shared" si="654"/>
        <v>1.2899954730647349</v>
      </c>
      <c r="DB268" s="197">
        <f t="shared" si="655"/>
        <v>350</v>
      </c>
      <c r="DC268" s="443">
        <f t="shared" si="656"/>
        <v>350</v>
      </c>
      <c r="DE268" s="217">
        <f t="shared" si="657"/>
        <v>2.940563086548488</v>
      </c>
      <c r="DF268" s="173">
        <f t="shared" si="658"/>
        <v>1.8769551616266944</v>
      </c>
      <c r="DG268" s="173">
        <f t="shared" si="659"/>
        <v>3.8635135443702762</v>
      </c>
      <c r="DH268" s="173"/>
      <c r="DI268" s="173">
        <f t="shared" si="660"/>
        <v>0.85106382978723416</v>
      </c>
      <c r="DJ268" s="545">
        <f t="shared" si="661"/>
        <v>1374.7499999999998</v>
      </c>
      <c r="DK268" s="528">
        <f t="shared" si="662"/>
        <v>0.79432624113475192</v>
      </c>
      <c r="DM268" s="173">
        <f t="shared" si="663"/>
        <v>2.6425096296621406</v>
      </c>
      <c r="DN268" s="173">
        <f t="shared" si="664"/>
        <v>2.6425096296621406</v>
      </c>
      <c r="DO268" s="173">
        <f t="shared" si="665"/>
        <v>2.1697602195028201</v>
      </c>
      <c r="DQ268" s="545">
        <f t="shared" si="666"/>
        <v>3120</v>
      </c>
      <c r="DR268" s="460">
        <f t="shared" si="667"/>
        <v>350</v>
      </c>
      <c r="DT268">
        <f t="shared" si="668"/>
        <v>3120</v>
      </c>
      <c r="DU268">
        <f t="shared" si="669"/>
        <v>350</v>
      </c>
      <c r="DW268" s="5">
        <f t="shared" si="670"/>
        <v>2.8571428571428572</v>
      </c>
      <c r="DX268" s="5">
        <f t="shared" si="671"/>
        <v>0.8808365432207137</v>
      </c>
      <c r="DY268" s="5">
        <f t="shared" si="672"/>
        <v>1.9763063139221435</v>
      </c>
      <c r="DZ268" s="5"/>
      <c r="EA268" s="173">
        <f t="shared" si="673"/>
        <v>0.30829279012724981</v>
      </c>
      <c r="EB268" s="173">
        <f t="shared" si="699"/>
        <v>14.664000000000003</v>
      </c>
      <c r="EC268" s="173">
        <f t="shared" si="700"/>
        <v>3.6556859259909471</v>
      </c>
      <c r="ED268" s="173">
        <f t="shared" si="701"/>
        <v>4.0112855143662349</v>
      </c>
      <c r="EE268" s="460">
        <f t="shared" si="674"/>
        <v>68.705250371215683</v>
      </c>
      <c r="EF268" s="5">
        <f t="shared" si="675"/>
        <v>0.57093293513306365</v>
      </c>
      <c r="EH268" s="173">
        <f t="shared" si="702"/>
        <v>0.84710576113246228</v>
      </c>
      <c r="EI268" s="173">
        <f t="shared" si="703"/>
        <v>5.0754796850350834</v>
      </c>
      <c r="EK268" s="528">
        <f t="shared" si="704"/>
        <v>8.7545756806344591E-3</v>
      </c>
      <c r="EL268" s="528">
        <f t="shared" si="705"/>
        <v>1.0136666939383971</v>
      </c>
      <c r="EM268" s="528">
        <f t="shared" si="706"/>
        <v>4.3749999999999997E-2</v>
      </c>
      <c r="EN268" s="528">
        <f t="shared" si="707"/>
        <v>0.10510639999999997</v>
      </c>
      <c r="EO268">
        <f t="shared" si="708"/>
        <v>1.6199999999999999E-2</v>
      </c>
      <c r="EP268" s="460">
        <f t="shared" si="709"/>
        <v>59.949999999999996</v>
      </c>
      <c r="EQ268" s="460"/>
      <c r="ER268" s="460">
        <f t="shared" si="710"/>
        <v>1187.4776696190315</v>
      </c>
      <c r="ES268" s="528">
        <f t="shared" si="711"/>
        <v>2.1839999999999997</v>
      </c>
      <c r="EV268" s="460">
        <f t="shared" si="712"/>
        <v>2183.9999999999995</v>
      </c>
      <c r="EW268" s="528">
        <f t="shared" si="713"/>
        <v>2.1527645116314244E-2</v>
      </c>
      <c r="EX268" s="528">
        <f t="shared" si="714"/>
        <v>0.77281482099611487</v>
      </c>
      <c r="EY268" s="528">
        <f t="shared" si="715"/>
        <v>1.3007132423157275</v>
      </c>
      <c r="EZ268" s="528"/>
      <c r="FA268" s="528">
        <f t="shared" si="716"/>
        <v>6.1100000000000022E-2</v>
      </c>
      <c r="FB268" s="460">
        <f t="shared" si="717"/>
        <v>2156.1557084281567</v>
      </c>
      <c r="FC268" s="173">
        <f t="shared" si="718"/>
        <v>5.5276333780471871</v>
      </c>
      <c r="FD268" s="5">
        <f t="shared" si="719"/>
        <v>12.48</v>
      </c>
      <c r="FE268" s="173">
        <f t="shared" si="720"/>
        <v>0.69303943155651782</v>
      </c>
      <c r="FF268" s="5">
        <f t="shared" si="721"/>
        <v>69.30394315565178</v>
      </c>
      <c r="FI268" s="562">
        <f t="shared" si="676"/>
        <v>-50</v>
      </c>
      <c r="FJ268">
        <f t="shared" si="677"/>
        <v>-50</v>
      </c>
      <c r="FL268">
        <f t="shared" si="760"/>
        <v>0.59034789598835058</v>
      </c>
    </row>
    <row r="269" spans="5:168">
      <c r="E269" s="170">
        <v>53</v>
      </c>
      <c r="F269" s="217">
        <f t="shared" si="761"/>
        <v>3.18</v>
      </c>
      <c r="G269" s="217"/>
      <c r="H269" s="217">
        <f t="shared" si="726"/>
        <v>12.72</v>
      </c>
      <c r="I269" s="541">
        <f t="shared" si="727"/>
        <v>35.948070234244426</v>
      </c>
      <c r="J269" s="172">
        <f t="shared" si="728"/>
        <v>19.390670321390392</v>
      </c>
      <c r="K269" s="172">
        <f t="shared" si="729"/>
        <v>55.338740555634814</v>
      </c>
      <c r="L269" s="443"/>
      <c r="M269" s="217">
        <f t="shared" si="730"/>
        <v>0.35098128609043322</v>
      </c>
      <c r="N269" s="172">
        <f t="shared" si="731"/>
        <v>42.624769240828897</v>
      </c>
      <c r="O269" s="172">
        <f t="shared" si="762"/>
        <v>12.72</v>
      </c>
      <c r="P269" s="217">
        <f t="shared" si="732"/>
        <v>10.656192310207224</v>
      </c>
      <c r="Q269" s="217">
        <f t="shared" si="733"/>
        <v>4</v>
      </c>
      <c r="R269" s="217"/>
      <c r="S269" s="172">
        <f t="shared" si="734"/>
        <v>28.906879219981068</v>
      </c>
      <c r="T269" s="172">
        <f t="shared" si="735"/>
        <v>4</v>
      </c>
      <c r="U269" s="217">
        <f t="shared" si="736"/>
        <v>2.4498523169264859</v>
      </c>
      <c r="V269" s="217">
        <f t="shared" si="737"/>
        <v>0.81779710597963728</v>
      </c>
      <c r="W269" s="217">
        <f t="shared" si="738"/>
        <v>1.5161016775520042</v>
      </c>
      <c r="X269" s="197">
        <f t="shared" si="739"/>
        <v>350</v>
      </c>
      <c r="Y269" s="443">
        <f t="shared" si="680"/>
        <v>350</v>
      </c>
      <c r="AA269" s="217">
        <f t="shared" si="740"/>
        <v>2.999092376135382</v>
      </c>
      <c r="AB269" s="173">
        <f t="shared" si="741"/>
        <v>1.8560012581887892</v>
      </c>
      <c r="AC269" s="173">
        <f t="shared" si="742"/>
        <v>3.8964234564721725</v>
      </c>
      <c r="AD269" s="173"/>
      <c r="AE269" s="173">
        <f t="shared" si="743"/>
        <v>0.82513908672615377</v>
      </c>
      <c r="AF269" s="545">
        <f t="shared" si="744"/>
        <v>1445.2108973911272</v>
      </c>
      <c r="AG269" s="528">
        <f t="shared" si="745"/>
        <v>0.77012981427774374</v>
      </c>
      <c r="AI269" s="173">
        <f t="shared" si="746"/>
        <v>2.7093825430393474</v>
      </c>
      <c r="AJ269" s="173">
        <f t="shared" si="747"/>
        <v>2.7093825430393474</v>
      </c>
      <c r="AK269" s="173">
        <f t="shared" si="748"/>
        <v>2.2192957108933435</v>
      </c>
      <c r="AM269" s="545">
        <f t="shared" si="749"/>
        <v>3180</v>
      </c>
      <c r="AN269" s="460">
        <f t="shared" si="750"/>
        <v>350</v>
      </c>
      <c r="AP269">
        <f t="shared" si="751"/>
        <v>3180</v>
      </c>
      <c r="AQ269">
        <f t="shared" si="752"/>
        <v>350</v>
      </c>
      <c r="AS269" s="5">
        <f t="shared" si="763"/>
        <v>2.8571428571428572</v>
      </c>
      <c r="AT269" s="5">
        <f t="shared" si="753"/>
        <v>0.9044321518405295</v>
      </c>
      <c r="AU269" s="5">
        <f t="shared" si="722"/>
        <v>1.9527107053023278</v>
      </c>
      <c r="AV269" s="5"/>
      <c r="AW269" s="173">
        <f t="shared" si="723"/>
        <v>0.31655125314418531</v>
      </c>
      <c r="AX269" s="173">
        <f t="shared" si="631"/>
        <v>15.41558290550536</v>
      </c>
      <c r="AY269" s="173">
        <f t="shared" si="632"/>
        <v>3.7034482075865247</v>
      </c>
      <c r="AZ269" s="173">
        <f t="shared" si="633"/>
        <v>4.1624945298077867</v>
      </c>
      <c r="BA269" s="460">
        <f t="shared" si="724"/>
        <v>71.902356071322089</v>
      </c>
      <c r="BB269" s="5">
        <f t="shared" si="725"/>
        <v>0.57579539990124118</v>
      </c>
      <c r="BD269" s="173">
        <f t="shared" si="681"/>
        <v>0.8800993889297799</v>
      </c>
      <c r="BE269" s="173">
        <f t="shared" si="682"/>
        <v>5.1727640380967932</v>
      </c>
      <c r="BG269" s="528">
        <f t="shared" si="683"/>
        <v>9.4498141996137777E-3</v>
      </c>
      <c r="BH269" s="528">
        <f t="shared" si="754"/>
        <v>0.98394067809988461</v>
      </c>
      <c r="BI269" s="528">
        <f t="shared" si="755"/>
        <v>0.3145456145496387</v>
      </c>
      <c r="BJ269" s="528">
        <f t="shared" si="684"/>
        <v>0.10718316721993515</v>
      </c>
      <c r="BK269">
        <f t="shared" si="685"/>
        <v>1.617663160540999E-2</v>
      </c>
      <c r="BL269" s="460">
        <f t="shared" si="686"/>
        <v>330.72224615504871</v>
      </c>
      <c r="BM269" s="528">
        <f t="shared" si="756"/>
        <v>1.1056075031840398</v>
      </c>
      <c r="BN269" s="460">
        <f t="shared" si="687"/>
        <v>1105.6075031840398</v>
      </c>
      <c r="BO269" s="528">
        <f t="shared" si="637"/>
        <v>2.226</v>
      </c>
      <c r="BR269" s="460">
        <f t="shared" si="688"/>
        <v>2226</v>
      </c>
      <c r="BS269" s="528">
        <f t="shared" si="689"/>
        <v>2.323724803183716E-2</v>
      </c>
      <c r="BT269" s="528">
        <f t="shared" si="690"/>
        <v>0.80272463381482317</v>
      </c>
      <c r="BU269" s="528">
        <f t="shared" si="691"/>
        <v>1.3845732470372103</v>
      </c>
      <c r="BV269" s="528"/>
      <c r="BW269" s="528">
        <f t="shared" si="692"/>
        <v>6.423159543960566E-2</v>
      </c>
      <c r="BX269" s="460">
        <f t="shared" si="693"/>
        <v>2274.7667243234764</v>
      </c>
      <c r="BY269" s="173">
        <f t="shared" si="694"/>
        <v>5.9320626299979589</v>
      </c>
      <c r="BZ269" s="5">
        <f t="shared" si="695"/>
        <v>12.72</v>
      </c>
      <c r="CA269" s="173">
        <f t="shared" si="696"/>
        <v>0.68196211069667589</v>
      </c>
      <c r="CB269" s="5">
        <f t="shared" si="697"/>
        <v>68.196211069667584</v>
      </c>
      <c r="CE269" s="562">
        <f t="shared" si="757"/>
        <v>-50</v>
      </c>
      <c r="CF269">
        <f t="shared" si="758"/>
        <v>-50</v>
      </c>
      <c r="CG269" s="173">
        <f t="shared" si="759"/>
        <v>0.64604566402074093</v>
      </c>
      <c r="CI269" s="170">
        <v>53</v>
      </c>
      <c r="CJ269" s="217">
        <f t="shared" si="698"/>
        <v>3.18</v>
      </c>
      <c r="CK269" s="217"/>
      <c r="CL269" s="217">
        <f t="shared" si="641"/>
        <v>12.72</v>
      </c>
      <c r="CM269" s="541">
        <f t="shared" si="642"/>
        <v>36</v>
      </c>
      <c r="CN269" s="443">
        <f t="shared" si="643"/>
        <v>18.8</v>
      </c>
      <c r="CO269" s="443">
        <f t="shared" si="644"/>
        <v>54.8</v>
      </c>
      <c r="CP269" s="443"/>
      <c r="CQ269" s="217">
        <f t="shared" si="645"/>
        <v>0.34306569343065696</v>
      </c>
      <c r="CR269" s="172">
        <f t="shared" si="646"/>
        <v>41.723649635036502</v>
      </c>
      <c r="CS269" s="172">
        <f t="shared" si="647"/>
        <v>12.72</v>
      </c>
      <c r="CT269" s="217">
        <f t="shared" si="648"/>
        <v>10.430912408759125</v>
      </c>
      <c r="CU269" s="217">
        <f t="shared" si="649"/>
        <v>4</v>
      </c>
      <c r="CV269" s="217"/>
      <c r="CW269" s="172">
        <f t="shared" si="650"/>
        <v>28.948339874861748</v>
      </c>
      <c r="CX269" s="172">
        <f t="shared" si="651"/>
        <v>4</v>
      </c>
      <c r="CY269" s="217">
        <f t="shared" si="652"/>
        <v>2.0598581560283686</v>
      </c>
      <c r="CZ269" s="217">
        <f t="shared" si="653"/>
        <v>0.68661938534278955</v>
      </c>
      <c r="DA269" s="217">
        <f t="shared" si="654"/>
        <v>1.3148030783159799</v>
      </c>
      <c r="DB269" s="197">
        <f t="shared" si="655"/>
        <v>350</v>
      </c>
      <c r="DC269" s="443">
        <f t="shared" si="656"/>
        <v>350</v>
      </c>
      <c r="DE269" s="217">
        <f t="shared" si="657"/>
        <v>2.940563086548488</v>
      </c>
      <c r="DF269" s="173">
        <f t="shared" si="658"/>
        <v>1.8769551616266944</v>
      </c>
      <c r="DG269" s="173">
        <f t="shared" si="659"/>
        <v>3.8635135443702762</v>
      </c>
      <c r="DH269" s="173"/>
      <c r="DI269" s="173">
        <f t="shared" si="660"/>
        <v>0.85106382978723416</v>
      </c>
      <c r="DJ269" s="545">
        <f t="shared" si="661"/>
        <v>1401.1874999999998</v>
      </c>
      <c r="DK269" s="528">
        <f t="shared" si="662"/>
        <v>0.79432624113475192</v>
      </c>
      <c r="DM269" s="173">
        <f t="shared" si="663"/>
        <v>2.667797379326784</v>
      </c>
      <c r="DN269" s="173">
        <f t="shared" si="664"/>
        <v>2.667797379326784</v>
      </c>
      <c r="DO269" s="173">
        <f t="shared" si="665"/>
        <v>2.1884918859210742</v>
      </c>
      <c r="DQ269" s="545">
        <f t="shared" si="666"/>
        <v>3180</v>
      </c>
      <c r="DR269" s="460">
        <f t="shared" si="667"/>
        <v>350</v>
      </c>
      <c r="DT269">
        <f t="shared" si="668"/>
        <v>3180</v>
      </c>
      <c r="DU269">
        <f t="shared" si="669"/>
        <v>350</v>
      </c>
      <c r="DW269" s="5">
        <f t="shared" si="670"/>
        <v>2.8571428571428572</v>
      </c>
      <c r="DX269" s="5">
        <f t="shared" si="671"/>
        <v>0.88926579310892806</v>
      </c>
      <c r="DY269" s="5">
        <f t="shared" si="672"/>
        <v>1.9678770640339291</v>
      </c>
      <c r="DZ269" s="5"/>
      <c r="EA269" s="173">
        <f t="shared" si="673"/>
        <v>0.31124302758812483</v>
      </c>
      <c r="EB269" s="173">
        <f t="shared" si="699"/>
        <v>14.945999999999998</v>
      </c>
      <c r="EC269" s="173">
        <f t="shared" si="700"/>
        <v>3.6749280919869012</v>
      </c>
      <c r="ED269" s="173">
        <f t="shared" si="701"/>
        <v>4.0670183540704965</v>
      </c>
      <c r="EE269" s="460">
        <f t="shared" si="674"/>
        <v>70.696630552159789</v>
      </c>
      <c r="EF269" s="5">
        <f t="shared" si="675"/>
        <v>0.57943046885443461</v>
      </c>
      <c r="EH269" s="173">
        <f t="shared" si="702"/>
        <v>0.85929449562501359</v>
      </c>
      <c r="EI269" s="173">
        <f t="shared" si="703"/>
        <v>5.1131108686114066</v>
      </c>
      <c r="EK269" s="528">
        <f t="shared" si="704"/>
        <v>9.0083217685796458E-3</v>
      </c>
      <c r="EL269" s="528">
        <f t="shared" si="705"/>
        <v>1.0233670747097545</v>
      </c>
      <c r="EM269" s="528">
        <f t="shared" si="706"/>
        <v>4.3749999999999997E-2</v>
      </c>
      <c r="EN269" s="528">
        <f t="shared" si="707"/>
        <v>0.10510639999999997</v>
      </c>
      <c r="EO269">
        <f t="shared" si="708"/>
        <v>1.6199999999999999E-2</v>
      </c>
      <c r="EP269" s="460">
        <f t="shared" si="709"/>
        <v>59.949999999999996</v>
      </c>
      <c r="EQ269" s="460"/>
      <c r="ER269" s="460">
        <f t="shared" si="710"/>
        <v>1197.431796478334</v>
      </c>
      <c r="ES269" s="528">
        <f t="shared" si="711"/>
        <v>2.226</v>
      </c>
      <c r="EV269" s="460">
        <f t="shared" si="712"/>
        <v>2226</v>
      </c>
      <c r="EW269" s="528">
        <f t="shared" si="713"/>
        <v>2.2151610906343395E-2</v>
      </c>
      <c r="EX269" s="528">
        <f t="shared" si="714"/>
        <v>0.78431708264136279</v>
      </c>
      <c r="EY269" s="528">
        <f t="shared" si="715"/>
        <v>1.332055190626084</v>
      </c>
      <c r="EZ269" s="528"/>
      <c r="FA269" s="528">
        <f t="shared" si="716"/>
        <v>6.2274999999999997E-2</v>
      </c>
      <c r="FB269" s="460">
        <f t="shared" si="717"/>
        <v>2200.7988841737906</v>
      </c>
      <c r="FC269" s="173">
        <f t="shared" si="718"/>
        <v>5.6242306806521238</v>
      </c>
      <c r="FD269" s="5">
        <f t="shared" si="719"/>
        <v>12.72</v>
      </c>
      <c r="FE269" s="173">
        <f t="shared" si="720"/>
        <v>0.69340602075048774</v>
      </c>
      <c r="FF269" s="5">
        <f t="shared" si="721"/>
        <v>69.340602075048778</v>
      </c>
      <c r="FI269" s="562">
        <f t="shared" si="676"/>
        <v>-50</v>
      </c>
      <c r="FJ269">
        <f t="shared" si="677"/>
        <v>-50</v>
      </c>
      <c r="FL269">
        <f t="shared" si="760"/>
        <v>0.59599728687087727</v>
      </c>
    </row>
    <row r="270" spans="5:168">
      <c r="E270" s="170">
        <v>54</v>
      </c>
      <c r="F270" s="217">
        <f t="shared" si="761"/>
        <v>3.24</v>
      </c>
      <c r="G270" s="217"/>
      <c r="H270" s="217">
        <f t="shared" si="726"/>
        <v>12.96</v>
      </c>
      <c r="I270" s="541">
        <f t="shared" si="727"/>
        <v>35.947582620112357</v>
      </c>
      <c r="J270" s="172">
        <f t="shared" si="728"/>
        <v>19.396216643271796</v>
      </c>
      <c r="K270" s="172">
        <f t="shared" si="729"/>
        <v>55.343799263384156</v>
      </c>
      <c r="L270" s="443"/>
      <c r="M270" s="217">
        <f t="shared" si="730"/>
        <v>0.35105481569650943</v>
      </c>
      <c r="N270" s="172">
        <f t="shared" si="731"/>
        <v>42.6331207110767</v>
      </c>
      <c r="O270" s="172">
        <f t="shared" si="762"/>
        <v>12.96</v>
      </c>
      <c r="P270" s="217">
        <f t="shared" si="732"/>
        <v>10.658280177769175</v>
      </c>
      <c r="Q270" s="217">
        <f t="shared" si="733"/>
        <v>4</v>
      </c>
      <c r="R270" s="217"/>
      <c r="S270" s="172">
        <f t="shared" si="734"/>
        <v>28.213785923268453</v>
      </c>
      <c r="T270" s="172">
        <f t="shared" si="735"/>
        <v>4</v>
      </c>
      <c r="U270" s="217">
        <f t="shared" si="736"/>
        <v>2.4963587667866549</v>
      </c>
      <c r="V270" s="217">
        <f t="shared" si="737"/>
        <v>0.83333295365123028</v>
      </c>
      <c r="W270" s="217">
        <f t="shared" si="738"/>
        <v>1.5444406376967941</v>
      </c>
      <c r="X270" s="197">
        <f t="shared" si="739"/>
        <v>350</v>
      </c>
      <c r="Y270" s="443">
        <f t="shared" si="680"/>
        <v>350</v>
      </c>
      <c r="AA270" s="217">
        <f t="shared" si="740"/>
        <v>2.9996353081484353</v>
      </c>
      <c r="AB270" s="173">
        <f t="shared" si="741"/>
        <v>1.8558064368840439</v>
      </c>
      <c r="AC270" s="173">
        <f t="shared" si="742"/>
        <v>3.896719759216563</v>
      </c>
      <c r="AD270" s="173"/>
      <c r="AE270" s="173">
        <f t="shared" si="743"/>
        <v>0.82490313932176662</v>
      </c>
      <c r="AF270" s="545">
        <f t="shared" si="744"/>
        <v>1472.9002013484517</v>
      </c>
      <c r="AG270" s="528">
        <f t="shared" si="745"/>
        <v>0.76990959670031567</v>
      </c>
      <c r="AI270" s="173">
        <f t="shared" si="746"/>
        <v>2.7352144062429771</v>
      </c>
      <c r="AJ270" s="173">
        <f t="shared" si="747"/>
        <v>2.7352144062429771</v>
      </c>
      <c r="AK270" s="173">
        <f t="shared" si="748"/>
        <v>2.2384304243775137</v>
      </c>
      <c r="AM270" s="545">
        <f t="shared" si="749"/>
        <v>3240</v>
      </c>
      <c r="AN270" s="460">
        <f t="shared" si="750"/>
        <v>350</v>
      </c>
      <c r="AP270">
        <f t="shared" si="751"/>
        <v>3240</v>
      </c>
      <c r="AQ270">
        <f t="shared" si="752"/>
        <v>350</v>
      </c>
      <c r="AS270" s="5">
        <f t="shared" si="763"/>
        <v>2.8571428571428572</v>
      </c>
      <c r="AT270" s="5">
        <f t="shared" si="753"/>
        <v>0.91306759683338989</v>
      </c>
      <c r="AU270" s="5">
        <f t="shared" si="722"/>
        <v>1.9440752603094673</v>
      </c>
      <c r="AV270" s="5"/>
      <c r="AW270" s="173">
        <f t="shared" si="723"/>
        <v>0.31957365889168643</v>
      </c>
      <c r="AX270" s="173">
        <f t="shared" si="631"/>
        <v>15.710935481050157</v>
      </c>
      <c r="AY270" s="173">
        <f t="shared" si="632"/>
        <v>3.7222238611733145</v>
      </c>
      <c r="AZ270" s="173">
        <f t="shared" si="633"/>
        <v>4.2208464796896381</v>
      </c>
      <c r="BA270" s="460">
        <f t="shared" si="724"/>
        <v>73.958475343504588</v>
      </c>
      <c r="BB270" s="5">
        <f t="shared" si="725"/>
        <v>0.58407301078418439</v>
      </c>
      <c r="BD270" s="173">
        <f t="shared" si="681"/>
        <v>0.89272199553721032</v>
      </c>
      <c r="BE270" s="173">
        <f t="shared" si="682"/>
        <v>5.2105227705333901</v>
      </c>
      <c r="BG270" s="528">
        <f t="shared" si="683"/>
        <v>9.722821248054455E-3</v>
      </c>
      <c r="BH270" s="528">
        <f t="shared" si="754"/>
        <v>0.99341259308437002</v>
      </c>
      <c r="BI270" s="528">
        <f t="shared" si="755"/>
        <v>0.31454134792598309</v>
      </c>
      <c r="BJ270" s="528">
        <f t="shared" si="684"/>
        <v>0.10720276409170162</v>
      </c>
      <c r="BK270">
        <f t="shared" si="685"/>
        <v>1.617641217905056E-2</v>
      </c>
      <c r="BL270" s="460">
        <f t="shared" si="686"/>
        <v>330.71776010503368</v>
      </c>
      <c r="BM270" s="528">
        <f t="shared" si="756"/>
        <v>1.1155403972519866</v>
      </c>
      <c r="BN270" s="460">
        <f t="shared" si="687"/>
        <v>1115.5403972519866</v>
      </c>
      <c r="BO270" s="528">
        <f t="shared" si="637"/>
        <v>2.2679999999999998</v>
      </c>
      <c r="BR270" s="460">
        <f t="shared" si="688"/>
        <v>2268</v>
      </c>
      <c r="BS270" s="528">
        <f t="shared" si="689"/>
        <v>2.3908576839478168E-2</v>
      </c>
      <c r="BT270" s="528">
        <f t="shared" si="690"/>
        <v>0.81448642626740864</v>
      </c>
      <c r="BU270" s="528">
        <f t="shared" si="691"/>
        <v>1.4178116912605399</v>
      </c>
      <c r="BV270" s="528"/>
      <c r="BW270" s="528">
        <f t="shared" si="692"/>
        <v>6.5462231171042329E-2</v>
      </c>
      <c r="BX270" s="460">
        <f t="shared" si="693"/>
        <v>2321.668925538469</v>
      </c>
      <c r="BY270" s="173">
        <f t="shared" si="694"/>
        <v>6.0307248640676283</v>
      </c>
      <c r="BZ270" s="5">
        <f t="shared" si="695"/>
        <v>12.96</v>
      </c>
      <c r="CA270" s="173">
        <f t="shared" si="696"/>
        <v>0.68243840573571946</v>
      </c>
      <c r="CB270" s="5">
        <f t="shared" si="697"/>
        <v>68.243840573571944</v>
      </c>
      <c r="CE270" s="562">
        <f t="shared" si="757"/>
        <v>-50</v>
      </c>
      <c r="CF270">
        <f t="shared" si="758"/>
        <v>-50</v>
      </c>
      <c r="CG270" s="173">
        <f t="shared" si="759"/>
        <v>0.65211195357852481</v>
      </c>
      <c r="CI270" s="170">
        <v>54</v>
      </c>
      <c r="CJ270" s="217">
        <f t="shared" si="698"/>
        <v>3.24</v>
      </c>
      <c r="CK270" s="217"/>
      <c r="CL270" s="217">
        <f t="shared" si="641"/>
        <v>12.96</v>
      </c>
      <c r="CM270" s="541">
        <f t="shared" si="642"/>
        <v>36</v>
      </c>
      <c r="CN270" s="443">
        <f t="shared" si="643"/>
        <v>18.8</v>
      </c>
      <c r="CO270" s="443">
        <f t="shared" si="644"/>
        <v>54.8</v>
      </c>
      <c r="CP270" s="443"/>
      <c r="CQ270" s="217">
        <f t="shared" si="645"/>
        <v>0.34306569343065696</v>
      </c>
      <c r="CR270" s="172">
        <f t="shared" si="646"/>
        <v>41.723649635036502</v>
      </c>
      <c r="CS270" s="172">
        <f t="shared" si="647"/>
        <v>12.96</v>
      </c>
      <c r="CT270" s="217">
        <f t="shared" si="648"/>
        <v>10.430912408759125</v>
      </c>
      <c r="CU270" s="217">
        <f t="shared" si="649"/>
        <v>4</v>
      </c>
      <c r="CV270" s="217"/>
      <c r="CW270" s="172">
        <f t="shared" si="650"/>
        <v>28.254618902685959</v>
      </c>
      <c r="CX270" s="172">
        <f t="shared" si="651"/>
        <v>4</v>
      </c>
      <c r="CY270" s="217">
        <f t="shared" si="652"/>
        <v>2.0987234042553191</v>
      </c>
      <c r="CZ270" s="217">
        <f t="shared" si="653"/>
        <v>0.69957446808510637</v>
      </c>
      <c r="DA270" s="217">
        <f t="shared" si="654"/>
        <v>1.3396106835672248</v>
      </c>
      <c r="DB270" s="197">
        <f t="shared" si="655"/>
        <v>350</v>
      </c>
      <c r="DC270" s="443">
        <f t="shared" si="656"/>
        <v>350</v>
      </c>
      <c r="DE270" s="217">
        <f t="shared" si="657"/>
        <v>2.940563086548488</v>
      </c>
      <c r="DF270" s="173">
        <f t="shared" si="658"/>
        <v>1.8769551616266944</v>
      </c>
      <c r="DG270" s="173">
        <f t="shared" si="659"/>
        <v>3.8635135443702762</v>
      </c>
      <c r="DH270" s="173"/>
      <c r="DI270" s="173">
        <f t="shared" si="660"/>
        <v>0.85106382978723416</v>
      </c>
      <c r="DJ270" s="545">
        <f t="shared" si="661"/>
        <v>1427.6249999999998</v>
      </c>
      <c r="DK270" s="528">
        <f t="shared" si="662"/>
        <v>0.79432624113475192</v>
      </c>
      <c r="DM270" s="173">
        <f t="shared" si="663"/>
        <v>2.6928476695551447</v>
      </c>
      <c r="DN270" s="173">
        <f t="shared" si="664"/>
        <v>2.6928476695551447</v>
      </c>
      <c r="DO270" s="173">
        <f t="shared" si="665"/>
        <v>2.2070476564606007</v>
      </c>
      <c r="DQ270" s="545">
        <f t="shared" si="666"/>
        <v>3240</v>
      </c>
      <c r="DR270" s="460">
        <f t="shared" si="667"/>
        <v>350</v>
      </c>
      <c r="DT270">
        <f t="shared" si="668"/>
        <v>3240</v>
      </c>
      <c r="DU270">
        <f t="shared" si="669"/>
        <v>350</v>
      </c>
      <c r="DW270" s="5">
        <f t="shared" si="670"/>
        <v>2.8571428571428572</v>
      </c>
      <c r="DX270" s="5">
        <f t="shared" si="671"/>
        <v>0.89761588985171492</v>
      </c>
      <c r="DY270" s="5">
        <f t="shared" si="672"/>
        <v>1.9595269672911422</v>
      </c>
      <c r="DZ270" s="5"/>
      <c r="EA270" s="173">
        <f t="shared" si="673"/>
        <v>0.31416556144810021</v>
      </c>
      <c r="EB270" s="173">
        <f t="shared" si="699"/>
        <v>15.228000000000005</v>
      </c>
      <c r="EC270" s="173">
        <f t="shared" si="700"/>
        <v>3.6936953391102887</v>
      </c>
      <c r="ED270" s="173">
        <f t="shared" si="701"/>
        <v>4.1227006024996147</v>
      </c>
      <c r="EE270" s="460">
        <f t="shared" si="674"/>
        <v>72.706887077988924</v>
      </c>
      <c r="EF270" s="5">
        <f t="shared" si="675"/>
        <v>0.58785809018734259</v>
      </c>
      <c r="EH270" s="173">
        <f t="shared" si="702"/>
        <v>0.87142586765286634</v>
      </c>
      <c r="EI270" s="173">
        <f t="shared" si="703"/>
        <v>5.1501608741138272</v>
      </c>
      <c r="EK270" s="528">
        <f t="shared" si="704"/>
        <v>9.2644731223375208E-3</v>
      </c>
      <c r="EL270" s="528">
        <f t="shared" si="705"/>
        <v>1.0329763660413533</v>
      </c>
      <c r="EM270" s="528">
        <f t="shared" si="706"/>
        <v>4.3749999999999997E-2</v>
      </c>
      <c r="EN270" s="528">
        <f t="shared" si="707"/>
        <v>0.10510639999999997</v>
      </c>
      <c r="EO270">
        <f t="shared" si="708"/>
        <v>1.6199999999999999E-2</v>
      </c>
      <c r="EP270" s="460">
        <f t="shared" si="709"/>
        <v>59.949999999999996</v>
      </c>
      <c r="EQ270" s="460"/>
      <c r="ER270" s="460">
        <f t="shared" si="710"/>
        <v>1207.2972391636906</v>
      </c>
      <c r="ES270" s="528">
        <f t="shared" si="711"/>
        <v>2.2679999999999998</v>
      </c>
      <c r="EV270" s="460">
        <f t="shared" si="712"/>
        <v>2268</v>
      </c>
      <c r="EW270" s="528">
        <f t="shared" si="713"/>
        <v>2.2781491284436527E-2</v>
      </c>
      <c r="EX270" s="528">
        <f t="shared" si="714"/>
        <v>0.795724710877587</v>
      </c>
      <c r="EY270" s="528">
        <f t="shared" si="715"/>
        <v>1.3635453352544888</v>
      </c>
      <c r="EZ270" s="528"/>
      <c r="FA270" s="528">
        <f t="shared" si="716"/>
        <v>6.345000000000002E-2</v>
      </c>
      <c r="FB270" s="460">
        <f t="shared" si="717"/>
        <v>2245.5015374165127</v>
      </c>
      <c r="FC270" s="173">
        <f t="shared" si="718"/>
        <v>5.720798776580204</v>
      </c>
      <c r="FD270" s="5">
        <f t="shared" si="719"/>
        <v>12.96</v>
      </c>
      <c r="FE270" s="173">
        <f t="shared" si="720"/>
        <v>0.69376048396001833</v>
      </c>
      <c r="FF270" s="5">
        <f t="shared" si="721"/>
        <v>69.376048396001835</v>
      </c>
      <c r="FI270" s="562">
        <f t="shared" si="676"/>
        <v>-50</v>
      </c>
      <c r="FJ270">
        <f t="shared" si="677"/>
        <v>-50</v>
      </c>
      <c r="FL270">
        <f t="shared" si="760"/>
        <v>0.60159362830487273</v>
      </c>
    </row>
    <row r="271" spans="5:168">
      <c r="E271" s="170">
        <v>55</v>
      </c>
      <c r="F271" s="217">
        <f t="shared" si="761"/>
        <v>3.3000000000000003</v>
      </c>
      <c r="G271" s="217"/>
      <c r="H271" s="217">
        <f t="shared" si="726"/>
        <v>13.200000000000001</v>
      </c>
      <c r="I271" s="541">
        <f t="shared" si="727"/>
        <v>35.947099500407433</v>
      </c>
      <c r="J271" s="172">
        <f t="shared" si="728"/>
        <v>19.401711843706888</v>
      </c>
      <c r="K271" s="172">
        <f t="shared" si="729"/>
        <v>55.348811344114324</v>
      </c>
      <c r="L271" s="443"/>
      <c r="M271" s="217">
        <f t="shared" si="730"/>
        <v>0.35112765310427829</v>
      </c>
      <c r="N271" s="172">
        <f t="shared" si="731"/>
        <v>42.641393209036906</v>
      </c>
      <c r="O271" s="172">
        <f t="shared" si="762"/>
        <v>13.200000000000001</v>
      </c>
      <c r="P271" s="217">
        <f t="shared" si="732"/>
        <v>10.660348302259226</v>
      </c>
      <c r="Q271" s="217">
        <f t="shared" si="733"/>
        <v>4</v>
      </c>
      <c r="R271" s="217"/>
      <c r="S271" s="172">
        <f t="shared" si="734"/>
        <v>27.546138232424948</v>
      </c>
      <c r="T271" s="172">
        <f t="shared" si="735"/>
        <v>4</v>
      </c>
      <c r="U271" s="217">
        <f t="shared" si="736"/>
        <v>2.5428730441261456</v>
      </c>
      <c r="V271" s="217">
        <f t="shared" si="737"/>
        <v>0.84887172966953539</v>
      </c>
      <c r="W271" s="217">
        <f t="shared" si="738"/>
        <v>1.5727723808768648</v>
      </c>
      <c r="X271" s="197">
        <f t="shared" si="739"/>
        <v>350</v>
      </c>
      <c r="Y271" s="443">
        <f t="shared" si="680"/>
        <v>350</v>
      </c>
      <c r="AA271" s="217">
        <f t="shared" si="740"/>
        <v>3.0001731150358157</v>
      </c>
      <c r="AB271" s="173">
        <f t="shared" si="741"/>
        <v>1.8556134464035641</v>
      </c>
      <c r="AC271" s="173">
        <f t="shared" si="742"/>
        <v>3.897013101659248</v>
      </c>
      <c r="AD271" s="173"/>
      <c r="AE271" s="173">
        <f t="shared" si="743"/>
        <v>0.82466949972714609</v>
      </c>
      <c r="AF271" s="545">
        <f t="shared" si="744"/>
        <v>1500.6011504117043</v>
      </c>
      <c r="AG271" s="528">
        <f t="shared" si="745"/>
        <v>0.76969153307866978</v>
      </c>
      <c r="AI271" s="173">
        <f t="shared" si="746"/>
        <v>2.7608152928901779</v>
      </c>
      <c r="AJ271" s="173">
        <f t="shared" si="747"/>
        <v>2.7608152928901779</v>
      </c>
      <c r="AK271" s="173">
        <f t="shared" si="748"/>
        <v>2.2573940441161811</v>
      </c>
      <c r="AM271" s="545">
        <f t="shared" si="749"/>
        <v>3300.0000000000005</v>
      </c>
      <c r="AN271" s="460">
        <f t="shared" si="750"/>
        <v>350</v>
      </c>
      <c r="AP271">
        <f t="shared" si="751"/>
        <v>3300.0000000000005</v>
      </c>
      <c r="AQ271">
        <f t="shared" si="752"/>
        <v>350</v>
      </c>
      <c r="AS271" s="5">
        <f t="shared" si="763"/>
        <v>2.8571428571428572</v>
      </c>
      <c r="AT271" s="5">
        <f t="shared" si="753"/>
        <v>0.92162605537358133</v>
      </c>
      <c r="AU271" s="5">
        <f t="shared" si="722"/>
        <v>1.9355168017692759</v>
      </c>
      <c r="AV271" s="5"/>
      <c r="AW271" s="173">
        <f t="shared" si="723"/>
        <v>0.32256911938075344</v>
      </c>
      <c r="AX271" s="173">
        <f t="shared" si="631"/>
        <v>16.006412271058185</v>
      </c>
      <c r="AY271" s="173">
        <f t="shared" si="632"/>
        <v>3.740523070179353</v>
      </c>
      <c r="AZ271" s="173">
        <f t="shared" si="633"/>
        <v>4.2791908967669325</v>
      </c>
      <c r="BA271" s="460">
        <f t="shared" si="724"/>
        <v>76.034149568320473</v>
      </c>
      <c r="BB271" s="5">
        <f t="shared" si="725"/>
        <v>0.59227823984020522</v>
      </c>
      <c r="BD271" s="173">
        <f t="shared" si="681"/>
        <v>0.90529082503477665</v>
      </c>
      <c r="BE271" s="173">
        <f t="shared" si="682"/>
        <v>5.2477025564996032</v>
      </c>
      <c r="BG271" s="528">
        <f t="shared" si="683"/>
        <v>9.9985280302841879E-3</v>
      </c>
      <c r="BH271" s="528">
        <f t="shared" si="754"/>
        <v>1.0028014815139399</v>
      </c>
      <c r="BI271" s="528">
        <f t="shared" si="755"/>
        <v>0.31453712062856504</v>
      </c>
      <c r="BJ271" s="528">
        <f t="shared" si="684"/>
        <v>0.10722218210222255</v>
      </c>
      <c r="BK271">
        <f t="shared" si="685"/>
        <v>1.6176194775183343E-2</v>
      </c>
      <c r="BL271" s="460">
        <f t="shared" si="686"/>
        <v>330.71331540374837</v>
      </c>
      <c r="BM271" s="528">
        <f t="shared" si="756"/>
        <v>1.125395339946565</v>
      </c>
      <c r="BN271" s="460">
        <f t="shared" si="687"/>
        <v>1125.3953399465649</v>
      </c>
      <c r="BO271" s="528">
        <f t="shared" si="637"/>
        <v>2.31</v>
      </c>
      <c r="BR271" s="460">
        <f t="shared" si="688"/>
        <v>2310</v>
      </c>
      <c r="BS271" s="528">
        <f t="shared" si="689"/>
        <v>2.4586544336764396E-2</v>
      </c>
      <c r="BT271" s="528">
        <f t="shared" si="690"/>
        <v>0.8261514636447741</v>
      </c>
      <c r="BU271" s="528">
        <f t="shared" si="691"/>
        <v>1.4512208024031363</v>
      </c>
      <c r="BV271" s="528"/>
      <c r="BW271" s="528">
        <f t="shared" si="692"/>
        <v>6.669338446274245E-2</v>
      </c>
      <c r="BX271" s="460">
        <f t="shared" si="693"/>
        <v>2368.6521948474174</v>
      </c>
      <c r="BY271" s="173">
        <f t="shared" si="694"/>
        <v>6.1293877018976124</v>
      </c>
      <c r="BZ271" s="5">
        <f t="shared" si="695"/>
        <v>13.200000000000001</v>
      </c>
      <c r="CA271" s="173">
        <f t="shared" si="696"/>
        <v>0.68289798950559233</v>
      </c>
      <c r="CB271" s="5">
        <f t="shared" si="697"/>
        <v>68.289798950559231</v>
      </c>
      <c r="CE271" s="562">
        <f t="shared" si="757"/>
        <v>-50</v>
      </c>
      <c r="CF271">
        <f t="shared" si="758"/>
        <v>-50</v>
      </c>
      <c r="CG271" s="173">
        <f t="shared" si="759"/>
        <v>0.65812232905440915</v>
      </c>
      <c r="CI271" s="170">
        <v>55</v>
      </c>
      <c r="CJ271" s="217">
        <f t="shared" si="698"/>
        <v>3.3000000000000003</v>
      </c>
      <c r="CK271" s="217"/>
      <c r="CL271" s="217">
        <f t="shared" si="641"/>
        <v>13.200000000000001</v>
      </c>
      <c r="CM271" s="541">
        <f t="shared" si="642"/>
        <v>36</v>
      </c>
      <c r="CN271" s="443">
        <f t="shared" si="643"/>
        <v>18.8</v>
      </c>
      <c r="CO271" s="443">
        <f t="shared" si="644"/>
        <v>54.8</v>
      </c>
      <c r="CP271" s="443"/>
      <c r="CQ271" s="217">
        <f t="shared" si="645"/>
        <v>0.34306569343065696</v>
      </c>
      <c r="CR271" s="172">
        <f t="shared" si="646"/>
        <v>41.723649635036502</v>
      </c>
      <c r="CS271" s="172">
        <f t="shared" si="647"/>
        <v>13.200000000000001</v>
      </c>
      <c r="CT271" s="217">
        <f t="shared" si="648"/>
        <v>10.430912408759125</v>
      </c>
      <c r="CU271" s="217">
        <f t="shared" si="649"/>
        <v>4</v>
      </c>
      <c r="CV271" s="217"/>
      <c r="CW271" s="172">
        <f t="shared" si="650"/>
        <v>27.586358563310782</v>
      </c>
      <c r="CX271" s="172">
        <f t="shared" si="651"/>
        <v>4</v>
      </c>
      <c r="CY271" s="217">
        <f t="shared" si="652"/>
        <v>2.1375886524822696</v>
      </c>
      <c r="CZ271" s="217">
        <f t="shared" si="653"/>
        <v>0.7125295508274232</v>
      </c>
      <c r="DA271" s="217">
        <f t="shared" si="654"/>
        <v>1.3644182888184699</v>
      </c>
      <c r="DB271" s="197">
        <f t="shared" si="655"/>
        <v>350</v>
      </c>
      <c r="DC271" s="443">
        <f t="shared" si="656"/>
        <v>350</v>
      </c>
      <c r="DE271" s="217">
        <f t="shared" si="657"/>
        <v>2.940563086548488</v>
      </c>
      <c r="DF271" s="173">
        <f t="shared" si="658"/>
        <v>1.8769551616266944</v>
      </c>
      <c r="DG271" s="173">
        <f t="shared" si="659"/>
        <v>3.8635135443702762</v>
      </c>
      <c r="DH271" s="173"/>
      <c r="DI271" s="173">
        <f t="shared" si="660"/>
        <v>0.85106382978723416</v>
      </c>
      <c r="DJ271" s="545">
        <f t="shared" si="661"/>
        <v>1454.0624999999998</v>
      </c>
      <c r="DK271" s="528">
        <f t="shared" si="662"/>
        <v>0.79432624113475192</v>
      </c>
      <c r="DM271" s="173">
        <f t="shared" si="663"/>
        <v>2.7176670667530796</v>
      </c>
      <c r="DN271" s="173">
        <f t="shared" si="664"/>
        <v>2.7176670667530796</v>
      </c>
      <c r="DO271" s="173">
        <f t="shared" si="665"/>
        <v>2.225432395125738</v>
      </c>
      <c r="DQ271" s="545">
        <f t="shared" si="666"/>
        <v>3300.0000000000005</v>
      </c>
      <c r="DR271" s="460">
        <f t="shared" si="667"/>
        <v>350</v>
      </c>
      <c r="DT271">
        <f t="shared" si="668"/>
        <v>3300.0000000000005</v>
      </c>
      <c r="DU271">
        <f t="shared" si="669"/>
        <v>350</v>
      </c>
      <c r="DW271" s="5">
        <f t="shared" si="670"/>
        <v>2.8571428571428572</v>
      </c>
      <c r="DX271" s="5">
        <f t="shared" si="671"/>
        <v>0.90588902225102652</v>
      </c>
      <c r="DY271" s="5">
        <f t="shared" si="672"/>
        <v>1.9512538348918307</v>
      </c>
      <c r="DZ271" s="5"/>
      <c r="EA271" s="173">
        <f t="shared" si="673"/>
        <v>0.31706115778785926</v>
      </c>
      <c r="EB271" s="173">
        <f t="shared" si="699"/>
        <v>15.510000000000003</v>
      </c>
      <c r="EC271" s="173">
        <f t="shared" si="700"/>
        <v>3.7120008001728255</v>
      </c>
      <c r="ED271" s="173">
        <f t="shared" si="701"/>
        <v>4.1783396165426145</v>
      </c>
      <c r="EE271" s="460">
        <f t="shared" si="674"/>
        <v>74.735844335709686</v>
      </c>
      <c r="EF271" s="5">
        <f t="shared" si="675"/>
        <v>0.59621644955028164</v>
      </c>
      <c r="EH271" s="173">
        <f t="shared" si="702"/>
        <v>0.88350120213442151</v>
      </c>
      <c r="EI271" s="173">
        <f t="shared" si="703"/>
        <v>5.1866449853164918</v>
      </c>
      <c r="EK271" s="528">
        <f t="shared" si="704"/>
        <v>9.523007364910208E-3</v>
      </c>
      <c r="EL271" s="528">
        <f t="shared" si="705"/>
        <v>1.0424970868064811</v>
      </c>
      <c r="EM271" s="528">
        <f t="shared" si="706"/>
        <v>4.3749999999999997E-2</v>
      </c>
      <c r="EN271" s="528">
        <f t="shared" si="707"/>
        <v>0.10510639999999997</v>
      </c>
      <c r="EO271">
        <f t="shared" si="708"/>
        <v>1.6199999999999999E-2</v>
      </c>
      <c r="EP271" s="460">
        <f t="shared" si="709"/>
        <v>59.949999999999996</v>
      </c>
      <c r="EQ271" s="460"/>
      <c r="ER271" s="460">
        <f t="shared" si="710"/>
        <v>1217.0764941713912</v>
      </c>
      <c r="ES271" s="528">
        <f t="shared" si="711"/>
        <v>2.31</v>
      </c>
      <c r="EV271" s="460">
        <f t="shared" si="712"/>
        <v>2310</v>
      </c>
      <c r="EW271" s="528">
        <f t="shared" si="713"/>
        <v>2.3417231225189038E-2</v>
      </c>
      <c r="EX271" s="528">
        <f t="shared" si="714"/>
        <v>0.80703858611126134</v>
      </c>
      <c r="EY271" s="528">
        <f t="shared" si="715"/>
        <v>1.3951816129082197</v>
      </c>
      <c r="EZ271" s="528"/>
      <c r="FA271" s="528">
        <f t="shared" si="716"/>
        <v>6.4625000000000016E-2</v>
      </c>
      <c r="FB271" s="460">
        <f t="shared" si="717"/>
        <v>2290.2624302446698</v>
      </c>
      <c r="FC271" s="173">
        <f t="shared" si="718"/>
        <v>5.8173389244160623</v>
      </c>
      <c r="FD271" s="5">
        <f t="shared" si="719"/>
        <v>13.200000000000001</v>
      </c>
      <c r="FE271" s="173">
        <f t="shared" si="720"/>
        <v>0.69410342069745246</v>
      </c>
      <c r="FF271" s="5">
        <f t="shared" si="721"/>
        <v>69.410342069745241</v>
      </c>
      <c r="FI271" s="562">
        <f t="shared" si="676"/>
        <v>-50</v>
      </c>
      <c r="FJ271">
        <f t="shared" si="677"/>
        <v>-50</v>
      </c>
      <c r="FL271">
        <f t="shared" si="760"/>
        <v>0.60713838725334757</v>
      </c>
    </row>
    <row r="272" spans="5:168">
      <c r="E272" s="170">
        <v>56</v>
      </c>
      <c r="F272" s="217">
        <f t="shared" si="761"/>
        <v>3.3600000000000003</v>
      </c>
      <c r="G272" s="217"/>
      <c r="H272" s="217">
        <f t="shared" si="726"/>
        <v>13.440000000000001</v>
      </c>
      <c r="I272" s="541">
        <f t="shared" si="727"/>
        <v>35.946499193565295</v>
      </c>
      <c r="J272" s="172">
        <f t="shared" si="728"/>
        <v>19.408539978404242</v>
      </c>
      <c r="K272" s="172">
        <f t="shared" si="729"/>
        <v>55.355039171969537</v>
      </c>
      <c r="L272" s="443"/>
      <c r="M272" s="217">
        <f t="shared" si="730"/>
        <v>0.3512005876560832</v>
      </c>
      <c r="N272" s="172">
        <f t="shared" si="731"/>
        <v>42.649538227039997</v>
      </c>
      <c r="O272" s="172">
        <f t="shared" si="762"/>
        <v>13.440000000000001</v>
      </c>
      <c r="P272" s="217">
        <f t="shared" si="732"/>
        <v>10.662384556759999</v>
      </c>
      <c r="Q272" s="217">
        <f t="shared" si="733"/>
        <v>4</v>
      </c>
      <c r="R272" s="217"/>
      <c r="S272" s="172">
        <f t="shared" si="734"/>
        <v>26.902485836209369</v>
      </c>
      <c r="T272" s="172">
        <f t="shared" si="735"/>
        <v>4</v>
      </c>
      <c r="U272" s="217">
        <f t="shared" si="736"/>
        <v>2.5893981530141437</v>
      </c>
      <c r="V272" s="217">
        <f t="shared" si="737"/>
        <v>0.86441735727444624</v>
      </c>
      <c r="W272" s="217">
        <f t="shared" si="738"/>
        <v>1.6009848175465133</v>
      </c>
      <c r="X272" s="197">
        <f t="shared" si="739"/>
        <v>350</v>
      </c>
      <c r="Y272" s="443">
        <f t="shared" si="680"/>
        <v>350</v>
      </c>
      <c r="AA272" s="217">
        <f t="shared" si="740"/>
        <v>3.0008412066564918</v>
      </c>
      <c r="AB272" s="173">
        <f t="shared" si="741"/>
        <v>1.8553736921966364</v>
      </c>
      <c r="AC272" s="173">
        <f t="shared" si="742"/>
        <v>3.8973772805030453</v>
      </c>
      <c r="AD272" s="173"/>
      <c r="AE272" s="173">
        <f t="shared" si="743"/>
        <v>0.82437937206008804</v>
      </c>
      <c r="AF272" s="545">
        <f t="shared" si="744"/>
        <v>1528.4225232993338</v>
      </c>
      <c r="AG272" s="528">
        <f t="shared" si="745"/>
        <v>0.76942074725608212</v>
      </c>
      <c r="AI272" s="173">
        <f t="shared" si="746"/>
        <v>2.7862907226923928</v>
      </c>
      <c r="AJ272" s="173">
        <f t="shared" si="747"/>
        <v>2.7862907226923928</v>
      </c>
      <c r="AK272" s="173">
        <f t="shared" si="748"/>
        <v>2.2762647328585626</v>
      </c>
      <c r="AM272" s="545">
        <f t="shared" si="749"/>
        <v>3360.0000000000005</v>
      </c>
      <c r="AN272" s="460">
        <f t="shared" si="750"/>
        <v>350</v>
      </c>
      <c r="AP272">
        <f t="shared" si="751"/>
        <v>3360.0000000000005</v>
      </c>
      <c r="AQ272">
        <f t="shared" si="752"/>
        <v>350</v>
      </c>
      <c r="AS272" s="5">
        <f t="shared" si="763"/>
        <v>2.8571428571428572</v>
      </c>
      <c r="AT272" s="5">
        <f t="shared" si="753"/>
        <v>0.93014589521679847</v>
      </c>
      <c r="AU272" s="5">
        <f t="shared" si="722"/>
        <v>1.9269969619260587</v>
      </c>
      <c r="AV272" s="5"/>
      <c r="AW272" s="173">
        <f t="shared" si="723"/>
        <v>0.32555106332587946</v>
      </c>
      <c r="AX272" s="173">
        <f t="shared" si="631"/>
        <v>16.303173581859561</v>
      </c>
      <c r="AY272" s="173">
        <f t="shared" si="632"/>
        <v>3.7584216303697024</v>
      </c>
      <c r="AZ272" s="173">
        <f t="shared" si="633"/>
        <v>4.3377713266980837</v>
      </c>
      <c r="BA272" s="460">
        <f t="shared" si="724"/>
        <v>78.13225519821107</v>
      </c>
      <c r="BB272" s="5">
        <f t="shared" si="725"/>
        <v>0.60040244412549826</v>
      </c>
      <c r="BD272" s="173">
        <f t="shared" si="681"/>
        <v>0.91785771065544008</v>
      </c>
      <c r="BE272" s="173">
        <f t="shared" si="682"/>
        <v>5.2844565335621834</v>
      </c>
      <c r="BG272" s="528">
        <f t="shared" si="683"/>
        <v>1.0278045879517675E-2</v>
      </c>
      <c r="BH272" s="528">
        <f t="shared" si="754"/>
        <v>1.0121687106505584</v>
      </c>
      <c r="BI272" s="528">
        <f t="shared" si="755"/>
        <v>0.31453186794369636</v>
      </c>
      <c r="BJ272" s="528">
        <f t="shared" si="684"/>
        <v>0.10724631266055985</v>
      </c>
      <c r="BK272">
        <f t="shared" si="685"/>
        <v>1.6175924637104381E-2</v>
      </c>
      <c r="BL272" s="460">
        <f t="shared" si="686"/>
        <v>330.70779258080074</v>
      </c>
      <c r="BM272" s="528">
        <f t="shared" si="756"/>
        <v>1.135240471124515</v>
      </c>
      <c r="BN272" s="460">
        <f t="shared" si="687"/>
        <v>1135.2404711245149</v>
      </c>
      <c r="BO272" s="528">
        <f t="shared" si="637"/>
        <v>2.3519999999999999</v>
      </c>
      <c r="BR272" s="460">
        <f t="shared" si="688"/>
        <v>2352</v>
      </c>
      <c r="BS272" s="528">
        <f t="shared" si="689"/>
        <v>2.5273883310289364E-2</v>
      </c>
      <c r="BT272" s="528">
        <f t="shared" si="690"/>
        <v>0.83776442565324138</v>
      </c>
      <c r="BU272" s="528">
        <f t="shared" si="691"/>
        <v>1.4849307047494205</v>
      </c>
      <c r="BV272" s="528"/>
      <c r="BW272" s="528">
        <f t="shared" si="692"/>
        <v>6.7929889924414844E-2</v>
      </c>
      <c r="BX272" s="460">
        <f t="shared" si="693"/>
        <v>2415.8989036373659</v>
      </c>
      <c r="BY272" s="173">
        <f t="shared" si="694"/>
        <v>6.2282997654088028</v>
      </c>
      <c r="BZ272" s="5">
        <f t="shared" si="695"/>
        <v>13.440000000000001</v>
      </c>
      <c r="CA272" s="173">
        <f t="shared" si="696"/>
        <v>0.68333308726752828</v>
      </c>
      <c r="CB272" s="5">
        <f t="shared" si="697"/>
        <v>68.333308726752833</v>
      </c>
      <c r="CE272" s="562">
        <f t="shared" si="757"/>
        <v>-50</v>
      </c>
      <c r="CF272">
        <f t="shared" si="758"/>
        <v>-50</v>
      </c>
      <c r="CG272" s="173">
        <f t="shared" si="759"/>
        <v>0.6625694519812847</v>
      </c>
      <c r="CI272" s="170">
        <v>56</v>
      </c>
      <c r="CJ272" s="217">
        <f t="shared" si="698"/>
        <v>3.3600000000000003</v>
      </c>
      <c r="CK272" s="217"/>
      <c r="CL272" s="217">
        <f t="shared" si="641"/>
        <v>13.440000000000001</v>
      </c>
      <c r="CM272" s="541">
        <f t="shared" si="642"/>
        <v>36</v>
      </c>
      <c r="CN272" s="443">
        <f t="shared" si="643"/>
        <v>18.8</v>
      </c>
      <c r="CO272" s="443">
        <f t="shared" si="644"/>
        <v>54.8</v>
      </c>
      <c r="CP272" s="443"/>
      <c r="CQ272" s="217">
        <f t="shared" si="645"/>
        <v>0.34306569343065696</v>
      </c>
      <c r="CR272" s="172">
        <f t="shared" si="646"/>
        <v>41.723649635036502</v>
      </c>
      <c r="CS272" s="172">
        <f t="shared" si="647"/>
        <v>13.440000000000001</v>
      </c>
      <c r="CT272" s="217">
        <f t="shared" si="648"/>
        <v>10.430912408759125</v>
      </c>
      <c r="CU272" s="217">
        <f t="shared" si="649"/>
        <v>4</v>
      </c>
      <c r="CV272" s="217"/>
      <c r="CW272" s="172">
        <f t="shared" si="650"/>
        <v>26.942198124565458</v>
      </c>
      <c r="CX272" s="172">
        <f t="shared" si="651"/>
        <v>4</v>
      </c>
      <c r="CY272" s="217">
        <f t="shared" si="652"/>
        <v>2.1764539007092196</v>
      </c>
      <c r="CZ272" s="217">
        <f t="shared" si="653"/>
        <v>0.72548463356973991</v>
      </c>
      <c r="DA272" s="217">
        <f t="shared" si="654"/>
        <v>1.3892258940697144</v>
      </c>
      <c r="DB272" s="197">
        <f t="shared" si="655"/>
        <v>350</v>
      </c>
      <c r="DC272" s="443">
        <f t="shared" si="656"/>
        <v>350</v>
      </c>
      <c r="DE272" s="217">
        <f t="shared" si="657"/>
        <v>2.940563086548488</v>
      </c>
      <c r="DF272" s="173">
        <f t="shared" si="658"/>
        <v>1.8769551616266944</v>
      </c>
      <c r="DG272" s="173">
        <f t="shared" si="659"/>
        <v>3.8635135443702762</v>
      </c>
      <c r="DH272" s="173"/>
      <c r="DI272" s="173">
        <f t="shared" si="660"/>
        <v>0.85106382978723416</v>
      </c>
      <c r="DJ272" s="545">
        <f t="shared" si="661"/>
        <v>1480.4999999999998</v>
      </c>
      <c r="DK272" s="528">
        <f t="shared" si="662"/>
        <v>0.79432624113475192</v>
      </c>
      <c r="DM272" s="173">
        <f t="shared" si="663"/>
        <v>2.7422618401604177</v>
      </c>
      <c r="DN272" s="173">
        <f t="shared" si="664"/>
        <v>2.7422618401604177</v>
      </c>
      <c r="DO272" s="173">
        <f t="shared" si="665"/>
        <v>2.2436507457978401</v>
      </c>
      <c r="DQ272" s="545">
        <f t="shared" si="666"/>
        <v>3360.0000000000005</v>
      </c>
      <c r="DR272" s="460">
        <f t="shared" si="667"/>
        <v>350</v>
      </c>
      <c r="DT272">
        <f t="shared" si="668"/>
        <v>3360.0000000000005</v>
      </c>
      <c r="DU272">
        <f t="shared" si="669"/>
        <v>350</v>
      </c>
      <c r="DW272" s="5">
        <f t="shared" si="670"/>
        <v>2.8571428571428572</v>
      </c>
      <c r="DX272" s="5">
        <f t="shared" si="671"/>
        <v>0.91408728005347262</v>
      </c>
      <c r="DY272" s="5">
        <f t="shared" si="672"/>
        <v>1.9430555770893845</v>
      </c>
      <c r="DZ272" s="5"/>
      <c r="EA272" s="173">
        <f t="shared" si="673"/>
        <v>0.3199305480187154</v>
      </c>
      <c r="EB272" s="173">
        <f t="shared" si="699"/>
        <v>15.792</v>
      </c>
      <c r="EC272" s="173">
        <f t="shared" si="700"/>
        <v>3.7298570136541689</v>
      </c>
      <c r="ED272" s="173">
        <f t="shared" si="701"/>
        <v>4.2339424654052511</v>
      </c>
      <c r="EE272" s="460">
        <f t="shared" si="674"/>
        <v>76.783331524491715</v>
      </c>
      <c r="EF272" s="5">
        <f t="shared" si="675"/>
        <v>0.60450617953891961</v>
      </c>
      <c r="EH272" s="173">
        <f t="shared" si="702"/>
        <v>0.89552176990116394</v>
      </c>
      <c r="EI272" s="173">
        <f t="shared" si="703"/>
        <v>5.2225777946140788</v>
      </c>
      <c r="EK272" s="528">
        <f t="shared" si="704"/>
        <v>9.7839027324763406E-3</v>
      </c>
      <c r="EL272" s="528">
        <f t="shared" si="705"/>
        <v>1.051931641885536</v>
      </c>
      <c r="EM272" s="528">
        <f t="shared" si="706"/>
        <v>4.3749999999999997E-2</v>
      </c>
      <c r="EN272" s="528">
        <f t="shared" si="707"/>
        <v>0.10510639999999997</v>
      </c>
      <c r="EO272">
        <f t="shared" si="708"/>
        <v>1.6199999999999999E-2</v>
      </c>
      <c r="EP272" s="460">
        <f t="shared" si="709"/>
        <v>59.949999999999996</v>
      </c>
      <c r="EQ272" s="460"/>
      <c r="ER272" s="460">
        <f t="shared" si="710"/>
        <v>1226.7719446180124</v>
      </c>
      <c r="ES272" s="528">
        <f t="shared" si="711"/>
        <v>2.3519999999999999</v>
      </c>
      <c r="EV272" s="460">
        <f t="shared" si="712"/>
        <v>2352</v>
      </c>
      <c r="EW272" s="528">
        <f t="shared" si="713"/>
        <v>2.4058777211007396E-2</v>
      </c>
      <c r="EX272" s="528">
        <f t="shared" si="714"/>
        <v>0.81825956462388161</v>
      </c>
      <c r="EY272" s="528">
        <f t="shared" si="715"/>
        <v>1.4269620261057785</v>
      </c>
      <c r="EZ272" s="528"/>
      <c r="FA272" s="528">
        <f t="shared" si="716"/>
        <v>6.5799999999999997E-2</v>
      </c>
      <c r="FB272" s="460">
        <f t="shared" si="717"/>
        <v>2335.0803679406672</v>
      </c>
      <c r="FC272" s="173">
        <f t="shared" si="718"/>
        <v>5.9138523125586797</v>
      </c>
      <c r="FD272" s="5">
        <f t="shared" si="719"/>
        <v>13.440000000000001</v>
      </c>
      <c r="FE272" s="173">
        <f t="shared" si="720"/>
        <v>0.69443539110189501</v>
      </c>
      <c r="FF272" s="5">
        <f t="shared" si="721"/>
        <v>69.443539110189505</v>
      </c>
      <c r="FI272" s="562">
        <f t="shared" si="676"/>
        <v>-50</v>
      </c>
      <c r="FJ272">
        <f t="shared" si="677"/>
        <v>-50</v>
      </c>
      <c r="FL272">
        <f t="shared" si="760"/>
        <v>0.61263296429115721</v>
      </c>
    </row>
    <row r="273" spans="5:168">
      <c r="E273" s="170">
        <v>57</v>
      </c>
      <c r="F273" s="217">
        <f t="shared" si="761"/>
        <v>3.42</v>
      </c>
      <c r="G273" s="217"/>
      <c r="H273" s="217">
        <f t="shared" si="726"/>
        <v>13.68</v>
      </c>
      <c r="I273" s="541">
        <f t="shared" si="727"/>
        <v>35.945309077444293</v>
      </c>
      <c r="J273" s="172">
        <f t="shared" si="728"/>
        <v>19.422076844235541</v>
      </c>
      <c r="K273" s="172">
        <f t="shared" si="729"/>
        <v>55.367385921679833</v>
      </c>
      <c r="L273" s="443"/>
      <c r="M273" s="217">
        <f t="shared" si="730"/>
        <v>0.35127663307475393</v>
      </c>
      <c r="N273" s="172">
        <f t="shared" si="731"/>
        <v>42.65736078016009</v>
      </c>
      <c r="O273" s="172">
        <f t="shared" si="762"/>
        <v>13.68</v>
      </c>
      <c r="P273" s="217">
        <f t="shared" si="732"/>
        <v>10.664340195040023</v>
      </c>
      <c r="Q273" s="217">
        <f t="shared" si="733"/>
        <v>4</v>
      </c>
      <c r="R273" s="217"/>
      <c r="S273" s="172">
        <f t="shared" si="734"/>
        <v>26.28122798480624</v>
      </c>
      <c r="T273" s="172">
        <f t="shared" si="735"/>
        <v>4</v>
      </c>
      <c r="U273" s="217">
        <f t="shared" si="736"/>
        <v>2.6359463635553722</v>
      </c>
      <c r="V273" s="217">
        <f t="shared" si="737"/>
        <v>0.87998565527742711</v>
      </c>
      <c r="W273" s="217">
        <f t="shared" si="738"/>
        <v>1.6286289368715288</v>
      </c>
      <c r="X273" s="197">
        <f t="shared" si="739"/>
        <v>350</v>
      </c>
      <c r="Y273" s="443">
        <f t="shared" si="680"/>
        <v>350</v>
      </c>
      <c r="AA273" s="217">
        <f t="shared" si="740"/>
        <v>3.0021651584161435</v>
      </c>
      <c r="AB273" s="173">
        <f t="shared" si="741"/>
        <v>1.8548985358219405</v>
      </c>
      <c r="AC273" s="173">
        <f t="shared" si="742"/>
        <v>3.8980982296492241</v>
      </c>
      <c r="AD273" s="173"/>
      <c r="AE273" s="173">
        <f t="shared" si="743"/>
        <v>0.82380479329370959</v>
      </c>
      <c r="AF273" s="545">
        <f t="shared" si="744"/>
        <v>1556.8008470457546</v>
      </c>
      <c r="AG273" s="528">
        <f t="shared" si="745"/>
        <v>0.76888447374079572</v>
      </c>
      <c r="AI273" s="173">
        <f t="shared" si="746"/>
        <v>2.8120383813188226</v>
      </c>
      <c r="AJ273" s="173">
        <f t="shared" si="747"/>
        <v>2.8120383813188226</v>
      </c>
      <c r="AK273" s="173">
        <f t="shared" si="748"/>
        <v>2.2953370725818436</v>
      </c>
      <c r="AM273" s="545">
        <f t="shared" si="749"/>
        <v>3420</v>
      </c>
      <c r="AN273" s="460">
        <f t="shared" si="750"/>
        <v>350</v>
      </c>
      <c r="AP273">
        <f t="shared" si="751"/>
        <v>3420</v>
      </c>
      <c r="AQ273">
        <f t="shared" si="752"/>
        <v>350</v>
      </c>
      <c r="AS273" s="5">
        <f t="shared" si="763"/>
        <v>2.8571428571428572</v>
      </c>
      <c r="AT273" s="5">
        <f t="shared" si="753"/>
        <v>0.93877230275370049</v>
      </c>
      <c r="AU273" s="5">
        <f t="shared" si="722"/>
        <v>1.9183705543891567</v>
      </c>
      <c r="AV273" s="5"/>
      <c r="AW273" s="173">
        <f t="shared" si="723"/>
        <v>0.32857030596379516</v>
      </c>
      <c r="AX273" s="173">
        <f t="shared" si="631"/>
        <v>16.605875701821386</v>
      </c>
      <c r="AY273" s="173">
        <f t="shared" si="632"/>
        <v>3.776172139973923</v>
      </c>
      <c r="AZ273" s="173">
        <f t="shared" si="633"/>
        <v>4.3975420309986344</v>
      </c>
      <c r="BA273" s="460">
        <f t="shared" si="724"/>
        <v>80.265031885441402</v>
      </c>
      <c r="BB273" s="5">
        <f t="shared" si="725"/>
        <v>0.60840829808748143</v>
      </c>
      <c r="BD273" s="173">
        <f t="shared" si="681"/>
        <v>0.93062512359048755</v>
      </c>
      <c r="BE273" s="173">
        <f t="shared" si="682"/>
        <v>5.3213384261414296</v>
      </c>
      <c r="BG273" s="528">
        <f t="shared" si="683"/>
        <v>1.0565970072025284E-2</v>
      </c>
      <c r="BH273" s="528">
        <f t="shared" si="754"/>
        <v>1.0217498437456742</v>
      </c>
      <c r="BI273" s="528">
        <f t="shared" si="755"/>
        <v>0.31452145442763751</v>
      </c>
      <c r="BJ273" s="528">
        <f t="shared" si="684"/>
        <v>0.10729415983300805</v>
      </c>
      <c r="BK273">
        <f t="shared" si="685"/>
        <v>1.6175389084849931E-2</v>
      </c>
      <c r="BL273" s="460">
        <f t="shared" si="686"/>
        <v>330.69684351248748</v>
      </c>
      <c r="BM273" s="528">
        <f t="shared" si="756"/>
        <v>1.1453381277212071</v>
      </c>
      <c r="BN273" s="460">
        <f t="shared" si="687"/>
        <v>1145.3381277212072</v>
      </c>
      <c r="BO273" s="528">
        <f t="shared" si="637"/>
        <v>2.3939999999999997</v>
      </c>
      <c r="BR273" s="460">
        <f t="shared" si="688"/>
        <v>2393.9999999999995</v>
      </c>
      <c r="BS273" s="528">
        <f t="shared" si="689"/>
        <v>2.5981893619734305E-2</v>
      </c>
      <c r="BT273" s="528">
        <f t="shared" si="690"/>
        <v>0.84949927936588032</v>
      </c>
      <c r="BU273" s="528">
        <f t="shared" si="691"/>
        <v>1.519473832532849</v>
      </c>
      <c r="BV273" s="528"/>
      <c r="BW273" s="528">
        <f t="shared" si="692"/>
        <v>6.919114875758911E-2</v>
      </c>
      <c r="BX273" s="460">
        <f t="shared" si="693"/>
        <v>2464.1461542760521</v>
      </c>
      <c r="BY273" s="173">
        <f t="shared" si="694"/>
        <v>6.3284529714392477</v>
      </c>
      <c r="BZ273" s="5">
        <f t="shared" si="695"/>
        <v>13.68</v>
      </c>
      <c r="CA273" s="173">
        <f t="shared" si="696"/>
        <v>0.68371103050932025</v>
      </c>
      <c r="CB273" s="5">
        <f t="shared" si="697"/>
        <v>68.371103050932021</v>
      </c>
      <c r="CE273" s="562">
        <f t="shared" si="757"/>
        <v>-50</v>
      </c>
      <c r="CF273">
        <f t="shared" si="758"/>
        <v>-50</v>
      </c>
      <c r="CG273" s="173">
        <f t="shared" si="759"/>
        <v>0.65972556895978685</v>
      </c>
      <c r="CI273" s="170">
        <v>57</v>
      </c>
      <c r="CJ273" s="217">
        <f t="shared" si="698"/>
        <v>3.42</v>
      </c>
      <c r="CK273" s="217"/>
      <c r="CL273" s="217">
        <f t="shared" si="641"/>
        <v>13.68</v>
      </c>
      <c r="CM273" s="541">
        <f t="shared" si="642"/>
        <v>36</v>
      </c>
      <c r="CN273" s="443">
        <f t="shared" si="643"/>
        <v>18.8</v>
      </c>
      <c r="CO273" s="443">
        <f t="shared" si="644"/>
        <v>54.8</v>
      </c>
      <c r="CP273" s="443"/>
      <c r="CQ273" s="217">
        <f t="shared" si="645"/>
        <v>0.34306569343065696</v>
      </c>
      <c r="CR273" s="172">
        <f t="shared" si="646"/>
        <v>41.723649635036502</v>
      </c>
      <c r="CS273" s="172">
        <f t="shared" si="647"/>
        <v>13.68</v>
      </c>
      <c r="CT273" s="217">
        <f t="shared" si="648"/>
        <v>10.430912408759125</v>
      </c>
      <c r="CU273" s="217">
        <f t="shared" si="649"/>
        <v>4</v>
      </c>
      <c r="CV273" s="217"/>
      <c r="CW273" s="172">
        <f t="shared" si="650"/>
        <v>26.320872392215115</v>
      </c>
      <c r="CX273" s="172">
        <f t="shared" si="651"/>
        <v>4</v>
      </c>
      <c r="CY273" s="217">
        <f t="shared" si="652"/>
        <v>2.2153191489361701</v>
      </c>
      <c r="CZ273" s="217">
        <f t="shared" si="653"/>
        <v>0.73843971631205674</v>
      </c>
      <c r="DA273" s="217">
        <f t="shared" si="654"/>
        <v>1.4140334993209596</v>
      </c>
      <c r="DB273" s="197">
        <f t="shared" si="655"/>
        <v>350</v>
      </c>
      <c r="DC273" s="443">
        <f t="shared" si="656"/>
        <v>350</v>
      </c>
      <c r="DE273" s="217">
        <f t="shared" si="657"/>
        <v>2.940563086548488</v>
      </c>
      <c r="DF273" s="173">
        <f t="shared" si="658"/>
        <v>1.8769551616266944</v>
      </c>
      <c r="DG273" s="173">
        <f t="shared" si="659"/>
        <v>3.8635135443702762</v>
      </c>
      <c r="DH273" s="173"/>
      <c r="DI273" s="173">
        <f t="shared" si="660"/>
        <v>0.85106382978723416</v>
      </c>
      <c r="DJ273" s="545">
        <f t="shared" si="661"/>
        <v>1506.9374999999995</v>
      </c>
      <c r="DK273" s="528">
        <f t="shared" si="662"/>
        <v>0.79432624113475192</v>
      </c>
      <c r="DM273" s="173">
        <f t="shared" si="663"/>
        <v>2.7666379803446843</v>
      </c>
      <c r="DN273" s="173">
        <f t="shared" si="664"/>
        <v>2.7666379803446843</v>
      </c>
      <c r="DO273" s="173">
        <f t="shared" si="665"/>
        <v>2.2617071459343339</v>
      </c>
      <c r="DQ273" s="545">
        <f t="shared" si="666"/>
        <v>3420</v>
      </c>
      <c r="DR273" s="460">
        <f t="shared" si="667"/>
        <v>350</v>
      </c>
      <c r="DT273">
        <f t="shared" si="668"/>
        <v>3420</v>
      </c>
      <c r="DU273">
        <f t="shared" si="669"/>
        <v>350</v>
      </c>
      <c r="DW273" s="5">
        <f t="shared" si="670"/>
        <v>2.8571428571428572</v>
      </c>
      <c r="DX273" s="5">
        <f t="shared" si="671"/>
        <v>0.92221266011489489</v>
      </c>
      <c r="DY273" s="5">
        <f t="shared" si="672"/>
        <v>1.9349301970279624</v>
      </c>
      <c r="DZ273" s="5"/>
      <c r="EA273" s="173">
        <f t="shared" si="673"/>
        <v>0.32277443104021319</v>
      </c>
      <c r="EB273" s="173">
        <f t="shared" si="699"/>
        <v>16.074000000000002</v>
      </c>
      <c r="EC273" s="173">
        <f t="shared" si="700"/>
        <v>3.7472759606893686</v>
      </c>
      <c r="ED273" s="173">
        <f t="shared" si="701"/>
        <v>4.2895159493518973</v>
      </c>
      <c r="EE273" s="460">
        <f t="shared" si="674"/>
        <v>78.849182439823494</v>
      </c>
      <c r="EF273" s="5">
        <f t="shared" si="675"/>
        <v>0.61272789572552144</v>
      </c>
      <c r="EH273" s="173">
        <f t="shared" si="702"/>
        <v>0.90748879083027856</v>
      </c>
      <c r="EI273" s="173">
        <f t="shared" si="703"/>
        <v>5.2579732459509074</v>
      </c>
      <c r="EK273" s="528">
        <f t="shared" si="704"/>
        <v>1.0047138046887732E-2</v>
      </c>
      <c r="EL273" s="528">
        <f t="shared" si="705"/>
        <v>1.0612823292602209</v>
      </c>
      <c r="EM273" s="528">
        <f t="shared" si="706"/>
        <v>4.3749999999999997E-2</v>
      </c>
      <c r="EN273" s="528">
        <f t="shared" si="707"/>
        <v>0.10510639999999997</v>
      </c>
      <c r="EO273">
        <f t="shared" si="708"/>
        <v>1.6199999999999999E-2</v>
      </c>
      <c r="EP273" s="460">
        <f t="shared" si="709"/>
        <v>59.949999999999996</v>
      </c>
      <c r="EQ273" s="460"/>
      <c r="ER273" s="460">
        <f t="shared" si="710"/>
        <v>1236.3858673071086</v>
      </c>
      <c r="ES273" s="528">
        <f t="shared" si="711"/>
        <v>2.3939999999999997</v>
      </c>
      <c r="EV273" s="460">
        <f t="shared" si="712"/>
        <v>2393.9999999999995</v>
      </c>
      <c r="EW273" s="528">
        <f t="shared" si="713"/>
        <v>2.4706077164478028E-2</v>
      </c>
      <c r="EX273" s="528">
        <f t="shared" si="714"/>
        <v>0.82938847965406559</v>
      </c>
      <c r="EY273" s="528">
        <f t="shared" si="715"/>
        <v>1.4588846399371107</v>
      </c>
      <c r="EZ273" s="528"/>
      <c r="FA273" s="528">
        <f t="shared" si="716"/>
        <v>6.6975000000000007E-2</v>
      </c>
      <c r="FB273" s="460">
        <f t="shared" si="717"/>
        <v>2379.9541967556543</v>
      </c>
      <c r="FC273" s="173">
        <f t="shared" si="718"/>
        <v>6.0103400640627624</v>
      </c>
      <c r="FD273" s="5">
        <f t="shared" si="719"/>
        <v>13.68</v>
      </c>
      <c r="FE273" s="173">
        <f t="shared" si="720"/>
        <v>0.69475691915385673</v>
      </c>
      <c r="FF273" s="5">
        <f t="shared" si="721"/>
        <v>69.475691915385667</v>
      </c>
      <c r="FI273" s="562">
        <f t="shared" si="676"/>
        <v>-50</v>
      </c>
      <c r="FJ273">
        <f t="shared" si="677"/>
        <v>-50</v>
      </c>
      <c r="FL273">
        <f t="shared" si="760"/>
        <v>0.61807869773657842</v>
      </c>
    </row>
    <row r="274" spans="5:168">
      <c r="E274" s="170">
        <v>58</v>
      </c>
      <c r="F274" s="217">
        <f t="shared" si="761"/>
        <v>3.4799999999999995</v>
      </c>
      <c r="G274" s="217"/>
      <c r="H274" s="217">
        <f t="shared" si="726"/>
        <v>13.919999999999998</v>
      </c>
      <c r="I274" s="541">
        <f t="shared" si="727"/>
        <v>35.944110769773907</v>
      </c>
      <c r="J274" s="172">
        <f t="shared" si="728"/>
        <v>19.435706884088273</v>
      </c>
      <c r="K274" s="172">
        <f t="shared" si="729"/>
        <v>55.379817653862176</v>
      </c>
      <c r="L274" s="443"/>
      <c r="M274" s="217">
        <f t="shared" si="730"/>
        <v>0.35135211952547934</v>
      </c>
      <c r="N274" s="172">
        <f t="shared" si="731"/>
        <v>42.665105122382741</v>
      </c>
      <c r="O274" s="172">
        <f t="shared" si="762"/>
        <v>13.919999999999998</v>
      </c>
      <c r="P274" s="217">
        <f t="shared" si="732"/>
        <v>10.666276280595685</v>
      </c>
      <c r="Q274" s="217">
        <f t="shared" si="733"/>
        <v>4</v>
      </c>
      <c r="R274" s="217"/>
      <c r="S274" s="172">
        <f t="shared" si="734"/>
        <v>25.6816289865531</v>
      </c>
      <c r="T274" s="172">
        <f t="shared" si="735"/>
        <v>4</v>
      </c>
      <c r="U274" s="217">
        <f t="shared" si="736"/>
        <v>2.6825031768038725</v>
      </c>
      <c r="V274" s="217">
        <f t="shared" si="737"/>
        <v>0.89555806034060226</v>
      </c>
      <c r="W274" s="217">
        <f t="shared" si="738"/>
        <v>1.6562319196118349</v>
      </c>
      <c r="X274" s="197">
        <f t="shared" si="739"/>
        <v>350</v>
      </c>
      <c r="Y274" s="443">
        <f t="shared" si="680"/>
        <v>350</v>
      </c>
      <c r="AA274" s="217">
        <f t="shared" si="740"/>
        <v>3.0034974865020283</v>
      </c>
      <c r="AB274" s="173">
        <f t="shared" si="741"/>
        <v>1.8544203230154375</v>
      </c>
      <c r="AC274" s="173">
        <f t="shared" si="742"/>
        <v>3.8988227453666022</v>
      </c>
      <c r="AD274" s="173"/>
      <c r="AE274" s="173">
        <f t="shared" si="743"/>
        <v>0.82322706837583393</v>
      </c>
      <c r="AF274" s="545">
        <f t="shared" si="744"/>
        <v>1585.2248427334489</v>
      </c>
      <c r="AG274" s="528">
        <f t="shared" si="745"/>
        <v>0.76834526381744517</v>
      </c>
      <c r="AI274" s="173">
        <f t="shared" si="746"/>
        <v>2.8375932952278915</v>
      </c>
      <c r="AJ274" s="173">
        <f t="shared" si="747"/>
        <v>2.8375932952278915</v>
      </c>
      <c r="AK274" s="173">
        <f t="shared" si="748"/>
        <v>2.3142666384404134</v>
      </c>
      <c r="AM274" s="545">
        <f t="shared" si="749"/>
        <v>3479.9999999999995</v>
      </c>
      <c r="AN274" s="460">
        <f t="shared" si="750"/>
        <v>350</v>
      </c>
      <c r="AP274">
        <f t="shared" si="751"/>
        <v>3479.9999999999995</v>
      </c>
      <c r="AQ274">
        <f t="shared" si="752"/>
        <v>350</v>
      </c>
      <c r="AS274" s="5">
        <f t="shared" si="763"/>
        <v>2.8571428571428572</v>
      </c>
      <c r="AT274" s="5">
        <f t="shared" si="753"/>
        <v>0.9473351493054305</v>
      </c>
      <c r="AU274" s="5">
        <f t="shared" si="722"/>
        <v>1.9098077078374267</v>
      </c>
      <c r="AV274" s="5"/>
      <c r="AW274" s="173">
        <f t="shared" si="723"/>
        <v>0.33156730225690068</v>
      </c>
      <c r="AX274" s="173">
        <f t="shared" si="631"/>
        <v>16.909064989156796</v>
      </c>
      <c r="AY274" s="173">
        <f t="shared" si="632"/>
        <v>3.793480282853821</v>
      </c>
      <c r="AZ274" s="173">
        <f t="shared" si="633"/>
        <v>4.4574015754304037</v>
      </c>
      <c r="BA274" s="460">
        <f t="shared" si="724"/>
        <v>82.41815798957245</v>
      </c>
      <c r="BB274" s="5">
        <f t="shared" si="725"/>
        <v>0.61633933727868639</v>
      </c>
      <c r="BD274" s="173">
        <f t="shared" si="681"/>
        <v>0.94335546517377356</v>
      </c>
      <c r="BE274" s="173">
        <f t="shared" si="682"/>
        <v>5.3576995601234696</v>
      </c>
      <c r="BG274" s="528">
        <f t="shared" si="683"/>
        <v>1.0857018310813366E-2</v>
      </c>
      <c r="BH274" s="528">
        <f t="shared" si="754"/>
        <v>1.0312666826801229</v>
      </c>
      <c r="BI274" s="528">
        <f t="shared" si="755"/>
        <v>0.31451096923552169</v>
      </c>
      <c r="BJ274" s="528">
        <f t="shared" si="684"/>
        <v>0.10734234711812587</v>
      </c>
      <c r="BK274">
        <f t="shared" si="685"/>
        <v>1.6174849846398259E-2</v>
      </c>
      <c r="BL274" s="460">
        <f t="shared" si="686"/>
        <v>330.68581908191999</v>
      </c>
      <c r="BM274" s="528">
        <f t="shared" si="756"/>
        <v>1.1553778876834608</v>
      </c>
      <c r="BN274" s="460">
        <f t="shared" si="687"/>
        <v>1155.3778876834608</v>
      </c>
      <c r="BO274" s="528">
        <f t="shared" si="637"/>
        <v>2.4359999999999995</v>
      </c>
      <c r="BR274" s="460">
        <f t="shared" si="688"/>
        <v>2435.9999999999995</v>
      </c>
      <c r="BS274" s="528">
        <f t="shared" si="689"/>
        <v>2.6697586010196801E-2</v>
      </c>
      <c r="BT274" s="528">
        <f t="shared" si="690"/>
        <v>0.8611483372964166</v>
      </c>
      <c r="BU274" s="528">
        <f t="shared" si="691"/>
        <v>1.554230719072119</v>
      </c>
      <c r="BV274" s="528"/>
      <c r="BW274" s="528">
        <f t="shared" si="692"/>
        <v>7.0454437454819982E-2</v>
      </c>
      <c r="BX274" s="460">
        <f t="shared" si="693"/>
        <v>2512.5310798335527</v>
      </c>
      <c r="BY274" s="173">
        <f t="shared" si="694"/>
        <v>6.4286829470245337</v>
      </c>
      <c r="BZ274" s="5">
        <f t="shared" si="695"/>
        <v>13.919999999999998</v>
      </c>
      <c r="CA274" s="173">
        <f t="shared" si="696"/>
        <v>0.68407375731584819</v>
      </c>
      <c r="CB274" s="5">
        <f t="shared" si="697"/>
        <v>68.407375731584821</v>
      </c>
      <c r="CE274" s="562">
        <f t="shared" si="757"/>
        <v>-50</v>
      </c>
      <c r="CF274">
        <f t="shared" si="758"/>
        <v>-50</v>
      </c>
      <c r="CG274" s="173">
        <f t="shared" si="759"/>
        <v>0.65690652477190048</v>
      </c>
      <c r="CI274" s="170">
        <v>58</v>
      </c>
      <c r="CJ274" s="217">
        <f t="shared" si="698"/>
        <v>3.4799999999999995</v>
      </c>
      <c r="CK274" s="217"/>
      <c r="CL274" s="217">
        <f t="shared" si="641"/>
        <v>13.919999999999998</v>
      </c>
      <c r="CM274" s="541">
        <f t="shared" si="642"/>
        <v>36</v>
      </c>
      <c r="CN274" s="443">
        <f t="shared" si="643"/>
        <v>18.8</v>
      </c>
      <c r="CO274" s="443">
        <f t="shared" si="644"/>
        <v>54.8</v>
      </c>
      <c r="CP274" s="443"/>
      <c r="CQ274" s="217">
        <f t="shared" si="645"/>
        <v>0.34306569343065696</v>
      </c>
      <c r="CR274" s="172">
        <f t="shared" si="646"/>
        <v>41.723649635036502</v>
      </c>
      <c r="CS274" s="172">
        <f t="shared" si="647"/>
        <v>13.919999999999998</v>
      </c>
      <c r="CT274" s="217">
        <f t="shared" si="648"/>
        <v>10.430912408759125</v>
      </c>
      <c r="CU274" s="217">
        <f t="shared" si="649"/>
        <v>4</v>
      </c>
      <c r="CV274" s="217"/>
      <c r="CW274" s="172">
        <f t="shared" si="650"/>
        <v>25.721203474501113</v>
      </c>
      <c r="CX274" s="172">
        <f t="shared" si="651"/>
        <v>4</v>
      </c>
      <c r="CY274" s="217">
        <f t="shared" si="652"/>
        <v>2.2541843971631201</v>
      </c>
      <c r="CZ274" s="217">
        <f t="shared" si="653"/>
        <v>0.75139479905437345</v>
      </c>
      <c r="DA274" s="217">
        <f t="shared" si="654"/>
        <v>1.4388411045722043</v>
      </c>
      <c r="DB274" s="197">
        <f t="shared" si="655"/>
        <v>350</v>
      </c>
      <c r="DC274" s="443">
        <f t="shared" si="656"/>
        <v>350</v>
      </c>
      <c r="DE274" s="217">
        <f t="shared" si="657"/>
        <v>2.940563086548488</v>
      </c>
      <c r="DF274" s="173">
        <f t="shared" si="658"/>
        <v>1.8769551616266944</v>
      </c>
      <c r="DG274" s="173">
        <f t="shared" si="659"/>
        <v>3.8635135443702762</v>
      </c>
      <c r="DH274" s="173"/>
      <c r="DI274" s="173">
        <f t="shared" si="660"/>
        <v>0.85106382978723416</v>
      </c>
      <c r="DJ274" s="545">
        <f t="shared" si="661"/>
        <v>1533.3749999999995</v>
      </c>
      <c r="DK274" s="528">
        <f t="shared" si="662"/>
        <v>0.79432624113475192</v>
      </c>
      <c r="DM274" s="173">
        <f t="shared" si="663"/>
        <v>2.7908012162408538</v>
      </c>
      <c r="DN274" s="173">
        <f t="shared" si="664"/>
        <v>2.7908012162408538</v>
      </c>
      <c r="DO274" s="173">
        <f t="shared" si="665"/>
        <v>2.2796058391907557</v>
      </c>
      <c r="DQ274" s="545">
        <f t="shared" si="666"/>
        <v>3479.9999999999995</v>
      </c>
      <c r="DR274" s="460">
        <f t="shared" si="667"/>
        <v>350</v>
      </c>
      <c r="DT274">
        <f t="shared" si="668"/>
        <v>3479.9999999999995</v>
      </c>
      <c r="DU274">
        <f t="shared" si="669"/>
        <v>350</v>
      </c>
      <c r="DW274" s="5">
        <f t="shared" si="670"/>
        <v>2.8571428571428572</v>
      </c>
      <c r="DX274" s="5">
        <f t="shared" si="671"/>
        <v>0.93026707208028458</v>
      </c>
      <c r="DY274" s="5">
        <f t="shared" si="672"/>
        <v>1.9268757850625726</v>
      </c>
      <c r="DZ274" s="5"/>
      <c r="EA274" s="173">
        <f t="shared" si="673"/>
        <v>0.32559347522809962</v>
      </c>
      <c r="EB274" s="173">
        <f t="shared" si="699"/>
        <v>16.355999999999998</v>
      </c>
      <c r="EC274" s="173">
        <f t="shared" si="700"/>
        <v>3.7642690991483745</v>
      </c>
      <c r="ED274" s="173">
        <f t="shared" si="701"/>
        <v>4.3450666169696444</v>
      </c>
      <c r="EE274" s="460">
        <f t="shared" si="674"/>
        <v>80.933235270984753</v>
      </c>
      <c r="EF274" s="5">
        <f t="shared" si="675"/>
        <v>0.62088219740905093</v>
      </c>
      <c r="EH274" s="173">
        <f t="shared" si="702"/>
        <v>0.91940343674414882</v>
      </c>
      <c r="EI274" s="173">
        <f t="shared" si="703"/>
        <v>5.2928446743784567</v>
      </c>
      <c r="EK274" s="528">
        <f t="shared" si="704"/>
        <v>1.0312692689862814E-2</v>
      </c>
      <c r="EL274" s="528">
        <f t="shared" si="705"/>
        <v>1.0705513465499914</v>
      </c>
      <c r="EM274" s="528">
        <f t="shared" si="706"/>
        <v>4.3749999999999997E-2</v>
      </c>
      <c r="EN274" s="528">
        <f t="shared" si="707"/>
        <v>0.10510639999999997</v>
      </c>
      <c r="EO274">
        <f t="shared" si="708"/>
        <v>1.6199999999999999E-2</v>
      </c>
      <c r="EP274" s="460">
        <f t="shared" si="709"/>
        <v>59.949999999999996</v>
      </c>
      <c r="EQ274" s="460"/>
      <c r="ER274" s="460">
        <f t="shared" si="710"/>
        <v>1245.9204392398542</v>
      </c>
      <c r="ES274" s="528">
        <f t="shared" si="711"/>
        <v>2.4359999999999995</v>
      </c>
      <c r="EV274" s="460">
        <f t="shared" si="712"/>
        <v>2435.9999999999995</v>
      </c>
      <c r="EW274" s="528">
        <f t="shared" si="713"/>
        <v>2.5359080384908559E-2</v>
      </c>
      <c r="EX274" s="528">
        <f t="shared" si="714"/>
        <v>0.84042614241289171</v>
      </c>
      <c r="EY274" s="528">
        <f t="shared" si="715"/>
        <v>1.4909475790375006</v>
      </c>
      <c r="EZ274" s="528"/>
      <c r="FA274" s="528">
        <f t="shared" si="716"/>
        <v>6.8150000000000002E-2</v>
      </c>
      <c r="FB274" s="460">
        <f t="shared" si="717"/>
        <v>2424.8828018353011</v>
      </c>
      <c r="FC274" s="173">
        <f t="shared" si="718"/>
        <v>6.1068032410751547</v>
      </c>
      <c r="FD274" s="5">
        <f t="shared" si="719"/>
        <v>13.919999999999998</v>
      </c>
      <c r="FE274" s="173">
        <f t="shared" si="720"/>
        <v>0.69506849557746453</v>
      </c>
      <c r="FF274" s="5">
        <f t="shared" si="721"/>
        <v>69.506849557746449</v>
      </c>
      <c r="FI274" s="562">
        <f t="shared" si="676"/>
        <v>-50</v>
      </c>
      <c r="FJ274">
        <f t="shared" si="677"/>
        <v>-50</v>
      </c>
      <c r="FL274">
        <f t="shared" si="760"/>
        <v>0.62347686745806297</v>
      </c>
    </row>
    <row r="275" spans="5:168">
      <c r="E275" s="170">
        <v>59</v>
      </c>
      <c r="F275" s="217">
        <f t="shared" si="761"/>
        <v>3.54</v>
      </c>
      <c r="G275" s="217"/>
      <c r="H275" s="217">
        <f t="shared" si="726"/>
        <v>14.16</v>
      </c>
      <c r="I275" s="541">
        <f t="shared" si="727"/>
        <v>35.942904245318871</v>
      </c>
      <c r="J275" s="172">
        <f t="shared" si="728"/>
        <v>19.449430384998617</v>
      </c>
      <c r="K275" s="172">
        <f t="shared" si="729"/>
        <v>55.392334630317492</v>
      </c>
      <c r="L275" s="443"/>
      <c r="M275" s="217">
        <f t="shared" si="730"/>
        <v>0.35142706295031817</v>
      </c>
      <c r="N275" s="172">
        <f t="shared" si="731"/>
        <v>42.672773160067443</v>
      </c>
      <c r="O275" s="172">
        <f t="shared" si="762"/>
        <v>14.16</v>
      </c>
      <c r="P275" s="217">
        <f t="shared" si="732"/>
        <v>10.668193290016861</v>
      </c>
      <c r="Q275" s="217">
        <f t="shared" si="733"/>
        <v>4</v>
      </c>
      <c r="R275" s="217"/>
      <c r="S275" s="172">
        <f t="shared" si="734"/>
        <v>25.10259083187934</v>
      </c>
      <c r="T275" s="172">
        <f t="shared" si="735"/>
        <v>4</v>
      </c>
      <c r="U275" s="217">
        <f t="shared" si="736"/>
        <v>2.7290685424705212</v>
      </c>
      <c r="V275" s="217">
        <f t="shared" si="737"/>
        <v>0.91113456737184484</v>
      </c>
      <c r="W275" s="217">
        <f t="shared" si="738"/>
        <v>1.6837933996722847</v>
      </c>
      <c r="X275" s="197">
        <f t="shared" si="739"/>
        <v>350</v>
      </c>
      <c r="Y275" s="443">
        <f t="shared" si="680"/>
        <v>350</v>
      </c>
      <c r="AA275" s="217">
        <f t="shared" si="740"/>
        <v>3.0048382042969886</v>
      </c>
      <c r="AB275" s="173">
        <f t="shared" si="741"/>
        <v>1.8539390479720943</v>
      </c>
      <c r="AC275" s="173">
        <f t="shared" si="742"/>
        <v>3.8995508158491758</v>
      </c>
      <c r="AD275" s="173"/>
      <c r="AE275" s="173">
        <f t="shared" si="743"/>
        <v>0.82264620008310541</v>
      </c>
      <c r="AF275" s="545">
        <f t="shared" si="744"/>
        <v>1613.6949272553534</v>
      </c>
      <c r="AG275" s="528">
        <f t="shared" si="745"/>
        <v>0.76780312007756524</v>
      </c>
      <c r="AI275" s="173">
        <f t="shared" si="746"/>
        <v>2.8629609955864606</v>
      </c>
      <c r="AJ275" s="173">
        <f t="shared" si="747"/>
        <v>2.8629609955864606</v>
      </c>
      <c r="AK275" s="173">
        <f t="shared" si="748"/>
        <v>2.3330575275949088</v>
      </c>
      <c r="AM275" s="545">
        <f t="shared" si="749"/>
        <v>3540</v>
      </c>
      <c r="AN275" s="460">
        <f t="shared" si="750"/>
        <v>350</v>
      </c>
      <c r="AP275">
        <f t="shared" si="751"/>
        <v>3540</v>
      </c>
      <c r="AQ275">
        <f t="shared" si="752"/>
        <v>350</v>
      </c>
      <c r="AS275" s="5">
        <f t="shared" si="763"/>
        <v>2.8571428571428572</v>
      </c>
      <c r="AT275" s="5">
        <f t="shared" si="753"/>
        <v>0.95583628169145296</v>
      </c>
      <c r="AU275" s="5">
        <f t="shared" si="722"/>
        <v>1.9013065754514042</v>
      </c>
      <c r="AV275" s="5"/>
      <c r="AW275" s="173">
        <f t="shared" si="723"/>
        <v>0.33454269859200852</v>
      </c>
      <c r="AX275" s="173">
        <f t="shared" si="631"/>
        <v>17.212745890723777</v>
      </c>
      <c r="AY275" s="173">
        <f t="shared" si="632"/>
        <v>3.8103565963186048</v>
      </c>
      <c r="AZ275" s="173">
        <f t="shared" si="633"/>
        <v>4.5173582722819061</v>
      </c>
      <c r="BA275" s="460">
        <f t="shared" si="724"/>
        <v>84.591510929693598</v>
      </c>
      <c r="BB275" s="5">
        <f t="shared" si="725"/>
        <v>0.62419601480168396</v>
      </c>
      <c r="BD275" s="173">
        <f t="shared" si="681"/>
        <v>0.95604994726243986</v>
      </c>
      <c r="BE275" s="173">
        <f t="shared" si="682"/>
        <v>5.3935522776826161</v>
      </c>
      <c r="BG275" s="528">
        <f t="shared" si="683"/>
        <v>1.1151184320258271E-2</v>
      </c>
      <c r="BH275" s="528">
        <f t="shared" si="754"/>
        <v>1.0407212386007858</v>
      </c>
      <c r="BI275" s="528">
        <f t="shared" si="755"/>
        <v>0.31450041214654018</v>
      </c>
      <c r="BJ275" s="528">
        <f t="shared" si="684"/>
        <v>0.10739087575289749</v>
      </c>
      <c r="BK275">
        <f t="shared" si="685"/>
        <v>1.6174306910393493E-2</v>
      </c>
      <c r="BL275" s="460">
        <f t="shared" si="686"/>
        <v>330.67471905693367</v>
      </c>
      <c r="BM275" s="528">
        <f t="shared" si="756"/>
        <v>1.1653617693807101</v>
      </c>
      <c r="BN275" s="460">
        <f t="shared" si="687"/>
        <v>1165.36176938071</v>
      </c>
      <c r="BO275" s="528">
        <f t="shared" si="637"/>
        <v>2.4779999999999998</v>
      </c>
      <c r="BR275" s="460">
        <f t="shared" si="688"/>
        <v>2477.9999999999995</v>
      </c>
      <c r="BS275" s="528">
        <f t="shared" si="689"/>
        <v>2.7420945049815421E-2</v>
      </c>
      <c r="BT275" s="528">
        <f t="shared" si="690"/>
        <v>0.87271218516285998</v>
      </c>
      <c r="BU275" s="528">
        <f t="shared" si="691"/>
        <v>1.589200501788709</v>
      </c>
      <c r="BV275" s="528"/>
      <c r="BW275" s="528">
        <f t="shared" si="692"/>
        <v>7.1719774544682396E-2</v>
      </c>
      <c r="BX275" s="460">
        <f t="shared" si="693"/>
        <v>2561.053406546067</v>
      </c>
      <c r="BY275" s="173">
        <f t="shared" si="694"/>
        <v>6.528991424276942</v>
      </c>
      <c r="BZ275" s="5">
        <f t="shared" si="695"/>
        <v>14.16</v>
      </c>
      <c r="CA275" s="173">
        <f t="shared" si="696"/>
        <v>0.68442195705027598</v>
      </c>
      <c r="CB275" s="5">
        <f t="shared" si="697"/>
        <v>68.442195705027601</v>
      </c>
      <c r="CE275" s="562">
        <f t="shared" si="757"/>
        <v>-50</v>
      </c>
      <c r="CF275">
        <f t="shared" si="758"/>
        <v>-50</v>
      </c>
      <c r="CG275" s="173">
        <f t="shared" si="759"/>
        <v>0.65411167973131434</v>
      </c>
      <c r="CI275" s="170">
        <v>59</v>
      </c>
      <c r="CJ275" s="217">
        <f t="shared" si="698"/>
        <v>3.54</v>
      </c>
      <c r="CK275" s="217"/>
      <c r="CL275" s="217">
        <f t="shared" si="641"/>
        <v>14.16</v>
      </c>
      <c r="CM275" s="541">
        <f t="shared" si="642"/>
        <v>36</v>
      </c>
      <c r="CN275" s="443">
        <f t="shared" si="643"/>
        <v>18.8</v>
      </c>
      <c r="CO275" s="443">
        <f t="shared" si="644"/>
        <v>54.8</v>
      </c>
      <c r="CP275" s="443"/>
      <c r="CQ275" s="217">
        <f t="shared" si="645"/>
        <v>0.34306569343065696</v>
      </c>
      <c r="CR275" s="172">
        <f t="shared" si="646"/>
        <v>41.723649635036502</v>
      </c>
      <c r="CS275" s="172">
        <f t="shared" si="647"/>
        <v>14.16</v>
      </c>
      <c r="CT275" s="217">
        <f t="shared" si="648"/>
        <v>10.430912408759125</v>
      </c>
      <c r="CU275" s="217">
        <f t="shared" si="649"/>
        <v>4</v>
      </c>
      <c r="CV275" s="217"/>
      <c r="CW275" s="172">
        <f t="shared" si="650"/>
        <v>25.142093384181916</v>
      </c>
      <c r="CX275" s="172">
        <f t="shared" si="651"/>
        <v>4</v>
      </c>
      <c r="CY275" s="217">
        <f t="shared" si="652"/>
        <v>2.2930496453900706</v>
      </c>
      <c r="CZ275" s="217">
        <f t="shared" si="653"/>
        <v>0.76434988179669017</v>
      </c>
      <c r="DA275" s="217">
        <f t="shared" si="654"/>
        <v>1.4636487098234492</v>
      </c>
      <c r="DB275" s="197">
        <f t="shared" si="655"/>
        <v>350</v>
      </c>
      <c r="DC275" s="443">
        <f t="shared" si="656"/>
        <v>350</v>
      </c>
      <c r="DE275" s="217">
        <f t="shared" si="657"/>
        <v>2.940563086548488</v>
      </c>
      <c r="DF275" s="173">
        <f t="shared" si="658"/>
        <v>1.8769551616266944</v>
      </c>
      <c r="DG275" s="173">
        <f t="shared" si="659"/>
        <v>3.8635135443702762</v>
      </c>
      <c r="DH275" s="173"/>
      <c r="DI275" s="173">
        <f t="shared" si="660"/>
        <v>0.85106382978723416</v>
      </c>
      <c r="DJ275" s="545">
        <f t="shared" si="661"/>
        <v>1559.8124999999998</v>
      </c>
      <c r="DK275" s="528">
        <f t="shared" si="662"/>
        <v>0.79432624113475192</v>
      </c>
      <c r="DM275" s="173">
        <f t="shared" si="663"/>
        <v>2.814757030874449</v>
      </c>
      <c r="DN275" s="173">
        <f t="shared" si="664"/>
        <v>2.814757030874449</v>
      </c>
      <c r="DO275" s="173">
        <f t="shared" si="665"/>
        <v>2.297350887067493</v>
      </c>
      <c r="DQ275" s="545">
        <f t="shared" si="666"/>
        <v>3540</v>
      </c>
      <c r="DR275" s="460">
        <f t="shared" si="667"/>
        <v>350</v>
      </c>
      <c r="DT275">
        <f t="shared" si="668"/>
        <v>3540</v>
      </c>
      <c r="DU275">
        <f t="shared" si="669"/>
        <v>350</v>
      </c>
      <c r="DW275" s="5">
        <f t="shared" si="670"/>
        <v>2.8571428571428572</v>
      </c>
      <c r="DX275" s="5">
        <f t="shared" si="671"/>
        <v>0.93825234362481624</v>
      </c>
      <c r="DY275" s="5">
        <f t="shared" si="672"/>
        <v>1.918890513518041</v>
      </c>
      <c r="DZ275" s="5"/>
      <c r="EA275" s="173">
        <f t="shared" si="673"/>
        <v>0.3283883202686857</v>
      </c>
      <c r="EB275" s="173">
        <f t="shared" si="699"/>
        <v>16.638000000000002</v>
      </c>
      <c r="EC275" s="173">
        <f t="shared" si="700"/>
        <v>3.780847395082231</v>
      </c>
      <c r="ED275" s="173">
        <f t="shared" si="701"/>
        <v>4.4006007810950374</v>
      </c>
      <c r="EE275" s="460">
        <f t="shared" si="674"/>
        <v>83.035332410796229</v>
      </c>
      <c r="EF275" s="5">
        <f t="shared" si="675"/>
        <v>0.62896966831980217</v>
      </c>
      <c r="EH275" s="173">
        <f t="shared" si="702"/>
        <v>0.93126683409779965</v>
      </c>
      <c r="EI275" s="173">
        <f t="shared" si="703"/>
        <v>5.3272048425595084</v>
      </c>
      <c r="EK275" s="528">
        <f t="shared" si="704"/>
        <v>1.0580546578744571E-2</v>
      </c>
      <c r="EL275" s="528">
        <f t="shared" si="705"/>
        <v>1.0797407970434387</v>
      </c>
      <c r="EM275" s="528">
        <f t="shared" si="706"/>
        <v>4.3749999999999997E-2</v>
      </c>
      <c r="EN275" s="528">
        <f t="shared" si="707"/>
        <v>0.10510639999999997</v>
      </c>
      <c r="EO275">
        <f t="shared" si="708"/>
        <v>1.6199999999999999E-2</v>
      </c>
      <c r="EP275" s="460">
        <f t="shared" si="709"/>
        <v>59.949999999999996</v>
      </c>
      <c r="EQ275" s="460"/>
      <c r="ER275" s="460">
        <f t="shared" si="710"/>
        <v>1255.3777436221831</v>
      </c>
      <c r="ES275" s="528">
        <f t="shared" si="711"/>
        <v>2.4779999999999998</v>
      </c>
      <c r="EV275" s="460">
        <f t="shared" si="712"/>
        <v>2477.9999999999995</v>
      </c>
      <c r="EW275" s="528">
        <f t="shared" si="713"/>
        <v>2.601773748871616E-2</v>
      </c>
      <c r="EX275" s="528">
        <f t="shared" si="714"/>
        <v>0.85137334303768419</v>
      </c>
      <c r="EY275" s="528">
        <f t="shared" si="715"/>
        <v>1.5231490247575883</v>
      </c>
      <c r="EZ275" s="528"/>
      <c r="FA275" s="528">
        <f t="shared" si="716"/>
        <v>6.9325000000000012E-2</v>
      </c>
      <c r="FB275" s="460">
        <f t="shared" si="717"/>
        <v>2469.8651052839887</v>
      </c>
      <c r="FC275" s="173">
        <f t="shared" si="718"/>
        <v>6.2032428489061715</v>
      </c>
      <c r="FD275" s="5">
        <f t="shared" si="719"/>
        <v>14.16</v>
      </c>
      <c r="FE275" s="173">
        <f t="shared" si="720"/>
        <v>0.69537058046531208</v>
      </c>
      <c r="FF275" s="5">
        <f t="shared" si="721"/>
        <v>69.537058046531214</v>
      </c>
      <c r="FI275" s="562">
        <f t="shared" si="676"/>
        <v>-50</v>
      </c>
      <c r="FJ275">
        <f t="shared" si="677"/>
        <v>-50</v>
      </c>
      <c r="FL275">
        <f t="shared" si="760"/>
        <v>0.62882869838684508</v>
      </c>
    </row>
    <row r="276" spans="5:168">
      <c r="E276" s="170">
        <v>60</v>
      </c>
      <c r="F276" s="217">
        <f t="shared" si="761"/>
        <v>3.5999999999999996</v>
      </c>
      <c r="G276" s="217"/>
      <c r="H276" s="217">
        <f t="shared" si="726"/>
        <v>14.399999999999999</v>
      </c>
      <c r="I276" s="541">
        <f t="shared" si="727"/>
        <v>35.941689477933572</v>
      </c>
      <c r="J276" s="172">
        <f t="shared" si="728"/>
        <v>19.463247644357502</v>
      </c>
      <c r="K276" s="172">
        <f t="shared" si="729"/>
        <v>55.404937122291074</v>
      </c>
      <c r="L276" s="443"/>
      <c r="M276" s="217">
        <f t="shared" si="730"/>
        <v>0.35150147863165826</v>
      </c>
      <c r="N276" s="172">
        <f t="shared" si="731"/>
        <v>42.68036671819916</v>
      </c>
      <c r="O276" s="172">
        <f t="shared" si="762"/>
        <v>14.399999999999999</v>
      </c>
      <c r="P276" s="217">
        <f t="shared" si="732"/>
        <v>10.67009167954979</v>
      </c>
      <c r="Q276" s="217">
        <f t="shared" si="733"/>
        <v>4</v>
      </c>
      <c r="R276" s="217"/>
      <c r="S276" s="172">
        <f t="shared" si="734"/>
        <v>24.54308875856136</v>
      </c>
      <c r="T276" s="172">
        <f t="shared" si="735"/>
        <v>4</v>
      </c>
      <c r="U276" s="217">
        <f t="shared" si="736"/>
        <v>2.7756424119548839</v>
      </c>
      <c r="V276" s="217">
        <f t="shared" si="737"/>
        <v>0.92671517191499597</v>
      </c>
      <c r="W276" s="217">
        <f t="shared" si="738"/>
        <v>1.7113130116861401</v>
      </c>
      <c r="X276" s="197">
        <f t="shared" si="739"/>
        <v>350</v>
      </c>
      <c r="Y276" s="443">
        <f t="shared" si="680"/>
        <v>350</v>
      </c>
      <c r="AA276" s="217">
        <f t="shared" si="740"/>
        <v>3.0061873260481922</v>
      </c>
      <c r="AB276" s="173">
        <f t="shared" si="741"/>
        <v>1.8534547045665535</v>
      </c>
      <c r="AC276" s="173">
        <f t="shared" si="742"/>
        <v>3.9002824295906584</v>
      </c>
      <c r="AD276" s="173"/>
      <c r="AE276" s="173">
        <f t="shared" si="743"/>
        <v>0.82206219087175247</v>
      </c>
      <c r="AF276" s="545">
        <f t="shared" si="744"/>
        <v>1642.2115199926636</v>
      </c>
      <c r="AG276" s="528">
        <f t="shared" si="745"/>
        <v>0.76725804481363569</v>
      </c>
      <c r="AI276" s="173">
        <f t="shared" si="746"/>
        <v>2.8881467842860387</v>
      </c>
      <c r="AJ276" s="173">
        <f t="shared" si="747"/>
        <v>2.8881467842860387</v>
      </c>
      <c r="AK276" s="173">
        <f t="shared" si="748"/>
        <v>2.351713667372374</v>
      </c>
      <c r="AM276" s="545">
        <f t="shared" si="749"/>
        <v>3599.9999999999995</v>
      </c>
      <c r="AN276" s="460">
        <f t="shared" si="750"/>
        <v>350</v>
      </c>
      <c r="AP276">
        <f t="shared" si="751"/>
        <v>3599.9999999999995</v>
      </c>
      <c r="AQ276">
        <f t="shared" si="752"/>
        <v>350</v>
      </c>
      <c r="AS276" s="5">
        <f t="shared" si="763"/>
        <v>2.8571428571428572</v>
      </c>
      <c r="AT276" s="5">
        <f t="shared" si="753"/>
        <v>0.96427747039299916</v>
      </c>
      <c r="AU276" s="5">
        <f t="shared" si="722"/>
        <v>1.8928653867498579</v>
      </c>
      <c r="AV276" s="5"/>
      <c r="AW276" s="173">
        <f t="shared" si="723"/>
        <v>0.33749711463754972</v>
      </c>
      <c r="AX276" s="173">
        <f t="shared" si="631"/>
        <v>17.516922879921751</v>
      </c>
      <c r="AY276" s="173">
        <f t="shared" si="632"/>
        <v>3.8268111558795659</v>
      </c>
      <c r="AZ276" s="173">
        <f t="shared" si="633"/>
        <v>4.577420250541631</v>
      </c>
      <c r="BA276" s="460">
        <f t="shared" si="724"/>
        <v>86.784972335369915</v>
      </c>
      <c r="BB276" s="5">
        <f t="shared" si="725"/>
        <v>0.63197876813620024</v>
      </c>
      <c r="BD276" s="173">
        <f t="shared" si="681"/>
        <v>0.96870973991525322</v>
      </c>
      <c r="BE276" s="173">
        <f t="shared" si="682"/>
        <v>5.42890838233581</v>
      </c>
      <c r="BG276" s="528">
        <f t="shared" si="683"/>
        <v>1.1448462434521465E-2</v>
      </c>
      <c r="BH276" s="528">
        <f t="shared" si="754"/>
        <v>1.0501154408280056</v>
      </c>
      <c r="BI276" s="528">
        <f t="shared" si="755"/>
        <v>0.3144897829319187</v>
      </c>
      <c r="BJ276" s="528">
        <f t="shared" si="684"/>
        <v>0.10743974701337594</v>
      </c>
      <c r="BK276">
        <f t="shared" si="685"/>
        <v>1.6173760265070107E-2</v>
      </c>
      <c r="BL276" s="460">
        <f t="shared" si="686"/>
        <v>330.66354319698883</v>
      </c>
      <c r="BM276" s="528">
        <f t="shared" si="756"/>
        <v>1.1752917103730283</v>
      </c>
      <c r="BN276" s="460">
        <f t="shared" si="687"/>
        <v>1175.2917103730283</v>
      </c>
      <c r="BO276" s="528">
        <f t="shared" si="637"/>
        <v>2.5199999999999996</v>
      </c>
      <c r="BR276" s="460">
        <f t="shared" si="688"/>
        <v>2519.9999999999995</v>
      </c>
      <c r="BS276" s="528">
        <f t="shared" si="689"/>
        <v>2.8151956806200324E-2</v>
      </c>
      <c r="BT276" s="528">
        <f t="shared" si="690"/>
        <v>0.88419138671388064</v>
      </c>
      <c r="BU276" s="528">
        <f t="shared" si="691"/>
        <v>1.6243823772519281</v>
      </c>
      <c r="BV276" s="528"/>
      <c r="BW276" s="528">
        <f t="shared" si="692"/>
        <v>7.2987178666340635E-2</v>
      </c>
      <c r="BX276" s="460">
        <f t="shared" si="693"/>
        <v>2609.7128994383497</v>
      </c>
      <c r="BY276" s="173">
        <f t="shared" si="694"/>
        <v>6.6293800929112416</v>
      </c>
      <c r="BZ276" s="5">
        <f t="shared" si="695"/>
        <v>14.399999999999999</v>
      </c>
      <c r="CA276" s="173">
        <f t="shared" si="696"/>
        <v>0.68475627604705624</v>
      </c>
      <c r="CB276" s="5">
        <f t="shared" si="697"/>
        <v>68.475627604705622</v>
      </c>
      <c r="CE276" s="562">
        <f t="shared" si="757"/>
        <v>-50</v>
      </c>
      <c r="CF276">
        <f t="shared" si="758"/>
        <v>-50</v>
      </c>
      <c r="CG276" s="173">
        <f t="shared" si="759"/>
        <v>0.65134042114613888</v>
      </c>
      <c r="CI276" s="170">
        <v>60</v>
      </c>
      <c r="CJ276" s="217">
        <f t="shared" si="698"/>
        <v>3.5999999999999996</v>
      </c>
      <c r="CK276" s="217"/>
      <c r="CL276" s="217">
        <f t="shared" si="641"/>
        <v>14.399999999999999</v>
      </c>
      <c r="CM276" s="541">
        <f t="shared" si="642"/>
        <v>36</v>
      </c>
      <c r="CN276" s="443">
        <f t="shared" si="643"/>
        <v>18.8</v>
      </c>
      <c r="CO276" s="443">
        <f t="shared" si="644"/>
        <v>54.8</v>
      </c>
      <c r="CP276" s="443"/>
      <c r="CQ276" s="217">
        <f t="shared" si="645"/>
        <v>0.34306569343065696</v>
      </c>
      <c r="CR276" s="172">
        <f t="shared" si="646"/>
        <v>41.723649635036502</v>
      </c>
      <c r="CS276" s="172">
        <f t="shared" si="647"/>
        <v>14.399999999999999</v>
      </c>
      <c r="CT276" s="217">
        <f t="shared" si="648"/>
        <v>10.430912408759125</v>
      </c>
      <c r="CU276" s="217">
        <f t="shared" si="649"/>
        <v>4</v>
      </c>
      <c r="CV276" s="217"/>
      <c r="CW276" s="172">
        <f t="shared" si="650"/>
        <v>24.582517380365481</v>
      </c>
      <c r="CX276" s="172">
        <f t="shared" si="651"/>
        <v>4</v>
      </c>
      <c r="CY276" s="217">
        <f t="shared" si="652"/>
        <v>2.3319148936170206</v>
      </c>
      <c r="CZ276" s="217">
        <f t="shared" si="653"/>
        <v>0.77730496453900699</v>
      </c>
      <c r="DA276" s="217">
        <f t="shared" si="654"/>
        <v>1.4884563150746939</v>
      </c>
      <c r="DB276" s="197">
        <f t="shared" si="655"/>
        <v>350</v>
      </c>
      <c r="DC276" s="443">
        <f t="shared" si="656"/>
        <v>350</v>
      </c>
      <c r="DE276" s="217">
        <f t="shared" si="657"/>
        <v>2.940563086548488</v>
      </c>
      <c r="DF276" s="173">
        <f t="shared" si="658"/>
        <v>1.8769551616266944</v>
      </c>
      <c r="DG276" s="173">
        <f t="shared" si="659"/>
        <v>3.8635135443702762</v>
      </c>
      <c r="DH276" s="173"/>
      <c r="DI276" s="173">
        <f t="shared" si="660"/>
        <v>0.85106382978723416</v>
      </c>
      <c r="DJ276" s="545">
        <f t="shared" si="661"/>
        <v>1586.2499999999995</v>
      </c>
      <c r="DK276" s="528">
        <f t="shared" si="662"/>
        <v>0.79432624113475192</v>
      </c>
      <c r="DM276" s="173">
        <f t="shared" si="663"/>
        <v>2.8385106758902383</v>
      </c>
      <c r="DN276" s="173">
        <f t="shared" si="664"/>
        <v>2.8385106758902383</v>
      </c>
      <c r="DO276" s="173">
        <f t="shared" si="665"/>
        <v>2.3149461796717814</v>
      </c>
      <c r="DQ276" s="545">
        <f t="shared" si="666"/>
        <v>3599.9999999999995</v>
      </c>
      <c r="DR276" s="460">
        <f t="shared" si="667"/>
        <v>350</v>
      </c>
      <c r="DT276">
        <f t="shared" si="668"/>
        <v>3599.9999999999995</v>
      </c>
      <c r="DU276">
        <f t="shared" si="669"/>
        <v>350</v>
      </c>
      <c r="DW276" s="5">
        <f t="shared" si="670"/>
        <v>2.8571428571428572</v>
      </c>
      <c r="DX276" s="5">
        <f t="shared" si="671"/>
        <v>0.94617022529674621</v>
      </c>
      <c r="DY276" s="5">
        <f t="shared" si="672"/>
        <v>1.9109726318461111</v>
      </c>
      <c r="DZ276" s="5"/>
      <c r="EA276" s="173">
        <f t="shared" si="673"/>
        <v>0.33115957885386116</v>
      </c>
      <c r="EB276" s="173">
        <f t="shared" si="699"/>
        <v>16.920000000000002</v>
      </c>
      <c r="EC276" s="173">
        <f t="shared" si="700"/>
        <v>3.7970213517804763</v>
      </c>
      <c r="ED276" s="173">
        <f t="shared" si="701"/>
        <v>4.456124533528361</v>
      </c>
      <c r="EE276" s="460">
        <f t="shared" si="674"/>
        <v>85.155320276707144</v>
      </c>
      <c r="EF276" s="5">
        <f t="shared" si="675"/>
        <v>0.63699087728203685</v>
      </c>
      <c r="EH276" s="173">
        <f t="shared" si="702"/>
        <v>0.94308006647311837</v>
      </c>
      <c r="EI276" s="173">
        <f t="shared" si="703"/>
        <v>5.3610659745022273</v>
      </c>
      <c r="EK276" s="528">
        <f t="shared" si="704"/>
        <v>1.0850680143703084E-2</v>
      </c>
      <c r="EL276" s="528">
        <f t="shared" si="705"/>
        <v>1.0888526952714952</v>
      </c>
      <c r="EM276" s="528">
        <f t="shared" si="706"/>
        <v>4.3749999999999997E-2</v>
      </c>
      <c r="EN276" s="528">
        <f t="shared" si="707"/>
        <v>0.10510639999999997</v>
      </c>
      <c r="EO276">
        <f t="shared" si="708"/>
        <v>1.6199999999999999E-2</v>
      </c>
      <c r="EP276" s="460">
        <f t="shared" si="709"/>
        <v>59.949999999999996</v>
      </c>
      <c r="EQ276" s="460"/>
      <c r="ER276" s="460">
        <f t="shared" si="710"/>
        <v>1264.7597754151982</v>
      </c>
      <c r="ES276" s="528">
        <f t="shared" si="711"/>
        <v>2.5199999999999996</v>
      </c>
      <c r="EV276" s="460">
        <f t="shared" si="712"/>
        <v>2519.9999999999995</v>
      </c>
      <c r="EW276" s="528">
        <f t="shared" si="713"/>
        <v>2.6682000353368238E-2</v>
      </c>
      <c r="EX276" s="528">
        <f t="shared" si="714"/>
        <v>0.8622308514889655</v>
      </c>
      <c r="EY276" s="528">
        <f t="shared" si="715"/>
        <v>1.5554872125137011</v>
      </c>
      <c r="EZ276" s="528"/>
      <c r="FA276" s="528">
        <f t="shared" si="716"/>
        <v>7.0500000000000007E-2</v>
      </c>
      <c r="FB276" s="460">
        <f t="shared" si="717"/>
        <v>2514.9000643560353</v>
      </c>
      <c r="FC276" s="173">
        <f t="shared" si="718"/>
        <v>6.2996598397712331</v>
      </c>
      <c r="FD276" s="5">
        <f t="shared" si="719"/>
        <v>14.399999999999999</v>
      </c>
      <c r="FE276" s="173">
        <f t="shared" si="720"/>
        <v>0.69566360565658181</v>
      </c>
      <c r="FF276" s="5">
        <f t="shared" si="721"/>
        <v>69.566360565658186</v>
      </c>
      <c r="FI276" s="562">
        <f t="shared" si="676"/>
        <v>-50</v>
      </c>
      <c r="FJ276">
        <f t="shared" si="677"/>
        <v>-50</v>
      </c>
      <c r="FL276">
        <f t="shared" si="760"/>
        <v>0.63413536376271273</v>
      </c>
    </row>
    <row r="277" spans="5:168">
      <c r="E277" s="170">
        <v>61</v>
      </c>
      <c r="F277" s="217">
        <f t="shared" si="761"/>
        <v>3.66</v>
      </c>
      <c r="G277" s="217"/>
      <c r="H277" s="217">
        <f t="shared" si="726"/>
        <v>14.64</v>
      </c>
      <c r="I277" s="541">
        <f t="shared" si="727"/>
        <v>35.940466440581417</v>
      </c>
      <c r="J277" s="172">
        <f t="shared" si="728"/>
        <v>19.47715896969002</v>
      </c>
      <c r="K277" s="172">
        <f t="shared" si="729"/>
        <v>55.417625410271441</v>
      </c>
      <c r="L277" s="443"/>
      <c r="M277" s="217">
        <f t="shared" si="730"/>
        <v>0.35157538123076754</v>
      </c>
      <c r="N277" s="172">
        <f t="shared" si="731"/>
        <v>42.687887545100722</v>
      </c>
      <c r="O277" s="172">
        <f t="shared" si="762"/>
        <v>14.64</v>
      </c>
      <c r="P277" s="217">
        <f t="shared" si="732"/>
        <v>10.67197188627518</v>
      </c>
      <c r="Q277" s="217">
        <f t="shared" si="733"/>
        <v>4</v>
      </c>
      <c r="R277" s="217"/>
      <c r="S277" s="172">
        <f t="shared" si="734"/>
        <v>24.002165248386749</v>
      </c>
      <c r="T277" s="172">
        <f t="shared" si="735"/>
        <v>4</v>
      </c>
      <c r="U277" s="217">
        <f t="shared" si="736"/>
        <v>2.822224738279528</v>
      </c>
      <c r="V277" s="217">
        <f t="shared" si="737"/>
        <v>0.94229987012952265</v>
      </c>
      <c r="W277" s="217">
        <f t="shared" si="738"/>
        <v>1.7387903909423874</v>
      </c>
      <c r="X277" s="197">
        <f t="shared" si="739"/>
        <v>350</v>
      </c>
      <c r="Y277" s="443">
        <f t="shared" si="680"/>
        <v>347.09082652202289</v>
      </c>
      <c r="AA277" s="217">
        <f t="shared" si="740"/>
        <v>3.0075448668421201</v>
      </c>
      <c r="AB277" s="173">
        <f t="shared" si="741"/>
        <v>1.8529672863618785</v>
      </c>
      <c r="AC277" s="173">
        <f t="shared" si="742"/>
        <v>3.9010175753668284</v>
      </c>
      <c r="AD277" s="173"/>
      <c r="AE277" s="173">
        <f t="shared" si="743"/>
        <v>0.82147504288992534</v>
      </c>
      <c r="AF277" s="545">
        <f t="shared" si="744"/>
        <v>1670.7750428687216</v>
      </c>
      <c r="AG277" s="528">
        <f t="shared" si="745"/>
        <v>0.76671004003059706</v>
      </c>
      <c r="AI277" s="173">
        <f t="shared" si="746"/>
        <v>2.9131557473334793</v>
      </c>
      <c r="AJ277" s="173">
        <f t="shared" si="747"/>
        <v>2.9131557473334793</v>
      </c>
      <c r="AK277" s="173">
        <f t="shared" si="748"/>
        <v>2.3702388251852931</v>
      </c>
      <c r="AM277" s="545">
        <f t="shared" si="749"/>
        <v>3660</v>
      </c>
      <c r="AN277" s="460">
        <f t="shared" si="750"/>
        <v>347.09082652202289</v>
      </c>
      <c r="AP277">
        <f t="shared" si="751"/>
        <v>3660</v>
      </c>
      <c r="AQ277">
        <f t="shared" si="752"/>
        <v>347.09082652202289</v>
      </c>
      <c r="AS277" s="5">
        <f t="shared" si="763"/>
        <v>2.8810902610719098</v>
      </c>
      <c r="AT277" s="5">
        <f t="shared" si="753"/>
        <v>0.97266041401537895</v>
      </c>
      <c r="AU277" s="5">
        <f t="shared" si="722"/>
        <v>1.9084298470565308</v>
      </c>
      <c r="AV277" s="5"/>
      <c r="AW277" s="173">
        <f t="shared" si="723"/>
        <v>0.3376015070258509</v>
      </c>
      <c r="AX277" s="173">
        <f t="shared" si="631"/>
        <v>17.673468664736703</v>
      </c>
      <c r="AY277" s="173">
        <f t="shared" si="632"/>
        <v>3.8593399536653554</v>
      </c>
      <c r="AZ277" s="173">
        <f t="shared" si="633"/>
        <v>4.5794018865717092</v>
      </c>
      <c r="BA277" s="460">
        <f t="shared" si="724"/>
        <v>88.998427882407185</v>
      </c>
      <c r="BB277" s="5">
        <f t="shared" si="725"/>
        <v>0.64781697178532838</v>
      </c>
      <c r="BD277" s="173">
        <f t="shared" si="681"/>
        <v>0.97724906834697722</v>
      </c>
      <c r="BE277" s="173">
        <f t="shared" si="682"/>
        <v>5.4754867952682718</v>
      </c>
      <c r="BG277" s="528">
        <f t="shared" si="683"/>
        <v>1.1651192047337427E-2</v>
      </c>
      <c r="BH277" s="528">
        <f t="shared" si="754"/>
        <v>1.050645064054516</v>
      </c>
      <c r="BI277" s="528">
        <f t="shared" si="755"/>
        <v>0.31186515506121076</v>
      </c>
      <c r="BJ277" s="528">
        <f t="shared" si="684"/>
        <v>0.10659552210525174</v>
      </c>
      <c r="BK277">
        <f t="shared" si="685"/>
        <v>1.6173209898261636E-2</v>
      </c>
      <c r="BL277" s="460">
        <f t="shared" si="686"/>
        <v>328.0383649594724</v>
      </c>
      <c r="BM277" s="528">
        <f t="shared" si="756"/>
        <v>1.1752911859524986</v>
      </c>
      <c r="BN277" s="460">
        <f t="shared" si="687"/>
        <v>1175.2911859524986</v>
      </c>
      <c r="BO277" s="528">
        <f t="shared" si="637"/>
        <v>2.5619999999999998</v>
      </c>
      <c r="BR277" s="460">
        <f t="shared" si="688"/>
        <v>2562</v>
      </c>
      <c r="BS277" s="528">
        <f t="shared" si="689"/>
        <v>2.8650472247551049E-2</v>
      </c>
      <c r="BT277" s="528">
        <f t="shared" si="690"/>
        <v>0.89942866935471621</v>
      </c>
      <c r="BU277" s="528">
        <f t="shared" si="691"/>
        <v>1.6255004857623339</v>
      </c>
      <c r="BV277" s="528"/>
      <c r="BW277" s="528">
        <f t="shared" si="692"/>
        <v>7.3639452769736269E-2</v>
      </c>
      <c r="BX277" s="460">
        <f t="shared" si="693"/>
        <v>2627.2190801343377</v>
      </c>
      <c r="BY277" s="173">
        <f t="shared" si="694"/>
        <v>6.686149223300915</v>
      </c>
      <c r="BZ277" s="5">
        <f t="shared" si="695"/>
        <v>14.64</v>
      </c>
      <c r="CA277" s="173">
        <f t="shared" si="696"/>
        <v>0.68648117607675563</v>
      </c>
      <c r="CB277" s="5">
        <f t="shared" si="697"/>
        <v>68.648117607675559</v>
      </c>
      <c r="CE277" s="562">
        <f t="shared" si="757"/>
        <v>-50</v>
      </c>
      <c r="CF277">
        <f t="shared" si="758"/>
        <v>-50</v>
      </c>
      <c r="CG277" s="173">
        <f t="shared" si="759"/>
        <v>0.64859216175051471</v>
      </c>
      <c r="CI277" s="170">
        <v>61</v>
      </c>
      <c r="CJ277" s="217">
        <f t="shared" si="698"/>
        <v>3.66</v>
      </c>
      <c r="CK277" s="217"/>
      <c r="CL277" s="217">
        <f t="shared" si="641"/>
        <v>14.64</v>
      </c>
      <c r="CM277" s="541">
        <f t="shared" si="642"/>
        <v>36</v>
      </c>
      <c r="CN277" s="443">
        <f t="shared" si="643"/>
        <v>18.8</v>
      </c>
      <c r="CO277" s="443">
        <f t="shared" si="644"/>
        <v>54.8</v>
      </c>
      <c r="CP277" s="443"/>
      <c r="CQ277" s="217">
        <f t="shared" si="645"/>
        <v>0.34306569343065696</v>
      </c>
      <c r="CR277" s="172">
        <f t="shared" si="646"/>
        <v>41.723649635036502</v>
      </c>
      <c r="CS277" s="172">
        <f t="shared" si="647"/>
        <v>14.64</v>
      </c>
      <c r="CT277" s="217">
        <f t="shared" si="648"/>
        <v>10.430912408759125</v>
      </c>
      <c r="CU277" s="217">
        <f t="shared" si="649"/>
        <v>4</v>
      </c>
      <c r="CV277" s="217"/>
      <c r="CW277" s="172">
        <f t="shared" si="650"/>
        <v>24.041517965238082</v>
      </c>
      <c r="CX277" s="172">
        <f t="shared" si="651"/>
        <v>4</v>
      </c>
      <c r="CY277" s="217">
        <f t="shared" si="652"/>
        <v>2.3707801418439716</v>
      </c>
      <c r="CZ277" s="217">
        <f t="shared" si="653"/>
        <v>0.79026004728132393</v>
      </c>
      <c r="DA277" s="217">
        <f t="shared" si="654"/>
        <v>1.5132639203259393</v>
      </c>
      <c r="DB277" s="197">
        <f t="shared" si="655"/>
        <v>350</v>
      </c>
      <c r="DC277" s="443">
        <f t="shared" si="656"/>
        <v>350</v>
      </c>
      <c r="DE277" s="217">
        <f t="shared" si="657"/>
        <v>2.940563086548488</v>
      </c>
      <c r="DF277" s="173">
        <f t="shared" si="658"/>
        <v>1.8769551616266944</v>
      </c>
      <c r="DG277" s="173">
        <f t="shared" si="659"/>
        <v>3.8635135443702762</v>
      </c>
      <c r="DH277" s="173"/>
      <c r="DI277" s="173">
        <f t="shared" si="660"/>
        <v>0.85106382978723416</v>
      </c>
      <c r="DJ277" s="545">
        <f t="shared" si="661"/>
        <v>1612.6874999999998</v>
      </c>
      <c r="DK277" s="528">
        <f t="shared" si="662"/>
        <v>0.79432624113475192</v>
      </c>
      <c r="DM277" s="173">
        <f t="shared" si="663"/>
        <v>2.8620671849955883</v>
      </c>
      <c r="DN277" s="173">
        <f t="shared" si="664"/>
        <v>2.8620671849955883</v>
      </c>
      <c r="DO277" s="173">
        <f t="shared" si="665"/>
        <v>2.3323954456757443</v>
      </c>
      <c r="DQ277" s="545">
        <f t="shared" si="666"/>
        <v>3660</v>
      </c>
      <c r="DR277" s="460">
        <f t="shared" si="667"/>
        <v>350</v>
      </c>
      <c r="DT277">
        <f t="shared" si="668"/>
        <v>3660</v>
      </c>
      <c r="DU277">
        <f t="shared" si="669"/>
        <v>350</v>
      </c>
      <c r="DW277" s="5">
        <f t="shared" si="670"/>
        <v>2.8571428571428572</v>
      </c>
      <c r="DX277" s="5">
        <f t="shared" si="671"/>
        <v>0.95402239499852948</v>
      </c>
      <c r="DY277" s="5">
        <f t="shared" si="672"/>
        <v>1.9031204621443276</v>
      </c>
      <c r="DZ277" s="5"/>
      <c r="EA277" s="173">
        <f t="shared" si="673"/>
        <v>0.33390783824948533</v>
      </c>
      <c r="EB277" s="173">
        <f t="shared" si="699"/>
        <v>17.201999999999998</v>
      </c>
      <c r="EC277" s="173">
        <f t="shared" si="700"/>
        <v>3.8128010366578433</v>
      </c>
      <c r="ED277" s="173">
        <f t="shared" si="701"/>
        <v>4.5116437586469544</v>
      </c>
      <c r="EE277" s="460">
        <f t="shared" si="674"/>
        <v>87.293049142365447</v>
      </c>
      <c r="EF277" s="5">
        <f t="shared" si="675"/>
        <v>0.64494637883779982</v>
      </c>
      <c r="EH277" s="173">
        <f t="shared" si="702"/>
        <v>0.9548441768967304</v>
      </c>
      <c r="EI277" s="173">
        <f t="shared" si="703"/>
        <v>5.3944397867768927</v>
      </c>
      <c r="EK277" s="528">
        <f t="shared" si="704"/>
        <v>1.1123074306273854E-2</v>
      </c>
      <c r="EL277" s="528">
        <f t="shared" si="705"/>
        <v>1.0978889721643077</v>
      </c>
      <c r="EM277" s="528">
        <f t="shared" si="706"/>
        <v>4.3749999999999997E-2</v>
      </c>
      <c r="EN277" s="528">
        <f t="shared" si="707"/>
        <v>0.10510639999999997</v>
      </c>
      <c r="EO277">
        <f t="shared" si="708"/>
        <v>1.6199999999999999E-2</v>
      </c>
      <c r="EP277" s="460">
        <f t="shared" si="709"/>
        <v>59.949999999999996</v>
      </c>
      <c r="EQ277" s="460"/>
      <c r="ER277" s="460">
        <f t="shared" si="710"/>
        <v>1274.0684464705814</v>
      </c>
      <c r="ES277" s="528">
        <f t="shared" si="711"/>
        <v>2.5619999999999998</v>
      </c>
      <c r="EV277" s="460">
        <f t="shared" si="712"/>
        <v>2562</v>
      </c>
      <c r="EW277" s="528">
        <f t="shared" si="713"/>
        <v>2.7351822064607838E-2</v>
      </c>
      <c r="EX277" s="528">
        <f t="shared" si="714"/>
        <v>0.87299941839484574</v>
      </c>
      <c r="EY277" s="528">
        <f t="shared" si="715"/>
        <v>1.587960429304168</v>
      </c>
      <c r="EZ277" s="528"/>
      <c r="FA277" s="528">
        <f t="shared" si="716"/>
        <v>7.1674999999999989E-2</v>
      </c>
      <c r="FB277" s="460">
        <f t="shared" si="717"/>
        <v>2559.9866697636216</v>
      </c>
      <c r="FC277" s="173">
        <f t="shared" si="718"/>
        <v>6.3960551162342032</v>
      </c>
      <c r="FD277" s="5">
        <f t="shared" si="719"/>
        <v>14.64</v>
      </c>
      <c r="FE277" s="173">
        <f t="shared" si="720"/>
        <v>0.69594797689524213</v>
      </c>
      <c r="FF277" s="5">
        <f t="shared" si="721"/>
        <v>69.594797689524214</v>
      </c>
      <c r="FI277" s="562">
        <f t="shared" si="676"/>
        <v>-50</v>
      </c>
      <c r="FJ277">
        <f t="shared" si="677"/>
        <v>-50</v>
      </c>
      <c r="FL277">
        <f t="shared" si="760"/>
        <v>0.6393979881373123</v>
      </c>
    </row>
    <row r="278" spans="5:168">
      <c r="E278" s="170">
        <v>62</v>
      </c>
      <c r="F278" s="217">
        <f t="shared" si="761"/>
        <v>3.7199999999999998</v>
      </c>
      <c r="G278" s="217"/>
      <c r="H278" s="217">
        <f t="shared" si="726"/>
        <v>14.879999999999999</v>
      </c>
      <c r="I278" s="541">
        <f t="shared" si="727"/>
        <v>35.939235105352836</v>
      </c>
      <c r="J278" s="172">
        <f t="shared" si="728"/>
        <v>19.491164678451149</v>
      </c>
      <c r="K278" s="172">
        <f t="shared" si="729"/>
        <v>55.430399783803985</v>
      </c>
      <c r="L278" s="443"/>
      <c r="M278" s="217">
        <f t="shared" si="730"/>
        <v>0.35164878482351242</v>
      </c>
      <c r="N278" s="172">
        <f t="shared" si="731"/>
        <v>42.69533731679892</v>
      </c>
      <c r="O278" s="172">
        <f t="shared" si="762"/>
        <v>14.879999999999999</v>
      </c>
      <c r="P278" s="217">
        <f t="shared" si="732"/>
        <v>10.67383432919973</v>
      </c>
      <c r="Q278" s="217">
        <f t="shared" si="733"/>
        <v>4</v>
      </c>
      <c r="R278" s="217"/>
      <c r="S278" s="172">
        <f t="shared" si="734"/>
        <v>23.478924604778754</v>
      </c>
      <c r="T278" s="172">
        <f t="shared" si="735"/>
        <v>4</v>
      </c>
      <c r="U278" s="217">
        <f t="shared" si="736"/>
        <v>2.8688154760282045</v>
      </c>
      <c r="V278" s="217">
        <f t="shared" si="737"/>
        <v>0.95788865877145613</v>
      </c>
      <c r="W278" s="217">
        <f t="shared" si="738"/>
        <v>1.7662251733165324</v>
      </c>
      <c r="X278" s="197">
        <f t="shared" si="739"/>
        <v>350</v>
      </c>
      <c r="Y278" s="443">
        <f t="shared" si="680"/>
        <v>341.98395049687286</v>
      </c>
      <c r="AA278" s="217">
        <f t="shared" si="740"/>
        <v>3.0089108425811633</v>
      </c>
      <c r="AB278" s="173">
        <f t="shared" si="741"/>
        <v>1.8524767866177185</v>
      </c>
      <c r="AC278" s="173">
        <f t="shared" si="742"/>
        <v>3.9017562422187755</v>
      </c>
      <c r="AD278" s="173"/>
      <c r="AE278" s="173">
        <f t="shared" si="743"/>
        <v>0.82088475798930205</v>
      </c>
      <c r="AF278" s="545">
        <f t="shared" si="744"/>
        <v>1699.3859204024589</v>
      </c>
      <c r="AG278" s="528">
        <f t="shared" si="745"/>
        <v>0.76615910745668203</v>
      </c>
      <c r="AI278" s="173">
        <f t="shared" si="746"/>
        <v>2.9379927672574242</v>
      </c>
      <c r="AJ278" s="173">
        <f t="shared" si="747"/>
        <v>2.9379927672574242</v>
      </c>
      <c r="AK278" s="173">
        <f t="shared" si="748"/>
        <v>2.3886366177215486</v>
      </c>
      <c r="AM278" s="545">
        <f t="shared" si="749"/>
        <v>3719.9999999999995</v>
      </c>
      <c r="AN278" s="460">
        <f t="shared" si="750"/>
        <v>341.98395049687286</v>
      </c>
      <c r="AP278">
        <f t="shared" si="751"/>
        <v>3719.9999999999995</v>
      </c>
      <c r="AQ278">
        <f t="shared" si="752"/>
        <v>341.98395049687286</v>
      </c>
      <c r="AS278" s="5">
        <f t="shared" si="763"/>
        <v>2.9241138320879885</v>
      </c>
      <c r="AT278" s="5">
        <f t="shared" si="753"/>
        <v>0.98098674342231695</v>
      </c>
      <c r="AU278" s="5">
        <f t="shared" si="722"/>
        <v>1.9431270886656715</v>
      </c>
      <c r="AV278" s="5"/>
      <c r="AW278" s="173">
        <f t="shared" si="723"/>
        <v>0.3354817219006262</v>
      </c>
      <c r="AX278" s="173">
        <f t="shared" si="631"/>
        <v>17.711625462186589</v>
      </c>
      <c r="AY278" s="173">
        <f t="shared" si="632"/>
        <v>3.9046997895326356</v>
      </c>
      <c r="AZ278" s="173">
        <f t="shared" si="633"/>
        <v>4.535976238087831</v>
      </c>
      <c r="BA278" s="460">
        <f t="shared" si="724"/>
        <v>91.231767138275472</v>
      </c>
      <c r="BB278" s="5">
        <f t="shared" si="725"/>
        <v>0.67043096016992343</v>
      </c>
      <c r="BD278" s="173">
        <f t="shared" si="681"/>
        <v>0.98248182858135713</v>
      </c>
      <c r="BE278" s="173">
        <f t="shared" si="682"/>
        <v>5.5309986415856756</v>
      </c>
      <c r="BG278" s="528">
        <f t="shared" si="683"/>
        <v>1.177630063060932E-2</v>
      </c>
      <c r="BH278" s="528">
        <f t="shared" si="754"/>
        <v>1.0442529963944422</v>
      </c>
      <c r="BI278" s="528">
        <f t="shared" si="755"/>
        <v>0.3072660399791115</v>
      </c>
      <c r="BJ278" s="528">
        <f t="shared" si="684"/>
        <v>0.10507556807384516</v>
      </c>
      <c r="BK278">
        <f t="shared" si="685"/>
        <v>1.6172655797408775E-2</v>
      </c>
      <c r="BL278" s="460">
        <f t="shared" si="686"/>
        <v>323.43869577652026</v>
      </c>
      <c r="BM278" s="528">
        <f t="shared" si="756"/>
        <v>1.1675513321413393</v>
      </c>
      <c r="BN278" s="460">
        <f t="shared" si="687"/>
        <v>1167.5513321413393</v>
      </c>
      <c r="BO278" s="528">
        <f t="shared" si="637"/>
        <v>2.6039999999999996</v>
      </c>
      <c r="BR278" s="460">
        <f t="shared" si="688"/>
        <v>2603.9999999999995</v>
      </c>
      <c r="BS278" s="528">
        <f t="shared" si="689"/>
        <v>2.8958116304777015E-2</v>
      </c>
      <c r="BT278" s="528">
        <f t="shared" si="690"/>
        <v>0.91775837919667769</v>
      </c>
      <c r="BU278" s="528">
        <f t="shared" si="691"/>
        <v>1.5999673572992359</v>
      </c>
      <c r="BV278" s="528"/>
      <c r="BW278" s="528">
        <f t="shared" si="692"/>
        <v>7.3798439425777462E-2</v>
      </c>
      <c r="BX278" s="460">
        <f t="shared" si="693"/>
        <v>2620.482292226468</v>
      </c>
      <c r="BY278" s="173">
        <f t="shared" si="694"/>
        <v>6.7090258531018847</v>
      </c>
      <c r="BZ278" s="5">
        <f t="shared" si="695"/>
        <v>14.879999999999999</v>
      </c>
      <c r="CA278" s="173">
        <f t="shared" si="696"/>
        <v>0.68923906531253054</v>
      </c>
      <c r="CB278" s="5">
        <f t="shared" si="697"/>
        <v>68.923906531253053</v>
      </c>
      <c r="CE278" s="562">
        <f t="shared" si="757"/>
        <v>-50</v>
      </c>
      <c r="CF278">
        <f t="shared" si="758"/>
        <v>-50</v>
      </c>
      <c r="CG278" s="173">
        <f t="shared" si="759"/>
        <v>0.64586633825147222</v>
      </c>
      <c r="CI278" s="170">
        <v>62</v>
      </c>
      <c r="CJ278" s="217">
        <f t="shared" si="698"/>
        <v>3.7199999999999998</v>
      </c>
      <c r="CK278" s="217"/>
      <c r="CL278" s="217">
        <f t="shared" si="641"/>
        <v>14.879999999999999</v>
      </c>
      <c r="CM278" s="541">
        <f t="shared" si="642"/>
        <v>36</v>
      </c>
      <c r="CN278" s="443">
        <f t="shared" si="643"/>
        <v>18.8</v>
      </c>
      <c r="CO278" s="443">
        <f t="shared" si="644"/>
        <v>54.8</v>
      </c>
      <c r="CP278" s="443"/>
      <c r="CQ278" s="217">
        <f t="shared" si="645"/>
        <v>0.34306569343065696</v>
      </c>
      <c r="CR278" s="172">
        <f t="shared" si="646"/>
        <v>41.723649635036502</v>
      </c>
      <c r="CS278" s="172">
        <f t="shared" si="647"/>
        <v>14.879999999999999</v>
      </c>
      <c r="CT278" s="217">
        <f t="shared" si="648"/>
        <v>10.430912408759125</v>
      </c>
      <c r="CU278" s="217">
        <f t="shared" si="649"/>
        <v>4</v>
      </c>
      <c r="CV278" s="217"/>
      <c r="CW278" s="172">
        <f t="shared" si="650"/>
        <v>23.51819946174918</v>
      </c>
      <c r="CX278" s="172">
        <f t="shared" si="651"/>
        <v>4</v>
      </c>
      <c r="CY278" s="217">
        <f t="shared" si="652"/>
        <v>2.4096453900709216</v>
      </c>
      <c r="CZ278" s="217">
        <f t="shared" si="653"/>
        <v>0.80321513002364053</v>
      </c>
      <c r="DA278" s="217">
        <f t="shared" si="654"/>
        <v>1.5380715255771837</v>
      </c>
      <c r="DB278" s="197">
        <f t="shared" si="655"/>
        <v>350</v>
      </c>
      <c r="DC278" s="443">
        <f t="shared" si="656"/>
        <v>350</v>
      </c>
      <c r="DE278" s="217">
        <f t="shared" si="657"/>
        <v>2.940563086548488</v>
      </c>
      <c r="DF278" s="173">
        <f t="shared" si="658"/>
        <v>1.8769551616266944</v>
      </c>
      <c r="DG278" s="173">
        <f t="shared" si="659"/>
        <v>3.8635135443702762</v>
      </c>
      <c r="DH278" s="173"/>
      <c r="DI278" s="173">
        <f t="shared" si="660"/>
        <v>0.85106382978723416</v>
      </c>
      <c r="DJ278" s="545">
        <f t="shared" si="661"/>
        <v>1639.1249999999995</v>
      </c>
      <c r="DK278" s="528">
        <f t="shared" si="662"/>
        <v>0.79432624113475192</v>
      </c>
      <c r="DM278" s="173">
        <f t="shared" si="663"/>
        <v>2.8854313864159526</v>
      </c>
      <c r="DN278" s="173">
        <f t="shared" si="664"/>
        <v>2.8854313864159526</v>
      </c>
      <c r="DO278" s="173">
        <f t="shared" si="665"/>
        <v>2.3497022615426806</v>
      </c>
      <c r="DQ278" s="545">
        <f t="shared" si="666"/>
        <v>3719.9999999999995</v>
      </c>
      <c r="DR278" s="460">
        <f t="shared" si="667"/>
        <v>350</v>
      </c>
      <c r="DT278">
        <f t="shared" si="668"/>
        <v>3719.9999999999995</v>
      </c>
      <c r="DU278">
        <f t="shared" si="669"/>
        <v>350</v>
      </c>
      <c r="DW278" s="5">
        <f t="shared" si="670"/>
        <v>2.8571428571428572</v>
      </c>
      <c r="DX278" s="5">
        <f t="shared" si="671"/>
        <v>0.96181046213865096</v>
      </c>
      <c r="DY278" s="5">
        <f t="shared" si="672"/>
        <v>1.8953323950042062</v>
      </c>
      <c r="DZ278" s="5"/>
      <c r="EA278" s="173">
        <f t="shared" si="673"/>
        <v>0.33663366174852782</v>
      </c>
      <c r="EB278" s="173">
        <f t="shared" si="699"/>
        <v>17.484000000000002</v>
      </c>
      <c r="EC278" s="173">
        <f t="shared" si="700"/>
        <v>3.8281961061652385</v>
      </c>
      <c r="ED278" s="173">
        <f t="shared" si="701"/>
        <v>4.5671641460170616</v>
      </c>
      <c r="EE278" s="460">
        <f t="shared" si="674"/>
        <v>89.44837297889454</v>
      </c>
      <c r="EF278" s="5">
        <f t="shared" si="675"/>
        <v>0.65283671383478203</v>
      </c>
      <c r="EH278" s="173">
        <f t="shared" si="702"/>
        <v>0.96656016999667937</v>
      </c>
      <c r="EI278" s="173">
        <f t="shared" si="703"/>
        <v>5.4273375174412521</v>
      </c>
      <c r="EK278" s="528">
        <f t="shared" si="704"/>
        <v>1.1397710459132918E-2</v>
      </c>
      <c r="EL278" s="528">
        <f t="shared" si="705"/>
        <v>1.1068514798291595</v>
      </c>
      <c r="EM278" s="528">
        <f t="shared" si="706"/>
        <v>4.3749999999999997E-2</v>
      </c>
      <c r="EN278" s="528">
        <f t="shared" si="707"/>
        <v>0.10510639999999997</v>
      </c>
      <c r="EO278">
        <f t="shared" si="708"/>
        <v>1.6199999999999999E-2</v>
      </c>
      <c r="EP278" s="460">
        <f t="shared" si="709"/>
        <v>59.949999999999996</v>
      </c>
      <c r="EQ278" s="460"/>
      <c r="ER278" s="460">
        <f t="shared" si="710"/>
        <v>1283.3055902882925</v>
      </c>
      <c r="ES278" s="528">
        <f t="shared" si="711"/>
        <v>2.6039999999999996</v>
      </c>
      <c r="EV278" s="460">
        <f t="shared" si="712"/>
        <v>2603.9999999999995</v>
      </c>
      <c r="EW278" s="528">
        <f t="shared" si="713"/>
        <v>2.802715686672029E-2</v>
      </c>
      <c r="EX278" s="528">
        <f t="shared" si="714"/>
        <v>0.88367977584676116</v>
      </c>
      <c r="EY278" s="528">
        <f t="shared" si="715"/>
        <v>1.6205670113786725</v>
      </c>
      <c r="EZ278" s="528"/>
      <c r="FA278" s="528">
        <f t="shared" si="716"/>
        <v>7.2850000000000026E-2</v>
      </c>
      <c r="FB278" s="460">
        <f t="shared" si="717"/>
        <v>2605.1239440921536</v>
      </c>
      <c r="FC278" s="173">
        <f t="shared" si="718"/>
        <v>6.4924295343804461</v>
      </c>
      <c r="FD278" s="5">
        <f t="shared" si="719"/>
        <v>14.879999999999999</v>
      </c>
      <c r="FE278" s="173">
        <f t="shared" si="720"/>
        <v>0.69622407579182821</v>
      </c>
      <c r="FF278" s="5">
        <f t="shared" si="721"/>
        <v>69.62240757918282</v>
      </c>
      <c r="FI278" s="562">
        <f t="shared" si="676"/>
        <v>-50</v>
      </c>
      <c r="FJ278">
        <f t="shared" si="677"/>
        <v>-50</v>
      </c>
      <c r="FL278">
        <f t="shared" si="760"/>
        <v>0.64461765015675532</v>
      </c>
    </row>
    <row r="279" spans="5:168">
      <c r="E279" s="170">
        <v>63</v>
      </c>
      <c r="F279" s="217">
        <f t="shared" si="761"/>
        <v>3.7800000000000002</v>
      </c>
      <c r="G279" s="217"/>
      <c r="H279" s="217">
        <f t="shared" si="726"/>
        <v>15.120000000000001</v>
      </c>
      <c r="I279" s="541">
        <f t="shared" si="727"/>
        <v>35.93799544348186</v>
      </c>
      <c r="J279" s="172">
        <f t="shared" si="728"/>
        <v>19.505265097836645</v>
      </c>
      <c r="K279" s="172">
        <f t="shared" si="729"/>
        <v>55.443260541318509</v>
      </c>
      <c r="L279" s="443"/>
      <c r="M279" s="217">
        <f t="shared" si="730"/>
        <v>0.35172170293349414</v>
      </c>
      <c r="N279" s="172">
        <f t="shared" si="731"/>
        <v>42.702717641074869</v>
      </c>
      <c r="O279" s="172">
        <f t="shared" si="762"/>
        <v>15.120000000000001</v>
      </c>
      <c r="P279" s="217">
        <f t="shared" si="732"/>
        <v>10.675679410268717</v>
      </c>
      <c r="Q279" s="217">
        <f t="shared" si="733"/>
        <v>4</v>
      </c>
      <c r="R279" s="217"/>
      <c r="S279" s="172">
        <f t="shared" si="734"/>
        <v>22.972528046828863</v>
      </c>
      <c r="T279" s="172">
        <f t="shared" si="735"/>
        <v>4</v>
      </c>
      <c r="U279" s="217">
        <f t="shared" si="736"/>
        <v>2.9154145812876231</v>
      </c>
      <c r="V279" s="217">
        <f t="shared" si="737"/>
        <v>0.97348153517551761</v>
      </c>
      <c r="W279" s="217">
        <f t="shared" si="738"/>
        <v>1.7936169952046286</v>
      </c>
      <c r="X279" s="197">
        <f t="shared" si="739"/>
        <v>350</v>
      </c>
      <c r="Y279" s="443">
        <f t="shared" si="680"/>
        <v>337.0295896010839</v>
      </c>
      <c r="AA279" s="217">
        <f t="shared" si="740"/>
        <v>3.0102852699617162</v>
      </c>
      <c r="AB279" s="173">
        <f t="shared" si="741"/>
        <v>1.8519831982979349</v>
      </c>
      <c r="AC279" s="173">
        <f t="shared" si="742"/>
        <v>3.9024984194370029</v>
      </c>
      <c r="AD279" s="173"/>
      <c r="AE279" s="173">
        <f t="shared" si="743"/>
        <v>0.82029133773601381</v>
      </c>
      <c r="AF279" s="545">
        <f t="shared" si="744"/>
        <v>1728.0445797614648</v>
      </c>
      <c r="AG279" s="528">
        <f t="shared" si="745"/>
        <v>0.76560524855361312</v>
      </c>
      <c r="AI279" s="173">
        <f t="shared" si="746"/>
        <v>2.962662534617551</v>
      </c>
      <c r="AJ279" s="173">
        <f t="shared" si="747"/>
        <v>2.962662534617551</v>
      </c>
      <c r="AK279" s="173">
        <f t="shared" si="748"/>
        <v>2.4069105194697906</v>
      </c>
      <c r="AM279" s="545">
        <f t="shared" si="749"/>
        <v>3780.0000000000005</v>
      </c>
      <c r="AN279" s="460">
        <f t="shared" si="750"/>
        <v>337.0295896010839</v>
      </c>
      <c r="AP279">
        <f t="shared" si="751"/>
        <v>3780.0000000000005</v>
      </c>
      <c r="AQ279">
        <f t="shared" si="752"/>
        <v>337.0295896010839</v>
      </c>
      <c r="AS279" s="5">
        <f t="shared" si="763"/>
        <v>2.9670985303801465</v>
      </c>
      <c r="AT279" s="5">
        <f t="shared" si="753"/>
        <v>0.98925802557133802</v>
      </c>
      <c r="AU279" s="5">
        <f t="shared" si="722"/>
        <v>1.9778405048088086</v>
      </c>
      <c r="AV279" s="5"/>
      <c r="AW279" s="173">
        <f t="shared" si="723"/>
        <v>0.33340922636788661</v>
      </c>
      <c r="AX279" s="173">
        <f t="shared" si="631"/>
        <v>17.749399025657425</v>
      </c>
      <c r="AY279" s="173">
        <f t="shared" si="632"/>
        <v>3.9497670219231824</v>
      </c>
      <c r="AZ279" s="173">
        <f t="shared" si="633"/>
        <v>4.4937837920918833</v>
      </c>
      <c r="BA279" s="460">
        <f t="shared" si="724"/>
        <v>93.484883416491442</v>
      </c>
      <c r="BB279" s="5">
        <f t="shared" si="725"/>
        <v>0.69343851967989811</v>
      </c>
      <c r="BD279" s="173">
        <f t="shared" si="681"/>
        <v>0.98766659453255701</v>
      </c>
      <c r="BE279" s="173">
        <f t="shared" si="682"/>
        <v>5.5861320610525622</v>
      </c>
      <c r="BG279" s="528">
        <f t="shared" si="683"/>
        <v>1.1900920683857567E-2</v>
      </c>
      <c r="BH279" s="528">
        <f t="shared" si="754"/>
        <v>1.0380069269752155</v>
      </c>
      <c r="BI279" s="528">
        <f t="shared" si="755"/>
        <v>0.30280419638505784</v>
      </c>
      <c r="BJ279" s="528">
        <f t="shared" si="684"/>
        <v>0.10360138391018275</v>
      </c>
      <c r="BK279">
        <f t="shared" si="685"/>
        <v>1.6172097949566838E-2</v>
      </c>
      <c r="BL279" s="460">
        <f t="shared" si="686"/>
        <v>318.9762943346247</v>
      </c>
      <c r="BM279" s="528">
        <f t="shared" si="756"/>
        <v>1.1600025715806519</v>
      </c>
      <c r="BN279" s="460">
        <f t="shared" si="687"/>
        <v>1160.0025715806519</v>
      </c>
      <c r="BO279" s="528">
        <f t="shared" si="637"/>
        <v>2.6459999999999999</v>
      </c>
      <c r="BR279" s="460">
        <f t="shared" si="688"/>
        <v>2646</v>
      </c>
      <c r="BS279" s="528">
        <f t="shared" si="689"/>
        <v>2.9264559058666151E-2</v>
      </c>
      <c r="BT279" s="528">
        <f t="shared" si="690"/>
        <v>0.93614614210558045</v>
      </c>
      <c r="BU279" s="528">
        <f t="shared" si="691"/>
        <v>1.5752357042275467</v>
      </c>
      <c r="BV279" s="528"/>
      <c r="BW279" s="528">
        <f t="shared" si="692"/>
        <v>7.395582927357261E-2</v>
      </c>
      <c r="BX279" s="460">
        <f t="shared" si="693"/>
        <v>2614.6022346653658</v>
      </c>
      <c r="BY279" s="173">
        <f t="shared" si="694"/>
        <v>6.7330877605692461</v>
      </c>
      <c r="BZ279" s="5">
        <f t="shared" si="695"/>
        <v>15.120000000000001</v>
      </c>
      <c r="CA279" s="173">
        <f t="shared" si="696"/>
        <v>0.69189307093169083</v>
      </c>
      <c r="CB279" s="5">
        <f t="shared" si="697"/>
        <v>69.189307093169077</v>
      </c>
      <c r="CE279" s="562">
        <f t="shared" si="757"/>
        <v>-50</v>
      </c>
      <c r="CF279">
        <f t="shared" si="758"/>
        <v>-50</v>
      </c>
      <c r="CG279" s="173">
        <f t="shared" si="759"/>
        <v>0.64316240998085694</v>
      </c>
      <c r="CI279" s="170">
        <v>63</v>
      </c>
      <c r="CJ279" s="217">
        <f t="shared" si="698"/>
        <v>3.7800000000000002</v>
      </c>
      <c r="CK279" s="217"/>
      <c r="CL279" s="217">
        <f t="shared" si="641"/>
        <v>15.120000000000001</v>
      </c>
      <c r="CM279" s="541">
        <f t="shared" si="642"/>
        <v>36</v>
      </c>
      <c r="CN279" s="443">
        <f t="shared" si="643"/>
        <v>18.8</v>
      </c>
      <c r="CO279" s="443">
        <f t="shared" si="644"/>
        <v>54.8</v>
      </c>
      <c r="CP279" s="443"/>
      <c r="CQ279" s="217">
        <f t="shared" si="645"/>
        <v>0.34306569343065696</v>
      </c>
      <c r="CR279" s="172">
        <f t="shared" si="646"/>
        <v>41.723649635036502</v>
      </c>
      <c r="CS279" s="172">
        <f t="shared" si="647"/>
        <v>15.120000000000001</v>
      </c>
      <c r="CT279" s="217">
        <f t="shared" si="648"/>
        <v>10.430912408759125</v>
      </c>
      <c r="CU279" s="217">
        <f t="shared" si="649"/>
        <v>4</v>
      </c>
      <c r="CV279" s="217"/>
      <c r="CW279" s="172">
        <f t="shared" si="650"/>
        <v>23.011723107700607</v>
      </c>
      <c r="CX279" s="172">
        <f t="shared" si="651"/>
        <v>4</v>
      </c>
      <c r="CY279" s="217">
        <f t="shared" si="652"/>
        <v>2.4485106382978721</v>
      </c>
      <c r="CZ279" s="217">
        <f t="shared" si="653"/>
        <v>0.81617021276595736</v>
      </c>
      <c r="DA279" s="217">
        <f t="shared" si="654"/>
        <v>1.5628791308284289</v>
      </c>
      <c r="DB279" s="197">
        <f t="shared" si="655"/>
        <v>350</v>
      </c>
      <c r="DC279" s="443">
        <f t="shared" si="656"/>
        <v>350</v>
      </c>
      <c r="DE279" s="217">
        <f t="shared" si="657"/>
        <v>2.940563086548488</v>
      </c>
      <c r="DF279" s="173">
        <f t="shared" si="658"/>
        <v>1.8769551616266944</v>
      </c>
      <c r="DG279" s="173">
        <f t="shared" si="659"/>
        <v>3.8635135443702762</v>
      </c>
      <c r="DH279" s="173"/>
      <c r="DI279" s="173">
        <f t="shared" si="660"/>
        <v>0.85106382978723416</v>
      </c>
      <c r="DJ279" s="545">
        <f t="shared" si="661"/>
        <v>1665.5624999999998</v>
      </c>
      <c r="DK279" s="528">
        <f t="shared" si="662"/>
        <v>0.79432624113475192</v>
      </c>
      <c r="DM279" s="173">
        <f t="shared" si="663"/>
        <v>2.9086079144497976</v>
      </c>
      <c r="DN279" s="173">
        <f t="shared" si="664"/>
        <v>2.9086079144497976</v>
      </c>
      <c r="DO279" s="173">
        <f t="shared" si="665"/>
        <v>2.3668700600862698</v>
      </c>
      <c r="DQ279" s="545">
        <f t="shared" si="666"/>
        <v>3780.0000000000005</v>
      </c>
      <c r="DR279" s="460">
        <f t="shared" si="667"/>
        <v>350</v>
      </c>
      <c r="DT279">
        <f t="shared" si="668"/>
        <v>3780.0000000000005</v>
      </c>
      <c r="DU279">
        <f t="shared" si="669"/>
        <v>350</v>
      </c>
      <c r="DW279" s="5">
        <f t="shared" si="670"/>
        <v>2.8571428571428572</v>
      </c>
      <c r="DX279" s="5">
        <f t="shared" si="671"/>
        <v>0.96953597148326587</v>
      </c>
      <c r="DY279" s="5">
        <f t="shared" si="672"/>
        <v>1.8876068856595913</v>
      </c>
      <c r="DZ279" s="5"/>
      <c r="EA279" s="173">
        <f t="shared" si="673"/>
        <v>0.33933759001914304</v>
      </c>
      <c r="EB279" s="173">
        <f t="shared" si="699"/>
        <v>17.766000000000005</v>
      </c>
      <c r="EC279" s="173">
        <f t="shared" si="700"/>
        <v>3.8432158288995946</v>
      </c>
      <c r="ED279" s="173">
        <f t="shared" si="701"/>
        <v>4.6226912020933364</v>
      </c>
      <c r="EE279" s="460">
        <f t="shared" si="674"/>
        <v>91.621149305168629</v>
      </c>
      <c r="EF279" s="5">
        <f t="shared" si="675"/>
        <v>0.6606624099808569</v>
      </c>
      <c r="EH279" s="173">
        <f t="shared" si="702"/>
        <v>0.97822901401153672</v>
      </c>
      <c r="EI279" s="173">
        <f t="shared" si="703"/>
        <v>5.459769952876794</v>
      </c>
      <c r="EK279" s="528">
        <f t="shared" si="704"/>
        <v>1.1674570447018596E-2</v>
      </c>
      <c r="EL279" s="528">
        <f t="shared" si="705"/>
        <v>1.1157419959829422</v>
      </c>
      <c r="EM279" s="528">
        <f t="shared" si="706"/>
        <v>4.3749999999999997E-2</v>
      </c>
      <c r="EN279" s="528">
        <f t="shared" si="707"/>
        <v>0.10510639999999997</v>
      </c>
      <c r="EO279">
        <f t="shared" si="708"/>
        <v>1.6199999999999999E-2</v>
      </c>
      <c r="EP279" s="460">
        <f t="shared" si="709"/>
        <v>59.949999999999996</v>
      </c>
      <c r="EQ279" s="460"/>
      <c r="ER279" s="460">
        <f t="shared" si="710"/>
        <v>1292.4729664299607</v>
      </c>
      <c r="ES279" s="528">
        <f t="shared" si="711"/>
        <v>2.6459999999999999</v>
      </c>
      <c r="EV279" s="460">
        <f t="shared" si="712"/>
        <v>2646</v>
      </c>
      <c r="EW279" s="528">
        <f t="shared" si="713"/>
        <v>2.8707960115619501E-2</v>
      </c>
      <c r="EX279" s="528">
        <f t="shared" si="714"/>
        <v>0.89427263815008806</v>
      </c>
      <c r="EY279" s="528">
        <f t="shared" si="715"/>
        <v>1.6533053420488946</v>
      </c>
      <c r="EZ279" s="528"/>
      <c r="FA279" s="528">
        <f t="shared" si="716"/>
        <v>7.4025000000000007E-2</v>
      </c>
      <c r="FB279" s="460">
        <f t="shared" si="717"/>
        <v>2650.3109403146022</v>
      </c>
      <c r="FC279" s="173">
        <f t="shared" si="718"/>
        <v>6.5887839067445633</v>
      </c>
      <c r="FD279" s="5">
        <f t="shared" si="719"/>
        <v>15.120000000000001</v>
      </c>
      <c r="FE279" s="173">
        <f t="shared" si="720"/>
        <v>0.69649226160947986</v>
      </c>
      <c r="FF279" s="5">
        <f t="shared" si="721"/>
        <v>69.64922616094799</v>
      </c>
      <c r="FI279" s="562">
        <f t="shared" si="676"/>
        <v>-50</v>
      </c>
      <c r="FJ279">
        <f t="shared" si="677"/>
        <v>-50</v>
      </c>
      <c r="FL279">
        <f t="shared" si="760"/>
        <v>0.64979538514303992</v>
      </c>
    </row>
    <row r="280" spans="5:168">
      <c r="E280" s="170">
        <v>64</v>
      </c>
      <c r="F280" s="217">
        <f t="shared" si="761"/>
        <v>3.84</v>
      </c>
      <c r="G280" s="217"/>
      <c r="H280" s="217">
        <f t="shared" ref="H280:H311" si="764">F280*Vout</f>
        <v>15.36</v>
      </c>
      <c r="I280" s="541">
        <f t="shared" ref="I280:I316" si="765">VIN_max-F280*(Rdcr_pri+RON/1000)/CG280/Nps</f>
        <v>35.936747425361546</v>
      </c>
      <c r="J280" s="172">
        <f t="shared" ref="J280:J316" si="766">(T280+Vfwd1+F280/CG280*Rdcr_sec)*Nps</f>
        <v>19.519460564607975</v>
      </c>
      <c r="K280" s="172">
        <f t="shared" ref="K280:K316" si="767">(Vout+Vfwd1+F280/CG280*Rdcr_sec)*Nps+I280</f>
        <v>55.456207989969521</v>
      </c>
      <c r="L280" s="443"/>
      <c r="M280" s="217">
        <f t="shared" ref="M280:M316" si="768">(Vout+Vfwd1+F280/FL280*Rdcr_sec)*Nps/((Vout+Vfwd1+F280/FL280*Rdcr_sec)*Nps+I280)</f>
        <v>0.3517941485628267</v>
      </c>
      <c r="N280" s="172">
        <f t="shared" ref="N280:N311" si="769">M280*I280*(Isw_max+VIN_max/Lmag*ILIM_delay)*0.5*Efficiency</f>
        <v>42.710030061226078</v>
      </c>
      <c r="O280" s="172">
        <f t="shared" si="762"/>
        <v>15.36</v>
      </c>
      <c r="P280" s="217">
        <f t="shared" ref="P280:P311" si="770">N280/Vout</f>
        <v>10.67750751530652</v>
      </c>
      <c r="Q280" s="217">
        <f t="shared" ref="Q280:Q316" si="771">MIN(Vout,N280/F280)</f>
        <v>4</v>
      </c>
      <c r="R280" s="217"/>
      <c r="S280" s="172">
        <f t="shared" ref="S280:S316" si="772">(SQRT(Isw_max^2*Nps^2*I280^2+4*Isw_max*F280/Efficiency*(Nps^2*Vfwd1*I280-Nps*I280^2)+4*(F280/Efficiency)^2*Nps^2*Vfwd1^2+8*(F280/Efficiency)^2*Nps*Vfwd1*I280+4*(F280/Efficiency)^2*I280^2)-2*F280/Efficiency*I280-2*F280/Efficiency*Nps*Vfwd1+Isw_max*Nps*I280)/(4*F280/Efficiency*Nps)</f>
        <v>22.48218926325492</v>
      </c>
      <c r="T280" s="172">
        <f t="shared" ref="T280:T311" si="773">MIN(Vout, S280)</f>
        <v>4</v>
      </c>
      <c r="U280" s="217">
        <f t="shared" ref="U280:U316" si="774">MIN(2*(Vout+Vfwd1+F280/FL280*Rdcr_sec)*F280/(I280*M280), Isw_max)</f>
        <v>2.9620220115925537</v>
      </c>
      <c r="V280" s="217">
        <f t="shared" ref="V280:V311" si="775">L*U280/I280*1000000</f>
        <v>0.98907849723834751</v>
      </c>
      <c r="W280" s="217">
        <f t="shared" ref="W280:W316" si="776">L*U280/J280*1000000</f>
        <v>1.8209654934603214</v>
      </c>
      <c r="X280" s="197">
        <f t="shared" ref="X280:X316" si="777">IF(1/((350000*L)*(1/I280+1/J280))&gt;Isw_min, 350, 0.001/((Isw_min*L)*(1/I280+1/J280)))</f>
        <v>350</v>
      </c>
      <c r="Y280" s="443">
        <f t="shared" si="680"/>
        <v>332.22105826031043</v>
      </c>
      <c r="AA280" s="217">
        <f t="shared" ref="AA280:AA316" si="778">1/((X280*1000*L)*(1/I280+1/J280))</f>
        <v>3.0116681664536586</v>
      </c>
      <c r="AB280" s="173">
        <f t="shared" ref="AB280:AB311" si="779">L*AA280/J280*1000000</f>
        <v>1.8514865140777386</v>
      </c>
      <c r="AC280" s="173">
        <f t="shared" ref="AC280:AC311" si="780">0.5*AB280*AA280*Nps*X280/1000</f>
        <v>3.9032440965463251</v>
      </c>
      <c r="AD280" s="173"/>
      <c r="AE280" s="173">
        <f t="shared" ref="AE280:AE316" si="781">L*Isw_min/J280*1000000</f>
        <v>0.81969478342094459</v>
      </c>
      <c r="AF280" s="545">
        <f t="shared" ref="AF280:AF311" si="782">MAX(12000,F280/(0.5*AE280/1000000*Isw_min*Nps))/1000</f>
        <v>1756.7514508147174</v>
      </c>
      <c r="AG280" s="528">
        <f t="shared" ref="AG280:AG316" si="783">0.5*AE280/1000000*Isw_min*Nps*X280*1000</f>
        <v>0.765048464526215</v>
      </c>
      <c r="AI280" s="173">
        <f t="shared" ref="AI280:AI316" si="784">SQRT(F280/(0.5*L/J280*Fsw_DCM*Nps))</f>
        <v>2.987169558694688</v>
      </c>
      <c r="AJ280" s="173">
        <f t="shared" ref="AJ280:AJ311" si="785">MAX(IF(F280&gt;AC280,U280,AI280),Isw_min)</f>
        <v>2.987169558694688</v>
      </c>
      <c r="AK280" s="173">
        <f t="shared" ref="AK280:AK311" si="786">IF(F280&gt;AG280, (AJ280-Isw_min)/1.08*0.8+1.2, AF280*0.2/350+1)</f>
        <v>2.4250638706380405</v>
      </c>
      <c r="AM280" s="545">
        <f t="shared" ref="AM280:AM316" si="787">F280*1000</f>
        <v>3840</v>
      </c>
      <c r="AN280" s="460">
        <f t="shared" ref="AN280:AN316" si="788">IF(F280&gt;AG280, Y280, AF280)</f>
        <v>332.22105826031043</v>
      </c>
      <c r="AP280">
        <f t="shared" ref="AP280:AP316" si="789">IF(H280&gt;N280, "",AM280)</f>
        <v>3840</v>
      </c>
      <c r="AQ280">
        <f t="shared" ref="AQ280:AQ316" si="790">IF(H280&gt;N280, "",AN280)</f>
        <v>332.22105826031043</v>
      </c>
      <c r="AS280" s="5">
        <f t="shared" si="763"/>
        <v>3.0100439906986693</v>
      </c>
      <c r="AT280" s="5">
        <f t="shared" ref="AT280:AT316" si="791">L*AJ280/I280*1000000</f>
        <v>0.99747576707620256</v>
      </c>
      <c r="AU280" s="5">
        <f t="shared" si="722"/>
        <v>2.0125682236224667</v>
      </c>
      <c r="AV280" s="5"/>
      <c r="AW280" s="173">
        <f t="shared" si="723"/>
        <v>0.33138245492707097</v>
      </c>
      <c r="AX280" s="173">
        <f t="shared" ref="AX280:AX316" si="792">0.5*L*AJ280^2*AN280*1000</f>
        <v>17.786813747504802</v>
      </c>
      <c r="AY280" s="173">
        <f t="shared" ref="AY280:AY316" si="793">AJ280*Nps/2*(1-AW280)</f>
        <v>3.9945479541020541</v>
      </c>
      <c r="AZ280" s="173">
        <f t="shared" ref="AZ280:AZ316" si="794">AX280/AY280</f>
        <v>4.4527726170465138</v>
      </c>
      <c r="BA280" s="460">
        <f t="shared" si="724"/>
        <v>95.757673639315456</v>
      </c>
      <c r="BB280" s="5">
        <f t="shared" si="725"/>
        <v>0.71683931095520947</v>
      </c>
      <c r="BD280" s="173">
        <f t="shared" si="681"/>
        <v>0.9928051080603747</v>
      </c>
      <c r="BE280" s="173">
        <f t="shared" si="682"/>
        <v>5.6408963943070383</v>
      </c>
      <c r="BG280" s="528">
        <f t="shared" si="683"/>
        <v>1.2025076187607422E-2</v>
      </c>
      <c r="BH280" s="528">
        <f t="shared" ref="BH280:BH316" si="795">0.5*K280*AJ280*AN280*1000*Tfall</f>
        <v>1.0319020473216591</v>
      </c>
      <c r="BI280" s="528">
        <f t="shared" ref="BI280:BI316" si="796">Qg*Vdd*AN280*1000*0+Qg*I280*AN280*1000</f>
        <v>0.29847360650217747</v>
      </c>
      <c r="BJ280" s="528">
        <f t="shared" si="684"/>
        <v>0.10217096541213412</v>
      </c>
      <c r="BK280">
        <f t="shared" si="685"/>
        <v>1.6171536341412693E-2</v>
      </c>
      <c r="BL280" s="460">
        <f t="shared" si="686"/>
        <v>314.64514284359018</v>
      </c>
      <c r="BM280" s="528">
        <f t="shared" ref="BM280:BM316" si="797">(BH280+BI280*0+BJ280+BK280*0+BG280*(1+RdsonTC*(Ta-25)))/(1-BG280*RdsonTC*ThetaJA)</f>
        <v>1.1526381288608056</v>
      </c>
      <c r="BN280" s="460">
        <f t="shared" si="687"/>
        <v>1152.6381288608056</v>
      </c>
      <c r="BO280" s="528">
        <f t="shared" ref="BO280:BO316" si="798">Vfwd2*F280</f>
        <v>2.6879999999999997</v>
      </c>
      <c r="BR280" s="460">
        <f t="shared" si="688"/>
        <v>2687.9999999999995</v>
      </c>
      <c r="BS280" s="528">
        <f t="shared" si="689"/>
        <v>2.9569859477723167E-2</v>
      </c>
      <c r="BT280" s="528">
        <f t="shared" si="690"/>
        <v>0.95459136393918431</v>
      </c>
      <c r="BU280" s="528">
        <f t="shared" si="691"/>
        <v>1.5512706822867981</v>
      </c>
      <c r="BV280" s="528"/>
      <c r="BW280" s="528">
        <f t="shared" si="692"/>
        <v>7.4111723947936664E-2</v>
      </c>
      <c r="BX280" s="460">
        <f t="shared" si="693"/>
        <v>2609.5436296516423</v>
      </c>
      <c r="BY280" s="173">
        <f t="shared" si="694"/>
        <v>6.7582868614166332</v>
      </c>
      <c r="BZ280" s="5">
        <f t="shared" si="695"/>
        <v>15.36</v>
      </c>
      <c r="CA280" s="173">
        <f t="shared" si="696"/>
        <v>0.69444799663911327</v>
      </c>
      <c r="CB280" s="5">
        <f t="shared" si="697"/>
        <v>69.444799663911326</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0.64047985764318238</v>
      </c>
      <c r="CI280" s="170">
        <v>64</v>
      </c>
      <c r="CJ280" s="217">
        <f t="shared" si="698"/>
        <v>3.84</v>
      </c>
      <c r="CK280" s="217"/>
      <c r="CL280" s="217">
        <f t="shared" ref="CL280:CL316" si="802">CJ280*Vout</f>
        <v>15.36</v>
      </c>
      <c r="CM280" s="541">
        <f t="shared" ref="CM280:CM316" si="803">VIN_max</f>
        <v>36</v>
      </c>
      <c r="CN280" s="443">
        <f t="shared" ref="CN280:CN316" si="804">(CX280+Vfwd1)*Nps</f>
        <v>18.8</v>
      </c>
      <c r="CO280" s="443">
        <f t="shared" ref="CO280:CO316" si="805">(Vout+Vfwd1)*Nps+CM280</f>
        <v>54.8</v>
      </c>
      <c r="CP280" s="443"/>
      <c r="CQ280" s="217">
        <f t="shared" ref="CQ280:CQ316" si="806">(Vout+Vfwd1)*Nps/((Vout+Vfwd1)*Nps+CM280)</f>
        <v>0.34306569343065696</v>
      </c>
      <c r="CR280" s="172">
        <f t="shared" ref="CR280:CR316" si="807">CQ280*CM280*(Isw_max+VIN_max/Lmag*ILIM_delay)*0.5*Efficiency</f>
        <v>41.723649635036502</v>
      </c>
      <c r="CS280" s="172">
        <f t="shared" ref="CS280:CS316" si="808">CX280*CJ280</f>
        <v>15.36</v>
      </c>
      <c r="CT280" s="217">
        <f t="shared" ref="CT280:CT316" si="809">CR280/Vout</f>
        <v>10.430912408759125</v>
      </c>
      <c r="CU280" s="217">
        <f t="shared" ref="CU280:CU316" si="810">MIN(Vout,CR280/CJ280)</f>
        <v>4</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22.521302609757676</v>
      </c>
      <c r="CX280" s="172">
        <f t="shared" ref="CX280:CX316" si="812">MIN(Vout, CW280)</f>
        <v>4</v>
      </c>
      <c r="CY280" s="217">
        <f t="shared" ref="CY280:CY316" si="813">MIN(2*Vout*CJ280/(Efficiency*CM280*CQ280), Isw_max)</f>
        <v>2.4873758865248221</v>
      </c>
      <c r="CZ280" s="217">
        <f t="shared" ref="CZ280:CZ316" si="814">L*CY280/CM280*1000000</f>
        <v>0.82912529550827407</v>
      </c>
      <c r="DA280" s="217">
        <f t="shared" ref="DA280:DA316" si="815">L*CY280/CN280*1000000</f>
        <v>1.5876867360796736</v>
      </c>
      <c r="DB280" s="197">
        <f t="shared" ref="DB280:DB316" si="816">IF(1/((350000*L)*(1/CM280+1/CN280))&gt;Isw_min, 350, 0.001/((Isw_min*L)*(1/CM280+1/CN280)))</f>
        <v>350</v>
      </c>
      <c r="DC280" s="443">
        <f t="shared" ref="DC280:DC316" si="817">MIN(1/(CZ280+DA280)*1000, 350)</f>
        <v>350</v>
      </c>
      <c r="DE280" s="217">
        <f t="shared" ref="DE280:DE316" si="818">1/((DB280*1000*L)*(1/CM280+1/CN280))</f>
        <v>2.940563086548488</v>
      </c>
      <c r="DF280" s="173">
        <f t="shared" ref="DF280:DF316" si="819">L*DE280/CN280*1000000</f>
        <v>1.8769551616266944</v>
      </c>
      <c r="DG280" s="173">
        <f t="shared" ref="DG280:DG316" si="820">0.5*DF280*DE280*Nps*DB280/1000</f>
        <v>3.8635135443702762</v>
      </c>
      <c r="DH280" s="173"/>
      <c r="DI280" s="173">
        <f t="shared" ref="DI280:DI316" si="821">L*Isw_min/CN280*1000000</f>
        <v>0.85106382978723416</v>
      </c>
      <c r="DJ280" s="545">
        <f t="shared" ref="DJ280:DJ316" si="822">MAX(12000,CJ280/(0.5*DI280/1000000*Isw_min*Nps))/1000</f>
        <v>1691.9999999999995</v>
      </c>
      <c r="DK280" s="528">
        <f t="shared" ref="DK280:DK316" si="823">0.5*DI280/1000000*Isw_min*Nps*DB280*1000</f>
        <v>0.79432624113475192</v>
      </c>
      <c r="DM280" s="173">
        <f t="shared" ref="DM280:DM316" si="824">SQRT(CJ280/(0.5*L/CN280*Fsw_DCM*Nps))</f>
        <v>2.9316012202012938</v>
      </c>
      <c r="DN280" s="173">
        <f t="shared" ref="DN280:DN316" si="825">MAX(IF(CJ280&gt;DG280,CY280,DM280),Isw_min)</f>
        <v>2.9316012202012938</v>
      </c>
      <c r="DO280" s="173">
        <f t="shared" ref="DO280:DO316" si="826">IF(CJ280&gt;DK280, (DN280-Isw_min)/1.08*0.8+1.2, DJ280*0.2/350+1)</f>
        <v>2.3839021384207113</v>
      </c>
      <c r="DQ280" s="545">
        <f t="shared" ref="DQ280:DQ316" si="827">CJ280*1000</f>
        <v>3840</v>
      </c>
      <c r="DR280" s="460">
        <f t="shared" ref="DR280:DR316" si="828">IF(CJ280&gt;DK280, DC280, DJ280)</f>
        <v>350</v>
      </c>
      <c r="DT280">
        <f t="shared" ref="DT280:DT316" si="829">IF(CL280&gt;CR280, "",DQ280)</f>
        <v>3840</v>
      </c>
      <c r="DU280">
        <f t="shared" ref="DU280:DU316" si="830">IF(CL280&gt;CR280, "",DR280)</f>
        <v>350</v>
      </c>
      <c r="DW280" s="5">
        <f t="shared" si="670"/>
        <v>2.8571428571428572</v>
      </c>
      <c r="DX280" s="5">
        <f t="shared" ref="DX280:DX316" si="831">L*DN280/CM280*1000000</f>
        <v>0.97720040673376463</v>
      </c>
      <c r="DY280" s="5">
        <f t="shared" ref="DY280:DY316" si="832">DW280-DX280</f>
        <v>1.8799424504090925</v>
      </c>
      <c r="DZ280" s="5"/>
      <c r="EA280" s="173">
        <f t="shared" ref="EA280:EA316" si="833">DX280/DW280</f>
        <v>0.3420201423568176</v>
      </c>
      <c r="EB280" s="173">
        <f t="shared" si="699"/>
        <v>18.048000000000002</v>
      </c>
      <c r="EC280" s="173">
        <f t="shared" si="700"/>
        <v>3.8578691070692539</v>
      </c>
      <c r="ED280" s="173">
        <f t="shared" si="701"/>
        <v>4.6782302610859459</v>
      </c>
      <c r="EE280" s="460">
        <f t="shared" ref="EE280:EE316" si="834">CJ280*DX280/Vout_ripple*1000</f>
        <v>93.811239046441401</v>
      </c>
      <c r="EF280" s="5">
        <f t="shared" ref="EF280:EF316" si="835">CL280/Efficiency/CM280*DY280/Vinripple1</f>
        <v>0.66842398236767719</v>
      </c>
      <c r="EH280" s="173">
        <f t="shared" si="702"/>
        <v>0.98985164266421999</v>
      </c>
      <c r="EI280" s="173">
        <f t="shared" si="703"/>
        <v>5.4917474527175409</v>
      </c>
      <c r="EK280" s="528">
        <f t="shared" si="704"/>
        <v>1.1953636548717665E-2</v>
      </c>
      <c r="EL280" s="528">
        <f t="shared" si="705"/>
        <v>1.1245622280692162</v>
      </c>
      <c r="EM280" s="528">
        <f t="shared" si="706"/>
        <v>4.3749999999999997E-2</v>
      </c>
      <c r="EN280" s="528">
        <f t="shared" si="707"/>
        <v>0.10510639999999997</v>
      </c>
      <c r="EO280">
        <f t="shared" si="708"/>
        <v>1.6199999999999999E-2</v>
      </c>
      <c r="EP280" s="460">
        <f t="shared" si="709"/>
        <v>59.949999999999996</v>
      </c>
      <c r="EQ280" s="460"/>
      <c r="ER280" s="460">
        <f t="shared" si="710"/>
        <v>1301.5722646179338</v>
      </c>
      <c r="ES280" s="528">
        <f t="shared" si="711"/>
        <v>2.6879999999999997</v>
      </c>
      <c r="EV280" s="460">
        <f t="shared" si="712"/>
        <v>2687.9999999999995</v>
      </c>
      <c r="EW280" s="528">
        <f t="shared" si="713"/>
        <v>2.9394188234551637E-2</v>
      </c>
      <c r="EX280" s="528">
        <f t="shared" si="714"/>
        <v>0.90477870253288795</v>
      </c>
      <c r="EY280" s="528">
        <f t="shared" si="715"/>
        <v>1.686173849629756</v>
      </c>
      <c r="EZ280" s="528"/>
      <c r="FA280" s="528">
        <f t="shared" si="716"/>
        <v>7.5200000000000017E-2</v>
      </c>
      <c r="FB280" s="460">
        <f t="shared" si="717"/>
        <v>2695.5467403971957</v>
      </c>
      <c r="FC280" s="173">
        <f t="shared" si="718"/>
        <v>6.685119005015129</v>
      </c>
      <c r="FD280" s="5">
        <f t="shared" si="719"/>
        <v>15.36</v>
      </c>
      <c r="FE280" s="173">
        <f t="shared" si="720"/>
        <v>0.69675287289243915</v>
      </c>
      <c r="FF280" s="5">
        <f t="shared" si="721"/>
        <v>69.675287289243911</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0.65493218749177839</v>
      </c>
    </row>
    <row r="281" spans="5:168">
      <c r="E281" s="170">
        <v>65</v>
      </c>
      <c r="F281" s="217">
        <f t="shared" ref="F281:F312" si="839">IF(PLOT_TYPE=1, E281/100*Iout_max, min_I*EXP(N281*rr/100))</f>
        <v>3.9000000000000004</v>
      </c>
      <c r="G281" s="217"/>
      <c r="H281" s="217">
        <f t="shared" si="764"/>
        <v>15.600000000000001</v>
      </c>
      <c r="I281" s="541">
        <f t="shared" si="765"/>
        <v>35.940176384150689</v>
      </c>
      <c r="J281" s="172">
        <f t="shared" si="766"/>
        <v>19.480458189755179</v>
      </c>
      <c r="K281" s="172">
        <f t="shared" si="767"/>
        <v>55.420634573905872</v>
      </c>
      <c r="L281" s="443"/>
      <c r="M281" s="217">
        <f t="shared" si="768"/>
        <v>0.35183640214706641</v>
      </c>
      <c r="N281" s="172">
        <f t="shared" si="769"/>
        <v>42.719235644254013</v>
      </c>
      <c r="O281" s="172">
        <f t="shared" si="762"/>
        <v>15.600000000000001</v>
      </c>
      <c r="P281" s="217">
        <f t="shared" si="770"/>
        <v>10.679808911063503</v>
      </c>
      <c r="Q281" s="217">
        <f t="shared" si="771"/>
        <v>4</v>
      </c>
      <c r="R281" s="217"/>
      <c r="S281" s="172">
        <f t="shared" si="772"/>
        <v>22.010005154769075</v>
      </c>
      <c r="T281" s="172">
        <f t="shared" si="773"/>
        <v>4</v>
      </c>
      <c r="U281" s="217">
        <f t="shared" si="774"/>
        <v>3.0084997159042084</v>
      </c>
      <c r="V281" s="217">
        <f t="shared" si="775"/>
        <v>1.004502487827833</v>
      </c>
      <c r="W281" s="217">
        <f t="shared" si="776"/>
        <v>1.8532416557756648</v>
      </c>
      <c r="X281" s="197">
        <f t="shared" si="777"/>
        <v>350</v>
      </c>
      <c r="Y281" s="443">
        <f t="shared" ref="Y281:Y316" si="840">MIN(1/(V281+W281+0.2)*1000, 350)</f>
        <v>327.03848099648962</v>
      </c>
      <c r="AA281" s="217">
        <f t="shared" si="778"/>
        <v>3.0078667095694511</v>
      </c>
      <c r="AB281" s="173">
        <f t="shared" si="779"/>
        <v>1.8528517226466237</v>
      </c>
      <c r="AC281" s="173">
        <f t="shared" si="780"/>
        <v>3.9011917100220326</v>
      </c>
      <c r="AD281" s="173"/>
      <c r="AE281" s="173">
        <f t="shared" si="781"/>
        <v>0.8213359174690481</v>
      </c>
      <c r="AF281" s="545">
        <f t="shared" si="782"/>
        <v>1780.6356314073091</v>
      </c>
      <c r="AG281" s="528">
        <f t="shared" si="783"/>
        <v>0.7665801896377783</v>
      </c>
      <c r="AI281" s="173">
        <f t="shared" si="784"/>
        <v>3.0074072629498447</v>
      </c>
      <c r="AJ281" s="173">
        <f t="shared" si="785"/>
        <v>3.0074072629498447</v>
      </c>
      <c r="AK281" s="173">
        <f t="shared" si="786"/>
        <v>2.4400547626788973</v>
      </c>
      <c r="AM281" s="545">
        <f t="shared" si="787"/>
        <v>3900.0000000000005</v>
      </c>
      <c r="AN281" s="460">
        <f t="shared" si="788"/>
        <v>327.03848099648962</v>
      </c>
      <c r="AP281">
        <f t="shared" si="789"/>
        <v>3900.0000000000005</v>
      </c>
      <c r="AQ281">
        <f t="shared" si="790"/>
        <v>327.03848099648962</v>
      </c>
      <c r="AS281" s="5">
        <f t="shared" si="763"/>
        <v>3.057744143603498</v>
      </c>
      <c r="AT281" s="5">
        <f t="shared" si="791"/>
        <v>1.0041377307016508</v>
      </c>
      <c r="AU281" s="5">
        <f t="shared" si="722"/>
        <v>2.0536064129018472</v>
      </c>
      <c r="AV281" s="5"/>
      <c r="AW281" s="173">
        <f t="shared" si="723"/>
        <v>0.32839167815993003</v>
      </c>
      <c r="AX281" s="173">
        <f t="shared" si="792"/>
        <v>17.747394197445235</v>
      </c>
      <c r="AY281" s="173">
        <f t="shared" si="793"/>
        <v>4.0395994899187659</v>
      </c>
      <c r="AZ281" s="173">
        <f t="shared" si="794"/>
        <v>4.3933548961315783</v>
      </c>
      <c r="BA281" s="460">
        <f t="shared" si="724"/>
        <v>97.903428743410956</v>
      </c>
      <c r="BB281" s="5">
        <f t="shared" si="725"/>
        <v>0.74281447821433366</v>
      </c>
      <c r="BD281" s="173">
        <f t="shared" ref="BD281:BD316" si="841">AJ281*SQRT(AW281/3)</f>
        <v>0.99501055648476811</v>
      </c>
      <c r="BE281" s="173">
        <f t="shared" ref="BE281:BE316" si="842">AJ281*Nps*SQRT((1-AW281)/3)</f>
        <v>5.6918001476721312</v>
      </c>
      <c r="BG281" s="528">
        <f t="shared" ref="BG281:BG316" si="843">Rdson*BD281^2</f>
        <v>1.207856129169676E-2</v>
      </c>
      <c r="BH281" s="528">
        <f t="shared" si="795"/>
        <v>1.0220305258587212</v>
      </c>
      <c r="BI281" s="528">
        <f t="shared" si="796"/>
        <v>0.29384551728546376</v>
      </c>
      <c r="BJ281" s="528">
        <f t="shared" ref="BJ281:BJ316" si="844">0.5*(Coss+Csw)*K281^2*AN281*1000</f>
        <v>0.10044812751909206</v>
      </c>
      <c r="BK281">
        <f t="shared" ref="BK281:BK316" si="845">I281*IQ</f>
        <v>1.6173079372867809E-2</v>
      </c>
      <c r="BL281" s="460">
        <f t="shared" ref="BL281:BL316" si="846">(BK281+BI281)*1000</f>
        <v>310.0185966583316</v>
      </c>
      <c r="BM281" s="528">
        <f t="shared" si="797"/>
        <v>1.1410932110132783</v>
      </c>
      <c r="BN281" s="460">
        <f t="shared" ref="BN281:BN316" si="847">BM281*1000</f>
        <v>1141.0932110132783</v>
      </c>
      <c r="BO281" s="528">
        <f t="shared" si="798"/>
        <v>2.73</v>
      </c>
      <c r="BR281" s="460">
        <f t="shared" ref="BR281:BR316" si="848">SUM(BO281:BQ281)*1000</f>
        <v>2730</v>
      </c>
      <c r="BS281" s="528">
        <f t="shared" ref="BS281:BS316" si="849">Rdcr_pri*BD281^2</f>
        <v>2.9701380225483836E-2</v>
      </c>
      <c r="BT281" s="528">
        <f t="shared" ref="BT281:BT316" si="850">Rdcr_sec*BE281^2</f>
        <v>0.97189766763121488</v>
      </c>
      <c r="BU281" s="528">
        <f t="shared" ref="BU281:BU316" si="851">AJ281^2.5*AN281^2.5*k_core</f>
        <v>1.5168678873312853</v>
      </c>
      <c r="BV281" s="528"/>
      <c r="BW281" s="528">
        <f t="shared" ref="BW281:BW316" si="852">0.5*Lleak*0.000000001*AJ281^2*AN281*1000</f>
        <v>7.3947475822688472E-2</v>
      </c>
      <c r="BX281" s="460">
        <f t="shared" ref="BX281:BX316" si="853">SUM(BS281:BW281)*1000</f>
        <v>2592.4144110106722</v>
      </c>
      <c r="BY281" s="173">
        <f t="shared" ref="BY281:BY316" si="854">SUM(BG281:BK281,BO281:BQ281,BS281:BW281)</f>
        <v>6.7669902223385137</v>
      </c>
      <c r="BZ281" s="5">
        <f t="shared" ref="BZ281:BZ316" si="855">MIN(H281,O281)</f>
        <v>15.600000000000001</v>
      </c>
      <c r="CA281" s="173">
        <f t="shared" ref="CA281:CA316" si="856">BZ281/(BZ281+BY281)</f>
        <v>0.69745637857076814</v>
      </c>
      <c r="CB281" s="5">
        <f t="shared" ref="CB281:CB316" si="857">CA281*100</f>
        <v>69.745637857076815</v>
      </c>
      <c r="CE281" s="562">
        <f t="shared" si="799"/>
        <v>-50</v>
      </c>
      <c r="CF281">
        <f t="shared" si="800"/>
        <v>-50</v>
      </c>
      <c r="CG281" s="173">
        <f t="shared" si="801"/>
        <v>0.68777186761229314</v>
      </c>
      <c r="CI281" s="170">
        <v>65</v>
      </c>
      <c r="CJ281" s="217">
        <f t="shared" ref="CJ281:CJ316" si="858">IF(PLOT_TYPE=1, CI281/100*Iout_max, min_I*EXP(CR281*rr/100))</f>
        <v>3.9000000000000004</v>
      </c>
      <c r="CK281" s="217"/>
      <c r="CL281" s="217">
        <f t="shared" si="802"/>
        <v>15.600000000000001</v>
      </c>
      <c r="CM281" s="541">
        <f t="shared" si="803"/>
        <v>36</v>
      </c>
      <c r="CN281" s="443">
        <f t="shared" si="804"/>
        <v>18.8</v>
      </c>
      <c r="CO281" s="443">
        <f t="shared" si="805"/>
        <v>54.8</v>
      </c>
      <c r="CP281" s="443"/>
      <c r="CQ281" s="217">
        <f t="shared" si="806"/>
        <v>0.34306569343065696</v>
      </c>
      <c r="CR281" s="172">
        <f t="shared" si="807"/>
        <v>41.723649635036502</v>
      </c>
      <c r="CS281" s="172">
        <f t="shared" si="808"/>
        <v>15.600000000000001</v>
      </c>
      <c r="CT281" s="217">
        <f t="shared" si="809"/>
        <v>10.430912408759125</v>
      </c>
      <c r="CU281" s="217">
        <f t="shared" si="810"/>
        <v>4</v>
      </c>
      <c r="CV281" s="217"/>
      <c r="CW281" s="172">
        <f t="shared" si="811"/>
        <v>22.046200107851224</v>
      </c>
      <c r="CX281" s="172">
        <f t="shared" si="812"/>
        <v>4</v>
      </c>
      <c r="CY281" s="217">
        <f t="shared" si="813"/>
        <v>2.526241134751773</v>
      </c>
      <c r="CZ281" s="217">
        <f t="shared" si="814"/>
        <v>0.84208037825059101</v>
      </c>
      <c r="DA281" s="217">
        <f t="shared" si="815"/>
        <v>1.612494341330919</v>
      </c>
      <c r="DB281" s="197">
        <f t="shared" si="816"/>
        <v>350</v>
      </c>
      <c r="DC281" s="443">
        <f t="shared" si="817"/>
        <v>350</v>
      </c>
      <c r="DE281" s="217">
        <f t="shared" si="818"/>
        <v>2.940563086548488</v>
      </c>
      <c r="DF281" s="173">
        <f t="shared" si="819"/>
        <v>1.8769551616266944</v>
      </c>
      <c r="DG281" s="173">
        <f t="shared" si="820"/>
        <v>3.8635135443702762</v>
      </c>
      <c r="DH281" s="173"/>
      <c r="DI281" s="173">
        <f t="shared" si="821"/>
        <v>0.85106382978723416</v>
      </c>
      <c r="DJ281" s="545">
        <f t="shared" si="822"/>
        <v>1718.4374999999998</v>
      </c>
      <c r="DK281" s="528">
        <f t="shared" si="823"/>
        <v>0.79432624113475192</v>
      </c>
      <c r="DM281" s="173">
        <f t="shared" si="824"/>
        <v>2.9544155815611703</v>
      </c>
      <c r="DN281" s="173">
        <f t="shared" si="825"/>
        <v>2.526241134751773</v>
      </c>
      <c r="DO281" s="173">
        <f t="shared" si="826"/>
        <v>2.0836354084581035</v>
      </c>
      <c r="DQ281" s="545">
        <f t="shared" si="827"/>
        <v>3900.0000000000005</v>
      </c>
      <c r="DR281" s="460">
        <f t="shared" si="828"/>
        <v>350</v>
      </c>
      <c r="DT281">
        <f t="shared" si="829"/>
        <v>3900.0000000000005</v>
      </c>
      <c r="DU281">
        <f t="shared" si="830"/>
        <v>350</v>
      </c>
      <c r="DW281" s="5">
        <f t="shared" ref="DW281:DW316" si="859">1/DR281*1000</f>
        <v>2.8571428571428572</v>
      </c>
      <c r="DX281" s="5">
        <f t="shared" si="831"/>
        <v>0.84208037825059101</v>
      </c>
      <c r="DY281" s="5">
        <f t="shared" si="832"/>
        <v>2.0150624788922662</v>
      </c>
      <c r="DZ281" s="5"/>
      <c r="EA281" s="173">
        <f t="shared" si="833"/>
        <v>0.29472813238770684</v>
      </c>
      <c r="EB281" s="173">
        <f t="shared" ref="EB281:EB316" si="860">0.5*L*DN281^2*DR281*1000</f>
        <v>13.401977968915043</v>
      </c>
      <c r="EC281" s="173">
        <f t="shared" ref="EC281:EC316" si="861">DN281*Nps/2*(1-EA281)</f>
        <v>3.5633736062907633</v>
      </c>
      <c r="ED281" s="173">
        <f t="shared" ref="ED281:ED316" si="862">EB281/EC281</f>
        <v>3.7610364361612976</v>
      </c>
      <c r="EE281" s="460">
        <f t="shared" si="834"/>
        <v>82.102836879432616</v>
      </c>
      <c r="EF281" s="5">
        <f t="shared" si="835"/>
        <v>0.727661450711096</v>
      </c>
      <c r="EH281" s="173">
        <f t="shared" ref="EH281:EH316" si="863">DN281*SQRT(EA281/3)</f>
        <v>0.79181727259969903</v>
      </c>
      <c r="EI281" s="173">
        <f t="shared" ref="EI281:EI316" si="864">DN281*Nps*SQRT((1-EA281)/3)</f>
        <v>4.8995077256667319</v>
      </c>
      <c r="EK281" s="528">
        <f t="shared" ref="EK281:EK316" si="865">Rdson*EH281^2</f>
        <v>7.6490900368841571E-3</v>
      </c>
      <c r="EL281" s="528">
        <f t="shared" ref="EL281:EL316" si="866">0.5*CO281*DN281*DR281*1000*Trise</f>
        <v>0.96906609929078014</v>
      </c>
      <c r="EM281" s="528">
        <f t="shared" ref="EM281:EM316" si="867">Qg*Vdd*DR281*1000</f>
        <v>4.3749999999999997E-2</v>
      </c>
      <c r="EN281" s="528">
        <f t="shared" ref="EN281:EN316" si="868">0.5*(Coss+Csw)*CO281^2*DR281*1000</f>
        <v>0.10510639999999997</v>
      </c>
      <c r="EO281">
        <f t="shared" ref="EO281:EO316" si="869">CM281*IQ</f>
        <v>1.6199999999999999E-2</v>
      </c>
      <c r="EP281" s="460">
        <f t="shared" ref="EP281:EP316" si="870">(EO281+EM281)*1000</f>
        <v>59.949999999999996</v>
      </c>
      <c r="EQ281" s="460"/>
      <c r="ER281" s="460">
        <f t="shared" ref="ER281:ER316" si="871">SUM(EK281:EO281)*1000</f>
        <v>1141.7715893276643</v>
      </c>
      <c r="ES281" s="528">
        <f t="shared" ref="ES281:ES316" si="872">Vfwd2*CJ281</f>
        <v>2.73</v>
      </c>
      <c r="EV281" s="460">
        <f t="shared" ref="EV281:EV316" si="873">SUM(ES281:EU281)*1000</f>
        <v>2730</v>
      </c>
      <c r="EW281" s="528">
        <f t="shared" ref="EW281:EW316" si="874">Rdcr_pri*EH281^2</f>
        <v>1.880923779561678E-2</v>
      </c>
      <c r="EX281" s="528">
        <f t="shared" ref="EX281:EX316" si="875">Rdcr_sec*EI281^2</f>
        <v>0.72015527861603967</v>
      </c>
      <c r="EY281" s="528">
        <f t="shared" ref="EY281:EY316" si="876">DN281^2.5*DR281^2.5*k_core</f>
        <v>1.1623237753411146</v>
      </c>
      <c r="EZ281" s="528"/>
      <c r="FA281" s="528">
        <f t="shared" ref="FA281:FA316" si="877">0.5*Lleak*0.000000001*DN281^2*DR281*1000</f>
        <v>5.5841574870479353E-2</v>
      </c>
      <c r="FB281" s="460">
        <f t="shared" ref="FB281:FB316" si="878">SUM(EW281:FA281)*1000</f>
        <v>1957.1298666232503</v>
      </c>
      <c r="FC281" s="173">
        <f t="shared" ref="FC281:FC316" si="879">SUM(EK281:EO281,ES281:EU281,EW281:FA281)</f>
        <v>5.8289014559509145</v>
      </c>
      <c r="FD281" s="5">
        <f t="shared" ref="FD281:FD316" si="880">MIN(CL281,CS281)</f>
        <v>15.600000000000001</v>
      </c>
      <c r="FE281" s="173">
        <f t="shared" ref="FE281:FE316" si="881">FD281/(FD281+FC281)</f>
        <v>0.72798878804250611</v>
      </c>
      <c r="FF281" s="5">
        <f t="shared" ref="FF281:FF316" si="882">FE281*100</f>
        <v>72.798878804250606</v>
      </c>
      <c r="FI281" s="562">
        <f t="shared" si="836"/>
        <v>-50</v>
      </c>
      <c r="FJ281">
        <f t="shared" si="837"/>
        <v>-50</v>
      </c>
      <c r="FL281">
        <f t="shared" si="838"/>
        <v>0.6600290129019637</v>
      </c>
    </row>
    <row r="282" spans="5:168">
      <c r="E282" s="170">
        <v>66</v>
      </c>
      <c r="F282" s="217">
        <f t="shared" si="839"/>
        <v>3.96</v>
      </c>
      <c r="G282" s="217"/>
      <c r="H282" s="217">
        <f t="shared" si="764"/>
        <v>15.84</v>
      </c>
      <c r="I282" s="541">
        <f t="shared" si="765"/>
        <v>35.938852895839062</v>
      </c>
      <c r="J282" s="172">
        <f t="shared" si="766"/>
        <v>19.495512085242872</v>
      </c>
      <c r="K282" s="172">
        <f t="shared" si="767"/>
        <v>55.434364981081934</v>
      </c>
      <c r="L282" s="443"/>
      <c r="M282" s="217">
        <f t="shared" si="768"/>
        <v>0.35190830836018039</v>
      </c>
      <c r="N282" s="172">
        <f t="shared" si="769"/>
        <v>42.726392898314423</v>
      </c>
      <c r="O282" s="172">
        <f t="shared" si="762"/>
        <v>15.84</v>
      </c>
      <c r="P282" s="217">
        <f t="shared" si="770"/>
        <v>10.681598224578606</v>
      </c>
      <c r="Q282" s="217">
        <f t="shared" si="771"/>
        <v>4</v>
      </c>
      <c r="R282" s="217"/>
      <c r="S282" s="172">
        <f t="shared" si="772"/>
        <v>21.549517714915385</v>
      </c>
      <c r="T282" s="172">
        <f t="shared" si="773"/>
        <v>4</v>
      </c>
      <c r="U282" s="217">
        <f t="shared" si="774"/>
        <v>3.0551232573127871</v>
      </c>
      <c r="V282" s="217">
        <f t="shared" si="775"/>
        <v>1.0201071023053729</v>
      </c>
      <c r="W282" s="217">
        <f t="shared" si="776"/>
        <v>1.8805086487317433</v>
      </c>
      <c r="X282" s="197">
        <f t="shared" si="777"/>
        <v>350</v>
      </c>
      <c r="Y282" s="443">
        <f t="shared" si="840"/>
        <v>322.51658389644467</v>
      </c>
      <c r="AA282" s="217">
        <f t="shared" si="778"/>
        <v>3.0093346866785851</v>
      </c>
      <c r="AB282" s="173">
        <f t="shared" si="779"/>
        <v>1.8523245802544481</v>
      </c>
      <c r="AC282" s="173">
        <f t="shared" si="780"/>
        <v>3.9019852272429429</v>
      </c>
      <c r="AD282" s="173"/>
      <c r="AE282" s="173">
        <f t="shared" si="781"/>
        <v>0.82070170457903502</v>
      </c>
      <c r="AF282" s="545">
        <f t="shared" si="782"/>
        <v>1809.4272154116036</v>
      </c>
      <c r="AG282" s="528">
        <f t="shared" si="783"/>
        <v>0.76598825760709943</v>
      </c>
      <c r="AI282" s="173">
        <f t="shared" si="784"/>
        <v>3.031623560340976</v>
      </c>
      <c r="AJ282" s="173">
        <f t="shared" si="785"/>
        <v>3.0551232573127871</v>
      </c>
      <c r="AK282" s="173">
        <f t="shared" si="786"/>
        <v>2.4753999436884842</v>
      </c>
      <c r="AM282" s="545">
        <f t="shared" si="787"/>
        <v>3960</v>
      </c>
      <c r="AN282" s="460">
        <f t="shared" si="788"/>
        <v>322.51658389644467</v>
      </c>
      <c r="AP282">
        <f t="shared" si="789"/>
        <v>3960</v>
      </c>
      <c r="AQ282">
        <f t="shared" si="790"/>
        <v>322.51658389644467</v>
      </c>
      <c r="AS282" s="5">
        <f t="shared" si="763"/>
        <v>3.1006157510371164</v>
      </c>
      <c r="AT282" s="5">
        <f t="shared" si="791"/>
        <v>1.0201071023053729</v>
      </c>
      <c r="AU282" s="5">
        <f t="shared" si="722"/>
        <v>2.0805086487317435</v>
      </c>
      <c r="AV282" s="5"/>
      <c r="AW282" s="173">
        <f t="shared" si="723"/>
        <v>0.3290014578440299</v>
      </c>
      <c r="AX282" s="173">
        <f t="shared" si="792"/>
        <v>18.061789399576131</v>
      </c>
      <c r="AY282" s="173">
        <f t="shared" si="793"/>
        <v>4.0999665035273578</v>
      </c>
      <c r="AZ282" s="173">
        <f t="shared" si="794"/>
        <v>4.4053504788482742</v>
      </c>
      <c r="BA282" s="460">
        <f t="shared" si="724"/>
        <v>100.99060312823191</v>
      </c>
      <c r="BB282" s="5">
        <f t="shared" si="725"/>
        <v>0.76415110529135977</v>
      </c>
      <c r="BD282" s="173">
        <f t="shared" si="841"/>
        <v>1.0117355728002886</v>
      </c>
      <c r="BE282" s="173">
        <f t="shared" si="842"/>
        <v>5.7794816420690234</v>
      </c>
      <c r="BG282" s="528">
        <f t="shared" si="843"/>
        <v>1.248802820508824E-2</v>
      </c>
      <c r="BH282" s="528">
        <f t="shared" si="795"/>
        <v>1.0241442626240078</v>
      </c>
      <c r="BI282" s="528">
        <f t="shared" si="796"/>
        <v>0.28977190162807154</v>
      </c>
      <c r="BJ282" s="528">
        <f t="shared" si="844"/>
        <v>9.9108340652269936E-2</v>
      </c>
      <c r="BK282">
        <f t="shared" si="845"/>
        <v>1.6172483803127576E-2</v>
      </c>
      <c r="BL282" s="460">
        <f t="shared" si="846"/>
        <v>305.94438543119912</v>
      </c>
      <c r="BM282" s="528">
        <f t="shared" si="797"/>
        <v>1.1425023813229922</v>
      </c>
      <c r="BN282" s="460">
        <f t="shared" si="847"/>
        <v>1142.5023813229923</v>
      </c>
      <c r="BO282" s="528">
        <f t="shared" si="798"/>
        <v>2.7719999999999998</v>
      </c>
      <c r="BR282" s="460">
        <f t="shared" si="848"/>
        <v>2772</v>
      </c>
      <c r="BS282" s="528">
        <f t="shared" si="849"/>
        <v>3.0708266078085838E-2</v>
      </c>
      <c r="BT282" s="528">
        <f t="shared" si="850"/>
        <v>1.0020722415303855</v>
      </c>
      <c r="BU282" s="528">
        <f t="shared" si="851"/>
        <v>1.5237789607363734</v>
      </c>
      <c r="BV282" s="528"/>
      <c r="BW282" s="528">
        <f t="shared" si="852"/>
        <v>7.5257455831567205E-2</v>
      </c>
      <c r="BX282" s="460">
        <f t="shared" si="853"/>
        <v>2631.8169241764122</v>
      </c>
      <c r="BY282" s="173">
        <f t="shared" si="854"/>
        <v>6.845501941088977</v>
      </c>
      <c r="BZ282" s="5">
        <f t="shared" si="855"/>
        <v>15.84</v>
      </c>
      <c r="CA282" s="173">
        <f t="shared" si="856"/>
        <v>0.69824331157116237</v>
      </c>
      <c r="CB282" s="5">
        <f t="shared" si="857"/>
        <v>69.824331157116234</v>
      </c>
      <c r="CE282" s="562">
        <f t="shared" si="799"/>
        <v>-50</v>
      </c>
      <c r="CF282">
        <f t="shared" si="800"/>
        <v>-50</v>
      </c>
      <c r="CG282" s="173">
        <f t="shared" si="801"/>
        <v>0.68323758865248241</v>
      </c>
      <c r="CI282" s="170">
        <v>66</v>
      </c>
      <c r="CJ282" s="217">
        <f t="shared" si="858"/>
        <v>3.96</v>
      </c>
      <c r="CK282" s="217"/>
      <c r="CL282" s="217">
        <f t="shared" si="802"/>
        <v>15.84</v>
      </c>
      <c r="CM282" s="541">
        <f t="shared" si="803"/>
        <v>36</v>
      </c>
      <c r="CN282" s="443">
        <f t="shared" si="804"/>
        <v>18.8</v>
      </c>
      <c r="CO282" s="443">
        <f t="shared" si="805"/>
        <v>54.8</v>
      </c>
      <c r="CP282" s="443"/>
      <c r="CQ282" s="217">
        <f t="shared" si="806"/>
        <v>0.34306569343065696</v>
      </c>
      <c r="CR282" s="172">
        <f t="shared" si="807"/>
        <v>41.723649635036502</v>
      </c>
      <c r="CS282" s="172">
        <f t="shared" si="808"/>
        <v>15.84</v>
      </c>
      <c r="CT282" s="217">
        <f t="shared" si="809"/>
        <v>10.430912408759125</v>
      </c>
      <c r="CU282" s="217">
        <f t="shared" si="810"/>
        <v>4</v>
      </c>
      <c r="CV282" s="217"/>
      <c r="CW282" s="172">
        <f t="shared" si="811"/>
        <v>21.585722506443432</v>
      </c>
      <c r="CX282" s="172">
        <f t="shared" si="812"/>
        <v>4</v>
      </c>
      <c r="CY282" s="217">
        <f t="shared" si="813"/>
        <v>2.5651063829787231</v>
      </c>
      <c r="CZ282" s="217">
        <f t="shared" si="814"/>
        <v>0.85503546099290761</v>
      </c>
      <c r="DA282" s="217">
        <f t="shared" si="815"/>
        <v>1.6373019465821634</v>
      </c>
      <c r="DB282" s="197">
        <f t="shared" si="816"/>
        <v>350</v>
      </c>
      <c r="DC282" s="443">
        <f t="shared" si="817"/>
        <v>350</v>
      </c>
      <c r="DE282" s="217">
        <f t="shared" si="818"/>
        <v>2.940563086548488</v>
      </c>
      <c r="DF282" s="173">
        <f t="shared" si="819"/>
        <v>1.8769551616266944</v>
      </c>
      <c r="DG282" s="173">
        <f t="shared" si="820"/>
        <v>3.8635135443702762</v>
      </c>
      <c r="DH282" s="173"/>
      <c r="DI282" s="173">
        <f t="shared" si="821"/>
        <v>0.85106382978723416</v>
      </c>
      <c r="DJ282" s="545">
        <f t="shared" si="822"/>
        <v>1744.8749999999995</v>
      </c>
      <c r="DK282" s="528">
        <f t="shared" si="823"/>
        <v>0.79432624113475192</v>
      </c>
      <c r="DM282" s="173">
        <f t="shared" si="824"/>
        <v>2.9770551124991194</v>
      </c>
      <c r="DN282" s="173">
        <f t="shared" si="825"/>
        <v>2.5651063829787231</v>
      </c>
      <c r="DO282" s="173">
        <f t="shared" si="826"/>
        <v>2.1124244812188069</v>
      </c>
      <c r="DQ282" s="545">
        <f t="shared" si="827"/>
        <v>3960</v>
      </c>
      <c r="DR282" s="460">
        <f t="shared" si="828"/>
        <v>350</v>
      </c>
      <c r="DT282">
        <f t="shared" si="829"/>
        <v>3960</v>
      </c>
      <c r="DU282">
        <f t="shared" si="830"/>
        <v>350</v>
      </c>
      <c r="DW282" s="5">
        <f t="shared" si="859"/>
        <v>2.8571428571428572</v>
      </c>
      <c r="DX282" s="5">
        <f t="shared" si="831"/>
        <v>0.85503546099290761</v>
      </c>
      <c r="DY282" s="5">
        <f t="shared" si="832"/>
        <v>2.0021073961499498</v>
      </c>
      <c r="DZ282" s="5"/>
      <c r="EA282" s="173">
        <f t="shared" si="833"/>
        <v>0.29926241134751763</v>
      </c>
      <c r="EB282" s="173">
        <f t="shared" si="860"/>
        <v>13.817518587596194</v>
      </c>
      <c r="EC282" s="173">
        <f t="shared" si="861"/>
        <v>3.5949329228912026</v>
      </c>
      <c r="ED282" s="173">
        <f t="shared" si="862"/>
        <v>3.8436095704627333</v>
      </c>
      <c r="EE282" s="460">
        <f t="shared" si="834"/>
        <v>84.64851063829785</v>
      </c>
      <c r="EF282" s="5">
        <f t="shared" si="835"/>
        <v>0.73410604525498158</v>
      </c>
      <c r="EH282" s="173">
        <f t="shared" si="863"/>
        <v>0.8101600793575503</v>
      </c>
      <c r="EI282" s="173">
        <f t="shared" si="864"/>
        <v>4.9588669100614995</v>
      </c>
      <c r="EK282" s="528">
        <f t="shared" si="865"/>
        <v>8.0075841210525116E-3</v>
      </c>
      <c r="EL282" s="528">
        <f t="shared" si="866"/>
        <v>0.98397480851063823</v>
      </c>
      <c r="EM282" s="528">
        <f t="shared" si="867"/>
        <v>4.3749999999999997E-2</v>
      </c>
      <c r="EN282" s="528">
        <f t="shared" si="868"/>
        <v>0.10510639999999997</v>
      </c>
      <c r="EO282">
        <f t="shared" si="869"/>
        <v>1.6199999999999999E-2</v>
      </c>
      <c r="EP282" s="460">
        <f t="shared" si="870"/>
        <v>59.949999999999996</v>
      </c>
      <c r="EQ282" s="460"/>
      <c r="ER282" s="460">
        <f t="shared" si="871"/>
        <v>1157.0387926316907</v>
      </c>
      <c r="ES282" s="528">
        <f t="shared" si="872"/>
        <v>2.7719999999999998</v>
      </c>
      <c r="EV282" s="460">
        <f t="shared" si="873"/>
        <v>2772</v>
      </c>
      <c r="EW282" s="528">
        <f t="shared" si="874"/>
        <v>1.9690780625538966E-2</v>
      </c>
      <c r="EX282" s="528">
        <f t="shared" si="875"/>
        <v>0.73771083095108647</v>
      </c>
      <c r="EY282" s="528">
        <f t="shared" si="876"/>
        <v>1.2075456801860178</v>
      </c>
      <c r="EZ282" s="528"/>
      <c r="FA282" s="528">
        <f t="shared" si="877"/>
        <v>5.7572994114984143E-2</v>
      </c>
      <c r="FB282" s="460">
        <f t="shared" si="878"/>
        <v>2022.5202858776274</v>
      </c>
      <c r="FC282" s="173">
        <f t="shared" si="879"/>
        <v>5.9515590785093178</v>
      </c>
      <c r="FD282" s="5">
        <f t="shared" si="880"/>
        <v>15.84</v>
      </c>
      <c r="FE282" s="173">
        <f t="shared" si="881"/>
        <v>0.72688695393168534</v>
      </c>
      <c r="FF282" s="5">
        <f t="shared" si="882"/>
        <v>72.68869539316853</v>
      </c>
      <c r="FI282" s="562">
        <f t="shared" si="836"/>
        <v>-50</v>
      </c>
      <c r="FJ282">
        <f t="shared" si="837"/>
        <v>-50</v>
      </c>
      <c r="FL282">
        <f t="shared" si="838"/>
        <v>0.66508678045193093</v>
      </c>
    </row>
    <row r="283" spans="5:168">
      <c r="E283" s="170">
        <v>67</v>
      </c>
      <c r="F283" s="217">
        <f t="shared" si="839"/>
        <v>4.0200000000000005</v>
      </c>
      <c r="G283" s="217"/>
      <c r="H283" s="217">
        <f t="shared" si="764"/>
        <v>16.080000000000002</v>
      </c>
      <c r="I283" s="541">
        <f t="shared" si="765"/>
        <v>35.93751172361425</v>
      </c>
      <c r="J283" s="172">
        <f t="shared" si="766"/>
        <v>19.510767124766843</v>
      </c>
      <c r="K283" s="172">
        <f t="shared" si="767"/>
        <v>55.448278848381094</v>
      </c>
      <c r="L283" s="443"/>
      <c r="M283" s="217">
        <f t="shared" si="768"/>
        <v>0.35197983695980339</v>
      </c>
      <c r="N283" s="172">
        <f t="shared" si="769"/>
        <v>42.73348263567074</v>
      </c>
      <c r="O283" s="172">
        <f t="shared" si="762"/>
        <v>16.080000000000002</v>
      </c>
      <c r="P283" s="217">
        <f t="shared" si="770"/>
        <v>10.683370658917685</v>
      </c>
      <c r="Q283" s="217">
        <f t="shared" si="771"/>
        <v>4</v>
      </c>
      <c r="R283" s="217"/>
      <c r="S283" s="172">
        <f t="shared" si="772"/>
        <v>21.103003307526617</v>
      </c>
      <c r="T283" s="172">
        <f t="shared" si="773"/>
        <v>4</v>
      </c>
      <c r="U283" s="217">
        <f t="shared" si="774"/>
        <v>3.1017553382444984</v>
      </c>
      <c r="V283" s="217">
        <f t="shared" si="775"/>
        <v>1.0357162272444231</v>
      </c>
      <c r="W283" s="217">
        <f t="shared" si="776"/>
        <v>1.9077191491710133</v>
      </c>
      <c r="X283" s="197">
        <f t="shared" si="777"/>
        <v>350</v>
      </c>
      <c r="Y283" s="443">
        <f t="shared" si="840"/>
        <v>318.12328877596747</v>
      </c>
      <c r="AA283" s="217">
        <f t="shared" si="778"/>
        <v>3.0108213620991657</v>
      </c>
      <c r="AB283" s="173">
        <f t="shared" si="779"/>
        <v>1.8517906607232772</v>
      </c>
      <c r="AC283" s="173">
        <f t="shared" si="780"/>
        <v>3.9027876156089607</v>
      </c>
      <c r="AD283" s="173"/>
      <c r="AE283" s="173">
        <f t="shared" si="781"/>
        <v>0.82006001597393396</v>
      </c>
      <c r="AF283" s="545">
        <f t="shared" si="782"/>
        <v>1838.2800900366256</v>
      </c>
      <c r="AG283" s="528">
        <f t="shared" si="783"/>
        <v>0.76538934824233851</v>
      </c>
      <c r="AI283" s="173">
        <f t="shared" si="784"/>
        <v>3.0556988882126679</v>
      </c>
      <c r="AJ283" s="173">
        <f t="shared" si="785"/>
        <v>3.1017553382444984</v>
      </c>
      <c r="AK283" s="173">
        <f t="shared" si="786"/>
        <v>2.5099422258601223</v>
      </c>
      <c r="AM283" s="545">
        <f t="shared" si="787"/>
        <v>4020.0000000000005</v>
      </c>
      <c r="AN283" s="460">
        <f t="shared" si="788"/>
        <v>318.12328877596747</v>
      </c>
      <c r="AP283">
        <f t="shared" si="789"/>
        <v>4020.0000000000005</v>
      </c>
      <c r="AQ283">
        <f t="shared" si="790"/>
        <v>318.12328877596747</v>
      </c>
      <c r="AS283" s="5">
        <f t="shared" si="763"/>
        <v>3.1434353764154368</v>
      </c>
      <c r="AT283" s="5">
        <f t="shared" si="791"/>
        <v>1.0357162272444231</v>
      </c>
      <c r="AU283" s="5">
        <f t="shared" si="722"/>
        <v>2.1077191491710137</v>
      </c>
      <c r="AV283" s="5"/>
      <c r="AW283" s="173">
        <f t="shared" si="723"/>
        <v>0.32948545244963318</v>
      </c>
      <c r="AX283" s="173">
        <f t="shared" si="792"/>
        <v>18.363767711934177</v>
      </c>
      <c r="AY283" s="173">
        <f t="shared" si="793"/>
        <v>4.1595441544698897</v>
      </c>
      <c r="AZ283" s="173">
        <f t="shared" si="794"/>
        <v>4.4148510101041429</v>
      </c>
      <c r="BA283" s="460">
        <f t="shared" si="724"/>
        <v>104.08948083806453</v>
      </c>
      <c r="BB283" s="5">
        <f t="shared" si="725"/>
        <v>0.78590406637232613</v>
      </c>
      <c r="BD283" s="173">
        <f t="shared" si="841"/>
        <v>1.0279335314816329</v>
      </c>
      <c r="BE283" s="173">
        <f t="shared" si="842"/>
        <v>5.8655805704785227</v>
      </c>
      <c r="BG283" s="528">
        <f t="shared" si="843"/>
        <v>1.2891097610760474E-2</v>
      </c>
      <c r="BH283" s="528">
        <f t="shared" si="795"/>
        <v>1.0258700334164219</v>
      </c>
      <c r="BI283" s="528">
        <f t="shared" si="796"/>
        <v>0.28581398549852632</v>
      </c>
      <c r="BJ283" s="528">
        <f t="shared" si="844"/>
        <v>9.7807375024002982E-2</v>
      </c>
      <c r="BK283">
        <f t="shared" si="845"/>
        <v>1.6171880275626414E-2</v>
      </c>
      <c r="BL283" s="460">
        <f t="shared" si="846"/>
        <v>301.98586577415278</v>
      </c>
      <c r="BM283" s="528">
        <f t="shared" si="797"/>
        <v>1.1435517153061983</v>
      </c>
      <c r="BN283" s="460">
        <f t="shared" si="847"/>
        <v>1143.5517153061983</v>
      </c>
      <c r="BO283" s="528">
        <f t="shared" si="798"/>
        <v>2.8140000000000001</v>
      </c>
      <c r="BR283" s="460">
        <f t="shared" si="848"/>
        <v>2814</v>
      </c>
      <c r="BS283" s="528">
        <f t="shared" si="849"/>
        <v>3.1699420354329037E-2</v>
      </c>
      <c r="BT283" s="528">
        <f t="shared" si="850"/>
        <v>1.0321510628632544</v>
      </c>
      <c r="BU283" s="528">
        <f t="shared" si="851"/>
        <v>1.5292465489291098</v>
      </c>
      <c r="BV283" s="528"/>
      <c r="BW283" s="528">
        <f t="shared" si="852"/>
        <v>7.6515698799725751E-2</v>
      </c>
      <c r="BX283" s="460">
        <f t="shared" si="853"/>
        <v>2669.6127309464191</v>
      </c>
      <c r="BY283" s="173">
        <f t="shared" si="854"/>
        <v>6.9221671027717573</v>
      </c>
      <c r="BZ283" s="5">
        <f t="shared" si="855"/>
        <v>16.080000000000002</v>
      </c>
      <c r="CA283" s="173">
        <f t="shared" si="856"/>
        <v>0.69906456761903812</v>
      </c>
      <c r="CB283" s="5">
        <f t="shared" si="857"/>
        <v>69.906456761903812</v>
      </c>
      <c r="CE283" s="562">
        <f t="shared" si="799"/>
        <v>-50</v>
      </c>
      <c r="CF283">
        <f t="shared" si="800"/>
        <v>-50</v>
      </c>
      <c r="CG283" s="173">
        <f t="shared" si="801"/>
        <v>0.67870330969267145</v>
      </c>
      <c r="CI283" s="170">
        <v>67</v>
      </c>
      <c r="CJ283" s="217">
        <f t="shared" si="858"/>
        <v>4.0200000000000005</v>
      </c>
      <c r="CK283" s="217"/>
      <c r="CL283" s="217">
        <f t="shared" si="802"/>
        <v>16.080000000000002</v>
      </c>
      <c r="CM283" s="541">
        <f t="shared" si="803"/>
        <v>36</v>
      </c>
      <c r="CN283" s="443">
        <f t="shared" si="804"/>
        <v>18.8</v>
      </c>
      <c r="CO283" s="443">
        <f t="shared" si="805"/>
        <v>54.8</v>
      </c>
      <c r="CP283" s="443"/>
      <c r="CQ283" s="217">
        <f t="shared" si="806"/>
        <v>0.34306569343065696</v>
      </c>
      <c r="CR283" s="172">
        <f t="shared" si="807"/>
        <v>41.723649635036502</v>
      </c>
      <c r="CS283" s="172">
        <f t="shared" si="808"/>
        <v>16.080000000000002</v>
      </c>
      <c r="CT283" s="217">
        <f t="shared" si="809"/>
        <v>10.430912408759125</v>
      </c>
      <c r="CU283" s="217">
        <f t="shared" si="810"/>
        <v>4</v>
      </c>
      <c r="CV283" s="217"/>
      <c r="CW283" s="172">
        <f t="shared" si="811"/>
        <v>21.139218134327468</v>
      </c>
      <c r="CX283" s="172">
        <f t="shared" si="812"/>
        <v>4</v>
      </c>
      <c r="CY283" s="217">
        <f t="shared" si="813"/>
        <v>2.603971631205674</v>
      </c>
      <c r="CZ283" s="217">
        <f t="shared" si="814"/>
        <v>0.86799054373522466</v>
      </c>
      <c r="DA283" s="217">
        <f t="shared" si="815"/>
        <v>1.662109551833409</v>
      </c>
      <c r="DB283" s="197">
        <f t="shared" si="816"/>
        <v>350</v>
      </c>
      <c r="DC283" s="443">
        <f t="shared" si="817"/>
        <v>350</v>
      </c>
      <c r="DE283" s="217">
        <f t="shared" si="818"/>
        <v>2.940563086548488</v>
      </c>
      <c r="DF283" s="173">
        <f t="shared" si="819"/>
        <v>1.8769551616266944</v>
      </c>
      <c r="DG283" s="173">
        <f t="shared" si="820"/>
        <v>3.8635135443702762</v>
      </c>
      <c r="DH283" s="173"/>
      <c r="DI283" s="173">
        <f t="shared" si="821"/>
        <v>0.85106382978723416</v>
      </c>
      <c r="DJ283" s="545">
        <f t="shared" si="822"/>
        <v>1771.3124999999998</v>
      </c>
      <c r="DK283" s="528">
        <f t="shared" si="823"/>
        <v>0.79432624113475192</v>
      </c>
      <c r="DM283" s="173">
        <f t="shared" si="824"/>
        <v>2.9995237717249146</v>
      </c>
      <c r="DN283" s="173">
        <f t="shared" si="825"/>
        <v>2.603971631205674</v>
      </c>
      <c r="DO283" s="173">
        <f t="shared" si="826"/>
        <v>2.1412135539795116</v>
      </c>
      <c r="DQ283" s="545">
        <f t="shared" si="827"/>
        <v>4020.0000000000005</v>
      </c>
      <c r="DR283" s="460">
        <f t="shared" si="828"/>
        <v>350</v>
      </c>
      <c r="DT283">
        <f t="shared" si="829"/>
        <v>4020.0000000000005</v>
      </c>
      <c r="DU283">
        <f t="shared" si="830"/>
        <v>350</v>
      </c>
      <c r="DW283" s="5">
        <f t="shared" si="859"/>
        <v>2.8571428571428572</v>
      </c>
      <c r="DX283" s="5">
        <f t="shared" si="831"/>
        <v>0.86799054373522466</v>
      </c>
      <c r="DY283" s="5">
        <f t="shared" si="832"/>
        <v>1.9891523134076325</v>
      </c>
      <c r="DZ283" s="5"/>
      <c r="EA283" s="173">
        <f t="shared" si="833"/>
        <v>0.30379669030732864</v>
      </c>
      <c r="EB283" s="173">
        <f t="shared" si="860"/>
        <v>14.239403337860272</v>
      </c>
      <c r="EC283" s="173">
        <f t="shared" si="861"/>
        <v>3.6257873359824293</v>
      </c>
      <c r="ED283" s="173">
        <f t="shared" si="862"/>
        <v>3.9272582803045228</v>
      </c>
      <c r="EE283" s="460">
        <f t="shared" si="834"/>
        <v>87.233049645390096</v>
      </c>
      <c r="EF283" s="5">
        <f t="shared" si="835"/>
        <v>0.74040669443506313</v>
      </c>
      <c r="EH283" s="173">
        <f t="shared" si="863"/>
        <v>0.8286423784887379</v>
      </c>
      <c r="EI283" s="173">
        <f t="shared" si="864"/>
        <v>5.0176880104109145</v>
      </c>
      <c r="EK283" s="528">
        <f t="shared" si="865"/>
        <v>8.3771079354151672E-3</v>
      </c>
      <c r="EL283" s="528">
        <f t="shared" si="866"/>
        <v>0.99888351773049655</v>
      </c>
      <c r="EM283" s="528">
        <f t="shared" si="867"/>
        <v>4.3749999999999997E-2</v>
      </c>
      <c r="EN283" s="528">
        <f t="shared" si="868"/>
        <v>0.10510639999999997</v>
      </c>
      <c r="EO283">
        <f t="shared" si="869"/>
        <v>1.6199999999999999E-2</v>
      </c>
      <c r="EP283" s="460">
        <f t="shared" si="870"/>
        <v>59.949999999999996</v>
      </c>
      <c r="EQ283" s="460"/>
      <c r="ER283" s="460">
        <f t="shared" si="871"/>
        <v>1172.3170256659116</v>
      </c>
      <c r="ES283" s="528">
        <f t="shared" si="872"/>
        <v>2.8140000000000001</v>
      </c>
      <c r="EV283" s="460">
        <f t="shared" si="873"/>
        <v>2814</v>
      </c>
      <c r="EW283" s="528">
        <f t="shared" si="874"/>
        <v>2.0599445742824182E-2</v>
      </c>
      <c r="EX283" s="528">
        <f t="shared" si="875"/>
        <v>0.75531578909464314</v>
      </c>
      <c r="EY283" s="528">
        <f t="shared" si="876"/>
        <v>1.2538071338469694</v>
      </c>
      <c r="EZ283" s="528"/>
      <c r="FA283" s="528">
        <f t="shared" si="877"/>
        <v>5.9330847241084464E-2</v>
      </c>
      <c r="FB283" s="460">
        <f t="shared" si="878"/>
        <v>2089.0532159255213</v>
      </c>
      <c r="FC283" s="173">
        <f t="shared" si="879"/>
        <v>6.0753702415914326</v>
      </c>
      <c r="FD283" s="5">
        <f t="shared" si="880"/>
        <v>16.080000000000002</v>
      </c>
      <c r="FE283" s="173">
        <f t="shared" si="881"/>
        <v>0.72578340260880092</v>
      </c>
      <c r="FF283" s="5">
        <f t="shared" si="882"/>
        <v>72.578340260880097</v>
      </c>
      <c r="FI283" s="562">
        <f t="shared" si="836"/>
        <v>-50</v>
      </c>
      <c r="FJ283">
        <f t="shared" si="837"/>
        <v>-50</v>
      </c>
      <c r="FL283">
        <f t="shared" si="838"/>
        <v>0.67010637453428956</v>
      </c>
    </row>
    <row r="284" spans="5:168">
      <c r="E284" s="170">
        <v>68</v>
      </c>
      <c r="F284" s="217">
        <f t="shared" si="839"/>
        <v>4.08</v>
      </c>
      <c r="G284" s="217"/>
      <c r="H284" s="217">
        <f t="shared" si="764"/>
        <v>16.32</v>
      </c>
      <c r="I284" s="541">
        <f t="shared" si="765"/>
        <v>35.936152510664563</v>
      </c>
      <c r="J284" s="172">
        <f t="shared" si="766"/>
        <v>19.526227366848602</v>
      </c>
      <c r="K284" s="172">
        <f t="shared" si="767"/>
        <v>55.462379877513165</v>
      </c>
      <c r="L284" s="443"/>
      <c r="M284" s="217">
        <f t="shared" si="768"/>
        <v>0.35205100120782451</v>
      </c>
      <c r="N284" s="172">
        <f t="shared" si="769"/>
        <v>42.740506034313931</v>
      </c>
      <c r="O284" s="172">
        <f t="shared" si="762"/>
        <v>16.32</v>
      </c>
      <c r="P284" s="217">
        <f t="shared" si="770"/>
        <v>10.685126508578483</v>
      </c>
      <c r="Q284" s="217">
        <f t="shared" si="771"/>
        <v>4</v>
      </c>
      <c r="R284" s="217"/>
      <c r="S284" s="172">
        <f t="shared" si="772"/>
        <v>20.669848633433151</v>
      </c>
      <c r="T284" s="172">
        <f t="shared" si="773"/>
        <v>4</v>
      </c>
      <c r="U284" s="217">
        <f t="shared" si="774"/>
        <v>3.14839594443808</v>
      </c>
      <c r="V284" s="217">
        <f t="shared" si="775"/>
        <v>1.0513298918698932</v>
      </c>
      <c r="W284" s="217">
        <f t="shared" si="776"/>
        <v>1.9348720376676898</v>
      </c>
      <c r="X284" s="197">
        <f t="shared" si="777"/>
        <v>350</v>
      </c>
      <c r="Y284" s="443">
        <f t="shared" si="840"/>
        <v>313.85330312229485</v>
      </c>
      <c r="AA284" s="217">
        <f t="shared" si="778"/>
        <v>3.0123270952081103</v>
      </c>
      <c r="AB284" s="173">
        <f t="shared" si="779"/>
        <v>1.8512498325134146</v>
      </c>
      <c r="AC284" s="173">
        <f t="shared" si="780"/>
        <v>3.9035990213357445</v>
      </c>
      <c r="AD284" s="173"/>
      <c r="AE284" s="173">
        <f t="shared" si="781"/>
        <v>0.81941071869134396</v>
      </c>
      <c r="AF284" s="545">
        <f t="shared" si="782"/>
        <v>1867.1954919548971</v>
      </c>
      <c r="AG284" s="528">
        <f t="shared" si="783"/>
        <v>0.76478333744525451</v>
      </c>
      <c r="AI284" s="173">
        <f t="shared" si="784"/>
        <v>3.0796375725373282</v>
      </c>
      <c r="AJ284" s="173">
        <f t="shared" si="785"/>
        <v>3.14839594443808</v>
      </c>
      <c r="AK284" s="173">
        <f t="shared" si="786"/>
        <v>2.5444908230405527</v>
      </c>
      <c r="AM284" s="545">
        <f t="shared" si="787"/>
        <v>4080</v>
      </c>
      <c r="AN284" s="460">
        <f t="shared" si="788"/>
        <v>313.85330312229485</v>
      </c>
      <c r="AP284">
        <f t="shared" si="789"/>
        <v>4080</v>
      </c>
      <c r="AQ284">
        <f t="shared" si="790"/>
        <v>313.85330312229485</v>
      </c>
      <c r="AS284" s="5">
        <f t="shared" si="763"/>
        <v>3.1862019295375839</v>
      </c>
      <c r="AT284" s="5">
        <f t="shared" si="791"/>
        <v>1.0513298918698932</v>
      </c>
      <c r="AU284" s="5">
        <f t="shared" si="722"/>
        <v>2.1348720376676908</v>
      </c>
      <c r="AV284" s="5"/>
      <c r="AW284" s="173">
        <f t="shared" si="723"/>
        <v>0.32996335923457104</v>
      </c>
      <c r="AX284" s="173">
        <f t="shared" si="792"/>
        <v>18.666231285082571</v>
      </c>
      <c r="AY284" s="173">
        <f t="shared" si="793"/>
        <v>4.2190812848215833</v>
      </c>
      <c r="AZ284" s="173">
        <f t="shared" si="794"/>
        <v>4.4242407351182216</v>
      </c>
      <c r="BA284" s="460">
        <f t="shared" si="724"/>
        <v>107.2356489707291</v>
      </c>
      <c r="BB284" s="5">
        <f t="shared" si="725"/>
        <v>0.80794012947446903</v>
      </c>
      <c r="BD284" s="173">
        <f t="shared" si="841"/>
        <v>1.0441468319096239</v>
      </c>
      <c r="BE284" s="173">
        <f t="shared" si="842"/>
        <v>5.9516582353462635</v>
      </c>
      <c r="BG284" s="528">
        <f t="shared" si="843"/>
        <v>1.3300959800360232E-2</v>
      </c>
      <c r="BH284" s="528">
        <f t="shared" si="795"/>
        <v>1.0275804217895392</v>
      </c>
      <c r="BI284" s="528">
        <f t="shared" si="796"/>
        <v>0.28196700417446557</v>
      </c>
      <c r="BJ284" s="528">
        <f t="shared" si="844"/>
        <v>9.6543648196334209E-2</v>
      </c>
      <c r="BK284">
        <f t="shared" si="845"/>
        <v>1.6171268629799052E-2</v>
      </c>
      <c r="BL284" s="460">
        <f t="shared" si="846"/>
        <v>298.13827280426466</v>
      </c>
      <c r="BM284" s="528">
        <f t="shared" si="797"/>
        <v>1.144633683976461</v>
      </c>
      <c r="BN284" s="460">
        <f t="shared" si="847"/>
        <v>1144.633683976461</v>
      </c>
      <c r="BO284" s="528">
        <f t="shared" si="798"/>
        <v>2.8559999999999999</v>
      </c>
      <c r="BR284" s="460">
        <f t="shared" si="848"/>
        <v>2856</v>
      </c>
      <c r="BS284" s="528">
        <f t="shared" si="849"/>
        <v>3.2707278197607131E-2</v>
      </c>
      <c r="BT284" s="528">
        <f t="shared" si="850"/>
        <v>1.0626670725109499</v>
      </c>
      <c r="BU284" s="528">
        <f t="shared" si="851"/>
        <v>1.5346527584320362</v>
      </c>
      <c r="BV284" s="528"/>
      <c r="BW284" s="528">
        <f t="shared" si="852"/>
        <v>7.7775963687844049E-2</v>
      </c>
      <c r="BX284" s="460">
        <f t="shared" si="853"/>
        <v>2707.8030728284375</v>
      </c>
      <c r="BY284" s="173">
        <f t="shared" si="854"/>
        <v>6.9993663754189361</v>
      </c>
      <c r="BZ284" s="5">
        <f t="shared" si="855"/>
        <v>16.32</v>
      </c>
      <c r="CA284" s="173">
        <f t="shared" si="856"/>
        <v>0.69984748887529791</v>
      </c>
      <c r="CB284" s="5">
        <f t="shared" si="857"/>
        <v>69.98474888752979</v>
      </c>
      <c r="CE284" s="562">
        <f t="shared" si="799"/>
        <v>-50</v>
      </c>
      <c r="CF284">
        <f t="shared" si="800"/>
        <v>-50</v>
      </c>
      <c r="CG284" s="173">
        <f t="shared" si="801"/>
        <v>0.67416903073286061</v>
      </c>
      <c r="CI284" s="170">
        <v>68</v>
      </c>
      <c r="CJ284" s="217">
        <f t="shared" si="858"/>
        <v>4.08</v>
      </c>
      <c r="CK284" s="217"/>
      <c r="CL284" s="217">
        <f t="shared" si="802"/>
        <v>16.32</v>
      </c>
      <c r="CM284" s="541">
        <f t="shared" si="803"/>
        <v>36</v>
      </c>
      <c r="CN284" s="443">
        <f t="shared" si="804"/>
        <v>18.8</v>
      </c>
      <c r="CO284" s="443">
        <f t="shared" si="805"/>
        <v>54.8</v>
      </c>
      <c r="CP284" s="443"/>
      <c r="CQ284" s="217">
        <f t="shared" si="806"/>
        <v>0.34306569343065696</v>
      </c>
      <c r="CR284" s="172">
        <f t="shared" si="807"/>
        <v>41.723649635036502</v>
      </c>
      <c r="CS284" s="172">
        <f t="shared" si="808"/>
        <v>16.32</v>
      </c>
      <c r="CT284" s="217">
        <f t="shared" si="809"/>
        <v>10.430912408759125</v>
      </c>
      <c r="CU284" s="217">
        <f t="shared" si="810"/>
        <v>4</v>
      </c>
      <c r="CV284" s="217"/>
      <c r="CW284" s="172">
        <f t="shared" si="811"/>
        <v>20.706073699140326</v>
      </c>
      <c r="CX284" s="172">
        <f t="shared" si="812"/>
        <v>4</v>
      </c>
      <c r="CY284" s="217">
        <f t="shared" si="813"/>
        <v>2.642836879432624</v>
      </c>
      <c r="CZ284" s="217">
        <f t="shared" si="814"/>
        <v>0.88094562647754127</v>
      </c>
      <c r="DA284" s="217">
        <f t="shared" si="815"/>
        <v>1.6869171570846535</v>
      </c>
      <c r="DB284" s="197">
        <f t="shared" si="816"/>
        <v>350</v>
      </c>
      <c r="DC284" s="443">
        <f t="shared" si="817"/>
        <v>350</v>
      </c>
      <c r="DE284" s="217">
        <f t="shared" si="818"/>
        <v>2.940563086548488</v>
      </c>
      <c r="DF284" s="173">
        <f t="shared" si="819"/>
        <v>1.8769551616266944</v>
      </c>
      <c r="DG284" s="173">
        <f t="shared" si="820"/>
        <v>3.8635135443702762</v>
      </c>
      <c r="DH284" s="173"/>
      <c r="DI284" s="173">
        <f t="shared" si="821"/>
        <v>0.85106382978723416</v>
      </c>
      <c r="DJ284" s="545">
        <f t="shared" si="822"/>
        <v>1797.7499999999995</v>
      </c>
      <c r="DK284" s="528">
        <f t="shared" si="823"/>
        <v>0.79432624113475192</v>
      </c>
      <c r="DM284" s="173">
        <f t="shared" si="824"/>
        <v>3.0218253707698879</v>
      </c>
      <c r="DN284" s="173">
        <f t="shared" si="825"/>
        <v>2.642836879432624</v>
      </c>
      <c r="DO284" s="173">
        <f t="shared" si="826"/>
        <v>2.170002626740215</v>
      </c>
      <c r="DQ284" s="545">
        <f t="shared" si="827"/>
        <v>4080</v>
      </c>
      <c r="DR284" s="460">
        <f t="shared" si="828"/>
        <v>350</v>
      </c>
      <c r="DT284">
        <f t="shared" si="829"/>
        <v>4080</v>
      </c>
      <c r="DU284">
        <f t="shared" si="830"/>
        <v>350</v>
      </c>
      <c r="DW284" s="5">
        <f t="shared" si="859"/>
        <v>2.8571428571428572</v>
      </c>
      <c r="DX284" s="5">
        <f t="shared" si="831"/>
        <v>0.88094562647754127</v>
      </c>
      <c r="DY284" s="5">
        <f t="shared" si="832"/>
        <v>1.9761972306653159</v>
      </c>
      <c r="DZ284" s="5"/>
      <c r="EA284" s="173">
        <f t="shared" si="833"/>
        <v>0.30833096926713943</v>
      </c>
      <c r="EB284" s="173">
        <f t="shared" si="860"/>
        <v>14.66763221970726</v>
      </c>
      <c r="EC284" s="173">
        <f t="shared" si="861"/>
        <v>3.6559368455644421</v>
      </c>
      <c r="ED284" s="173">
        <f t="shared" si="862"/>
        <v>4.0120037186918953</v>
      </c>
      <c r="EE284" s="460">
        <f t="shared" si="834"/>
        <v>89.856453900709198</v>
      </c>
      <c r="EF284" s="5">
        <f t="shared" si="835"/>
        <v>0.74656339825134155</v>
      </c>
      <c r="EH284" s="173">
        <f t="shared" si="863"/>
        <v>0.84726312503299506</v>
      </c>
      <c r="EI284" s="173">
        <f t="shared" si="864"/>
        <v>5.0759681439332089</v>
      </c>
      <c r="EK284" s="528">
        <f t="shared" si="865"/>
        <v>8.7578285970962549E-3</v>
      </c>
      <c r="EL284" s="528">
        <f t="shared" si="866"/>
        <v>1.0137922269503545</v>
      </c>
      <c r="EM284" s="528">
        <f t="shared" si="867"/>
        <v>4.3749999999999997E-2</v>
      </c>
      <c r="EN284" s="528">
        <f t="shared" si="868"/>
        <v>0.10510639999999997</v>
      </c>
      <c r="EO284">
        <f t="shared" si="869"/>
        <v>1.6199999999999999E-2</v>
      </c>
      <c r="EP284" s="460">
        <f t="shared" si="870"/>
        <v>59.949999999999996</v>
      </c>
      <c r="EQ284" s="460"/>
      <c r="ER284" s="460">
        <f t="shared" si="871"/>
        <v>1187.6064555474507</v>
      </c>
      <c r="ES284" s="528">
        <f t="shared" si="872"/>
        <v>2.8559999999999999</v>
      </c>
      <c r="EV284" s="460">
        <f t="shared" si="873"/>
        <v>2856</v>
      </c>
      <c r="EW284" s="528">
        <f t="shared" si="874"/>
        <v>2.1535644091220298E-2</v>
      </c>
      <c r="EX284" s="528">
        <f t="shared" si="875"/>
        <v>0.77296357794674242</v>
      </c>
      <c r="EY284" s="528">
        <f t="shared" si="876"/>
        <v>1.3011159822351412</v>
      </c>
      <c r="EZ284" s="528"/>
      <c r="FA284" s="528">
        <f t="shared" si="877"/>
        <v>6.1115134248780248E-2</v>
      </c>
      <c r="FB284" s="460">
        <f t="shared" si="878"/>
        <v>2156.7303385218838</v>
      </c>
      <c r="FC284" s="173">
        <f t="shared" si="879"/>
        <v>6.2003367940693357</v>
      </c>
      <c r="FD284" s="5">
        <f t="shared" si="880"/>
        <v>16.32</v>
      </c>
      <c r="FE284" s="173">
        <f t="shared" si="881"/>
        <v>0.72467832738175675</v>
      </c>
      <c r="FF284" s="5">
        <f t="shared" si="882"/>
        <v>72.467832738175673</v>
      </c>
      <c r="FI284" s="562">
        <f t="shared" si="836"/>
        <v>-50</v>
      </c>
      <c r="FJ284">
        <f t="shared" si="837"/>
        <v>-50</v>
      </c>
      <c r="FL284">
        <f t="shared" si="838"/>
        <v>0.67508864666135804</v>
      </c>
    </row>
    <row r="285" spans="5:168">
      <c r="E285" s="170">
        <v>69</v>
      </c>
      <c r="F285" s="217">
        <f t="shared" si="839"/>
        <v>4.1399999999999997</v>
      </c>
      <c r="G285" s="217"/>
      <c r="H285" s="217">
        <f t="shared" si="764"/>
        <v>16.559999999999999</v>
      </c>
      <c r="I285" s="541">
        <f t="shared" si="765"/>
        <v>35.934774890514042</v>
      </c>
      <c r="J285" s="172">
        <f t="shared" si="766"/>
        <v>19.541896979935078</v>
      </c>
      <c r="K285" s="172">
        <f t="shared" si="767"/>
        <v>55.476671870449124</v>
      </c>
      <c r="L285" s="443"/>
      <c r="M285" s="217">
        <f t="shared" si="768"/>
        <v>0.35212181402704046</v>
      </c>
      <c r="N285" s="172">
        <f t="shared" si="769"/>
        <v>42.747464219120047</v>
      </c>
      <c r="O285" s="172">
        <f t="shared" si="762"/>
        <v>16.559999999999999</v>
      </c>
      <c r="P285" s="217">
        <f t="shared" si="770"/>
        <v>10.686866054780012</v>
      </c>
      <c r="Q285" s="217">
        <f t="shared" si="771"/>
        <v>4</v>
      </c>
      <c r="R285" s="217"/>
      <c r="S285" s="172">
        <f t="shared" si="772"/>
        <v>20.249475991345097</v>
      </c>
      <c r="T285" s="172">
        <f t="shared" si="773"/>
        <v>4</v>
      </c>
      <c r="U285" s="217">
        <f t="shared" si="774"/>
        <v>3.1950450637435037</v>
      </c>
      <c r="V285" s="217">
        <f t="shared" si="775"/>
        <v>1.0669481270367738</v>
      </c>
      <c r="W285" s="217">
        <f t="shared" si="776"/>
        <v>1.9619661696246145</v>
      </c>
      <c r="X285" s="197">
        <f t="shared" si="777"/>
        <v>350</v>
      </c>
      <c r="Y285" s="443">
        <f t="shared" si="840"/>
        <v>309.7016235562441</v>
      </c>
      <c r="AA285" s="217">
        <f t="shared" si="778"/>
        <v>3.0138522546466167</v>
      </c>
      <c r="AB285" s="173">
        <f t="shared" si="779"/>
        <v>1.8507019606588648</v>
      </c>
      <c r="AC285" s="173">
        <f t="shared" si="780"/>
        <v>3.9044195937674435</v>
      </c>
      <c r="AD285" s="173"/>
      <c r="AE285" s="173">
        <f t="shared" si="781"/>
        <v>0.81875367659691545</v>
      </c>
      <c r="AF285" s="545">
        <f t="shared" si="782"/>
        <v>1896.1746913343247</v>
      </c>
      <c r="AG285" s="528">
        <f t="shared" si="783"/>
        <v>0.76417009815712122</v>
      </c>
      <c r="AI285" s="173">
        <f t="shared" si="784"/>
        <v>3.1034438147869587</v>
      </c>
      <c r="AJ285" s="173">
        <f t="shared" si="785"/>
        <v>3.1950450637435037</v>
      </c>
      <c r="AK285" s="173">
        <f t="shared" si="786"/>
        <v>2.5790457262297557</v>
      </c>
      <c r="AM285" s="545">
        <f t="shared" si="787"/>
        <v>4140</v>
      </c>
      <c r="AN285" s="460">
        <f t="shared" si="788"/>
        <v>309.7016235562441</v>
      </c>
      <c r="AP285">
        <f t="shared" si="789"/>
        <v>4140</v>
      </c>
      <c r="AQ285">
        <f t="shared" si="790"/>
        <v>309.7016235562441</v>
      </c>
      <c r="AS285" s="5">
        <f t="shared" si="763"/>
        <v>3.2289142966613884</v>
      </c>
      <c r="AT285" s="5">
        <f t="shared" si="791"/>
        <v>1.0669481270367738</v>
      </c>
      <c r="AU285" s="5">
        <f t="shared" si="722"/>
        <v>2.1619661696246144</v>
      </c>
      <c r="AV285" s="5"/>
      <c r="AW285" s="173">
        <f t="shared" si="723"/>
        <v>0.33043556719358264</v>
      </c>
      <c r="AX285" s="173">
        <f t="shared" si="792"/>
        <v>18.969186583688867</v>
      </c>
      <c r="AY285" s="173">
        <f t="shared" si="793"/>
        <v>4.2785770717927258</v>
      </c>
      <c r="AZ285" s="173">
        <f t="shared" si="794"/>
        <v>4.4335269098566847</v>
      </c>
      <c r="BA285" s="460">
        <f t="shared" si="724"/>
        <v>110.42913114830607</v>
      </c>
      <c r="BB285" s="5">
        <f t="shared" si="725"/>
        <v>0.83025796687808018</v>
      </c>
      <c r="BD285" s="173">
        <f t="shared" si="841"/>
        <v>1.060375669721662</v>
      </c>
      <c r="BE285" s="173">
        <f t="shared" si="842"/>
        <v>6.0377140382935179</v>
      </c>
      <c r="BG285" s="528">
        <f t="shared" si="843"/>
        <v>1.3717638043439489E-2</v>
      </c>
      <c r="BH285" s="528">
        <f t="shared" si="795"/>
        <v>1.0292766991129312</v>
      </c>
      <c r="BI285" s="528">
        <f t="shared" si="796"/>
        <v>0.27822645314300881</v>
      </c>
      <c r="BJ285" s="528">
        <f t="shared" si="844"/>
        <v>9.5315664618404419E-2</v>
      </c>
      <c r="BK285">
        <f t="shared" si="845"/>
        <v>1.6170648700731319E-2</v>
      </c>
      <c r="BL285" s="460">
        <f t="shared" si="846"/>
        <v>294.39710184374013</v>
      </c>
      <c r="BM285" s="528">
        <f t="shared" si="797"/>
        <v>1.1457481132450762</v>
      </c>
      <c r="BN285" s="460">
        <f t="shared" si="847"/>
        <v>1145.7481132450762</v>
      </c>
      <c r="BO285" s="528">
        <f t="shared" si="798"/>
        <v>2.8979999999999997</v>
      </c>
      <c r="BR285" s="460">
        <f t="shared" si="848"/>
        <v>2897.9999999999995</v>
      </c>
      <c r="BS285" s="528">
        <f t="shared" si="849"/>
        <v>3.3731896828129895E-2</v>
      </c>
      <c r="BT285" s="528">
        <f t="shared" si="850"/>
        <v>1.0936197242461985</v>
      </c>
      <c r="BU285" s="528">
        <f t="shared" si="851"/>
        <v>1.5400016259614906</v>
      </c>
      <c r="BV285" s="528"/>
      <c r="BW285" s="528">
        <f t="shared" si="852"/>
        <v>7.9038277432036952E-2</v>
      </c>
      <c r="BX285" s="460">
        <f t="shared" si="853"/>
        <v>2746.391524467856</v>
      </c>
      <c r="BY285" s="173">
        <f t="shared" si="854"/>
        <v>7.0770986280863708</v>
      </c>
      <c r="BZ285" s="5">
        <f t="shared" si="855"/>
        <v>16.559999999999999</v>
      </c>
      <c r="CA285" s="173">
        <f t="shared" si="856"/>
        <v>0.70059359909438579</v>
      </c>
      <c r="CB285" s="5">
        <f t="shared" si="857"/>
        <v>70.059359909438584</v>
      </c>
      <c r="CE285" s="562">
        <f t="shared" si="799"/>
        <v>-50</v>
      </c>
      <c r="CF285">
        <f t="shared" si="800"/>
        <v>-50</v>
      </c>
      <c r="CG285" s="173">
        <f t="shared" si="801"/>
        <v>0.66963475177304976</v>
      </c>
      <c r="CI285" s="170">
        <v>69</v>
      </c>
      <c r="CJ285" s="217">
        <f t="shared" si="858"/>
        <v>4.1399999999999997</v>
      </c>
      <c r="CK285" s="217"/>
      <c r="CL285" s="217">
        <f t="shared" si="802"/>
        <v>16.559999999999999</v>
      </c>
      <c r="CM285" s="541">
        <f t="shared" si="803"/>
        <v>36</v>
      </c>
      <c r="CN285" s="443">
        <f t="shared" si="804"/>
        <v>18.8</v>
      </c>
      <c r="CO285" s="443">
        <f t="shared" si="805"/>
        <v>54.8</v>
      </c>
      <c r="CP285" s="443"/>
      <c r="CQ285" s="217">
        <f t="shared" si="806"/>
        <v>0.34306569343065696</v>
      </c>
      <c r="CR285" s="172">
        <f t="shared" si="807"/>
        <v>41.723649635036502</v>
      </c>
      <c r="CS285" s="172">
        <f t="shared" si="808"/>
        <v>16.559999999999999</v>
      </c>
      <c r="CT285" s="217">
        <f t="shared" si="809"/>
        <v>10.430912408759125</v>
      </c>
      <c r="CU285" s="217">
        <f t="shared" si="810"/>
        <v>4</v>
      </c>
      <c r="CV285" s="217"/>
      <c r="CW285" s="172">
        <f t="shared" si="811"/>
        <v>20.285711506689449</v>
      </c>
      <c r="CX285" s="172">
        <f t="shared" si="812"/>
        <v>4</v>
      </c>
      <c r="CY285" s="217">
        <f t="shared" si="813"/>
        <v>2.6817021276595741</v>
      </c>
      <c r="CZ285" s="217">
        <f t="shared" si="814"/>
        <v>0.89390070921985798</v>
      </c>
      <c r="DA285" s="217">
        <f t="shared" si="815"/>
        <v>1.7117247623358982</v>
      </c>
      <c r="DB285" s="197">
        <f t="shared" si="816"/>
        <v>350</v>
      </c>
      <c r="DC285" s="443">
        <f t="shared" si="817"/>
        <v>350</v>
      </c>
      <c r="DE285" s="217">
        <f t="shared" si="818"/>
        <v>2.940563086548488</v>
      </c>
      <c r="DF285" s="173">
        <f t="shared" si="819"/>
        <v>1.8769551616266944</v>
      </c>
      <c r="DG285" s="173">
        <f t="shared" si="820"/>
        <v>3.8635135443702762</v>
      </c>
      <c r="DH285" s="173"/>
      <c r="DI285" s="173">
        <f t="shared" si="821"/>
        <v>0.85106382978723416</v>
      </c>
      <c r="DJ285" s="545">
        <f t="shared" si="822"/>
        <v>1824.1874999999995</v>
      </c>
      <c r="DK285" s="528">
        <f t="shared" si="823"/>
        <v>0.79432624113475192</v>
      </c>
      <c r="DM285" s="173">
        <f t="shared" si="824"/>
        <v>3.0439635815354764</v>
      </c>
      <c r="DN285" s="173">
        <f t="shared" si="825"/>
        <v>2.6817021276595741</v>
      </c>
      <c r="DO285" s="173">
        <f t="shared" si="826"/>
        <v>2.1987916995009189</v>
      </c>
      <c r="DQ285" s="545">
        <f t="shared" si="827"/>
        <v>4140</v>
      </c>
      <c r="DR285" s="460">
        <f t="shared" si="828"/>
        <v>350</v>
      </c>
      <c r="DT285">
        <f t="shared" si="829"/>
        <v>4140</v>
      </c>
      <c r="DU285">
        <f t="shared" si="830"/>
        <v>350</v>
      </c>
      <c r="DW285" s="5">
        <f t="shared" si="859"/>
        <v>2.8571428571428572</v>
      </c>
      <c r="DX285" s="5">
        <f t="shared" si="831"/>
        <v>0.89390070921985798</v>
      </c>
      <c r="DY285" s="5">
        <f t="shared" si="832"/>
        <v>1.9632421479229993</v>
      </c>
      <c r="DZ285" s="5"/>
      <c r="EA285" s="173">
        <f t="shared" si="833"/>
        <v>0.31286524822695028</v>
      </c>
      <c r="EB285" s="173">
        <f t="shared" si="860"/>
        <v>15.102205233137163</v>
      </c>
      <c r="EC285" s="173">
        <f t="shared" si="861"/>
        <v>3.6853814516372414</v>
      </c>
      <c r="ED285" s="173">
        <f t="shared" si="862"/>
        <v>4.0978675969696337</v>
      </c>
      <c r="EE285" s="460">
        <f t="shared" si="834"/>
        <v>92.518723404255297</v>
      </c>
      <c r="EF285" s="5">
        <f t="shared" si="835"/>
        <v>0.75257615670381628</v>
      </c>
      <c r="EH285" s="173">
        <f t="shared" si="863"/>
        <v>0.86602129716836374</v>
      </c>
      <c r="EI285" s="173">
        <f t="shared" si="864"/>
        <v>5.1337043883451177</v>
      </c>
      <c r="EK285" s="528">
        <f t="shared" si="865"/>
        <v>9.1499132232199382E-3</v>
      </c>
      <c r="EL285" s="528">
        <f t="shared" si="866"/>
        <v>1.0287009361702124</v>
      </c>
      <c r="EM285" s="528">
        <f t="shared" si="867"/>
        <v>4.3749999999999997E-2</v>
      </c>
      <c r="EN285" s="528">
        <f t="shared" si="868"/>
        <v>0.10510639999999997</v>
      </c>
      <c r="EO285">
        <f t="shared" si="869"/>
        <v>1.6199999999999999E-2</v>
      </c>
      <c r="EP285" s="460">
        <f t="shared" si="870"/>
        <v>59.949999999999996</v>
      </c>
      <c r="EQ285" s="460"/>
      <c r="ER285" s="460">
        <f t="shared" si="871"/>
        <v>1202.9072493934323</v>
      </c>
      <c r="ES285" s="528">
        <f t="shared" si="872"/>
        <v>2.8979999999999997</v>
      </c>
      <c r="EV285" s="460">
        <f t="shared" si="873"/>
        <v>2897.9999999999995</v>
      </c>
      <c r="EW285" s="528">
        <f t="shared" si="874"/>
        <v>2.249978661447526E-2</v>
      </c>
      <c r="EX285" s="528">
        <f t="shared" si="875"/>
        <v>0.79064762240741759</v>
      </c>
      <c r="EY285" s="528">
        <f t="shared" si="876"/>
        <v>1.3494800129221283</v>
      </c>
      <c r="EZ285" s="528"/>
      <c r="FA285" s="528">
        <f t="shared" si="877"/>
        <v>6.2925855138071515E-2</v>
      </c>
      <c r="FB285" s="460">
        <f t="shared" si="878"/>
        <v>2225.5532770820923</v>
      </c>
      <c r="FC285" s="173">
        <f t="shared" si="879"/>
        <v>6.3264605264755245</v>
      </c>
      <c r="FD285" s="5">
        <f t="shared" si="880"/>
        <v>16.559999999999999</v>
      </c>
      <c r="FE285" s="173">
        <f t="shared" si="881"/>
        <v>0.72357191191023418</v>
      </c>
      <c r="FF285" s="5">
        <f t="shared" si="882"/>
        <v>72.357191191023418</v>
      </c>
      <c r="FI285" s="562">
        <f t="shared" si="836"/>
        <v>-50</v>
      </c>
      <c r="FJ285">
        <f t="shared" si="837"/>
        <v>-50</v>
      </c>
      <c r="FL285">
        <f t="shared" si="838"/>
        <v>0.68003441715154256</v>
      </c>
    </row>
    <row r="286" spans="5:168">
      <c r="E286" s="170">
        <v>70</v>
      </c>
      <c r="F286" s="217">
        <f t="shared" si="839"/>
        <v>4.1999999999999993</v>
      </c>
      <c r="G286" s="217"/>
      <c r="H286" s="217">
        <f t="shared" si="764"/>
        <v>16.799999999999997</v>
      </c>
      <c r="I286" s="541">
        <f t="shared" si="765"/>
        <v>35.93337848669303</v>
      </c>
      <c r="J286" s="172">
        <f t="shared" si="766"/>
        <v>19.557780246145644</v>
      </c>
      <c r="K286" s="172">
        <f t="shared" si="767"/>
        <v>55.49115873283867</v>
      </c>
      <c r="L286" s="443"/>
      <c r="M286" s="217">
        <f t="shared" si="768"/>
        <v>0.35222179612759158</v>
      </c>
      <c r="N286" s="172">
        <f t="shared" si="769"/>
        <v>42.757940398403463</v>
      </c>
      <c r="O286" s="172">
        <f t="shared" si="762"/>
        <v>16.799999999999997</v>
      </c>
      <c r="P286" s="217">
        <f t="shared" si="770"/>
        <v>10.689485099600866</v>
      </c>
      <c r="Q286" s="217">
        <f t="shared" si="771"/>
        <v>4</v>
      </c>
      <c r="R286" s="217"/>
      <c r="S286" s="172">
        <f t="shared" si="772"/>
        <v>19.841340735496889</v>
      </c>
      <c r="T286" s="172">
        <f t="shared" si="773"/>
        <v>4</v>
      </c>
      <c r="U286" s="217">
        <f t="shared" si="774"/>
        <v>3.2418503547143618</v>
      </c>
      <c r="V286" s="217">
        <f t="shared" si="775"/>
        <v>1.0826202793867195</v>
      </c>
      <c r="W286" s="217">
        <f t="shared" si="776"/>
        <v>1.9890909789846425</v>
      </c>
      <c r="X286" s="197">
        <f t="shared" si="777"/>
        <v>350</v>
      </c>
      <c r="Y286" s="443">
        <f t="shared" si="840"/>
        <v>305.65044437869921</v>
      </c>
      <c r="AA286" s="217">
        <f t="shared" si="778"/>
        <v>3.0153972186204658</v>
      </c>
      <c r="AB286" s="173">
        <f t="shared" si="779"/>
        <v>1.8501469066550493</v>
      </c>
      <c r="AC286" s="173">
        <f t="shared" si="780"/>
        <v>3.9052494854568258</v>
      </c>
      <c r="AD286" s="173"/>
      <c r="AE286" s="173">
        <f t="shared" si="781"/>
        <v>0.81808875028919548</v>
      </c>
      <c r="AF286" s="545">
        <f t="shared" si="782"/>
        <v>1925.2189929799608</v>
      </c>
      <c r="AG286" s="528">
        <f t="shared" si="783"/>
        <v>0.76354950026991597</v>
      </c>
      <c r="AI286" s="173">
        <f t="shared" si="784"/>
        <v>3.127121699434293</v>
      </c>
      <c r="AJ286" s="173">
        <f t="shared" si="785"/>
        <v>3.2418503547143618</v>
      </c>
      <c r="AK286" s="173">
        <f t="shared" si="786"/>
        <v>2.6137163121340947</v>
      </c>
      <c r="AM286" s="545">
        <f t="shared" si="787"/>
        <v>4199.9999999999991</v>
      </c>
      <c r="AN286" s="460">
        <f t="shared" si="788"/>
        <v>305.65044437869921</v>
      </c>
      <c r="AP286">
        <f t="shared" si="789"/>
        <v>4199.9999999999991</v>
      </c>
      <c r="AQ286">
        <f t="shared" si="790"/>
        <v>305.65044437869921</v>
      </c>
      <c r="AS286" s="5">
        <f t="shared" si="763"/>
        <v>3.2717112583713623</v>
      </c>
      <c r="AT286" s="5">
        <f t="shared" si="791"/>
        <v>1.0826202793867195</v>
      </c>
      <c r="AU286" s="5">
        <f t="shared" si="722"/>
        <v>2.1890909789846429</v>
      </c>
      <c r="AV286" s="5"/>
      <c r="AW286" s="173">
        <f t="shared" si="723"/>
        <v>0.33090336948794224</v>
      </c>
      <c r="AX286" s="173">
        <f t="shared" si="792"/>
        <v>19.273571948876523</v>
      </c>
      <c r="AY286" s="173">
        <f t="shared" si="793"/>
        <v>4.3382222979273974</v>
      </c>
      <c r="AZ286" s="173">
        <f t="shared" si="794"/>
        <v>4.4427349788148351</v>
      </c>
      <c r="BA286" s="460">
        <f t="shared" si="724"/>
        <v>113.67512933560553</v>
      </c>
      <c r="BB286" s="5">
        <f t="shared" si="725"/>
        <v>0.85289151748239855</v>
      </c>
      <c r="BD286" s="173">
        <f t="shared" si="841"/>
        <v>1.0766707907060526</v>
      </c>
      <c r="BE286" s="173">
        <f t="shared" si="842"/>
        <v>6.1240220977972069</v>
      </c>
      <c r="BG286" s="528">
        <f t="shared" si="843"/>
        <v>1.4142483897027078E-2</v>
      </c>
      <c r="BH286" s="528">
        <f t="shared" si="795"/>
        <v>1.0309629564723233</v>
      </c>
      <c r="BI286" s="528">
        <f t="shared" si="796"/>
        <v>0.2745763275621429</v>
      </c>
      <c r="BJ286" s="528">
        <f t="shared" si="844"/>
        <v>9.4117984575629671E-2</v>
      </c>
      <c r="BK286">
        <f t="shared" si="845"/>
        <v>1.6170020319011862E-2</v>
      </c>
      <c r="BL286" s="460">
        <f t="shared" si="846"/>
        <v>290.7463478811548</v>
      </c>
      <c r="BM286" s="528">
        <f t="shared" si="797"/>
        <v>1.1468957568512033</v>
      </c>
      <c r="BN286" s="460">
        <f t="shared" si="847"/>
        <v>1146.8957568512033</v>
      </c>
      <c r="BO286" s="528">
        <f t="shared" si="798"/>
        <v>2.9399999999999995</v>
      </c>
      <c r="BR286" s="460">
        <f t="shared" si="848"/>
        <v>2939.9999999999995</v>
      </c>
      <c r="BS286" s="528">
        <f t="shared" si="849"/>
        <v>3.4776599746787901E-2</v>
      </c>
      <c r="BT286" s="528">
        <f t="shared" si="850"/>
        <v>1.1251093996292552</v>
      </c>
      <c r="BU286" s="528">
        <f t="shared" si="851"/>
        <v>1.5453077851199626</v>
      </c>
      <c r="BV286" s="528"/>
      <c r="BW286" s="528">
        <f t="shared" si="852"/>
        <v>8.0306549786985523E-2</v>
      </c>
      <c r="BX286" s="460">
        <f t="shared" si="853"/>
        <v>2785.5003342829909</v>
      </c>
      <c r="BY286" s="173">
        <f t="shared" si="854"/>
        <v>7.1554701071091262</v>
      </c>
      <c r="BZ286" s="5">
        <f t="shared" si="855"/>
        <v>16.799999999999997</v>
      </c>
      <c r="CA286" s="173">
        <f t="shared" si="856"/>
        <v>0.70130120281022423</v>
      </c>
      <c r="CB286" s="5">
        <f t="shared" si="857"/>
        <v>70.130120281022428</v>
      </c>
      <c r="CE286" s="562">
        <f t="shared" si="799"/>
        <v>-50</v>
      </c>
      <c r="CF286">
        <f t="shared" si="800"/>
        <v>-50</v>
      </c>
      <c r="CG286" s="173">
        <f t="shared" si="801"/>
        <v>0.66510047281323892</v>
      </c>
      <c r="CI286" s="170">
        <v>70</v>
      </c>
      <c r="CJ286" s="217">
        <f t="shared" si="858"/>
        <v>4.1999999999999993</v>
      </c>
      <c r="CK286" s="217"/>
      <c r="CL286" s="217">
        <f t="shared" si="802"/>
        <v>16.799999999999997</v>
      </c>
      <c r="CM286" s="541">
        <f t="shared" si="803"/>
        <v>36</v>
      </c>
      <c r="CN286" s="443">
        <f t="shared" si="804"/>
        <v>18.8</v>
      </c>
      <c r="CO286" s="443">
        <f t="shared" si="805"/>
        <v>54.8</v>
      </c>
      <c r="CP286" s="443"/>
      <c r="CQ286" s="217">
        <f t="shared" si="806"/>
        <v>0.34306569343065696</v>
      </c>
      <c r="CR286" s="172">
        <f t="shared" si="807"/>
        <v>41.723649635036502</v>
      </c>
      <c r="CS286" s="172">
        <f t="shared" si="808"/>
        <v>16.799999999999997</v>
      </c>
      <c r="CT286" s="217">
        <f t="shared" si="809"/>
        <v>10.430912408759125</v>
      </c>
      <c r="CU286" s="217">
        <f t="shared" si="810"/>
        <v>4</v>
      </c>
      <c r="CV286" s="217"/>
      <c r="CW286" s="172">
        <f t="shared" si="811"/>
        <v>19.877586918610781</v>
      </c>
      <c r="CX286" s="172">
        <f t="shared" si="812"/>
        <v>4</v>
      </c>
      <c r="CY286" s="217">
        <f t="shared" si="813"/>
        <v>2.7205673758865241</v>
      </c>
      <c r="CZ286" s="217">
        <f t="shared" si="814"/>
        <v>0.9068557919621747</v>
      </c>
      <c r="DA286" s="217">
        <f t="shared" si="815"/>
        <v>1.7365323675871429</v>
      </c>
      <c r="DB286" s="197">
        <f t="shared" si="816"/>
        <v>350</v>
      </c>
      <c r="DC286" s="443">
        <f t="shared" si="817"/>
        <v>350</v>
      </c>
      <c r="DE286" s="217">
        <f t="shared" si="818"/>
        <v>2.940563086548488</v>
      </c>
      <c r="DF286" s="173">
        <f t="shared" si="819"/>
        <v>1.8769551616266944</v>
      </c>
      <c r="DG286" s="173">
        <f t="shared" si="820"/>
        <v>3.8635135443702762</v>
      </c>
      <c r="DH286" s="173"/>
      <c r="DI286" s="173">
        <f t="shared" si="821"/>
        <v>0.85106382978723416</v>
      </c>
      <c r="DJ286" s="545">
        <f t="shared" si="822"/>
        <v>1850.6249999999993</v>
      </c>
      <c r="DK286" s="528">
        <f t="shared" si="823"/>
        <v>0.79432624113475192</v>
      </c>
      <c r="DM286" s="173">
        <f t="shared" si="824"/>
        <v>3.0659419433511781</v>
      </c>
      <c r="DN286" s="173">
        <f t="shared" si="825"/>
        <v>2.7205673758865241</v>
      </c>
      <c r="DO286" s="173">
        <f t="shared" si="826"/>
        <v>2.2275807722616228</v>
      </c>
      <c r="DQ286" s="545">
        <f t="shared" si="827"/>
        <v>4199.9999999999991</v>
      </c>
      <c r="DR286" s="460">
        <f t="shared" si="828"/>
        <v>350</v>
      </c>
      <c r="DT286">
        <f t="shared" si="829"/>
        <v>4199.9999999999991</v>
      </c>
      <c r="DU286">
        <f t="shared" si="830"/>
        <v>350</v>
      </c>
      <c r="DW286" s="5">
        <f t="shared" si="859"/>
        <v>2.8571428571428572</v>
      </c>
      <c r="DX286" s="5">
        <f t="shared" si="831"/>
        <v>0.9068557919621747</v>
      </c>
      <c r="DY286" s="5">
        <f t="shared" si="832"/>
        <v>1.9502870651806825</v>
      </c>
      <c r="DZ286" s="5"/>
      <c r="EA286" s="173">
        <f t="shared" si="833"/>
        <v>0.31739952718676112</v>
      </c>
      <c r="EB286" s="173">
        <f t="shared" si="860"/>
        <v>15.543122378149985</v>
      </c>
      <c r="EC286" s="173">
        <f t="shared" si="861"/>
        <v>3.7141211542008277</v>
      </c>
      <c r="ED286" s="173">
        <f t="shared" si="862"/>
        <v>4.184872203366349</v>
      </c>
      <c r="EE286" s="460">
        <f t="shared" si="834"/>
        <v>95.219858156028323</v>
      </c>
      <c r="EF286" s="5">
        <f t="shared" si="835"/>
        <v>0.75844496979248732</v>
      </c>
      <c r="EH286" s="173">
        <f t="shared" si="863"/>
        <v>0.88491589536966742</v>
      </c>
      <c r="EI286" s="173">
        <f t="shared" si="864"/>
        <v>5.190893781025582</v>
      </c>
      <c r="EK286" s="528">
        <f t="shared" si="865"/>
        <v>9.5535289309103821E-3</v>
      </c>
      <c r="EL286" s="528">
        <f t="shared" si="866"/>
        <v>1.0436096453900705</v>
      </c>
      <c r="EM286" s="528">
        <f t="shared" si="867"/>
        <v>4.3749999999999997E-2</v>
      </c>
      <c r="EN286" s="528">
        <f t="shared" si="868"/>
        <v>0.10510639999999997</v>
      </c>
      <c r="EO286">
        <f t="shared" si="869"/>
        <v>1.6199999999999999E-2</v>
      </c>
      <c r="EP286" s="460">
        <f t="shared" si="870"/>
        <v>59.949999999999996</v>
      </c>
      <c r="EQ286" s="460"/>
      <c r="ER286" s="460">
        <f t="shared" si="871"/>
        <v>1218.2195743209807</v>
      </c>
      <c r="ES286" s="528">
        <f t="shared" si="872"/>
        <v>2.9399999999999995</v>
      </c>
      <c r="EV286" s="460">
        <f t="shared" si="873"/>
        <v>2939.9999999999995</v>
      </c>
      <c r="EW286" s="528">
        <f t="shared" si="874"/>
        <v>2.3492284256337006E-2</v>
      </c>
      <c r="EX286" s="528">
        <f t="shared" si="875"/>
        <v>0.80836134737670184</v>
      </c>
      <c r="EY286" s="528">
        <f t="shared" si="876"/>
        <v>1.3989069564223402</v>
      </c>
      <c r="EZ286" s="528"/>
      <c r="FA286" s="528">
        <f t="shared" si="877"/>
        <v>6.476300990895828E-2</v>
      </c>
      <c r="FB286" s="460">
        <f t="shared" si="878"/>
        <v>2295.5235979643376</v>
      </c>
      <c r="FC286" s="173">
        <f t="shared" si="879"/>
        <v>6.4537431722853178</v>
      </c>
      <c r="FD286" s="5">
        <f t="shared" si="880"/>
        <v>16.799999999999997</v>
      </c>
      <c r="FE286" s="173">
        <f t="shared" si="881"/>
        <v>0.72246433081891381</v>
      </c>
      <c r="FF286" s="5">
        <f t="shared" si="882"/>
        <v>72.246433081891382</v>
      </c>
      <c r="FI286" s="562">
        <f t="shared" si="836"/>
        <v>-50</v>
      </c>
      <c r="FJ286">
        <f t="shared" si="837"/>
        <v>-50</v>
      </c>
      <c r="FL286">
        <f t="shared" si="838"/>
        <v>0.68260047281323888</v>
      </c>
    </row>
    <row r="287" spans="5:168">
      <c r="E287" s="170">
        <v>71</v>
      </c>
      <c r="F287" s="217">
        <f t="shared" si="839"/>
        <v>4.26</v>
      </c>
      <c r="G287" s="217"/>
      <c r="H287" s="217">
        <f t="shared" si="764"/>
        <v>17.04</v>
      </c>
      <c r="I287" s="541">
        <f t="shared" si="765"/>
        <v>35.931962912395164</v>
      </c>
      <c r="J287" s="172">
        <f t="shared" si="766"/>
        <v>19.573881565173512</v>
      </c>
      <c r="K287" s="172">
        <f t="shared" si="767"/>
        <v>55.505844477568672</v>
      </c>
      <c r="L287" s="443"/>
      <c r="M287" s="217">
        <f t="shared" si="768"/>
        <v>0.3524123912839851</v>
      </c>
      <c r="N287" s="172">
        <f t="shared" si="769"/>
        <v>42.779392348755628</v>
      </c>
      <c r="O287" s="172">
        <f t="shared" si="762"/>
        <v>17.04</v>
      </c>
      <c r="P287" s="217">
        <f t="shared" si="770"/>
        <v>10.694848087188907</v>
      </c>
      <c r="Q287" s="217">
        <f t="shared" si="771"/>
        <v>4</v>
      </c>
      <c r="R287" s="217"/>
      <c r="S287" s="172">
        <f t="shared" si="772"/>
        <v>19.444928948124211</v>
      </c>
      <c r="T287" s="172">
        <f t="shared" si="773"/>
        <v>4</v>
      </c>
      <c r="U287" s="217">
        <f t="shared" si="774"/>
        <v>3.289130260264236</v>
      </c>
      <c r="V287" s="217">
        <f t="shared" si="775"/>
        <v>1.0984527402357784</v>
      </c>
      <c r="W287" s="217">
        <f t="shared" si="776"/>
        <v>2.0164402748505625</v>
      </c>
      <c r="X287" s="197">
        <f t="shared" si="777"/>
        <v>350</v>
      </c>
      <c r="Y287" s="443">
        <f t="shared" si="840"/>
        <v>301.66886094028393</v>
      </c>
      <c r="AA287" s="217">
        <f t="shared" si="778"/>
        <v>3.0169623752120751</v>
      </c>
      <c r="AB287" s="173">
        <f t="shared" si="779"/>
        <v>1.8495845283420655</v>
      </c>
      <c r="AC287" s="173">
        <f t="shared" si="780"/>
        <v>3.9060888522476684</v>
      </c>
      <c r="AD287" s="173"/>
      <c r="AE287" s="173">
        <f t="shared" si="781"/>
        <v>0.81741579700102629</v>
      </c>
      <c r="AF287" s="545">
        <f t="shared" si="782"/>
        <v>1954.3297375227921</v>
      </c>
      <c r="AG287" s="528">
        <f t="shared" si="783"/>
        <v>0.7629214105342913</v>
      </c>
      <c r="AI287" s="173">
        <f t="shared" si="784"/>
        <v>3.1506752010224721</v>
      </c>
      <c r="AJ287" s="173">
        <f t="shared" si="785"/>
        <v>3.289130260264236</v>
      </c>
      <c r="AK287" s="173">
        <f t="shared" si="786"/>
        <v>2.6487384643932614</v>
      </c>
      <c r="AM287" s="545">
        <f t="shared" si="787"/>
        <v>4260</v>
      </c>
      <c r="AN287" s="460">
        <f t="shared" si="788"/>
        <v>301.66886094028393</v>
      </c>
      <c r="AP287">
        <f t="shared" si="789"/>
        <v>4260</v>
      </c>
      <c r="AQ287">
        <f t="shared" si="790"/>
        <v>301.66886094028393</v>
      </c>
      <c r="AS287" s="5">
        <f t="shared" si="763"/>
        <v>3.3148930150863412</v>
      </c>
      <c r="AT287" s="5">
        <f t="shared" si="791"/>
        <v>1.0984527402357784</v>
      </c>
      <c r="AU287" s="5">
        <f t="shared" si="722"/>
        <v>2.2164402748505627</v>
      </c>
      <c r="AV287" s="5"/>
      <c r="AW287" s="173">
        <f t="shared" si="723"/>
        <v>0.3313689869436609</v>
      </c>
      <c r="AX287" s="173">
        <f t="shared" si="792"/>
        <v>19.581406373751282</v>
      </c>
      <c r="AY287" s="173">
        <f t="shared" si="793"/>
        <v>4.3984289959894731</v>
      </c>
      <c r="AZ287" s="173">
        <f t="shared" si="794"/>
        <v>4.4519091683884824</v>
      </c>
      <c r="BA287" s="460">
        <f t="shared" si="724"/>
        <v>116.98521683511041</v>
      </c>
      <c r="BB287" s="5">
        <f t="shared" si="725"/>
        <v>0.87591796695361823</v>
      </c>
      <c r="BD287" s="173">
        <f t="shared" si="841"/>
        <v>1.0931414844108047</v>
      </c>
      <c r="BE287" s="173">
        <f t="shared" si="842"/>
        <v>6.2111739970975144</v>
      </c>
      <c r="BG287" s="528">
        <f t="shared" si="843"/>
        <v>1.457849132026626E-2</v>
      </c>
      <c r="BH287" s="528">
        <f t="shared" si="795"/>
        <v>1.0326461811615386</v>
      </c>
      <c r="BI287" s="528">
        <f t="shared" si="796"/>
        <v>0.27098885807826939</v>
      </c>
      <c r="BJ287" s="528">
        <f t="shared" si="844"/>
        <v>9.2941122297058337E-2</v>
      </c>
      <c r="BK287">
        <f t="shared" si="845"/>
        <v>1.6169383310577823E-2</v>
      </c>
      <c r="BL287" s="460">
        <f t="shared" si="846"/>
        <v>287.15824138884722</v>
      </c>
      <c r="BM287" s="528">
        <f t="shared" si="797"/>
        <v>1.1480787595157214</v>
      </c>
      <c r="BN287" s="460">
        <f t="shared" si="847"/>
        <v>1148.0787595157215</v>
      </c>
      <c r="BO287" s="528">
        <f t="shared" si="798"/>
        <v>2.9819999999999998</v>
      </c>
      <c r="BR287" s="460">
        <f t="shared" si="848"/>
        <v>2981.9999999999995</v>
      </c>
      <c r="BS287" s="528">
        <f t="shared" si="849"/>
        <v>3.5848749148195726E-2</v>
      </c>
      <c r="BT287" s="528">
        <f t="shared" si="850"/>
        <v>1.1573604726666094</v>
      </c>
      <c r="BU287" s="528">
        <f t="shared" si="851"/>
        <v>1.5505968459209822</v>
      </c>
      <c r="BV287" s="528"/>
      <c r="BW287" s="528">
        <f t="shared" si="852"/>
        <v>8.1589193223963671E-2</v>
      </c>
      <c r="BX287" s="460">
        <f t="shared" si="853"/>
        <v>2825.3952609597509</v>
      </c>
      <c r="BY287" s="173">
        <f t="shared" si="854"/>
        <v>7.2347192971274623</v>
      </c>
      <c r="BZ287" s="5">
        <f t="shared" si="855"/>
        <v>17.04</v>
      </c>
      <c r="CA287" s="173">
        <f t="shared" si="856"/>
        <v>0.7019648627622409</v>
      </c>
      <c r="CB287" s="5">
        <f t="shared" si="857"/>
        <v>70.196486276224093</v>
      </c>
      <c r="CE287" s="562">
        <f t="shared" si="799"/>
        <v>-50</v>
      </c>
      <c r="CF287">
        <f t="shared" si="800"/>
        <v>-50</v>
      </c>
      <c r="CG287" s="173">
        <f t="shared" si="801"/>
        <v>0.66056619385342807</v>
      </c>
      <c r="CI287" s="170">
        <v>71</v>
      </c>
      <c r="CJ287" s="217">
        <f t="shared" si="858"/>
        <v>4.26</v>
      </c>
      <c r="CK287" s="217"/>
      <c r="CL287" s="217">
        <f t="shared" si="802"/>
        <v>17.04</v>
      </c>
      <c r="CM287" s="541">
        <f t="shared" si="803"/>
        <v>36</v>
      </c>
      <c r="CN287" s="443">
        <f t="shared" si="804"/>
        <v>18.8</v>
      </c>
      <c r="CO287" s="443">
        <f t="shared" si="805"/>
        <v>54.8</v>
      </c>
      <c r="CP287" s="443"/>
      <c r="CQ287" s="217">
        <f t="shared" si="806"/>
        <v>0.34306569343065696</v>
      </c>
      <c r="CR287" s="172">
        <f t="shared" si="807"/>
        <v>41.723649635036502</v>
      </c>
      <c r="CS287" s="172">
        <f t="shared" si="808"/>
        <v>17.04</v>
      </c>
      <c r="CT287" s="217">
        <f t="shared" si="809"/>
        <v>10.430912408759125</v>
      </c>
      <c r="CU287" s="217">
        <f t="shared" si="810"/>
        <v>4</v>
      </c>
      <c r="CV287" s="217"/>
      <c r="CW287" s="172">
        <f t="shared" si="811"/>
        <v>19.481186024859781</v>
      </c>
      <c r="CX287" s="172">
        <f t="shared" si="812"/>
        <v>4</v>
      </c>
      <c r="CY287" s="217">
        <f t="shared" si="813"/>
        <v>2.7594326241134746</v>
      </c>
      <c r="CZ287" s="217">
        <f t="shared" si="814"/>
        <v>0.91981087470449152</v>
      </c>
      <c r="DA287" s="217">
        <f t="shared" si="815"/>
        <v>1.7613399728383878</v>
      </c>
      <c r="DB287" s="197">
        <f t="shared" si="816"/>
        <v>350</v>
      </c>
      <c r="DC287" s="443">
        <f t="shared" si="817"/>
        <v>350</v>
      </c>
      <c r="DE287" s="217">
        <f t="shared" si="818"/>
        <v>2.940563086548488</v>
      </c>
      <c r="DF287" s="173">
        <f t="shared" si="819"/>
        <v>1.8769551616266944</v>
      </c>
      <c r="DG287" s="173">
        <f t="shared" si="820"/>
        <v>3.8635135443702762</v>
      </c>
      <c r="DH287" s="173"/>
      <c r="DI287" s="173">
        <f t="shared" si="821"/>
        <v>0.85106382978723416</v>
      </c>
      <c r="DJ287" s="545">
        <f t="shared" si="822"/>
        <v>1877.0624999999995</v>
      </c>
      <c r="DK287" s="528">
        <f t="shared" si="823"/>
        <v>0.79432624113475192</v>
      </c>
      <c r="DM287" s="173">
        <f t="shared" si="824"/>
        <v>3.0877638695803333</v>
      </c>
      <c r="DN287" s="173">
        <f t="shared" si="825"/>
        <v>2.7594326241134746</v>
      </c>
      <c r="DO287" s="173">
        <f t="shared" si="826"/>
        <v>2.2563698450223266</v>
      </c>
      <c r="DQ287" s="545">
        <f t="shared" si="827"/>
        <v>4260</v>
      </c>
      <c r="DR287" s="460">
        <f t="shared" si="828"/>
        <v>350</v>
      </c>
      <c r="DT287">
        <f t="shared" si="829"/>
        <v>4260</v>
      </c>
      <c r="DU287">
        <f t="shared" si="830"/>
        <v>350</v>
      </c>
      <c r="DW287" s="5">
        <f t="shared" si="859"/>
        <v>2.8571428571428572</v>
      </c>
      <c r="DX287" s="5">
        <f t="shared" si="831"/>
        <v>0.91981087470449152</v>
      </c>
      <c r="DY287" s="5">
        <f t="shared" si="832"/>
        <v>1.9373319824383657</v>
      </c>
      <c r="DZ287" s="5"/>
      <c r="EA287" s="173">
        <f t="shared" si="833"/>
        <v>0.32193380614657202</v>
      </c>
      <c r="EB287" s="173">
        <f t="shared" si="860"/>
        <v>15.990383654745731</v>
      </c>
      <c r="EC287" s="173">
        <f t="shared" si="861"/>
        <v>3.7421559532552018</v>
      </c>
      <c r="ED287" s="173">
        <f t="shared" si="862"/>
        <v>4.2730404222828078</v>
      </c>
      <c r="EE287" s="460">
        <f t="shared" si="834"/>
        <v>97.959858156028346</v>
      </c>
      <c r="EF287" s="5">
        <f t="shared" si="835"/>
        <v>0.76416983751735523</v>
      </c>
      <c r="EH287" s="173">
        <f t="shared" si="863"/>
        <v>0.90394594160922137</v>
      </c>
      <c r="EI287" s="173">
        <f t="shared" si="864"/>
        <v>5.2475333181557122</v>
      </c>
      <c r="EK287" s="528">
        <f t="shared" si="865"/>
        <v>9.968842837291738E-3</v>
      </c>
      <c r="EL287" s="528">
        <f t="shared" si="866"/>
        <v>1.0585183546099286</v>
      </c>
      <c r="EM287" s="528">
        <f t="shared" si="867"/>
        <v>4.3749999999999997E-2</v>
      </c>
      <c r="EN287" s="528">
        <f t="shared" si="868"/>
        <v>0.10510639999999997</v>
      </c>
      <c r="EO287">
        <f t="shared" si="869"/>
        <v>1.6199999999999999E-2</v>
      </c>
      <c r="EP287" s="460">
        <f t="shared" si="870"/>
        <v>59.949999999999996</v>
      </c>
      <c r="EQ287" s="460"/>
      <c r="ER287" s="460">
        <f t="shared" si="871"/>
        <v>1233.5435974472202</v>
      </c>
      <c r="ES287" s="528">
        <f t="shared" si="872"/>
        <v>2.9819999999999998</v>
      </c>
      <c r="EV287" s="460">
        <f t="shared" si="873"/>
        <v>2981.9999999999995</v>
      </c>
      <c r="EW287" s="528">
        <f t="shared" si="874"/>
        <v>2.4513547960553456E-2</v>
      </c>
      <c r="EX287" s="528">
        <f t="shared" si="875"/>
        <v>0.8260981777546289</v>
      </c>
      <c r="EY287" s="528">
        <f t="shared" si="876"/>
        <v>1.4494044874290861</v>
      </c>
      <c r="EZ287" s="528"/>
      <c r="FA287" s="528">
        <f t="shared" si="877"/>
        <v>6.6626598561440542E-2</v>
      </c>
      <c r="FB287" s="460">
        <f t="shared" si="878"/>
        <v>2366.6428117057094</v>
      </c>
      <c r="FC287" s="173">
        <f t="shared" si="879"/>
        <v>6.5821864091529285</v>
      </c>
      <c r="FD287" s="5">
        <f t="shared" si="880"/>
        <v>17.04</v>
      </c>
      <c r="FE287" s="173">
        <f t="shared" si="881"/>
        <v>0.72135575026185905</v>
      </c>
      <c r="FF287" s="5">
        <f t="shared" si="882"/>
        <v>72.135575026185904</v>
      </c>
      <c r="FI287" s="562">
        <f t="shared" si="836"/>
        <v>-50</v>
      </c>
      <c r="FJ287">
        <f t="shared" si="837"/>
        <v>-50</v>
      </c>
      <c r="FL287">
        <f t="shared" si="838"/>
        <v>0.67806619385342803</v>
      </c>
    </row>
    <row r="288" spans="5:168">
      <c r="E288" s="170">
        <v>72</v>
      </c>
      <c r="F288" s="217">
        <f t="shared" si="839"/>
        <v>4.32</v>
      </c>
      <c r="G288" s="217"/>
      <c r="H288" s="217">
        <f t="shared" si="764"/>
        <v>17.28</v>
      </c>
      <c r="I288" s="541">
        <f t="shared" si="765"/>
        <v>35.930527770120165</v>
      </c>
      <c r="J288" s="172">
        <f t="shared" si="766"/>
        <v>19.590205458348876</v>
      </c>
      <c r="K288" s="172">
        <f t="shared" si="767"/>
        <v>55.520733228469041</v>
      </c>
      <c r="L288" s="443"/>
      <c r="M288" s="217">
        <f t="shared" si="768"/>
        <v>0.35260545678936361</v>
      </c>
      <c r="N288" s="172">
        <f t="shared" si="769"/>
        <v>42.801119030621763</v>
      </c>
      <c r="O288" s="172">
        <f t="shared" si="762"/>
        <v>17.28</v>
      </c>
      <c r="P288" s="217">
        <f t="shared" si="770"/>
        <v>10.700279757655441</v>
      </c>
      <c r="Q288" s="217">
        <f t="shared" si="771"/>
        <v>4</v>
      </c>
      <c r="R288" s="217"/>
      <c r="S288" s="172">
        <f t="shared" si="772"/>
        <v>19.059755305885513</v>
      </c>
      <c r="T288" s="172">
        <f t="shared" si="773"/>
        <v>4</v>
      </c>
      <c r="U288" s="217">
        <f t="shared" si="774"/>
        <v>3.3364507357258062</v>
      </c>
      <c r="V288" s="217">
        <f t="shared" si="775"/>
        <v>1.1143006049024637</v>
      </c>
      <c r="W288" s="217">
        <f t="shared" si="776"/>
        <v>2.0437462442052485</v>
      </c>
      <c r="X288" s="197">
        <f t="shared" si="777"/>
        <v>350</v>
      </c>
      <c r="Y288" s="443">
        <f t="shared" si="840"/>
        <v>297.79215268116826</v>
      </c>
      <c r="AA288" s="217">
        <f t="shared" si="778"/>
        <v>3.0185481227048392</v>
      </c>
      <c r="AB288" s="173">
        <f t="shared" si="779"/>
        <v>1.8490146797833034</v>
      </c>
      <c r="AC288" s="173">
        <f t="shared" si="780"/>
        <v>3.9069378533595058</v>
      </c>
      <c r="AD288" s="173"/>
      <c r="AE288" s="173">
        <f t="shared" si="781"/>
        <v>0.81673467049735238</v>
      </c>
      <c r="AF288" s="545">
        <f t="shared" si="782"/>
        <v>1983.5083026578232</v>
      </c>
      <c r="AG288" s="528">
        <f t="shared" si="783"/>
        <v>0.76228569246419564</v>
      </c>
      <c r="AI288" s="173">
        <f t="shared" si="784"/>
        <v>3.1741081908389401</v>
      </c>
      <c r="AJ288" s="173">
        <f t="shared" si="785"/>
        <v>3.3364507357258062</v>
      </c>
      <c r="AK288" s="173">
        <f t="shared" si="786"/>
        <v>2.6837906684388688</v>
      </c>
      <c r="AM288" s="545">
        <f t="shared" si="787"/>
        <v>4320</v>
      </c>
      <c r="AN288" s="460">
        <f t="shared" si="788"/>
        <v>297.79215268116826</v>
      </c>
      <c r="AP288">
        <f t="shared" si="789"/>
        <v>4320</v>
      </c>
      <c r="AQ288">
        <f t="shared" si="790"/>
        <v>297.79215268116826</v>
      </c>
      <c r="AS288" s="5">
        <f t="shared" si="763"/>
        <v>3.3580468491077129</v>
      </c>
      <c r="AT288" s="5">
        <f t="shared" si="791"/>
        <v>1.1143006049024637</v>
      </c>
      <c r="AU288" s="5">
        <f t="shared" si="722"/>
        <v>2.2437462442052492</v>
      </c>
      <c r="AV288" s="5"/>
      <c r="AW288" s="173">
        <f t="shared" si="723"/>
        <v>0.33182997586783264</v>
      </c>
      <c r="AX288" s="173">
        <f t="shared" si="792"/>
        <v>19.889961061531704</v>
      </c>
      <c r="AY288" s="173">
        <f t="shared" si="793"/>
        <v>4.4586327372113983</v>
      </c>
      <c r="AZ288" s="173">
        <f t="shared" si="794"/>
        <v>4.4610000943858088</v>
      </c>
      <c r="BA288" s="460">
        <f t="shared" si="724"/>
        <v>120.3444653294661</v>
      </c>
      <c r="BB288" s="5">
        <f t="shared" si="725"/>
        <v>0.89923382487647574</v>
      </c>
      <c r="BD288" s="173">
        <f t="shared" si="841"/>
        <v>1.1096394720396356</v>
      </c>
      <c r="BE288" s="173">
        <f t="shared" si="842"/>
        <v>6.298361369202869</v>
      </c>
      <c r="BG288" s="528">
        <f t="shared" si="843"/>
        <v>1.5021857046482495E-2</v>
      </c>
      <c r="BH288" s="528">
        <f t="shared" si="795"/>
        <v>1.0343188292477046</v>
      </c>
      <c r="BI288" s="528">
        <f t="shared" si="796"/>
        <v>0.26749573029086449</v>
      </c>
      <c r="BJ288" s="528">
        <f t="shared" si="844"/>
        <v>9.1795974170101588E-2</v>
      </c>
      <c r="BK288">
        <f t="shared" si="845"/>
        <v>1.6168737496554075E-2</v>
      </c>
      <c r="BL288" s="460">
        <f t="shared" si="846"/>
        <v>283.66446778741857</v>
      </c>
      <c r="BM288" s="528">
        <f t="shared" si="797"/>
        <v>1.1492946164359754</v>
      </c>
      <c r="BN288" s="460">
        <f t="shared" si="847"/>
        <v>1149.2946164359755</v>
      </c>
      <c r="BO288" s="528">
        <f t="shared" si="798"/>
        <v>3.024</v>
      </c>
      <c r="BR288" s="460">
        <f t="shared" si="848"/>
        <v>3024</v>
      </c>
      <c r="BS288" s="528">
        <f t="shared" si="849"/>
        <v>3.6938992737252034E-2</v>
      </c>
      <c r="BT288" s="528">
        <f t="shared" si="850"/>
        <v>1.190080678112011</v>
      </c>
      <c r="BU288" s="528">
        <f t="shared" si="851"/>
        <v>1.5558399503708418</v>
      </c>
      <c r="BV288" s="528"/>
      <c r="BW288" s="528">
        <f t="shared" si="852"/>
        <v>8.2874837756382103E-2</v>
      </c>
      <c r="BX288" s="460">
        <f t="shared" si="853"/>
        <v>2865.7344589764866</v>
      </c>
      <c r="BY288" s="173">
        <f t="shared" si="854"/>
        <v>7.3145355872281943</v>
      </c>
      <c r="BZ288" s="5">
        <f t="shared" si="855"/>
        <v>17.28</v>
      </c>
      <c r="CA288" s="173">
        <f t="shared" si="856"/>
        <v>0.70259509225998196</v>
      </c>
      <c r="CB288" s="5">
        <f t="shared" si="857"/>
        <v>70.259509225998201</v>
      </c>
      <c r="CE288" s="562">
        <f t="shared" si="799"/>
        <v>-50</v>
      </c>
      <c r="CF288">
        <f t="shared" si="800"/>
        <v>-50</v>
      </c>
      <c r="CG288" s="173">
        <f t="shared" si="801"/>
        <v>0.65603191489361701</v>
      </c>
      <c r="CI288" s="170">
        <v>72</v>
      </c>
      <c r="CJ288" s="217">
        <f t="shared" si="858"/>
        <v>4.32</v>
      </c>
      <c r="CK288" s="217"/>
      <c r="CL288" s="217">
        <f t="shared" si="802"/>
        <v>17.28</v>
      </c>
      <c r="CM288" s="541">
        <f t="shared" si="803"/>
        <v>36</v>
      </c>
      <c r="CN288" s="443">
        <f t="shared" si="804"/>
        <v>18.8</v>
      </c>
      <c r="CO288" s="443">
        <f t="shared" si="805"/>
        <v>54.8</v>
      </c>
      <c r="CP288" s="443"/>
      <c r="CQ288" s="217">
        <f t="shared" si="806"/>
        <v>0.34306569343065696</v>
      </c>
      <c r="CR288" s="172">
        <f t="shared" si="807"/>
        <v>41.723649635036502</v>
      </c>
      <c r="CS288" s="172">
        <f t="shared" si="808"/>
        <v>17.28</v>
      </c>
      <c r="CT288" s="217">
        <f t="shared" si="809"/>
        <v>10.430912408759125</v>
      </c>
      <c r="CU288" s="217">
        <f t="shared" si="810"/>
        <v>4</v>
      </c>
      <c r="CV288" s="217"/>
      <c r="CW288" s="172">
        <f t="shared" si="811"/>
        <v>19.096023510147742</v>
      </c>
      <c r="CX288" s="172">
        <f t="shared" si="812"/>
        <v>4</v>
      </c>
      <c r="CY288" s="217">
        <f t="shared" si="813"/>
        <v>2.7982978723404255</v>
      </c>
      <c r="CZ288" s="217">
        <f t="shared" si="814"/>
        <v>0.93276595744680846</v>
      </c>
      <c r="DA288" s="217">
        <f t="shared" si="815"/>
        <v>1.7861475780896332</v>
      </c>
      <c r="DB288" s="197">
        <f t="shared" si="816"/>
        <v>350</v>
      </c>
      <c r="DC288" s="443">
        <f t="shared" si="817"/>
        <v>350</v>
      </c>
      <c r="DE288" s="217">
        <f t="shared" si="818"/>
        <v>2.940563086548488</v>
      </c>
      <c r="DF288" s="173">
        <f t="shared" si="819"/>
        <v>1.8769551616266944</v>
      </c>
      <c r="DG288" s="173">
        <f t="shared" si="820"/>
        <v>3.8635135443702762</v>
      </c>
      <c r="DH288" s="173"/>
      <c r="DI288" s="173">
        <f t="shared" si="821"/>
        <v>0.85106382978723416</v>
      </c>
      <c r="DJ288" s="545">
        <f t="shared" si="822"/>
        <v>1903.4999999999998</v>
      </c>
      <c r="DK288" s="528">
        <f t="shared" si="823"/>
        <v>0.79432624113475192</v>
      </c>
      <c r="DM288" s="173">
        <f t="shared" si="824"/>
        <v>3.1094326538086379</v>
      </c>
      <c r="DN288" s="173">
        <f t="shared" si="825"/>
        <v>2.7982978723404255</v>
      </c>
      <c r="DO288" s="173">
        <f t="shared" si="826"/>
        <v>2.2851589177830309</v>
      </c>
      <c r="DQ288" s="545">
        <f t="shared" si="827"/>
        <v>4320</v>
      </c>
      <c r="DR288" s="460">
        <f t="shared" si="828"/>
        <v>350</v>
      </c>
      <c r="DT288">
        <f t="shared" si="829"/>
        <v>4320</v>
      </c>
      <c r="DU288">
        <f t="shared" si="830"/>
        <v>350</v>
      </c>
      <c r="DW288" s="5">
        <f t="shared" si="859"/>
        <v>2.8571428571428572</v>
      </c>
      <c r="DX288" s="5">
        <f t="shared" si="831"/>
        <v>0.93276595744680846</v>
      </c>
      <c r="DY288" s="5">
        <f t="shared" si="832"/>
        <v>1.9243768996960489</v>
      </c>
      <c r="DZ288" s="5"/>
      <c r="EA288" s="173">
        <f t="shared" si="833"/>
        <v>0.32646808510638298</v>
      </c>
      <c r="EB288" s="173">
        <f t="shared" si="860"/>
        <v>16.443989062924398</v>
      </c>
      <c r="EC288" s="173">
        <f t="shared" si="861"/>
        <v>3.769485848800362</v>
      </c>
      <c r="ED288" s="173">
        <f t="shared" si="862"/>
        <v>4.3623957543593628</v>
      </c>
      <c r="EE288" s="460">
        <f t="shared" si="834"/>
        <v>100.73872340425531</v>
      </c>
      <c r="EF288" s="5">
        <f t="shared" si="835"/>
        <v>0.76975075987841945</v>
      </c>
      <c r="EH288" s="173">
        <f t="shared" si="863"/>
        <v>0.92311047859709161</v>
      </c>
      <c r="EI288" s="173">
        <f t="shared" si="864"/>
        <v>5.3036199538341471</v>
      </c>
      <c r="EK288" s="528">
        <f t="shared" si="865"/>
        <v>1.0396022059488167E-2</v>
      </c>
      <c r="EL288" s="528">
        <f t="shared" si="866"/>
        <v>1.0734270638297871</v>
      </c>
      <c r="EM288" s="528">
        <f t="shared" si="867"/>
        <v>4.3749999999999997E-2</v>
      </c>
      <c r="EN288" s="528">
        <f t="shared" si="868"/>
        <v>0.10510639999999997</v>
      </c>
      <c r="EO288">
        <f t="shared" si="869"/>
        <v>1.6199999999999999E-2</v>
      </c>
      <c r="EP288" s="460">
        <f t="shared" si="870"/>
        <v>59.949999999999996</v>
      </c>
      <c r="EQ288" s="460"/>
      <c r="ER288" s="460">
        <f t="shared" si="871"/>
        <v>1248.8794858892752</v>
      </c>
      <c r="ES288" s="528">
        <f t="shared" si="872"/>
        <v>3.024</v>
      </c>
      <c r="EV288" s="460">
        <f t="shared" si="873"/>
        <v>3024</v>
      </c>
      <c r="EW288" s="528">
        <f t="shared" si="874"/>
        <v>2.5563988670872544E-2</v>
      </c>
      <c r="EX288" s="528">
        <f t="shared" si="875"/>
        <v>0.84385153844123162</v>
      </c>
      <c r="EY288" s="528">
        <f t="shared" si="876"/>
        <v>1.5009802260066618</v>
      </c>
      <c r="EZ288" s="528"/>
      <c r="FA288" s="528">
        <f t="shared" si="877"/>
        <v>6.8516621095518343E-2</v>
      </c>
      <c r="FB288" s="460">
        <f t="shared" si="878"/>
        <v>2438.9123742142842</v>
      </c>
      <c r="FC288" s="173">
        <f t="shared" si="879"/>
        <v>6.7117918601035589</v>
      </c>
      <c r="FD288" s="5">
        <f t="shared" si="880"/>
        <v>17.28</v>
      </c>
      <c r="FE288" s="173">
        <f t="shared" si="881"/>
        <v>0.72024632844265646</v>
      </c>
      <c r="FF288" s="5">
        <f t="shared" si="882"/>
        <v>72.024632844265639</v>
      </c>
      <c r="FI288" s="562">
        <f t="shared" si="836"/>
        <v>-50</v>
      </c>
      <c r="FJ288">
        <f t="shared" si="837"/>
        <v>-50</v>
      </c>
      <c r="FL288">
        <f t="shared" si="838"/>
        <v>0.67353191489361697</v>
      </c>
    </row>
    <row r="289" spans="5:168">
      <c r="E289" s="170">
        <v>73</v>
      </c>
      <c r="F289" s="217">
        <f t="shared" si="839"/>
        <v>4.38</v>
      </c>
      <c r="G289" s="217"/>
      <c r="H289" s="217">
        <f t="shared" si="764"/>
        <v>17.52</v>
      </c>
      <c r="I289" s="541">
        <f t="shared" si="765"/>
        <v>35.929072651301695</v>
      </c>
      <c r="J289" s="172">
        <f t="shared" si="766"/>
        <v>19.606756572871745</v>
      </c>
      <c r="K289" s="172">
        <f t="shared" si="767"/>
        <v>55.53582922417344</v>
      </c>
      <c r="L289" s="443"/>
      <c r="M289" s="217">
        <f t="shared" si="768"/>
        <v>0.35280104099488641</v>
      </c>
      <c r="N289" s="172">
        <f t="shared" si="769"/>
        <v>42.823125751701674</v>
      </c>
      <c r="O289" s="172">
        <f t="shared" si="762"/>
        <v>17.52</v>
      </c>
      <c r="P289" s="217">
        <f t="shared" si="770"/>
        <v>10.705781437925419</v>
      </c>
      <c r="Q289" s="217">
        <f t="shared" si="771"/>
        <v>4</v>
      </c>
      <c r="R289" s="217"/>
      <c r="S289" s="172">
        <f t="shared" si="772"/>
        <v>18.685361121629644</v>
      </c>
      <c r="T289" s="172">
        <f t="shared" si="773"/>
        <v>4</v>
      </c>
      <c r="U289" s="217">
        <f t="shared" si="774"/>
        <v>3.3838126120698786</v>
      </c>
      <c r="V289" s="217">
        <f t="shared" si="775"/>
        <v>1.1301641915149019</v>
      </c>
      <c r="W289" s="217">
        <f t="shared" si="776"/>
        <v>2.0710080830513999</v>
      </c>
      <c r="X289" s="197">
        <f t="shared" si="777"/>
        <v>350</v>
      </c>
      <c r="Y289" s="443">
        <f t="shared" si="840"/>
        <v>294.0162741763836</v>
      </c>
      <c r="AA289" s="217">
        <f t="shared" si="778"/>
        <v>3.0201548699203338</v>
      </c>
      <c r="AB289" s="173">
        <f t="shared" si="779"/>
        <v>1.8484372111391887</v>
      </c>
      <c r="AC289" s="173">
        <f t="shared" si="780"/>
        <v>3.9077966514747864</v>
      </c>
      <c r="AD289" s="173"/>
      <c r="AE289" s="173">
        <f t="shared" si="781"/>
        <v>0.81604522096927989</v>
      </c>
      <c r="AF289" s="545">
        <f t="shared" si="782"/>
        <v>2012.7561044338643</v>
      </c>
      <c r="AG289" s="528">
        <f t="shared" si="783"/>
        <v>0.76164220623799461</v>
      </c>
      <c r="AI289" s="173">
        <f t="shared" si="784"/>
        <v>3.1974244432261827</v>
      </c>
      <c r="AJ289" s="173">
        <f t="shared" si="785"/>
        <v>3.3838126120698786</v>
      </c>
      <c r="AK289" s="173">
        <f t="shared" si="786"/>
        <v>2.7188735398048482</v>
      </c>
      <c r="AM289" s="545">
        <f t="shared" si="787"/>
        <v>4380</v>
      </c>
      <c r="AN289" s="460">
        <f t="shared" si="788"/>
        <v>294.0162741763836</v>
      </c>
      <c r="AP289">
        <f t="shared" si="789"/>
        <v>4380</v>
      </c>
      <c r="AQ289">
        <f t="shared" si="790"/>
        <v>294.0162741763836</v>
      </c>
      <c r="AS289" s="5">
        <f t="shared" si="763"/>
        <v>3.4011722745663016</v>
      </c>
      <c r="AT289" s="5">
        <f t="shared" si="791"/>
        <v>1.1301641915149019</v>
      </c>
      <c r="AU289" s="5">
        <f t="shared" si="722"/>
        <v>2.2710080830513997</v>
      </c>
      <c r="AV289" s="5"/>
      <c r="AW289" s="173">
        <f t="shared" si="723"/>
        <v>0.33228666479677632</v>
      </c>
      <c r="AX289" s="173">
        <f t="shared" si="792"/>
        <v>20.199249322170672</v>
      </c>
      <c r="AY289" s="173">
        <f t="shared" si="793"/>
        <v>4.5188336098158208</v>
      </c>
      <c r="AZ289" s="173">
        <f t="shared" si="794"/>
        <v>4.4700139607472638</v>
      </c>
      <c r="BA289" s="460">
        <f t="shared" si="724"/>
        <v>123.75297897088176</v>
      </c>
      <c r="BB289" s="5">
        <f t="shared" si="725"/>
        <v>0.92283812427730927</v>
      </c>
      <c r="BD289" s="173">
        <f t="shared" si="841"/>
        <v>1.126165279940909</v>
      </c>
      <c r="BE289" s="173">
        <f t="shared" si="842"/>
        <v>6.3855850498321676</v>
      </c>
      <c r="BG289" s="528">
        <f t="shared" si="843"/>
        <v>1.5472628500481507E-2</v>
      </c>
      <c r="BH289" s="528">
        <f t="shared" si="795"/>
        <v>1.0359819948466145</v>
      </c>
      <c r="BI289" s="528">
        <f t="shared" si="796"/>
        <v>0.26409330188870811</v>
      </c>
      <c r="BJ289" s="528">
        <f t="shared" si="844"/>
        <v>9.0681332159507855E-2</v>
      </c>
      <c r="BK289">
        <f t="shared" si="845"/>
        <v>1.6168082693085763E-2</v>
      </c>
      <c r="BL289" s="460">
        <f t="shared" si="846"/>
        <v>280.26138458179389</v>
      </c>
      <c r="BM289" s="528">
        <f t="shared" si="797"/>
        <v>1.1505433035581922</v>
      </c>
      <c r="BN289" s="460">
        <f t="shared" si="847"/>
        <v>1150.5433035581923</v>
      </c>
      <c r="BO289" s="528">
        <f t="shared" si="798"/>
        <v>3.0659999999999998</v>
      </c>
      <c r="BR289" s="460">
        <f t="shared" si="848"/>
        <v>3066</v>
      </c>
      <c r="BS289" s="528">
        <f t="shared" si="849"/>
        <v>3.8047447132331581E-2</v>
      </c>
      <c r="BT289" s="528">
        <f t="shared" si="850"/>
        <v>1.2232708928592027</v>
      </c>
      <c r="BU289" s="528">
        <f t="shared" si="851"/>
        <v>1.5610405726905752</v>
      </c>
      <c r="BV289" s="528"/>
      <c r="BW289" s="528">
        <f t="shared" si="852"/>
        <v>8.4163538842377789E-2</v>
      </c>
      <c r="BX289" s="460">
        <f t="shared" si="853"/>
        <v>2906.5224515244868</v>
      </c>
      <c r="BY289" s="173">
        <f t="shared" si="854"/>
        <v>7.3949197916128853</v>
      </c>
      <c r="BZ289" s="5">
        <f t="shared" si="855"/>
        <v>17.52</v>
      </c>
      <c r="CA289" s="173">
        <f t="shared" si="856"/>
        <v>0.70319311266246831</v>
      </c>
      <c r="CB289" s="5">
        <f t="shared" si="857"/>
        <v>70.319311266246828</v>
      </c>
      <c r="CE289" s="562">
        <f t="shared" si="799"/>
        <v>-50</v>
      </c>
      <c r="CF289">
        <f t="shared" si="800"/>
        <v>-50</v>
      </c>
      <c r="CG289" s="173">
        <f t="shared" si="801"/>
        <v>0.65149763593380616</v>
      </c>
      <c r="CI289" s="170">
        <v>73</v>
      </c>
      <c r="CJ289" s="217">
        <f t="shared" si="858"/>
        <v>4.38</v>
      </c>
      <c r="CK289" s="217"/>
      <c r="CL289" s="217">
        <f t="shared" si="802"/>
        <v>17.52</v>
      </c>
      <c r="CM289" s="541">
        <f t="shared" si="803"/>
        <v>36</v>
      </c>
      <c r="CN289" s="443">
        <f t="shared" si="804"/>
        <v>18.8</v>
      </c>
      <c r="CO289" s="443">
        <f t="shared" si="805"/>
        <v>54.8</v>
      </c>
      <c r="CP289" s="443"/>
      <c r="CQ289" s="217">
        <f t="shared" si="806"/>
        <v>0.34306569343065696</v>
      </c>
      <c r="CR289" s="172">
        <f t="shared" si="807"/>
        <v>41.723649635036502</v>
      </c>
      <c r="CS289" s="172">
        <f t="shared" si="808"/>
        <v>17.52</v>
      </c>
      <c r="CT289" s="217">
        <f t="shared" si="809"/>
        <v>10.430912408759125</v>
      </c>
      <c r="CU289" s="217">
        <f t="shared" si="810"/>
        <v>4</v>
      </c>
      <c r="CV289" s="217"/>
      <c r="CW289" s="172">
        <f t="shared" si="811"/>
        <v>18.721640695724858</v>
      </c>
      <c r="CX289" s="172">
        <f t="shared" si="812"/>
        <v>4</v>
      </c>
      <c r="CY289" s="217">
        <f t="shared" si="813"/>
        <v>2.8371631205673755</v>
      </c>
      <c r="CZ289" s="217">
        <f t="shared" si="814"/>
        <v>0.94572104018912517</v>
      </c>
      <c r="DA289" s="217">
        <f t="shared" si="815"/>
        <v>1.8109551833408779</v>
      </c>
      <c r="DB289" s="197">
        <f t="shared" si="816"/>
        <v>350</v>
      </c>
      <c r="DC289" s="443">
        <f t="shared" si="817"/>
        <v>350</v>
      </c>
      <c r="DE289" s="217">
        <f t="shared" si="818"/>
        <v>2.940563086548488</v>
      </c>
      <c r="DF289" s="173">
        <f t="shared" si="819"/>
        <v>1.8769551616266944</v>
      </c>
      <c r="DG289" s="173">
        <f t="shared" si="820"/>
        <v>3.8635135443702762</v>
      </c>
      <c r="DH289" s="173"/>
      <c r="DI289" s="173">
        <f t="shared" si="821"/>
        <v>0.85106382978723416</v>
      </c>
      <c r="DJ289" s="545">
        <f t="shared" si="822"/>
        <v>1929.9374999999995</v>
      </c>
      <c r="DK289" s="528">
        <f t="shared" si="823"/>
        <v>0.79432624113475192</v>
      </c>
      <c r="DM289" s="173">
        <f t="shared" si="824"/>
        <v>3.1309514756471621</v>
      </c>
      <c r="DN289" s="173">
        <f t="shared" si="825"/>
        <v>2.8371631205673755</v>
      </c>
      <c r="DO289" s="173">
        <f t="shared" si="826"/>
        <v>2.3139479905437348</v>
      </c>
      <c r="DQ289" s="545">
        <f t="shared" si="827"/>
        <v>4380</v>
      </c>
      <c r="DR289" s="460">
        <f t="shared" si="828"/>
        <v>350</v>
      </c>
      <c r="DT289">
        <f t="shared" si="829"/>
        <v>4380</v>
      </c>
      <c r="DU289">
        <f t="shared" si="830"/>
        <v>350</v>
      </c>
      <c r="DW289" s="5">
        <f t="shared" si="859"/>
        <v>2.8571428571428572</v>
      </c>
      <c r="DX289" s="5">
        <f t="shared" si="831"/>
        <v>0.94572104018912517</v>
      </c>
      <c r="DY289" s="5">
        <f t="shared" si="832"/>
        <v>1.911421816953732</v>
      </c>
      <c r="DZ289" s="5"/>
      <c r="EA289" s="173">
        <f t="shared" si="833"/>
        <v>0.33100236406619382</v>
      </c>
      <c r="EB289" s="173">
        <f t="shared" si="860"/>
        <v>16.903938602685983</v>
      </c>
      <c r="EC289" s="173">
        <f t="shared" si="861"/>
        <v>3.7961108408363087</v>
      </c>
      <c r="ED289" s="173">
        <f t="shared" si="862"/>
        <v>4.4529623373594465</v>
      </c>
      <c r="EE289" s="460">
        <f t="shared" si="834"/>
        <v>103.5564539007092</v>
      </c>
      <c r="EF289" s="5">
        <f t="shared" si="835"/>
        <v>0.77518773687567999</v>
      </c>
      <c r="EH289" s="173">
        <f t="shared" si="863"/>
        <v>0.94240856905841974</v>
      </c>
      <c r="EI289" s="173">
        <f t="shared" si="864"/>
        <v>5.359150599166945</v>
      </c>
      <c r="EK289" s="528">
        <f t="shared" si="865"/>
        <v>1.0835233714623806E-2</v>
      </c>
      <c r="EL289" s="528">
        <f t="shared" si="866"/>
        <v>1.0883357730496452</v>
      </c>
      <c r="EM289" s="528">
        <f t="shared" si="867"/>
        <v>4.3749999999999997E-2</v>
      </c>
      <c r="EN289" s="528">
        <f t="shared" si="868"/>
        <v>0.10510639999999997</v>
      </c>
      <c r="EO289">
        <f t="shared" si="869"/>
        <v>1.6199999999999999E-2</v>
      </c>
      <c r="EP289" s="460">
        <f t="shared" si="870"/>
        <v>59.949999999999996</v>
      </c>
      <c r="EQ289" s="460"/>
      <c r="ER289" s="460">
        <f t="shared" si="871"/>
        <v>1264.2274067642688</v>
      </c>
      <c r="ES289" s="528">
        <f t="shared" si="872"/>
        <v>3.0659999999999998</v>
      </c>
      <c r="EV289" s="460">
        <f t="shared" si="873"/>
        <v>3066</v>
      </c>
      <c r="EW289" s="528">
        <f t="shared" si="874"/>
        <v>2.6644017331042148E-2</v>
      </c>
      <c r="EX289" s="528">
        <f t="shared" si="875"/>
        <v>0.86161485433654272</v>
      </c>
      <c r="EY289" s="528">
        <f t="shared" si="876"/>
        <v>1.5536417387406007</v>
      </c>
      <c r="EZ289" s="528"/>
      <c r="FA289" s="528">
        <f t="shared" si="877"/>
        <v>7.0433077511191572E-2</v>
      </c>
      <c r="FB289" s="460">
        <f t="shared" si="878"/>
        <v>2512.3336879193776</v>
      </c>
      <c r="FC289" s="173">
        <f t="shared" si="879"/>
        <v>6.8425610946836466</v>
      </c>
      <c r="FD289" s="5">
        <f t="shared" si="880"/>
        <v>17.52</v>
      </c>
      <c r="FE289" s="173">
        <f t="shared" si="881"/>
        <v>0.71913621609442291</v>
      </c>
      <c r="FF289" s="5">
        <f t="shared" si="882"/>
        <v>71.913621609442288</v>
      </c>
      <c r="FI289" s="562">
        <f t="shared" si="836"/>
        <v>-50</v>
      </c>
      <c r="FJ289">
        <f t="shared" si="837"/>
        <v>-50</v>
      </c>
      <c r="FL289">
        <f t="shared" si="838"/>
        <v>0.66899763593380612</v>
      </c>
    </row>
    <row r="290" spans="5:168">
      <c r="E290" s="170">
        <v>74</v>
      </c>
      <c r="F290" s="217">
        <f t="shared" si="839"/>
        <v>4.4399999999999995</v>
      </c>
      <c r="G290" s="217"/>
      <c r="H290" s="217">
        <f t="shared" si="764"/>
        <v>17.759999999999998</v>
      </c>
      <c r="I290" s="541">
        <f t="shared" si="765"/>
        <v>35.927597135919584</v>
      </c>
      <c r="J290" s="172">
        <f t="shared" si="766"/>
        <v>19.623539686222781</v>
      </c>
      <c r="K290" s="172">
        <f t="shared" si="767"/>
        <v>55.551136822142368</v>
      </c>
      <c r="L290" s="443"/>
      <c r="M290" s="217">
        <f t="shared" si="768"/>
        <v>0.35299919352208514</v>
      </c>
      <c r="N290" s="172">
        <f t="shared" si="769"/>
        <v>42.845417957190769</v>
      </c>
      <c r="O290" s="172">
        <f t="shared" si="762"/>
        <v>17.759999999999998</v>
      </c>
      <c r="P290" s="217">
        <f t="shared" si="770"/>
        <v>10.711354489297692</v>
      </c>
      <c r="Q290" s="217">
        <f t="shared" si="771"/>
        <v>4</v>
      </c>
      <c r="R290" s="217"/>
      <c r="S290" s="172">
        <f t="shared" si="772"/>
        <v>18.321312544921419</v>
      </c>
      <c r="T290" s="172">
        <f t="shared" si="773"/>
        <v>4</v>
      </c>
      <c r="U290" s="217">
        <f t="shared" si="774"/>
        <v>3.4312167431212912</v>
      </c>
      <c r="V290" s="217">
        <f t="shared" si="775"/>
        <v>1.146043827024827</v>
      </c>
      <c r="W290" s="217">
        <f t="shared" si="776"/>
        <v>2.0982249673520013</v>
      </c>
      <c r="X290" s="197">
        <f t="shared" si="777"/>
        <v>350</v>
      </c>
      <c r="Y290" s="443">
        <f t="shared" si="840"/>
        <v>290.33738645271148</v>
      </c>
      <c r="AA290" s="217">
        <f t="shared" si="778"/>
        <v>3.0217830365689733</v>
      </c>
      <c r="AB290" s="173">
        <f t="shared" si="779"/>
        <v>1.8478519685358263</v>
      </c>
      <c r="AC290" s="173">
        <f t="shared" si="780"/>
        <v>3.9086654128285012</v>
      </c>
      <c r="AD290" s="173"/>
      <c r="AE290" s="173">
        <f t="shared" si="781"/>
        <v>0.8153472949242293</v>
      </c>
      <c r="AF290" s="545">
        <f t="shared" si="782"/>
        <v>2042.074598597557</v>
      </c>
      <c r="AG290" s="528">
        <f t="shared" si="783"/>
        <v>0.76099080859594748</v>
      </c>
      <c r="AI290" s="173">
        <f t="shared" si="784"/>
        <v>3.2206276415591568</v>
      </c>
      <c r="AJ290" s="173">
        <f t="shared" si="785"/>
        <v>3.4312167431212912</v>
      </c>
      <c r="AK290" s="173">
        <f t="shared" si="786"/>
        <v>2.7539877109540427</v>
      </c>
      <c r="AM290" s="545">
        <f t="shared" si="787"/>
        <v>4439.9999999999991</v>
      </c>
      <c r="AN290" s="460">
        <f t="shared" si="788"/>
        <v>290.33738645271148</v>
      </c>
      <c r="AP290">
        <f t="shared" si="789"/>
        <v>4439.9999999999991</v>
      </c>
      <c r="AQ290">
        <f t="shared" si="790"/>
        <v>290.33738645271148</v>
      </c>
      <c r="AS290" s="5">
        <f t="shared" si="763"/>
        <v>3.4442687943768289</v>
      </c>
      <c r="AT290" s="5">
        <f t="shared" si="791"/>
        <v>1.146043827024827</v>
      </c>
      <c r="AU290" s="5">
        <f t="shared" si="722"/>
        <v>2.2982249673520019</v>
      </c>
      <c r="AV290" s="5"/>
      <c r="AW290" s="173">
        <f t="shared" si="723"/>
        <v>0.33273936949865163</v>
      </c>
      <c r="AX290" s="173">
        <f t="shared" si="792"/>
        <v>20.509284915562485</v>
      </c>
      <c r="AY290" s="173">
        <f t="shared" si="793"/>
        <v>4.5790316948037919</v>
      </c>
      <c r="AZ290" s="173">
        <f t="shared" si="794"/>
        <v>4.4789567494883418</v>
      </c>
      <c r="BA290" s="460">
        <f t="shared" si="724"/>
        <v>127.2108647997558</v>
      </c>
      <c r="BB290" s="5">
        <f t="shared" si="725"/>
        <v>0.94672987420033938</v>
      </c>
      <c r="BD290" s="173">
        <f t="shared" si="841"/>
        <v>1.1427194507006762</v>
      </c>
      <c r="BE290" s="173">
        <f t="shared" si="842"/>
        <v>6.4728458900226835</v>
      </c>
      <c r="BG290" s="528">
        <f t="shared" si="843"/>
        <v>1.593085446471779E-2</v>
      </c>
      <c r="BH290" s="528">
        <f t="shared" si="795"/>
        <v>1.0376367351617546</v>
      </c>
      <c r="BI290" s="528">
        <f t="shared" si="796"/>
        <v>0.26077811634922038</v>
      </c>
      <c r="BJ290" s="528">
        <f t="shared" si="844"/>
        <v>8.9596050321929604E-2</v>
      </c>
      <c r="BK290">
        <f t="shared" si="845"/>
        <v>1.6167418711163811E-2</v>
      </c>
      <c r="BL290" s="460">
        <f t="shared" si="846"/>
        <v>276.9455350603842</v>
      </c>
      <c r="BM290" s="528">
        <f t="shared" si="797"/>
        <v>1.1518248246010132</v>
      </c>
      <c r="BN290" s="460">
        <f t="shared" si="847"/>
        <v>1151.8248246010132</v>
      </c>
      <c r="BO290" s="528">
        <f t="shared" si="798"/>
        <v>3.1079999999999997</v>
      </c>
      <c r="BR290" s="460">
        <f t="shared" si="848"/>
        <v>3107.9999999999995</v>
      </c>
      <c r="BS290" s="528">
        <f t="shared" si="849"/>
        <v>3.917423229028965E-2</v>
      </c>
      <c r="BT290" s="528">
        <f t="shared" si="850"/>
        <v>1.2569320174795062</v>
      </c>
      <c r="BU290" s="528">
        <f t="shared" si="851"/>
        <v>1.5662020683688171</v>
      </c>
      <c r="BV290" s="528"/>
      <c r="BW290" s="528">
        <f t="shared" si="852"/>
        <v>8.5455353814843704E-2</v>
      </c>
      <c r="BX290" s="460">
        <f t="shared" si="853"/>
        <v>2947.7636719534567</v>
      </c>
      <c r="BY290" s="173">
        <f t="shared" si="854"/>
        <v>7.4758728469622415</v>
      </c>
      <c r="BZ290" s="5">
        <f t="shared" si="855"/>
        <v>17.759999999999998</v>
      </c>
      <c r="CA290" s="173">
        <f t="shared" si="856"/>
        <v>0.70376008421431935</v>
      </c>
      <c r="CB290" s="5">
        <f t="shared" si="857"/>
        <v>70.376008421431933</v>
      </c>
      <c r="CE290" s="562">
        <f t="shared" si="799"/>
        <v>-50</v>
      </c>
      <c r="CF290">
        <f t="shared" si="800"/>
        <v>-50</v>
      </c>
      <c r="CG290" s="173">
        <f t="shared" si="801"/>
        <v>0.64696335697399554</v>
      </c>
      <c r="CI290" s="170">
        <v>74</v>
      </c>
      <c r="CJ290" s="217">
        <f t="shared" si="858"/>
        <v>4.4399999999999995</v>
      </c>
      <c r="CK290" s="217"/>
      <c r="CL290" s="217">
        <f t="shared" si="802"/>
        <v>17.759999999999998</v>
      </c>
      <c r="CM290" s="541">
        <f t="shared" si="803"/>
        <v>36</v>
      </c>
      <c r="CN290" s="443">
        <f t="shared" si="804"/>
        <v>18.8</v>
      </c>
      <c r="CO290" s="443">
        <f t="shared" si="805"/>
        <v>54.8</v>
      </c>
      <c r="CP290" s="443"/>
      <c r="CQ290" s="217">
        <f t="shared" si="806"/>
        <v>0.34306569343065696</v>
      </c>
      <c r="CR290" s="172">
        <f t="shared" si="807"/>
        <v>41.723649635036502</v>
      </c>
      <c r="CS290" s="172">
        <f t="shared" si="808"/>
        <v>17.759999999999998</v>
      </c>
      <c r="CT290" s="217">
        <f t="shared" si="809"/>
        <v>10.430912408759125</v>
      </c>
      <c r="CU290" s="217">
        <f t="shared" si="810"/>
        <v>4</v>
      </c>
      <c r="CV290" s="217"/>
      <c r="CW290" s="172">
        <f t="shared" si="811"/>
        <v>18.357603739922087</v>
      </c>
      <c r="CX290" s="172">
        <f t="shared" si="812"/>
        <v>4</v>
      </c>
      <c r="CY290" s="217">
        <f t="shared" si="813"/>
        <v>2.8760283687943256</v>
      </c>
      <c r="CZ290" s="217">
        <f t="shared" si="814"/>
        <v>0.95867612293144167</v>
      </c>
      <c r="DA290" s="217">
        <f t="shared" si="815"/>
        <v>1.8357627885921226</v>
      </c>
      <c r="DB290" s="197">
        <f t="shared" si="816"/>
        <v>350</v>
      </c>
      <c r="DC290" s="443">
        <f t="shared" si="817"/>
        <v>350</v>
      </c>
      <c r="DE290" s="217">
        <f t="shared" si="818"/>
        <v>2.940563086548488</v>
      </c>
      <c r="DF290" s="173">
        <f t="shared" si="819"/>
        <v>1.8769551616266944</v>
      </c>
      <c r="DG290" s="173">
        <f t="shared" si="820"/>
        <v>3.8635135443702762</v>
      </c>
      <c r="DH290" s="173"/>
      <c r="DI290" s="173">
        <f t="shared" si="821"/>
        <v>0.85106382978723416</v>
      </c>
      <c r="DJ290" s="545">
        <f t="shared" si="822"/>
        <v>1956.3749999999993</v>
      </c>
      <c r="DK290" s="528">
        <f t="shared" si="823"/>
        <v>0.79432624113475192</v>
      </c>
      <c r="DM290" s="173">
        <f t="shared" si="824"/>
        <v>3.152323406178823</v>
      </c>
      <c r="DN290" s="173">
        <f t="shared" si="825"/>
        <v>2.8760283687943256</v>
      </c>
      <c r="DO290" s="173">
        <f t="shared" si="826"/>
        <v>2.3427370633044386</v>
      </c>
      <c r="DQ290" s="545">
        <f t="shared" si="827"/>
        <v>4439.9999999999991</v>
      </c>
      <c r="DR290" s="460">
        <f t="shared" si="828"/>
        <v>350</v>
      </c>
      <c r="DT290">
        <f t="shared" si="829"/>
        <v>4439.9999999999991</v>
      </c>
      <c r="DU290">
        <f t="shared" si="830"/>
        <v>350</v>
      </c>
      <c r="DW290" s="5">
        <f t="shared" si="859"/>
        <v>2.8571428571428572</v>
      </c>
      <c r="DX290" s="5">
        <f t="shared" si="831"/>
        <v>0.95867612293144167</v>
      </c>
      <c r="DY290" s="5">
        <f t="shared" si="832"/>
        <v>1.8984667342114157</v>
      </c>
      <c r="DZ290" s="5"/>
      <c r="EA290" s="173">
        <f t="shared" si="833"/>
        <v>0.33553664302600456</v>
      </c>
      <c r="EB290" s="173">
        <f t="shared" si="860"/>
        <v>17.370232274030474</v>
      </c>
      <c r="EC290" s="173">
        <f t="shared" si="861"/>
        <v>3.8220309293630437</v>
      </c>
      <c r="ED290" s="173">
        <f t="shared" si="862"/>
        <v>4.5447649679081197</v>
      </c>
      <c r="EE290" s="460">
        <f t="shared" si="834"/>
        <v>106.41304964539003</v>
      </c>
      <c r="EF290" s="5">
        <f t="shared" si="835"/>
        <v>0.78048076850913739</v>
      </c>
      <c r="EH290" s="173">
        <f t="shared" si="863"/>
        <v>0.96183929504552568</v>
      </c>
      <c r="EI290" s="173">
        <f t="shared" si="864"/>
        <v>5.4141221213310793</v>
      </c>
      <c r="EK290" s="528">
        <f t="shared" si="865"/>
        <v>1.1286644919822819E-2</v>
      </c>
      <c r="EL290" s="528">
        <f t="shared" si="866"/>
        <v>1.1032444822695033</v>
      </c>
      <c r="EM290" s="528">
        <f t="shared" si="867"/>
        <v>4.3749999999999997E-2</v>
      </c>
      <c r="EN290" s="528">
        <f t="shared" si="868"/>
        <v>0.10510639999999997</v>
      </c>
      <c r="EO290">
        <f t="shared" si="869"/>
        <v>1.6199999999999999E-2</v>
      </c>
      <c r="EP290" s="460">
        <f t="shared" si="870"/>
        <v>59.949999999999996</v>
      </c>
      <c r="EQ290" s="460"/>
      <c r="ER290" s="460">
        <f t="shared" si="871"/>
        <v>1279.587527189326</v>
      </c>
      <c r="ES290" s="528">
        <f t="shared" si="872"/>
        <v>3.1079999999999997</v>
      </c>
      <c r="EV290" s="460">
        <f t="shared" si="873"/>
        <v>3107.9999999999995</v>
      </c>
      <c r="EW290" s="528">
        <f t="shared" si="874"/>
        <v>2.7754044884810213E-2</v>
      </c>
      <c r="EX290" s="528">
        <f t="shared" si="875"/>
        <v>0.87938155034059629</v>
      </c>
      <c r="EY290" s="528">
        <f t="shared" si="876"/>
        <v>1.607396539848122</v>
      </c>
      <c r="EZ290" s="528"/>
      <c r="FA290" s="528">
        <f t="shared" si="877"/>
        <v>7.2375967808460326E-2</v>
      </c>
      <c r="FB290" s="460">
        <f t="shared" si="878"/>
        <v>2586.9081028819883</v>
      </c>
      <c r="FC290" s="173">
        <f t="shared" si="879"/>
        <v>6.9744956300713152</v>
      </c>
      <c r="FD290" s="5">
        <f t="shared" si="880"/>
        <v>17.759999999999998</v>
      </c>
      <c r="FE290" s="173">
        <f t="shared" si="881"/>
        <v>0.71802555692334491</v>
      </c>
      <c r="FF290" s="5">
        <f t="shared" si="882"/>
        <v>71.802555692334494</v>
      </c>
      <c r="FI290" s="562">
        <f t="shared" si="836"/>
        <v>-50</v>
      </c>
      <c r="FJ290">
        <f t="shared" si="837"/>
        <v>-50</v>
      </c>
      <c r="FL290">
        <f t="shared" si="838"/>
        <v>0.6644633569739955</v>
      </c>
    </row>
    <row r="291" spans="5:168">
      <c r="E291" s="170">
        <v>75</v>
      </c>
      <c r="F291" s="217">
        <f t="shared" si="839"/>
        <v>4.5</v>
      </c>
      <c r="G291" s="217"/>
      <c r="H291" s="217">
        <f t="shared" si="764"/>
        <v>18</v>
      </c>
      <c r="I291" s="541">
        <f t="shared" si="765"/>
        <v>35.926100792095603</v>
      </c>
      <c r="J291" s="172">
        <f t="shared" si="766"/>
        <v>19.640559710760908</v>
      </c>
      <c r="K291" s="172">
        <f t="shared" si="767"/>
        <v>55.566660502856507</v>
      </c>
      <c r="L291" s="443"/>
      <c r="M291" s="217">
        <f t="shared" si="768"/>
        <v>0.35319996530487185</v>
      </c>
      <c r="N291" s="172">
        <f t="shared" si="769"/>
        <v>42.868001234257157</v>
      </c>
      <c r="O291" s="172">
        <f t="shared" si="762"/>
        <v>18</v>
      </c>
      <c r="P291" s="217">
        <f t="shared" si="770"/>
        <v>10.717000308564289</v>
      </c>
      <c r="Q291" s="217">
        <f t="shared" si="771"/>
        <v>4</v>
      </c>
      <c r="R291" s="217"/>
      <c r="S291" s="172">
        <f t="shared" si="772"/>
        <v>17.96719890650667</v>
      </c>
      <c r="T291" s="172">
        <f t="shared" si="773"/>
        <v>4</v>
      </c>
      <c r="U291" s="217">
        <f t="shared" si="774"/>
        <v>3.4786640063501957</v>
      </c>
      <c r="V291" s="217">
        <f t="shared" si="775"/>
        <v>1.161939847515731</v>
      </c>
      <c r="W291" s="217">
        <f t="shared" si="776"/>
        <v>2.1253960524012538</v>
      </c>
      <c r="X291" s="197">
        <f t="shared" si="777"/>
        <v>350</v>
      </c>
      <c r="Y291" s="443">
        <f t="shared" si="840"/>
        <v>286.75184401474047</v>
      </c>
      <c r="AA291" s="217">
        <f t="shared" si="778"/>
        <v>3.0234330536147538</v>
      </c>
      <c r="AB291" s="173">
        <f t="shared" si="779"/>
        <v>1.8472587939283045</v>
      </c>
      <c r="AC291" s="173">
        <f t="shared" si="780"/>
        <v>3.9095443073003531</v>
      </c>
      <c r="AD291" s="173"/>
      <c r="AE291" s="173">
        <f t="shared" si="781"/>
        <v>0.81464073507201162</v>
      </c>
      <c r="AF291" s="545">
        <f t="shared" si="782"/>
        <v>2071.465281994314</v>
      </c>
      <c r="AG291" s="528">
        <f t="shared" si="783"/>
        <v>0.76033135273387764</v>
      </c>
      <c r="AI291" s="173">
        <f t="shared" si="784"/>
        <v>3.2437213839167902</v>
      </c>
      <c r="AJ291" s="173">
        <f t="shared" si="785"/>
        <v>3.4786640063501957</v>
      </c>
      <c r="AK291" s="173">
        <f t="shared" si="786"/>
        <v>2.7891338318643424</v>
      </c>
      <c r="AM291" s="545">
        <f t="shared" si="787"/>
        <v>4500</v>
      </c>
      <c r="AN291" s="460">
        <f t="shared" si="788"/>
        <v>286.75184401474047</v>
      </c>
      <c r="AP291">
        <f t="shared" si="789"/>
        <v>4500</v>
      </c>
      <c r="AQ291">
        <f t="shared" si="790"/>
        <v>286.75184401474047</v>
      </c>
      <c r="AS291" s="5">
        <f t="shared" si="763"/>
        <v>3.4873358999169852</v>
      </c>
      <c r="AT291" s="5">
        <f t="shared" si="791"/>
        <v>1.161939847515731</v>
      </c>
      <c r="AU291" s="5">
        <f t="shared" si="722"/>
        <v>2.3253960524012545</v>
      </c>
      <c r="AV291" s="5"/>
      <c r="AW291" s="173">
        <f t="shared" si="723"/>
        <v>0.33318839390934224</v>
      </c>
      <c r="AX291" s="173">
        <f t="shared" si="792"/>
        <v>20.820082062122765</v>
      </c>
      <c r="AY291" s="173">
        <f t="shared" si="793"/>
        <v>4.6392270662482717</v>
      </c>
      <c r="AZ291" s="173">
        <f t="shared" si="794"/>
        <v>4.4878342372148428</v>
      </c>
      <c r="BA291" s="460">
        <f t="shared" si="724"/>
        <v>130.71823284551974</v>
      </c>
      <c r="BB291" s="5">
        <f t="shared" si="725"/>
        <v>0.97090805895899657</v>
      </c>
      <c r="BD291" s="173">
        <f t="shared" si="841"/>
        <v>1.1593025435945894</v>
      </c>
      <c r="BE291" s="173">
        <f t="shared" si="842"/>
        <v>6.5601447570702236</v>
      </c>
      <c r="BG291" s="528">
        <f t="shared" si="843"/>
        <v>1.6396585128535594E-2</v>
      </c>
      <c r="BH291" s="528">
        <f t="shared" si="795"/>
        <v>1.0392840734579585</v>
      </c>
      <c r="BI291" s="528">
        <f t="shared" si="796"/>
        <v>0.25754689125982105</v>
      </c>
      <c r="BJ291" s="528">
        <f t="shared" si="844"/>
        <v>8.8539040919838372E-2</v>
      </c>
      <c r="BK291">
        <f t="shared" si="845"/>
        <v>1.6166745356443021E-2</v>
      </c>
      <c r="BL291" s="460">
        <f t="shared" si="846"/>
        <v>273.71363661626407</v>
      </c>
      <c r="BM291" s="528">
        <f t="shared" si="797"/>
        <v>1.1531392102366627</v>
      </c>
      <c r="BN291" s="460">
        <f t="shared" si="847"/>
        <v>1153.1392102366626</v>
      </c>
      <c r="BO291" s="528">
        <f t="shared" si="798"/>
        <v>3.15</v>
      </c>
      <c r="BR291" s="460">
        <f t="shared" si="848"/>
        <v>3150</v>
      </c>
      <c r="BS291" s="528">
        <f t="shared" si="849"/>
        <v>4.0319471627546545E-2</v>
      </c>
      <c r="BT291" s="528">
        <f t="shared" si="850"/>
        <v>1.2910649770114784</v>
      </c>
      <c r="BU291" s="528">
        <f t="shared" si="851"/>
        <v>1.5713276829766847</v>
      </c>
      <c r="BV291" s="528"/>
      <c r="BW291" s="528">
        <f t="shared" si="852"/>
        <v>8.6750341925511523E-2</v>
      </c>
      <c r="BX291" s="460">
        <f t="shared" si="853"/>
        <v>2989.4624735412208</v>
      </c>
      <c r="BY291" s="173">
        <f t="shared" si="854"/>
        <v>7.5573958096638174</v>
      </c>
      <c r="BZ291" s="5">
        <f t="shared" si="855"/>
        <v>18</v>
      </c>
      <c r="CA291" s="173">
        <f t="shared" si="856"/>
        <v>0.70429710969197423</v>
      </c>
      <c r="CB291" s="5">
        <f t="shared" si="857"/>
        <v>70.42971096919743</v>
      </c>
      <c r="CE291" s="562">
        <f t="shared" si="799"/>
        <v>-50</v>
      </c>
      <c r="CF291">
        <f t="shared" si="800"/>
        <v>-50</v>
      </c>
      <c r="CG291" s="173">
        <f t="shared" si="801"/>
        <v>0.64242907801418447</v>
      </c>
      <c r="CI291" s="170">
        <v>75</v>
      </c>
      <c r="CJ291" s="217">
        <f t="shared" si="858"/>
        <v>4.5</v>
      </c>
      <c r="CK291" s="217"/>
      <c r="CL291" s="217">
        <f t="shared" si="802"/>
        <v>18</v>
      </c>
      <c r="CM291" s="541">
        <f t="shared" si="803"/>
        <v>36</v>
      </c>
      <c r="CN291" s="443">
        <f t="shared" si="804"/>
        <v>18.8</v>
      </c>
      <c r="CO291" s="443">
        <f t="shared" si="805"/>
        <v>54.8</v>
      </c>
      <c r="CP291" s="443"/>
      <c r="CQ291" s="217">
        <f t="shared" si="806"/>
        <v>0.34306569343065696</v>
      </c>
      <c r="CR291" s="172">
        <f t="shared" si="807"/>
        <v>41.723649635036502</v>
      </c>
      <c r="CS291" s="172">
        <f t="shared" si="808"/>
        <v>18</v>
      </c>
      <c r="CT291" s="217">
        <f t="shared" si="809"/>
        <v>10.430912408759125</v>
      </c>
      <c r="CU291" s="217">
        <f t="shared" si="810"/>
        <v>4</v>
      </c>
      <c r="CV291" s="217"/>
      <c r="CW291" s="172">
        <f t="shared" si="811"/>
        <v>18.003501982633153</v>
      </c>
      <c r="CX291" s="172">
        <f t="shared" si="812"/>
        <v>4</v>
      </c>
      <c r="CY291" s="217">
        <f t="shared" si="813"/>
        <v>2.9148936170212765</v>
      </c>
      <c r="CZ291" s="217">
        <f t="shared" si="814"/>
        <v>0.97163120567375871</v>
      </c>
      <c r="DA291" s="217">
        <f t="shared" si="815"/>
        <v>1.860570393843368</v>
      </c>
      <c r="DB291" s="197">
        <f t="shared" si="816"/>
        <v>350</v>
      </c>
      <c r="DC291" s="443">
        <f t="shared" si="817"/>
        <v>350</v>
      </c>
      <c r="DE291" s="217">
        <f t="shared" si="818"/>
        <v>2.940563086548488</v>
      </c>
      <c r="DF291" s="173">
        <f t="shared" si="819"/>
        <v>1.8769551616266944</v>
      </c>
      <c r="DG291" s="173">
        <f t="shared" si="820"/>
        <v>3.8635135443702762</v>
      </c>
      <c r="DH291" s="173"/>
      <c r="DI291" s="173">
        <f t="shared" si="821"/>
        <v>0.85106382978723416</v>
      </c>
      <c r="DJ291" s="545">
        <f t="shared" si="822"/>
        <v>1982.8124999999995</v>
      </c>
      <c r="DK291" s="528">
        <f t="shared" si="823"/>
        <v>0.79432624113475192</v>
      </c>
      <c r="DM291" s="173">
        <f t="shared" si="824"/>
        <v>3.1735514130747231</v>
      </c>
      <c r="DN291" s="173">
        <f t="shared" si="825"/>
        <v>2.9148936170212765</v>
      </c>
      <c r="DO291" s="173">
        <f t="shared" si="826"/>
        <v>2.371526136065143</v>
      </c>
      <c r="DQ291" s="545">
        <f t="shared" si="827"/>
        <v>4500</v>
      </c>
      <c r="DR291" s="460">
        <f t="shared" si="828"/>
        <v>350</v>
      </c>
      <c r="DT291">
        <f t="shared" si="829"/>
        <v>4500</v>
      </c>
      <c r="DU291">
        <f t="shared" si="830"/>
        <v>350</v>
      </c>
      <c r="DW291" s="5">
        <f t="shared" si="859"/>
        <v>2.8571428571428572</v>
      </c>
      <c r="DX291" s="5">
        <f t="shared" si="831"/>
        <v>0.97163120567375871</v>
      </c>
      <c r="DY291" s="5">
        <f t="shared" si="832"/>
        <v>1.8855116514690984</v>
      </c>
      <c r="DZ291" s="5"/>
      <c r="EA291" s="173">
        <f t="shared" si="833"/>
        <v>0.34007092198581557</v>
      </c>
      <c r="EB291" s="173">
        <f t="shared" si="860"/>
        <v>17.842870076957894</v>
      </c>
      <c r="EC291" s="173">
        <f t="shared" si="861"/>
        <v>3.8472461143805643</v>
      </c>
      <c r="ED291" s="173">
        <f t="shared" si="862"/>
        <v>4.6378291241268119</v>
      </c>
      <c r="EE291" s="460">
        <f t="shared" si="834"/>
        <v>109.30851063829786</v>
      </c>
      <c r="EF291" s="5">
        <f t="shared" si="835"/>
        <v>0.78562985477879088</v>
      </c>
      <c r="EH291" s="173">
        <f t="shared" si="863"/>
        <v>0.98140175728265877</v>
      </c>
      <c r="EI291" s="173">
        <f t="shared" si="864"/>
        <v>5.4685313426105715</v>
      </c>
      <c r="EK291" s="528">
        <f t="shared" si="865"/>
        <v>1.1750422792209385E-2</v>
      </c>
      <c r="EL291" s="528">
        <f t="shared" si="866"/>
        <v>1.1181531914893617</v>
      </c>
      <c r="EM291" s="528">
        <f t="shared" si="867"/>
        <v>4.3749999999999997E-2</v>
      </c>
      <c r="EN291" s="528">
        <f t="shared" si="868"/>
        <v>0.10510639999999997</v>
      </c>
      <c r="EO291">
        <f t="shared" si="869"/>
        <v>1.6199999999999999E-2</v>
      </c>
      <c r="EP291" s="460">
        <f t="shared" si="870"/>
        <v>59.949999999999996</v>
      </c>
      <c r="EQ291" s="460"/>
      <c r="ER291" s="460">
        <f t="shared" si="871"/>
        <v>1294.9600142815709</v>
      </c>
      <c r="ES291" s="528">
        <f t="shared" si="872"/>
        <v>3.15</v>
      </c>
      <c r="EV291" s="460">
        <f t="shared" si="873"/>
        <v>3150</v>
      </c>
      <c r="EW291" s="528">
        <f t="shared" si="874"/>
        <v>2.889448227592472E-2</v>
      </c>
      <c r="EX291" s="528">
        <f t="shared" si="875"/>
        <v>0.89714505135342537</v>
      </c>
      <c r="EY291" s="528">
        <f t="shared" si="876"/>
        <v>1.6622520922506578</v>
      </c>
      <c r="EZ291" s="528"/>
      <c r="FA291" s="528">
        <f t="shared" si="877"/>
        <v>7.4345291987324577E-2</v>
      </c>
      <c r="FB291" s="460">
        <f t="shared" si="878"/>
        <v>2662.6369178673326</v>
      </c>
      <c r="FC291" s="173">
        <f t="shared" si="879"/>
        <v>7.107596932148903</v>
      </c>
      <c r="FD291" s="5">
        <f t="shared" si="880"/>
        <v>18</v>
      </c>
      <c r="FE291" s="173">
        <f t="shared" si="881"/>
        <v>0.71691448801904201</v>
      </c>
      <c r="FF291" s="5">
        <f t="shared" si="882"/>
        <v>71.691448801904201</v>
      </c>
      <c r="FI291" s="562">
        <f t="shared" si="836"/>
        <v>-50</v>
      </c>
      <c r="FJ291">
        <f t="shared" si="837"/>
        <v>-50</v>
      </c>
      <c r="FL291">
        <f t="shared" si="838"/>
        <v>0.65992907801418443</v>
      </c>
    </row>
    <row r="292" spans="5:168">
      <c r="E292" s="170">
        <v>76</v>
      </c>
      <c r="F292" s="217">
        <f t="shared" si="839"/>
        <v>4.5600000000000005</v>
      </c>
      <c r="G292" s="217"/>
      <c r="H292" s="217">
        <f t="shared" si="764"/>
        <v>18.240000000000002</v>
      </c>
      <c r="I292" s="541">
        <f t="shared" si="765"/>
        <v>35.924773947376686</v>
      </c>
      <c r="J292" s="172">
        <f t="shared" si="766"/>
        <v>19.655651783393147</v>
      </c>
      <c r="K292" s="172">
        <f t="shared" si="767"/>
        <v>55.580425730769832</v>
      </c>
      <c r="L292" s="443"/>
      <c r="M292" s="217">
        <f t="shared" si="768"/>
        <v>0.35337942362076891</v>
      </c>
      <c r="N292" s="172">
        <f t="shared" si="769"/>
        <v>42.888198120106665</v>
      </c>
      <c r="O292" s="172">
        <f t="shared" si="762"/>
        <v>18.240000000000002</v>
      </c>
      <c r="P292" s="217">
        <f t="shared" si="770"/>
        <v>10.722049530026666</v>
      </c>
      <c r="Q292" s="217">
        <f t="shared" si="771"/>
        <v>4</v>
      </c>
      <c r="R292" s="217"/>
      <c r="S292" s="172">
        <f t="shared" si="772"/>
        <v>17.622723055355898</v>
      </c>
      <c r="T292" s="172">
        <f t="shared" si="773"/>
        <v>4</v>
      </c>
      <c r="U292" s="217">
        <f t="shared" si="774"/>
        <v>3.526024508479022</v>
      </c>
      <c r="V292" s="217">
        <f t="shared" si="775"/>
        <v>1.1778026540606252</v>
      </c>
      <c r="W292" s="217">
        <f t="shared" si="776"/>
        <v>2.1526782509190299</v>
      </c>
      <c r="X292" s="197">
        <f t="shared" si="777"/>
        <v>350</v>
      </c>
      <c r="Y292" s="443">
        <f t="shared" si="840"/>
        <v>283.24753111949281</v>
      </c>
      <c r="AA292" s="217">
        <f t="shared" si="778"/>
        <v>3.024895210613145</v>
      </c>
      <c r="AB292" s="173">
        <f t="shared" si="779"/>
        <v>1.8467330886491471</v>
      </c>
      <c r="AC292" s="173">
        <f t="shared" si="780"/>
        <v>3.9103218525949379</v>
      </c>
      <c r="AD292" s="173"/>
      <c r="AE292" s="173">
        <f t="shared" si="781"/>
        <v>0.81401523471830295</v>
      </c>
      <c r="AF292" s="545">
        <f t="shared" si="782"/>
        <v>2100.6977843501418</v>
      </c>
      <c r="AG292" s="528">
        <f t="shared" si="783"/>
        <v>0.75974755240374958</v>
      </c>
      <c r="AI292" s="173">
        <f t="shared" si="784"/>
        <v>3.2665288867738043</v>
      </c>
      <c r="AJ292" s="173">
        <f t="shared" si="785"/>
        <v>3.526024508479022</v>
      </c>
      <c r="AK292" s="173">
        <f t="shared" si="786"/>
        <v>2.8242156852931029</v>
      </c>
      <c r="AM292" s="545">
        <f t="shared" si="787"/>
        <v>4560.0000000000009</v>
      </c>
      <c r="AN292" s="460">
        <f t="shared" si="788"/>
        <v>283.24753111949281</v>
      </c>
      <c r="AP292">
        <f t="shared" si="789"/>
        <v>4560.0000000000009</v>
      </c>
      <c r="AQ292">
        <f t="shared" si="790"/>
        <v>283.24753111949281</v>
      </c>
      <c r="AS292" s="5">
        <f t="shared" si="763"/>
        <v>3.5304809049796555</v>
      </c>
      <c r="AT292" s="5">
        <f t="shared" si="791"/>
        <v>1.1778026540606252</v>
      </c>
      <c r="AU292" s="5">
        <f t="shared" si="722"/>
        <v>2.3526782509190305</v>
      </c>
      <c r="AV292" s="5"/>
      <c r="AW292" s="173">
        <f t="shared" si="723"/>
        <v>0.33360969390865813</v>
      </c>
      <c r="AX292" s="173">
        <f t="shared" si="792"/>
        <v>21.129442422745026</v>
      </c>
      <c r="AY292" s="173">
        <f t="shared" si="793"/>
        <v>4.6994171029818173</v>
      </c>
      <c r="AZ292" s="173">
        <f t="shared" si="794"/>
        <v>4.4961836669782365</v>
      </c>
      <c r="BA292" s="460">
        <f t="shared" si="724"/>
        <v>134.2695025629113</v>
      </c>
      <c r="BB292" s="5">
        <f t="shared" si="725"/>
        <v>0.99543310881655789</v>
      </c>
      <c r="BD292" s="173">
        <f t="shared" si="841"/>
        <v>1.1758286289613016</v>
      </c>
      <c r="BE292" s="173">
        <f t="shared" si="842"/>
        <v>6.647357345728576</v>
      </c>
      <c r="BG292" s="528">
        <f t="shared" si="843"/>
        <v>1.6867390169157174E-2</v>
      </c>
      <c r="BH292" s="528">
        <f t="shared" si="795"/>
        <v>1.0408175362276983</v>
      </c>
      <c r="BI292" s="528">
        <f t="shared" si="796"/>
        <v>0.25439008816550807</v>
      </c>
      <c r="BJ292" s="528">
        <f t="shared" si="844"/>
        <v>8.7500366311467792E-2</v>
      </c>
      <c r="BK292">
        <f t="shared" si="845"/>
        <v>1.6166148276319507E-2</v>
      </c>
      <c r="BL292" s="460">
        <f t="shared" si="846"/>
        <v>270.55623644182759</v>
      </c>
      <c r="BM292" s="528">
        <f t="shared" si="797"/>
        <v>1.1543658306479592</v>
      </c>
      <c r="BN292" s="460">
        <f t="shared" si="847"/>
        <v>1154.3658306479592</v>
      </c>
      <c r="BO292" s="528">
        <f t="shared" si="798"/>
        <v>3.1920000000000002</v>
      </c>
      <c r="BR292" s="460">
        <f t="shared" si="848"/>
        <v>3192</v>
      </c>
      <c r="BS292" s="528">
        <f t="shared" si="849"/>
        <v>4.1477188940550427E-2</v>
      </c>
      <c r="BT292" s="528">
        <f t="shared" si="850"/>
        <v>1.3256207904543496</v>
      </c>
      <c r="BU292" s="528">
        <f t="shared" si="851"/>
        <v>1.5761540188501717</v>
      </c>
      <c r="BV292" s="528"/>
      <c r="BW292" s="528">
        <f t="shared" si="852"/>
        <v>8.803934342810428E-2</v>
      </c>
      <c r="BX292" s="460">
        <f t="shared" si="853"/>
        <v>3031.2913416731758</v>
      </c>
      <c r="BY292" s="173">
        <f t="shared" si="854"/>
        <v>7.6390328708233275</v>
      </c>
      <c r="BZ292" s="5">
        <f t="shared" si="855"/>
        <v>18.240000000000002</v>
      </c>
      <c r="CA292" s="173">
        <f t="shared" si="856"/>
        <v>0.70481768352959717</v>
      </c>
      <c r="CB292" s="5">
        <f t="shared" si="857"/>
        <v>70.481768352959719</v>
      </c>
      <c r="CE292" s="562">
        <f t="shared" si="799"/>
        <v>-50</v>
      </c>
      <c r="CF292">
        <f t="shared" si="800"/>
        <v>-50</v>
      </c>
      <c r="CG292" s="173">
        <f t="shared" si="801"/>
        <v>0.63951248699563401</v>
      </c>
      <c r="CI292" s="170">
        <v>76</v>
      </c>
      <c r="CJ292" s="217">
        <f t="shared" si="858"/>
        <v>4.5600000000000005</v>
      </c>
      <c r="CK292" s="217"/>
      <c r="CL292" s="217">
        <f t="shared" si="802"/>
        <v>18.240000000000002</v>
      </c>
      <c r="CM292" s="541">
        <f t="shared" si="803"/>
        <v>36</v>
      </c>
      <c r="CN292" s="443">
        <f t="shared" si="804"/>
        <v>18.8</v>
      </c>
      <c r="CO292" s="443">
        <f t="shared" si="805"/>
        <v>54.8</v>
      </c>
      <c r="CP292" s="443"/>
      <c r="CQ292" s="217">
        <f t="shared" si="806"/>
        <v>0.34306569343065696</v>
      </c>
      <c r="CR292" s="172">
        <f t="shared" si="807"/>
        <v>41.723649635036502</v>
      </c>
      <c r="CS292" s="172">
        <f t="shared" si="808"/>
        <v>18.240000000000002</v>
      </c>
      <c r="CT292" s="217">
        <f t="shared" si="809"/>
        <v>10.430912408759125</v>
      </c>
      <c r="CU292" s="217">
        <f t="shared" si="810"/>
        <v>4</v>
      </c>
      <c r="CV292" s="217"/>
      <c r="CW292" s="172">
        <f t="shared" si="811"/>
        <v>17.658946420477889</v>
      </c>
      <c r="CX292" s="172">
        <f t="shared" si="812"/>
        <v>4</v>
      </c>
      <c r="CY292" s="217">
        <f t="shared" si="813"/>
        <v>2.953758865248227</v>
      </c>
      <c r="CZ292" s="217">
        <f t="shared" si="814"/>
        <v>0.98458628841607554</v>
      </c>
      <c r="DA292" s="217">
        <f t="shared" si="815"/>
        <v>1.8853779990946129</v>
      </c>
      <c r="DB292" s="197">
        <f t="shared" si="816"/>
        <v>350</v>
      </c>
      <c r="DC292" s="443">
        <f t="shared" si="817"/>
        <v>348.43639147418338</v>
      </c>
      <c r="DE292" s="217">
        <f t="shared" si="818"/>
        <v>2.940563086548488</v>
      </c>
      <c r="DF292" s="173">
        <f t="shared" si="819"/>
        <v>1.8769551616266944</v>
      </c>
      <c r="DG292" s="173">
        <f t="shared" si="820"/>
        <v>3.8635135443702762</v>
      </c>
      <c r="DH292" s="173"/>
      <c r="DI292" s="173">
        <f t="shared" si="821"/>
        <v>0.85106382978723416</v>
      </c>
      <c r="DJ292" s="545">
        <f t="shared" si="822"/>
        <v>2009.2499999999998</v>
      </c>
      <c r="DK292" s="528">
        <f t="shared" si="823"/>
        <v>0.79432624113475192</v>
      </c>
      <c r="DM292" s="173">
        <f t="shared" si="824"/>
        <v>3.1946383654044928</v>
      </c>
      <c r="DN292" s="173">
        <f t="shared" si="825"/>
        <v>2.953758865248227</v>
      </c>
      <c r="DO292" s="173">
        <f t="shared" si="826"/>
        <v>2.4003152088258473</v>
      </c>
      <c r="DQ292" s="545">
        <f t="shared" si="827"/>
        <v>4560.0000000000009</v>
      </c>
      <c r="DR292" s="460">
        <f t="shared" si="828"/>
        <v>348.43639147418338</v>
      </c>
      <c r="DT292">
        <f t="shared" si="829"/>
        <v>4560.0000000000009</v>
      </c>
      <c r="DU292">
        <f t="shared" si="830"/>
        <v>348.43639147418338</v>
      </c>
      <c r="DW292" s="5">
        <f t="shared" si="859"/>
        <v>2.8699642875106885</v>
      </c>
      <c r="DX292" s="5">
        <f t="shared" si="831"/>
        <v>0.98458628841607554</v>
      </c>
      <c r="DY292" s="5">
        <f t="shared" si="832"/>
        <v>1.8853779990946129</v>
      </c>
      <c r="DZ292" s="5"/>
      <c r="EA292" s="173">
        <f t="shared" si="833"/>
        <v>0.3430656934306569</v>
      </c>
      <c r="EB292" s="173">
        <f t="shared" si="860"/>
        <v>18.240000000000002</v>
      </c>
      <c r="EC292" s="173">
        <f t="shared" si="861"/>
        <v>3.880851063829788</v>
      </c>
      <c r="ED292" s="173">
        <f t="shared" si="862"/>
        <v>4.6999999999999993</v>
      </c>
      <c r="EE292" s="460">
        <f t="shared" si="834"/>
        <v>112.24283687943262</v>
      </c>
      <c r="EF292" s="5">
        <f t="shared" si="835"/>
        <v>0.79604848850661425</v>
      </c>
      <c r="EH292" s="173">
        <f t="shared" si="863"/>
        <v>0.99885639888572397</v>
      </c>
      <c r="EI292" s="173">
        <f t="shared" si="864"/>
        <v>5.5288572018685738</v>
      </c>
      <c r="EK292" s="528">
        <f t="shared" si="865"/>
        <v>1.2172112088258469E-2</v>
      </c>
      <c r="EL292" s="528">
        <f t="shared" si="866"/>
        <v>1.1280000000000001</v>
      </c>
      <c r="EM292" s="528">
        <f t="shared" si="867"/>
        <v>4.3554548934272921E-2</v>
      </c>
      <c r="EN292" s="528">
        <f t="shared" si="868"/>
        <v>0.10463684210526315</v>
      </c>
      <c r="EO292">
        <f t="shared" si="869"/>
        <v>1.6199999999999999E-2</v>
      </c>
      <c r="EP292" s="460">
        <f t="shared" si="870"/>
        <v>59.754548934272918</v>
      </c>
      <c r="EQ292" s="460"/>
      <c r="ER292" s="460">
        <f t="shared" si="871"/>
        <v>1304.563503127795</v>
      </c>
      <c r="ES292" s="528">
        <f t="shared" si="872"/>
        <v>3.1920000000000002</v>
      </c>
      <c r="EV292" s="460">
        <f t="shared" si="873"/>
        <v>3192</v>
      </c>
      <c r="EW292" s="528">
        <f t="shared" si="874"/>
        <v>2.9931423167848695E-2</v>
      </c>
      <c r="EX292" s="528">
        <f t="shared" si="875"/>
        <v>0.91704785875961981</v>
      </c>
      <c r="EY292" s="528">
        <f t="shared" si="876"/>
        <v>1.6990899383038445</v>
      </c>
      <c r="EZ292" s="528"/>
      <c r="FA292" s="528">
        <f t="shared" si="877"/>
        <v>7.6000000000000012E-2</v>
      </c>
      <c r="FB292" s="460">
        <f t="shared" si="878"/>
        <v>2722.069220231313</v>
      </c>
      <c r="FC292" s="173">
        <f t="shared" si="879"/>
        <v>7.2186327233591081</v>
      </c>
      <c r="FD292" s="5">
        <f t="shared" si="880"/>
        <v>18.240000000000002</v>
      </c>
      <c r="FE292" s="173">
        <f t="shared" si="881"/>
        <v>0.71645638625613306</v>
      </c>
      <c r="FF292" s="5">
        <f t="shared" si="882"/>
        <v>71.645638625613302</v>
      </c>
      <c r="FI292" s="562">
        <f t="shared" si="836"/>
        <v>-50</v>
      </c>
      <c r="FJ292">
        <f t="shared" si="837"/>
        <v>-50</v>
      </c>
      <c r="FL292">
        <f t="shared" si="838"/>
        <v>0.65693430656934315</v>
      </c>
    </row>
    <row r="293" spans="5:168">
      <c r="E293" s="170">
        <v>77</v>
      </c>
      <c r="F293" s="217">
        <f t="shared" si="839"/>
        <v>4.62</v>
      </c>
      <c r="G293" s="217"/>
      <c r="H293" s="217">
        <f t="shared" si="764"/>
        <v>18.48</v>
      </c>
      <c r="I293" s="541">
        <f t="shared" si="765"/>
        <v>35.923811086279805</v>
      </c>
      <c r="J293" s="172">
        <f t="shared" si="766"/>
        <v>19.66660375795481</v>
      </c>
      <c r="K293" s="172">
        <f t="shared" si="767"/>
        <v>55.590414844234616</v>
      </c>
      <c r="L293" s="443"/>
      <c r="M293" s="217">
        <f t="shared" si="768"/>
        <v>0.35351308423046751</v>
      </c>
      <c r="N293" s="172">
        <f t="shared" si="769"/>
        <v>42.903270024527174</v>
      </c>
      <c r="O293" s="172">
        <f t="shared" si="762"/>
        <v>18.48</v>
      </c>
      <c r="P293" s="217">
        <f t="shared" si="770"/>
        <v>10.725817506131794</v>
      </c>
      <c r="Q293" s="217">
        <f t="shared" si="771"/>
        <v>4</v>
      </c>
      <c r="R293" s="217"/>
      <c r="S293" s="172">
        <f t="shared" si="772"/>
        <v>17.287602832348817</v>
      </c>
      <c r="T293" s="172">
        <f t="shared" si="773"/>
        <v>4</v>
      </c>
      <c r="U293" s="217">
        <f t="shared" si="774"/>
        <v>3.5731581624515001</v>
      </c>
      <c r="V293" s="217">
        <f t="shared" si="775"/>
        <v>1.1935787616307261</v>
      </c>
      <c r="W293" s="217">
        <f t="shared" si="776"/>
        <v>2.180239073158456</v>
      </c>
      <c r="X293" s="197">
        <f t="shared" si="777"/>
        <v>350</v>
      </c>
      <c r="Y293" s="443">
        <f t="shared" si="840"/>
        <v>279.81280698348456</v>
      </c>
      <c r="AA293" s="217">
        <f t="shared" si="778"/>
        <v>3.0259557039563534</v>
      </c>
      <c r="AB293" s="173">
        <f t="shared" si="779"/>
        <v>1.8463517592756129</v>
      </c>
      <c r="AC293" s="173">
        <f t="shared" si="780"/>
        <v>3.9108850462429223</v>
      </c>
      <c r="AD293" s="173"/>
      <c r="AE293" s="173">
        <f t="shared" si="781"/>
        <v>0.81356192441352626</v>
      </c>
      <c r="AF293" s="545">
        <f t="shared" si="782"/>
        <v>2129.5244381660436</v>
      </c>
      <c r="AG293" s="528">
        <f t="shared" si="783"/>
        <v>0.75932446278595789</v>
      </c>
      <c r="AI293" s="173">
        <f t="shared" si="784"/>
        <v>3.2888648599289008</v>
      </c>
      <c r="AJ293" s="173">
        <f t="shared" si="785"/>
        <v>3.5731581624515001</v>
      </c>
      <c r="AK293" s="173">
        <f t="shared" si="786"/>
        <v>2.859129503050494</v>
      </c>
      <c r="AM293" s="545">
        <f t="shared" si="787"/>
        <v>4620</v>
      </c>
      <c r="AN293" s="460">
        <f t="shared" si="788"/>
        <v>279.81280698348456</v>
      </c>
      <c r="AP293">
        <f t="shared" si="789"/>
        <v>4620</v>
      </c>
      <c r="AQ293">
        <f t="shared" si="790"/>
        <v>279.81280698348456</v>
      </c>
      <c r="AS293" s="5">
        <f t="shared" si="763"/>
        <v>3.5738178347891818</v>
      </c>
      <c r="AT293" s="5">
        <f t="shared" si="791"/>
        <v>1.1935787616307261</v>
      </c>
      <c r="AU293" s="5">
        <f t="shared" si="722"/>
        <v>2.3802390731584557</v>
      </c>
      <c r="AV293" s="5"/>
      <c r="AW293" s="173">
        <f t="shared" si="723"/>
        <v>0.33397862364776487</v>
      </c>
      <c r="AX293" s="173">
        <f t="shared" si="792"/>
        <v>21.434991671275711</v>
      </c>
      <c r="AY293" s="173">
        <f t="shared" si="793"/>
        <v>4.759599434560343</v>
      </c>
      <c r="AZ293" s="173">
        <f t="shared" si="794"/>
        <v>4.5035284935182194</v>
      </c>
      <c r="BA293" s="460">
        <f t="shared" si="724"/>
        <v>137.85834696834885</v>
      </c>
      <c r="BB293" s="5">
        <f t="shared" si="725"/>
        <v>1.0203728562819419</v>
      </c>
      <c r="BD293" s="173">
        <f t="shared" si="841"/>
        <v>1.1922050255855554</v>
      </c>
      <c r="BE293" s="173">
        <f t="shared" si="842"/>
        <v>6.7343500690314251</v>
      </c>
      <c r="BG293" s="528">
        <f t="shared" si="843"/>
        <v>1.7340504440983749E-2</v>
      </c>
      <c r="BH293" s="528">
        <f t="shared" si="795"/>
        <v>1.0421278818821247</v>
      </c>
      <c r="BI293" s="528">
        <f t="shared" si="796"/>
        <v>0.25129856043990934</v>
      </c>
      <c r="BJ293" s="528">
        <f t="shared" si="844"/>
        <v>8.6470390081770793E-2</v>
      </c>
      <c r="BK293">
        <f t="shared" si="845"/>
        <v>1.6165714988825911E-2</v>
      </c>
      <c r="BL293" s="460">
        <f t="shared" si="846"/>
        <v>267.46427542873522</v>
      </c>
      <c r="BM293" s="528">
        <f t="shared" si="797"/>
        <v>1.1553810023258264</v>
      </c>
      <c r="BN293" s="460">
        <f t="shared" si="847"/>
        <v>1155.3810023258263</v>
      </c>
      <c r="BO293" s="528">
        <f t="shared" si="798"/>
        <v>3.234</v>
      </c>
      <c r="BR293" s="460">
        <f t="shared" si="848"/>
        <v>3234</v>
      </c>
      <c r="BS293" s="528">
        <f t="shared" si="849"/>
        <v>4.2640584690943645E-2</v>
      </c>
      <c r="BT293" s="528">
        <f t="shared" si="850"/>
        <v>1.3605441255679067</v>
      </c>
      <c r="BU293" s="528">
        <f t="shared" si="851"/>
        <v>1.5804092957284837</v>
      </c>
      <c r="BV293" s="528"/>
      <c r="BW293" s="528">
        <f t="shared" si="852"/>
        <v>8.9312465296982127E-2</v>
      </c>
      <c r="BX293" s="460">
        <f t="shared" si="853"/>
        <v>3072.9064712843165</v>
      </c>
      <c r="BY293" s="173">
        <f t="shared" si="854"/>
        <v>7.7203095231179297</v>
      </c>
      <c r="BZ293" s="5">
        <f t="shared" si="855"/>
        <v>18.48</v>
      </c>
      <c r="CA293" s="173">
        <f t="shared" si="856"/>
        <v>0.70533517871970597</v>
      </c>
      <c r="CB293" s="5">
        <f t="shared" si="857"/>
        <v>70.533517871970602</v>
      </c>
      <c r="CE293" s="562">
        <f t="shared" si="799"/>
        <v>-50</v>
      </c>
      <c r="CF293">
        <f t="shared" si="800"/>
        <v>-50</v>
      </c>
      <c r="CG293" s="173">
        <f t="shared" si="801"/>
        <v>0.63973874439269507</v>
      </c>
      <c r="CI293" s="170">
        <v>77</v>
      </c>
      <c r="CJ293" s="217">
        <f t="shared" si="858"/>
        <v>4.62</v>
      </c>
      <c r="CK293" s="217"/>
      <c r="CL293" s="217">
        <f t="shared" si="802"/>
        <v>18.48</v>
      </c>
      <c r="CM293" s="541">
        <f t="shared" si="803"/>
        <v>36</v>
      </c>
      <c r="CN293" s="443">
        <f t="shared" si="804"/>
        <v>18.8</v>
      </c>
      <c r="CO293" s="443">
        <f t="shared" si="805"/>
        <v>54.8</v>
      </c>
      <c r="CP293" s="443"/>
      <c r="CQ293" s="217">
        <f t="shared" si="806"/>
        <v>0.34306569343065696</v>
      </c>
      <c r="CR293" s="172">
        <f t="shared" si="807"/>
        <v>41.723649635036502</v>
      </c>
      <c r="CS293" s="172">
        <f t="shared" si="808"/>
        <v>18.48</v>
      </c>
      <c r="CT293" s="217">
        <f t="shared" si="809"/>
        <v>10.430912408759125</v>
      </c>
      <c r="CU293" s="217">
        <f t="shared" si="810"/>
        <v>4</v>
      </c>
      <c r="CV293" s="217"/>
      <c r="CW293" s="172">
        <f t="shared" si="811"/>
        <v>17.32356830076559</v>
      </c>
      <c r="CX293" s="172">
        <f t="shared" si="812"/>
        <v>4</v>
      </c>
      <c r="CY293" s="217">
        <f t="shared" si="813"/>
        <v>2.992624113475177</v>
      </c>
      <c r="CZ293" s="217">
        <f t="shared" si="814"/>
        <v>0.99754137115839225</v>
      </c>
      <c r="DA293" s="217">
        <f t="shared" si="815"/>
        <v>1.9101856043458574</v>
      </c>
      <c r="DB293" s="197">
        <f t="shared" si="816"/>
        <v>350</v>
      </c>
      <c r="DC293" s="443">
        <f t="shared" si="817"/>
        <v>343.91124353296027</v>
      </c>
      <c r="DE293" s="217">
        <f t="shared" si="818"/>
        <v>2.940563086548488</v>
      </c>
      <c r="DF293" s="173">
        <f t="shared" si="819"/>
        <v>1.8769551616266944</v>
      </c>
      <c r="DG293" s="173">
        <f t="shared" si="820"/>
        <v>3.8635135443702762</v>
      </c>
      <c r="DH293" s="173"/>
      <c r="DI293" s="173">
        <f t="shared" si="821"/>
        <v>0.85106382978723416</v>
      </c>
      <c r="DJ293" s="545">
        <f t="shared" si="822"/>
        <v>2035.6874999999995</v>
      </c>
      <c r="DK293" s="528">
        <f t="shared" si="823"/>
        <v>0.79432624113475192</v>
      </c>
      <c r="DM293" s="173">
        <f t="shared" si="824"/>
        <v>3.2155870381627052</v>
      </c>
      <c r="DN293" s="173">
        <f t="shared" si="825"/>
        <v>2.992624113475177</v>
      </c>
      <c r="DO293" s="173">
        <f t="shared" si="826"/>
        <v>2.4291042815865507</v>
      </c>
      <c r="DQ293" s="545">
        <f t="shared" si="827"/>
        <v>4620</v>
      </c>
      <c r="DR293" s="460">
        <f t="shared" si="828"/>
        <v>343.91124353296027</v>
      </c>
      <c r="DT293">
        <f t="shared" si="829"/>
        <v>4620</v>
      </c>
      <c r="DU293">
        <f t="shared" si="830"/>
        <v>343.91124353296027</v>
      </c>
      <c r="DW293" s="5">
        <f t="shared" si="859"/>
        <v>2.9077269755042496</v>
      </c>
      <c r="DX293" s="5">
        <f t="shared" si="831"/>
        <v>0.99754137115839225</v>
      </c>
      <c r="DY293" s="5">
        <f t="shared" si="832"/>
        <v>1.9101856043458574</v>
      </c>
      <c r="DZ293" s="5"/>
      <c r="EA293" s="173">
        <f t="shared" si="833"/>
        <v>0.34306569343065696</v>
      </c>
      <c r="EB293" s="173">
        <f t="shared" si="860"/>
        <v>18.48</v>
      </c>
      <c r="EC293" s="173">
        <f t="shared" si="861"/>
        <v>3.9319148936170207</v>
      </c>
      <c r="ED293" s="173">
        <f t="shared" si="862"/>
        <v>4.7000000000000011</v>
      </c>
      <c r="EE293" s="460">
        <f t="shared" si="834"/>
        <v>115.2160283687943</v>
      </c>
      <c r="EF293" s="5">
        <f t="shared" si="835"/>
        <v>0.81713495297017225</v>
      </c>
      <c r="EH293" s="173">
        <f t="shared" si="863"/>
        <v>1.0119992462394833</v>
      </c>
      <c r="EI293" s="173">
        <f t="shared" si="864"/>
        <v>5.6016053229457912</v>
      </c>
      <c r="EK293" s="528">
        <f t="shared" si="865"/>
        <v>1.2494538187549245E-2</v>
      </c>
      <c r="EL293" s="528">
        <f t="shared" si="866"/>
        <v>1.1280000000000001</v>
      </c>
      <c r="EM293" s="528">
        <f t="shared" si="867"/>
        <v>4.2988905441620033E-2</v>
      </c>
      <c r="EN293" s="528">
        <f t="shared" si="868"/>
        <v>0.10327792207792209</v>
      </c>
      <c r="EO293">
        <f t="shared" si="869"/>
        <v>1.6199999999999999E-2</v>
      </c>
      <c r="EP293" s="460">
        <f t="shared" si="870"/>
        <v>59.18890544162003</v>
      </c>
      <c r="EQ293" s="460"/>
      <c r="ER293" s="460">
        <f t="shared" si="871"/>
        <v>1302.9613657070913</v>
      </c>
      <c r="ES293" s="528">
        <f t="shared" si="872"/>
        <v>3.234</v>
      </c>
      <c r="EV293" s="460">
        <f t="shared" si="873"/>
        <v>3234</v>
      </c>
      <c r="EW293" s="528">
        <f t="shared" si="874"/>
        <v>3.0724274231678471E-2</v>
      </c>
      <c r="EX293" s="528">
        <f t="shared" si="875"/>
        <v>0.94133946582163863</v>
      </c>
      <c r="EY293" s="528">
        <f t="shared" si="876"/>
        <v>1.6990899383038478</v>
      </c>
      <c r="EZ293" s="528"/>
      <c r="FA293" s="528">
        <f t="shared" si="877"/>
        <v>7.6999999999999999E-2</v>
      </c>
      <c r="FB293" s="460">
        <f t="shared" si="878"/>
        <v>2748.1536783571651</v>
      </c>
      <c r="FC293" s="173">
        <f t="shared" si="879"/>
        <v>7.2851150440642556</v>
      </c>
      <c r="FD293" s="5">
        <f t="shared" si="880"/>
        <v>18.48</v>
      </c>
      <c r="FE293" s="173">
        <f t="shared" si="881"/>
        <v>0.71724888355417638</v>
      </c>
      <c r="FF293" s="5">
        <f t="shared" si="882"/>
        <v>71.724888355417633</v>
      </c>
      <c r="FI293" s="562">
        <f t="shared" si="836"/>
        <v>-50</v>
      </c>
      <c r="FJ293">
        <f t="shared" si="837"/>
        <v>-50</v>
      </c>
      <c r="FL293">
        <f t="shared" si="838"/>
        <v>0.65693430656934304</v>
      </c>
    </row>
    <row r="294" spans="5:168">
      <c r="E294" s="170">
        <v>78</v>
      </c>
      <c r="F294" s="217">
        <f t="shared" si="839"/>
        <v>4.68</v>
      </c>
      <c r="G294" s="217"/>
      <c r="H294" s="217">
        <f t="shared" si="764"/>
        <v>18.72</v>
      </c>
      <c r="I294" s="541">
        <f t="shared" si="765"/>
        <v>35.922848206611512</v>
      </c>
      <c r="J294" s="172">
        <f t="shared" si="766"/>
        <v>19.67755594375533</v>
      </c>
      <c r="K294" s="172">
        <f t="shared" si="767"/>
        <v>55.600404150366842</v>
      </c>
      <c r="L294" s="443"/>
      <c r="M294" s="217">
        <f t="shared" si="768"/>
        <v>0.35364669687347644</v>
      </c>
      <c r="N294" s="172">
        <f t="shared" si="769"/>
        <v>42.918335215993153</v>
      </c>
      <c r="O294" s="172">
        <f t="shared" si="762"/>
        <v>18.72</v>
      </c>
      <c r="P294" s="217">
        <f t="shared" si="770"/>
        <v>10.729583803998288</v>
      </c>
      <c r="Q294" s="217">
        <f t="shared" si="771"/>
        <v>4</v>
      </c>
      <c r="R294" s="217"/>
      <c r="S294" s="172">
        <f t="shared" si="772"/>
        <v>16.961309636975212</v>
      </c>
      <c r="T294" s="172">
        <f t="shared" si="773"/>
        <v>4</v>
      </c>
      <c r="U294" s="217">
        <f t="shared" si="774"/>
        <v>3.6203110414706816</v>
      </c>
      <c r="V294" s="217">
        <f t="shared" si="775"/>
        <v>1.2093621376506685</v>
      </c>
      <c r="W294" s="217">
        <f t="shared" si="776"/>
        <v>2.2077809165845643</v>
      </c>
      <c r="X294" s="197">
        <f t="shared" si="777"/>
        <v>350</v>
      </c>
      <c r="Y294" s="443">
        <f t="shared" si="840"/>
        <v>276.46128035470485</v>
      </c>
      <c r="AA294" s="217">
        <f t="shared" si="778"/>
        <v>3.027015746371303</v>
      </c>
      <c r="AB294" s="173">
        <f t="shared" si="779"/>
        <v>1.8459705595695748</v>
      </c>
      <c r="AC294" s="173">
        <f t="shared" si="780"/>
        <v>3.9114473658084639</v>
      </c>
      <c r="AD294" s="173"/>
      <c r="AE294" s="173">
        <f t="shared" si="781"/>
        <v>0.81310910997956531</v>
      </c>
      <c r="AF294" s="545">
        <f t="shared" si="782"/>
        <v>2158.3819175806625</v>
      </c>
      <c r="AG294" s="528">
        <f t="shared" si="783"/>
        <v>0.75890183598092764</v>
      </c>
      <c r="AI294" s="173">
        <f t="shared" si="784"/>
        <v>3.3110738046881791</v>
      </c>
      <c r="AJ294" s="173">
        <f t="shared" si="785"/>
        <v>3.6203110414706816</v>
      </c>
      <c r="AK294" s="173">
        <f t="shared" si="786"/>
        <v>2.8940575615832209</v>
      </c>
      <c r="AM294" s="545">
        <f t="shared" si="787"/>
        <v>4680</v>
      </c>
      <c r="AN294" s="460">
        <f t="shared" si="788"/>
        <v>276.46128035470485</v>
      </c>
      <c r="AP294">
        <f t="shared" si="789"/>
        <v>4680</v>
      </c>
      <c r="AQ294">
        <f t="shared" si="790"/>
        <v>276.46128035470485</v>
      </c>
      <c r="AS294" s="5">
        <f t="shared" si="763"/>
        <v>3.6171430542352323</v>
      </c>
      <c r="AT294" s="5">
        <f t="shared" si="791"/>
        <v>1.2093621376506685</v>
      </c>
      <c r="AU294" s="5">
        <f t="shared" si="722"/>
        <v>2.4077809165845636</v>
      </c>
      <c r="AV294" s="5"/>
      <c r="AW294" s="173">
        <f t="shared" si="723"/>
        <v>0.33434180498740662</v>
      </c>
      <c r="AX294" s="173">
        <f t="shared" si="792"/>
        <v>21.74089081986665</v>
      </c>
      <c r="AY294" s="173">
        <f t="shared" si="793"/>
        <v>4.8197794264990721</v>
      </c>
      <c r="AZ294" s="173">
        <f t="shared" si="794"/>
        <v>4.5107646836150987</v>
      </c>
      <c r="BA294" s="460">
        <f t="shared" si="724"/>
        <v>141.49537010512819</v>
      </c>
      <c r="BB294" s="5">
        <f t="shared" si="725"/>
        <v>1.0456125884752674</v>
      </c>
      <c r="BD294" s="173">
        <f t="shared" si="841"/>
        <v>1.2085944590571067</v>
      </c>
      <c r="BE294" s="173">
        <f t="shared" si="842"/>
        <v>6.8213587454324314</v>
      </c>
      <c r="BG294" s="528">
        <f t="shared" si="843"/>
        <v>1.7820546910855193E-2</v>
      </c>
      <c r="BH294" s="528">
        <f t="shared" si="795"/>
        <v>1.0434206328602962</v>
      </c>
      <c r="BI294" s="528">
        <f t="shared" si="796"/>
        <v>0.24828191522968832</v>
      </c>
      <c r="BJ294" s="528">
        <f t="shared" si="844"/>
        <v>8.5465376827285638E-2</v>
      </c>
      <c r="BK294">
        <f t="shared" si="845"/>
        <v>1.6165281692975181E-2</v>
      </c>
      <c r="BL294" s="460">
        <f t="shared" si="846"/>
        <v>264.44719692266352</v>
      </c>
      <c r="BM294" s="528">
        <f t="shared" si="797"/>
        <v>1.1564145507489723</v>
      </c>
      <c r="BN294" s="460">
        <f t="shared" si="847"/>
        <v>1156.4145507489723</v>
      </c>
      <c r="BO294" s="528">
        <f t="shared" si="798"/>
        <v>3.2759999999999998</v>
      </c>
      <c r="BR294" s="460">
        <f t="shared" si="848"/>
        <v>3276</v>
      </c>
      <c r="BS294" s="528">
        <f t="shared" si="849"/>
        <v>4.3821016993906212E-2</v>
      </c>
      <c r="BT294" s="528">
        <f t="shared" si="850"/>
        <v>1.3959280540166255</v>
      </c>
      <c r="BU294" s="528">
        <f t="shared" si="851"/>
        <v>1.5846031099820308</v>
      </c>
      <c r="BV294" s="528"/>
      <c r="BW294" s="528">
        <f t="shared" si="852"/>
        <v>9.058704508277772E-2</v>
      </c>
      <c r="BX294" s="460">
        <f t="shared" si="853"/>
        <v>3114.9392260753402</v>
      </c>
      <c r="BY294" s="173">
        <f t="shared" si="854"/>
        <v>7.8020929795964404</v>
      </c>
      <c r="BZ294" s="5">
        <f t="shared" si="855"/>
        <v>18.72</v>
      </c>
      <c r="CA294" s="173">
        <f t="shared" si="856"/>
        <v>0.70582664853793309</v>
      </c>
      <c r="CB294" s="5">
        <f t="shared" si="857"/>
        <v>70.582664853793304</v>
      </c>
      <c r="CE294" s="562">
        <f t="shared" si="799"/>
        <v>-50</v>
      </c>
      <c r="CF294">
        <f t="shared" si="800"/>
        <v>-50</v>
      </c>
      <c r="CG294" s="173">
        <f t="shared" si="801"/>
        <v>0.63995920031803666</v>
      </c>
      <c r="CI294" s="170">
        <v>78</v>
      </c>
      <c r="CJ294" s="217">
        <f t="shared" si="858"/>
        <v>4.68</v>
      </c>
      <c r="CK294" s="217"/>
      <c r="CL294" s="217">
        <f t="shared" si="802"/>
        <v>18.72</v>
      </c>
      <c r="CM294" s="541">
        <f t="shared" si="803"/>
        <v>36</v>
      </c>
      <c r="CN294" s="443">
        <f t="shared" si="804"/>
        <v>18.8</v>
      </c>
      <c r="CO294" s="443">
        <f t="shared" si="805"/>
        <v>54.8</v>
      </c>
      <c r="CP294" s="443"/>
      <c r="CQ294" s="217">
        <f t="shared" si="806"/>
        <v>0.34306569343065696</v>
      </c>
      <c r="CR294" s="172">
        <f t="shared" si="807"/>
        <v>41.723649635036502</v>
      </c>
      <c r="CS294" s="172">
        <f t="shared" si="808"/>
        <v>18.72</v>
      </c>
      <c r="CT294" s="217">
        <f t="shared" si="809"/>
        <v>10.430912408759125</v>
      </c>
      <c r="CU294" s="217">
        <f t="shared" si="810"/>
        <v>4</v>
      </c>
      <c r="CV294" s="217"/>
      <c r="CW294" s="172">
        <f t="shared" si="811"/>
        <v>16.997017823595534</v>
      </c>
      <c r="CX294" s="172">
        <f t="shared" si="812"/>
        <v>4</v>
      </c>
      <c r="CY294" s="217">
        <f t="shared" si="813"/>
        <v>3.031489361702127</v>
      </c>
      <c r="CZ294" s="217">
        <f t="shared" si="814"/>
        <v>1.0104964539007091</v>
      </c>
      <c r="DA294" s="217">
        <f t="shared" si="815"/>
        <v>1.9349932095971023</v>
      </c>
      <c r="DB294" s="197">
        <f t="shared" si="816"/>
        <v>350</v>
      </c>
      <c r="DC294" s="443">
        <f t="shared" si="817"/>
        <v>339.50212502612743</v>
      </c>
      <c r="DE294" s="217">
        <f t="shared" si="818"/>
        <v>2.940563086548488</v>
      </c>
      <c r="DF294" s="173">
        <f t="shared" si="819"/>
        <v>1.8769551616266944</v>
      </c>
      <c r="DG294" s="173">
        <f t="shared" si="820"/>
        <v>3.8635135443702762</v>
      </c>
      <c r="DH294" s="173"/>
      <c r="DI294" s="173">
        <f t="shared" si="821"/>
        <v>0.85106382978723416</v>
      </c>
      <c r="DJ294" s="545">
        <f t="shared" si="822"/>
        <v>2062.1249999999991</v>
      </c>
      <c r="DK294" s="528">
        <f t="shared" si="823"/>
        <v>0.79432624113475192</v>
      </c>
      <c r="DM294" s="173">
        <f t="shared" si="824"/>
        <v>3.2364001165315939</v>
      </c>
      <c r="DN294" s="173">
        <f t="shared" si="825"/>
        <v>3.031489361702127</v>
      </c>
      <c r="DO294" s="173">
        <f t="shared" si="826"/>
        <v>2.4578933543472545</v>
      </c>
      <c r="DQ294" s="545">
        <f t="shared" si="827"/>
        <v>4680</v>
      </c>
      <c r="DR294" s="460">
        <f t="shared" si="828"/>
        <v>339.50212502612743</v>
      </c>
      <c r="DT294">
        <f t="shared" si="829"/>
        <v>4680</v>
      </c>
      <c r="DU294">
        <f t="shared" si="830"/>
        <v>339.50212502612743</v>
      </c>
      <c r="DW294" s="5">
        <f t="shared" si="859"/>
        <v>2.9454896634978112</v>
      </c>
      <c r="DX294" s="5">
        <f t="shared" si="831"/>
        <v>1.0104964539007091</v>
      </c>
      <c r="DY294" s="5">
        <f t="shared" si="832"/>
        <v>1.9349932095971021</v>
      </c>
      <c r="DZ294" s="5"/>
      <c r="EA294" s="173">
        <f t="shared" si="833"/>
        <v>0.34306569343065696</v>
      </c>
      <c r="EB294" s="173">
        <f t="shared" si="860"/>
        <v>18.719999999999995</v>
      </c>
      <c r="EC294" s="173">
        <f t="shared" si="861"/>
        <v>3.9829787234042544</v>
      </c>
      <c r="ED294" s="173">
        <f t="shared" si="862"/>
        <v>4.7</v>
      </c>
      <c r="EE294" s="460">
        <f t="shared" si="834"/>
        <v>118.22808510638296</v>
      </c>
      <c r="EF294" s="5">
        <f t="shared" si="835"/>
        <v>0.83849705749207759</v>
      </c>
      <c r="EH294" s="173">
        <f t="shared" si="863"/>
        <v>1.0251420935932429</v>
      </c>
      <c r="EI294" s="173">
        <f t="shared" si="864"/>
        <v>5.6743534440230086</v>
      </c>
      <c r="EK294" s="528">
        <f t="shared" si="865"/>
        <v>1.2821179007092193E-2</v>
      </c>
      <c r="EL294" s="528">
        <f t="shared" si="866"/>
        <v>1.1279999999999999</v>
      </c>
      <c r="EM294" s="528">
        <f t="shared" si="867"/>
        <v>4.2437765628265928E-2</v>
      </c>
      <c r="EN294" s="528">
        <f t="shared" si="868"/>
        <v>0.10195384615384616</v>
      </c>
      <c r="EO294">
        <f t="shared" si="869"/>
        <v>1.6199999999999999E-2</v>
      </c>
      <c r="EP294" s="460">
        <f t="shared" si="870"/>
        <v>58.637765628265925</v>
      </c>
      <c r="EQ294" s="460"/>
      <c r="ER294" s="460">
        <f t="shared" si="871"/>
        <v>1301.4127907892041</v>
      </c>
      <c r="ES294" s="528">
        <f t="shared" si="872"/>
        <v>3.2759999999999998</v>
      </c>
      <c r="EV294" s="460">
        <f t="shared" si="873"/>
        <v>3276</v>
      </c>
      <c r="EW294" s="528">
        <f t="shared" si="874"/>
        <v>3.1527489361702118E-2</v>
      </c>
      <c r="EX294" s="528">
        <f t="shared" si="875"/>
        <v>0.96594861023087319</v>
      </c>
      <c r="EY294" s="528">
        <f t="shared" si="876"/>
        <v>1.6990899383038456</v>
      </c>
      <c r="EZ294" s="528"/>
      <c r="FA294" s="528">
        <f t="shared" si="877"/>
        <v>7.7999999999999986E-2</v>
      </c>
      <c r="FB294" s="460">
        <f t="shared" si="878"/>
        <v>2774.5660378964208</v>
      </c>
      <c r="FC294" s="173">
        <f t="shared" si="879"/>
        <v>7.3519788286856249</v>
      </c>
      <c r="FD294" s="5">
        <f t="shared" si="880"/>
        <v>18.72</v>
      </c>
      <c r="FE294" s="173">
        <f t="shared" si="881"/>
        <v>0.71801224306777089</v>
      </c>
      <c r="FF294" s="5">
        <f t="shared" si="882"/>
        <v>71.801224306777087</v>
      </c>
      <c r="FI294" s="562">
        <f t="shared" si="836"/>
        <v>-50</v>
      </c>
      <c r="FJ294">
        <f t="shared" si="837"/>
        <v>-50</v>
      </c>
      <c r="FL294">
        <f t="shared" si="838"/>
        <v>0.65693430656934304</v>
      </c>
    </row>
    <row r="295" spans="5:168">
      <c r="E295" s="170">
        <v>79</v>
      </c>
      <c r="F295" s="217">
        <f t="shared" si="839"/>
        <v>4.74</v>
      </c>
      <c r="G295" s="217"/>
      <c r="H295" s="217">
        <f t="shared" si="764"/>
        <v>18.96</v>
      </c>
      <c r="I295" s="541">
        <f t="shared" si="765"/>
        <v>35.921885309095508</v>
      </c>
      <c r="J295" s="172">
        <f t="shared" si="766"/>
        <v>19.688508332562964</v>
      </c>
      <c r="K295" s="172">
        <f t="shared" si="767"/>
        <v>55.610393641658476</v>
      </c>
      <c r="L295" s="443"/>
      <c r="M295" s="217">
        <f t="shared" si="768"/>
        <v>0.35378026157120318</v>
      </c>
      <c r="N295" s="172">
        <f t="shared" si="769"/>
        <v>42.933393698410448</v>
      </c>
      <c r="O295" s="172">
        <f t="shared" si="762"/>
        <v>18.96</v>
      </c>
      <c r="P295" s="217">
        <f t="shared" si="770"/>
        <v>10.733348424602612</v>
      </c>
      <c r="Q295" s="217">
        <f t="shared" si="771"/>
        <v>4</v>
      </c>
      <c r="R295" s="217"/>
      <c r="S295" s="172">
        <f t="shared" si="772"/>
        <v>16.643511438190846</v>
      </c>
      <c r="T295" s="172">
        <f t="shared" si="773"/>
        <v>4</v>
      </c>
      <c r="U295" s="217">
        <f t="shared" si="774"/>
        <v>3.6674831470830047</v>
      </c>
      <c r="V295" s="217">
        <f t="shared" si="775"/>
        <v>1.225152783221338</v>
      </c>
      <c r="W295" s="217">
        <f t="shared" si="776"/>
        <v>2.2353038138601868</v>
      </c>
      <c r="X295" s="197">
        <f t="shared" si="777"/>
        <v>350</v>
      </c>
      <c r="Y295" s="443">
        <f t="shared" si="840"/>
        <v>273.18996236625179</v>
      </c>
      <c r="AA295" s="217">
        <f t="shared" si="778"/>
        <v>3.0280753372885463</v>
      </c>
      <c r="AB295" s="173">
        <f t="shared" si="779"/>
        <v>1.8455894897514753</v>
      </c>
      <c r="AC295" s="173">
        <f t="shared" si="780"/>
        <v>3.9120088116727763</v>
      </c>
      <c r="AD295" s="173"/>
      <c r="AE295" s="173">
        <f t="shared" si="781"/>
        <v>0.81265679094324728</v>
      </c>
      <c r="AF295" s="545">
        <f t="shared" si="782"/>
        <v>2187.2702225706662</v>
      </c>
      <c r="AG295" s="528">
        <f t="shared" si="783"/>
        <v>0.75847967154703078</v>
      </c>
      <c r="AI295" s="173">
        <f t="shared" si="784"/>
        <v>3.3331582602181569</v>
      </c>
      <c r="AJ295" s="173">
        <f t="shared" si="785"/>
        <v>3.6674831470830047</v>
      </c>
      <c r="AK295" s="173">
        <f t="shared" si="786"/>
        <v>2.9289998620367936</v>
      </c>
      <c r="AM295" s="545">
        <f t="shared" si="787"/>
        <v>4740</v>
      </c>
      <c r="AN295" s="460">
        <f t="shared" si="788"/>
        <v>273.18996236625179</v>
      </c>
      <c r="AP295">
        <f t="shared" si="789"/>
        <v>4740</v>
      </c>
      <c r="AQ295">
        <f t="shared" si="790"/>
        <v>273.18996236625179</v>
      </c>
      <c r="AS295" s="5">
        <f t="shared" si="763"/>
        <v>3.660456597081525</v>
      </c>
      <c r="AT295" s="5">
        <f t="shared" si="791"/>
        <v>1.225152783221338</v>
      </c>
      <c r="AU295" s="5">
        <f t="shared" si="722"/>
        <v>2.435303813860187</v>
      </c>
      <c r="AV295" s="5"/>
      <c r="AW295" s="173">
        <f t="shared" si="723"/>
        <v>0.33469944274114599</v>
      </c>
      <c r="AX295" s="173">
        <f t="shared" si="792"/>
        <v>22.047139110779565</v>
      </c>
      <c r="AY295" s="173">
        <f t="shared" si="793"/>
        <v>4.8799571629835565</v>
      </c>
      <c r="AZ295" s="173">
        <f t="shared" si="794"/>
        <v>4.5178960335996408</v>
      </c>
      <c r="BA295" s="460">
        <f t="shared" si="724"/>
        <v>145.18060481172856</v>
      </c>
      <c r="BB295" s="5">
        <f t="shared" si="725"/>
        <v>1.0711520269023374</v>
      </c>
      <c r="BD295" s="173">
        <f t="shared" si="841"/>
        <v>1.2249969125502953</v>
      </c>
      <c r="BE295" s="173">
        <f t="shared" si="842"/>
        <v>6.9083834392191807</v>
      </c>
      <c r="BG295" s="528">
        <f t="shared" si="843"/>
        <v>1.8307532716244617E-2</v>
      </c>
      <c r="BH295" s="528">
        <f t="shared" si="795"/>
        <v>1.044696420075931</v>
      </c>
      <c r="BI295" s="528">
        <f t="shared" si="796"/>
        <v>0.24533746239291535</v>
      </c>
      <c r="BJ295" s="528">
        <f t="shared" si="844"/>
        <v>8.4484429714201947E-2</v>
      </c>
      <c r="BK295">
        <f t="shared" si="845"/>
        <v>1.6164848389092979E-2</v>
      </c>
      <c r="BL295" s="460">
        <f t="shared" si="846"/>
        <v>261.50231078200829</v>
      </c>
      <c r="BM295" s="528">
        <f t="shared" si="797"/>
        <v>1.1574662437672343</v>
      </c>
      <c r="BN295" s="460">
        <f t="shared" si="847"/>
        <v>1157.4662437672343</v>
      </c>
      <c r="BO295" s="528">
        <f t="shared" si="798"/>
        <v>3.3180000000000001</v>
      </c>
      <c r="BR295" s="460">
        <f t="shared" si="848"/>
        <v>3318</v>
      </c>
      <c r="BS295" s="528">
        <f t="shared" si="849"/>
        <v>4.5018523072732672E-2</v>
      </c>
      <c r="BT295" s="528">
        <f t="shared" si="850"/>
        <v>1.4317728522983351</v>
      </c>
      <c r="BU295" s="528">
        <f t="shared" si="851"/>
        <v>1.5887375754347299</v>
      </c>
      <c r="BV295" s="528"/>
      <c r="BW295" s="528">
        <f t="shared" si="852"/>
        <v>9.1863079628248176E-2</v>
      </c>
      <c r="BX295" s="460">
        <f t="shared" si="853"/>
        <v>3157.3920304340459</v>
      </c>
      <c r="BY295" s="173">
        <f t="shared" si="854"/>
        <v>7.8843827237224318</v>
      </c>
      <c r="BZ295" s="5">
        <f t="shared" si="855"/>
        <v>18.96</v>
      </c>
      <c r="CA295" s="173">
        <f t="shared" si="856"/>
        <v>0.70629301463672745</v>
      </c>
      <c r="CB295" s="5">
        <f t="shared" si="857"/>
        <v>70.629301463672746</v>
      </c>
      <c r="CE295" s="562">
        <f t="shared" si="799"/>
        <v>-50</v>
      </c>
      <c r="CF295">
        <f t="shared" si="800"/>
        <v>-50</v>
      </c>
      <c r="CG295" s="173">
        <f t="shared" si="801"/>
        <v>0.64017407508071156</v>
      </c>
      <c r="CI295" s="170">
        <v>79</v>
      </c>
      <c r="CJ295" s="217">
        <f t="shared" si="858"/>
        <v>4.74</v>
      </c>
      <c r="CK295" s="217"/>
      <c r="CL295" s="217">
        <f t="shared" si="802"/>
        <v>18.96</v>
      </c>
      <c r="CM295" s="541">
        <f t="shared" si="803"/>
        <v>36</v>
      </c>
      <c r="CN295" s="443">
        <f t="shared" si="804"/>
        <v>18.8</v>
      </c>
      <c r="CO295" s="443">
        <f t="shared" si="805"/>
        <v>54.8</v>
      </c>
      <c r="CP295" s="443"/>
      <c r="CQ295" s="217">
        <f t="shared" si="806"/>
        <v>0.34306569343065696</v>
      </c>
      <c r="CR295" s="172">
        <f t="shared" si="807"/>
        <v>41.723649635036502</v>
      </c>
      <c r="CS295" s="172">
        <f t="shared" si="808"/>
        <v>18.96</v>
      </c>
      <c r="CT295" s="217">
        <f t="shared" si="809"/>
        <v>10.430912408759125</v>
      </c>
      <c r="CU295" s="217">
        <f t="shared" si="810"/>
        <v>4</v>
      </c>
      <c r="CV295" s="217"/>
      <c r="CW295" s="172">
        <f t="shared" si="811"/>
        <v>16.678962942511756</v>
      </c>
      <c r="CX295" s="172">
        <f t="shared" si="812"/>
        <v>4</v>
      </c>
      <c r="CY295" s="217">
        <f t="shared" si="813"/>
        <v>3.0703546099290779</v>
      </c>
      <c r="CZ295" s="217">
        <f t="shared" si="814"/>
        <v>1.0234515366430259</v>
      </c>
      <c r="DA295" s="217">
        <f t="shared" si="815"/>
        <v>1.9598008148483477</v>
      </c>
      <c r="DB295" s="197">
        <f t="shared" si="816"/>
        <v>350</v>
      </c>
      <c r="DC295" s="443">
        <f t="shared" si="817"/>
        <v>335.20462977263207</v>
      </c>
      <c r="DE295" s="217">
        <f t="shared" si="818"/>
        <v>2.940563086548488</v>
      </c>
      <c r="DF295" s="173">
        <f t="shared" si="819"/>
        <v>1.8769551616266944</v>
      </c>
      <c r="DG295" s="173">
        <f t="shared" si="820"/>
        <v>3.8635135443702762</v>
      </c>
      <c r="DH295" s="173"/>
      <c r="DI295" s="173">
        <f t="shared" si="821"/>
        <v>0.85106382978723416</v>
      </c>
      <c r="DJ295" s="545">
        <f t="shared" si="822"/>
        <v>2088.5624999999995</v>
      </c>
      <c r="DK295" s="528">
        <f t="shared" si="823"/>
        <v>0.79432624113475192</v>
      </c>
      <c r="DM295" s="173">
        <f t="shared" si="824"/>
        <v>3.2570801998985885</v>
      </c>
      <c r="DN295" s="173">
        <f t="shared" si="825"/>
        <v>3.0703546099290779</v>
      </c>
      <c r="DO295" s="173">
        <f t="shared" si="826"/>
        <v>2.4866824271079588</v>
      </c>
      <c r="DQ295" s="545">
        <f t="shared" si="827"/>
        <v>4740</v>
      </c>
      <c r="DR295" s="460">
        <f t="shared" si="828"/>
        <v>335.20462977263207</v>
      </c>
      <c r="DT295">
        <f t="shared" si="829"/>
        <v>4740</v>
      </c>
      <c r="DU295">
        <f t="shared" si="830"/>
        <v>335.20462977263207</v>
      </c>
      <c r="DW295" s="5">
        <f t="shared" si="859"/>
        <v>2.983252351491374</v>
      </c>
      <c r="DX295" s="5">
        <f t="shared" si="831"/>
        <v>1.0234515366430259</v>
      </c>
      <c r="DY295" s="5">
        <f t="shared" si="832"/>
        <v>1.9598008148483481</v>
      </c>
      <c r="DZ295" s="5"/>
      <c r="EA295" s="173">
        <f t="shared" si="833"/>
        <v>0.34306569343065685</v>
      </c>
      <c r="EB295" s="173">
        <f t="shared" si="860"/>
        <v>18.959999999999997</v>
      </c>
      <c r="EC295" s="173">
        <f t="shared" si="861"/>
        <v>4.0340425531914894</v>
      </c>
      <c r="ED295" s="173">
        <f t="shared" si="862"/>
        <v>4.6999999999999993</v>
      </c>
      <c r="EE295" s="460">
        <f t="shared" si="834"/>
        <v>121.27900709219857</v>
      </c>
      <c r="EF295" s="5">
        <f t="shared" si="835"/>
        <v>0.86013480207233051</v>
      </c>
      <c r="EH295" s="173">
        <f t="shared" si="863"/>
        <v>1.0382849409470023</v>
      </c>
      <c r="EI295" s="173">
        <f t="shared" si="864"/>
        <v>5.7471015651002286</v>
      </c>
      <c r="EK295" s="528">
        <f t="shared" si="865"/>
        <v>1.3152034546887304E-2</v>
      </c>
      <c r="EL295" s="528">
        <f t="shared" si="866"/>
        <v>1.1279999999999999</v>
      </c>
      <c r="EM295" s="528">
        <f t="shared" si="867"/>
        <v>4.1900578721579006E-2</v>
      </c>
      <c r="EN295" s="528">
        <f t="shared" si="868"/>
        <v>0.1006632911392405</v>
      </c>
      <c r="EO295">
        <f t="shared" si="869"/>
        <v>1.6199999999999999E-2</v>
      </c>
      <c r="EP295" s="460">
        <f t="shared" si="870"/>
        <v>58.100578721579005</v>
      </c>
      <c r="EQ295" s="460"/>
      <c r="ER295" s="460">
        <f t="shared" si="871"/>
        <v>1299.9159044077066</v>
      </c>
      <c r="ES295" s="528">
        <f t="shared" si="872"/>
        <v>3.3180000000000001</v>
      </c>
      <c r="EV295" s="460">
        <f t="shared" si="873"/>
        <v>3318</v>
      </c>
      <c r="EW295" s="528">
        <f t="shared" si="874"/>
        <v>3.23410685579196E-2</v>
      </c>
      <c r="EX295" s="528">
        <f t="shared" si="875"/>
        <v>0.99087529198732482</v>
      </c>
      <c r="EY295" s="528">
        <f t="shared" si="876"/>
        <v>1.6990899383038454</v>
      </c>
      <c r="EZ295" s="528"/>
      <c r="FA295" s="528">
        <f t="shared" si="877"/>
        <v>7.9000000000000001E-2</v>
      </c>
      <c r="FB295" s="460">
        <f t="shared" si="878"/>
        <v>2801.3062988490901</v>
      </c>
      <c r="FC295" s="173">
        <f t="shared" si="879"/>
        <v>7.4192222032567967</v>
      </c>
      <c r="FD295" s="5">
        <f t="shared" si="880"/>
        <v>18.96</v>
      </c>
      <c r="FE295" s="173">
        <f t="shared" si="881"/>
        <v>0.71874749960062068</v>
      </c>
      <c r="FF295" s="5">
        <f t="shared" si="882"/>
        <v>71.874749960062061</v>
      </c>
      <c r="FI295" s="562">
        <f t="shared" si="836"/>
        <v>-50</v>
      </c>
      <c r="FJ295">
        <f t="shared" si="837"/>
        <v>-50</v>
      </c>
      <c r="FL295">
        <f t="shared" si="838"/>
        <v>0.65693430656934315</v>
      </c>
    </row>
    <row r="296" spans="5:168">
      <c r="E296" s="170">
        <v>80</v>
      </c>
      <c r="F296" s="217">
        <f t="shared" si="839"/>
        <v>4.8000000000000007</v>
      </c>
      <c r="G296" s="217"/>
      <c r="H296" s="217">
        <f t="shared" si="764"/>
        <v>19.200000000000003</v>
      </c>
      <c r="I296" s="541">
        <f t="shared" si="765"/>
        <v>35.920922394418376</v>
      </c>
      <c r="J296" s="172">
        <f t="shared" si="766"/>
        <v>19.699460916568192</v>
      </c>
      <c r="K296" s="172">
        <f t="shared" si="767"/>
        <v>55.620383310986568</v>
      </c>
      <c r="L296" s="443"/>
      <c r="M296" s="217">
        <f t="shared" si="768"/>
        <v>0.35391377834526927</v>
      </c>
      <c r="N296" s="172">
        <f t="shared" si="769"/>
        <v>42.948445475667526</v>
      </c>
      <c r="O296" s="172">
        <f t="shared" si="762"/>
        <v>19.200000000000003</v>
      </c>
      <c r="P296" s="217">
        <f t="shared" si="770"/>
        <v>10.737111368916882</v>
      </c>
      <c r="Q296" s="217">
        <f t="shared" si="771"/>
        <v>4</v>
      </c>
      <c r="R296" s="217"/>
      <c r="S296" s="172">
        <f t="shared" si="772"/>
        <v>16.333892847812827</v>
      </c>
      <c r="T296" s="172">
        <f t="shared" si="773"/>
        <v>4</v>
      </c>
      <c r="U296" s="217">
        <f t="shared" si="774"/>
        <v>3.7146744808351038</v>
      </c>
      <c r="V296" s="217">
        <f t="shared" si="775"/>
        <v>1.2409506994438364</v>
      </c>
      <c r="W296" s="217">
        <f t="shared" si="776"/>
        <v>2.2628077975743293</v>
      </c>
      <c r="X296" s="197">
        <f t="shared" si="777"/>
        <v>350</v>
      </c>
      <c r="Y296" s="443">
        <f t="shared" si="840"/>
        <v>269.99600562646924</v>
      </c>
      <c r="AA296" s="217">
        <f t="shared" si="778"/>
        <v>3.0291344761807197</v>
      </c>
      <c r="AB296" s="173">
        <f t="shared" si="779"/>
        <v>1.8452085500267099</v>
      </c>
      <c r="AC296" s="173">
        <f t="shared" si="780"/>
        <v>3.9125693842405402</v>
      </c>
      <c r="AD296" s="173"/>
      <c r="AE296" s="173">
        <f t="shared" si="781"/>
        <v>0.81220496681425614</v>
      </c>
      <c r="AF296" s="545">
        <f t="shared" si="782"/>
        <v>2216.1893531139208</v>
      </c>
      <c r="AG296" s="528">
        <f t="shared" si="783"/>
        <v>0.75805796902663924</v>
      </c>
      <c r="AI296" s="173">
        <f t="shared" si="784"/>
        <v>3.3551206847843105</v>
      </c>
      <c r="AJ296" s="173">
        <f t="shared" si="785"/>
        <v>3.7146744808351038</v>
      </c>
      <c r="AK296" s="173">
        <f t="shared" si="786"/>
        <v>2.9639564055568668</v>
      </c>
      <c r="AM296" s="545">
        <f t="shared" si="787"/>
        <v>4800.0000000000009</v>
      </c>
      <c r="AN296" s="460">
        <f t="shared" si="788"/>
        <v>269.99600562646924</v>
      </c>
      <c r="AP296">
        <f t="shared" si="789"/>
        <v>4800.0000000000009</v>
      </c>
      <c r="AQ296">
        <f t="shared" si="790"/>
        <v>269.99600562646924</v>
      </c>
      <c r="AS296" s="5">
        <f t="shared" si="763"/>
        <v>3.7037584970181658</v>
      </c>
      <c r="AT296" s="5">
        <f t="shared" si="791"/>
        <v>1.2409506994438364</v>
      </c>
      <c r="AU296" s="5">
        <f t="shared" si="722"/>
        <v>2.4628077975743294</v>
      </c>
      <c r="AV296" s="5"/>
      <c r="AW296" s="173">
        <f t="shared" si="723"/>
        <v>0.33505173202920902</v>
      </c>
      <c r="AX296" s="173">
        <f t="shared" si="792"/>
        <v>22.353735822154825</v>
      </c>
      <c r="AY296" s="173">
        <f t="shared" si="793"/>
        <v>4.9401327242131989</v>
      </c>
      <c r="AZ296" s="173">
        <f t="shared" si="794"/>
        <v>4.5249261649574493</v>
      </c>
      <c r="BA296" s="460">
        <f t="shared" si="724"/>
        <v>148.9140839332604</v>
      </c>
      <c r="BB296" s="5">
        <f t="shared" si="725"/>
        <v>1.0969908937336268</v>
      </c>
      <c r="BD296" s="173">
        <f t="shared" si="841"/>
        <v>1.2414123700152933</v>
      </c>
      <c r="BE296" s="173">
        <f t="shared" si="842"/>
        <v>6.9954242115968297</v>
      </c>
      <c r="BG296" s="528">
        <f t="shared" si="843"/>
        <v>1.8801477003609245E-2</v>
      </c>
      <c r="BH296" s="528">
        <f t="shared" si="795"/>
        <v>1.0459558445795403</v>
      </c>
      <c r="BI296" s="528">
        <f t="shared" si="796"/>
        <v>0.24246263912278371</v>
      </c>
      <c r="BJ296" s="528">
        <f t="shared" si="844"/>
        <v>8.3526694360652853E-2</v>
      </c>
      <c r="BK296">
        <f t="shared" si="845"/>
        <v>1.6164415077488267E-2</v>
      </c>
      <c r="BL296" s="460">
        <f t="shared" si="846"/>
        <v>258.62705420027197</v>
      </c>
      <c r="BM296" s="528">
        <f t="shared" si="797"/>
        <v>1.1585358619779369</v>
      </c>
      <c r="BN296" s="460">
        <f t="shared" si="847"/>
        <v>1158.535861977937</v>
      </c>
      <c r="BO296" s="528">
        <f t="shared" si="798"/>
        <v>3.3600000000000003</v>
      </c>
      <c r="BR296" s="460">
        <f t="shared" si="848"/>
        <v>3360.0000000000005</v>
      </c>
      <c r="BS296" s="528">
        <f t="shared" si="849"/>
        <v>4.623314017280962E-2</v>
      </c>
      <c r="BT296" s="528">
        <f t="shared" si="850"/>
        <v>1.4680787970058538</v>
      </c>
      <c r="BU296" s="528">
        <f t="shared" si="851"/>
        <v>1.5928147103901074</v>
      </c>
      <c r="BV296" s="528"/>
      <c r="BW296" s="528">
        <f t="shared" si="852"/>
        <v>9.3140565925645111E-2</v>
      </c>
      <c r="BX296" s="460">
        <f t="shared" si="853"/>
        <v>3200.2672134944155</v>
      </c>
      <c r="BY296" s="173">
        <f t="shared" si="854"/>
        <v>7.9671782836384901</v>
      </c>
      <c r="BZ296" s="5">
        <f t="shared" si="855"/>
        <v>19.200000000000003</v>
      </c>
      <c r="CA296" s="173">
        <f t="shared" si="856"/>
        <v>0.70673515664905306</v>
      </c>
      <c r="CB296" s="5">
        <f t="shared" si="857"/>
        <v>70.67351566490531</v>
      </c>
      <c r="CE296" s="562">
        <f t="shared" si="799"/>
        <v>-50</v>
      </c>
      <c r="CF296">
        <f t="shared" si="800"/>
        <v>-50</v>
      </c>
      <c r="CG296" s="173">
        <f t="shared" si="801"/>
        <v>0.64038357797431944</v>
      </c>
      <c r="CI296" s="170">
        <v>80</v>
      </c>
      <c r="CJ296" s="217">
        <f t="shared" si="858"/>
        <v>4.8000000000000007</v>
      </c>
      <c r="CK296" s="217"/>
      <c r="CL296" s="217">
        <f t="shared" si="802"/>
        <v>19.200000000000003</v>
      </c>
      <c r="CM296" s="541">
        <f t="shared" si="803"/>
        <v>36</v>
      </c>
      <c r="CN296" s="443">
        <f t="shared" si="804"/>
        <v>18.8</v>
      </c>
      <c r="CO296" s="443">
        <f t="shared" si="805"/>
        <v>54.8</v>
      </c>
      <c r="CP296" s="443"/>
      <c r="CQ296" s="217">
        <f t="shared" si="806"/>
        <v>0.34306569343065696</v>
      </c>
      <c r="CR296" s="172">
        <f t="shared" si="807"/>
        <v>41.723649635036502</v>
      </c>
      <c r="CS296" s="172">
        <f t="shared" si="808"/>
        <v>19.200000000000003</v>
      </c>
      <c r="CT296" s="217">
        <f t="shared" si="809"/>
        <v>10.430912408759125</v>
      </c>
      <c r="CU296" s="217">
        <f t="shared" si="810"/>
        <v>4</v>
      </c>
      <c r="CV296" s="217"/>
      <c r="CW296" s="172">
        <f t="shared" si="811"/>
        <v>16.369088255087224</v>
      </c>
      <c r="CX296" s="172">
        <f t="shared" si="812"/>
        <v>4</v>
      </c>
      <c r="CY296" s="217">
        <f t="shared" si="813"/>
        <v>3.1092198581560284</v>
      </c>
      <c r="CZ296" s="217">
        <f t="shared" si="814"/>
        <v>1.0364066193853427</v>
      </c>
      <c r="DA296" s="217">
        <f t="shared" si="815"/>
        <v>1.9846084200995926</v>
      </c>
      <c r="DB296" s="197">
        <f t="shared" si="816"/>
        <v>350</v>
      </c>
      <c r="DC296" s="443">
        <f t="shared" si="817"/>
        <v>331.01457190047415</v>
      </c>
      <c r="DE296" s="217">
        <f t="shared" si="818"/>
        <v>2.940563086548488</v>
      </c>
      <c r="DF296" s="173">
        <f t="shared" si="819"/>
        <v>1.8769551616266944</v>
      </c>
      <c r="DG296" s="173">
        <f t="shared" si="820"/>
        <v>3.8635135443702762</v>
      </c>
      <c r="DH296" s="173"/>
      <c r="DI296" s="173">
        <f t="shared" si="821"/>
        <v>0.85106382978723416</v>
      </c>
      <c r="DJ296" s="545">
        <f t="shared" si="822"/>
        <v>2115</v>
      </c>
      <c r="DK296" s="528">
        <f t="shared" si="823"/>
        <v>0.79432624113475192</v>
      </c>
      <c r="DM296" s="173">
        <f t="shared" si="824"/>
        <v>3.2776298056457116</v>
      </c>
      <c r="DN296" s="173">
        <f t="shared" si="825"/>
        <v>3.1092198581560284</v>
      </c>
      <c r="DO296" s="173">
        <f t="shared" si="826"/>
        <v>2.5154714998686627</v>
      </c>
      <c r="DQ296" s="545">
        <f t="shared" si="827"/>
        <v>4800.0000000000009</v>
      </c>
      <c r="DR296" s="460">
        <f t="shared" si="828"/>
        <v>331.01457190047415</v>
      </c>
      <c r="DT296">
        <f t="shared" si="829"/>
        <v>4800.0000000000009</v>
      </c>
      <c r="DU296">
        <f t="shared" si="830"/>
        <v>331.01457190047415</v>
      </c>
      <c r="DW296" s="5">
        <f t="shared" si="859"/>
        <v>3.021015039484936</v>
      </c>
      <c r="DX296" s="5">
        <f t="shared" si="831"/>
        <v>1.0364066193853427</v>
      </c>
      <c r="DY296" s="5">
        <f t="shared" si="832"/>
        <v>1.9846084200995933</v>
      </c>
      <c r="DZ296" s="5"/>
      <c r="EA296" s="173">
        <f t="shared" si="833"/>
        <v>0.34306569343065685</v>
      </c>
      <c r="EB296" s="173">
        <f t="shared" si="860"/>
        <v>19.200000000000003</v>
      </c>
      <c r="EC296" s="173">
        <f t="shared" si="861"/>
        <v>4.085106382978724</v>
      </c>
      <c r="ED296" s="173">
        <f t="shared" si="862"/>
        <v>4.7</v>
      </c>
      <c r="EE296" s="460">
        <f t="shared" si="834"/>
        <v>124.36879432624114</v>
      </c>
      <c r="EF296" s="5">
        <f t="shared" si="835"/>
        <v>0.88204818671093033</v>
      </c>
      <c r="EH296" s="173">
        <f t="shared" si="863"/>
        <v>1.0514277883007619</v>
      </c>
      <c r="EI296" s="173">
        <f t="shared" si="864"/>
        <v>5.8198496861774469</v>
      </c>
      <c r="EK296" s="528">
        <f t="shared" si="865"/>
        <v>1.3487104806934587E-2</v>
      </c>
      <c r="EL296" s="528">
        <f t="shared" si="866"/>
        <v>1.1279999999999999</v>
      </c>
      <c r="EM296" s="528">
        <f t="shared" si="867"/>
        <v>4.1376821487559272E-2</v>
      </c>
      <c r="EN296" s="528">
        <f t="shared" si="868"/>
        <v>9.9404999999999979E-2</v>
      </c>
      <c r="EO296">
        <f t="shared" si="869"/>
        <v>1.6199999999999999E-2</v>
      </c>
      <c r="EP296" s="460">
        <f t="shared" si="870"/>
        <v>57.576821487559272</v>
      </c>
      <c r="EQ296" s="460"/>
      <c r="ER296" s="460">
        <f t="shared" si="871"/>
        <v>1298.4689262944935</v>
      </c>
      <c r="ES296" s="528">
        <f t="shared" si="872"/>
        <v>3.3600000000000003</v>
      </c>
      <c r="EV296" s="460">
        <f t="shared" si="873"/>
        <v>3360.0000000000005</v>
      </c>
      <c r="EW296" s="528">
        <f t="shared" si="874"/>
        <v>3.316501182033095E-2</v>
      </c>
      <c r="EX296" s="528">
        <f t="shared" si="875"/>
        <v>1.0161195110909917</v>
      </c>
      <c r="EY296" s="528">
        <f t="shared" si="876"/>
        <v>1.6990899383038454</v>
      </c>
      <c r="EZ296" s="528"/>
      <c r="FA296" s="528">
        <f t="shared" si="877"/>
        <v>0.08</v>
      </c>
      <c r="FB296" s="460">
        <f t="shared" si="878"/>
        <v>2828.3744612151686</v>
      </c>
      <c r="FC296" s="173">
        <f t="shared" si="879"/>
        <v>7.4868433875096612</v>
      </c>
      <c r="FD296" s="5">
        <f t="shared" si="880"/>
        <v>19.200000000000003</v>
      </c>
      <c r="FE296" s="173">
        <f t="shared" si="881"/>
        <v>0.71945564041441656</v>
      </c>
      <c r="FF296" s="5">
        <f t="shared" si="882"/>
        <v>71.945564041441656</v>
      </c>
      <c r="FI296" s="562">
        <f t="shared" si="836"/>
        <v>-50</v>
      </c>
      <c r="FJ296">
        <f t="shared" si="837"/>
        <v>-50</v>
      </c>
      <c r="FL296">
        <f t="shared" si="838"/>
        <v>0.65693430656934315</v>
      </c>
    </row>
    <row r="297" spans="5:168">
      <c r="E297" s="170">
        <v>81</v>
      </c>
      <c r="F297" s="217">
        <f t="shared" si="839"/>
        <v>4.8600000000000003</v>
      </c>
      <c r="G297" s="217"/>
      <c r="H297" s="217">
        <f t="shared" si="764"/>
        <v>19.440000000000001</v>
      </c>
      <c r="I297" s="541">
        <f t="shared" si="765"/>
        <v>35.919959463231947</v>
      </c>
      <c r="J297" s="172">
        <f t="shared" si="766"/>
        <v>19.710413688356997</v>
      </c>
      <c r="K297" s="172">
        <f t="shared" si="767"/>
        <v>55.630373151588941</v>
      </c>
      <c r="L297" s="443"/>
      <c r="M297" s="217">
        <f t="shared" si="768"/>
        <v>0.3540472472174952</v>
      </c>
      <c r="N297" s="172">
        <f t="shared" si="769"/>
        <v>42.963490551636419</v>
      </c>
      <c r="O297" s="172">
        <f t="shared" si="762"/>
        <v>19.440000000000001</v>
      </c>
      <c r="P297" s="217">
        <f t="shared" si="770"/>
        <v>10.740872637909105</v>
      </c>
      <c r="Q297" s="217">
        <f t="shared" si="771"/>
        <v>4</v>
      </c>
      <c r="R297" s="217"/>
      <c r="S297" s="172">
        <f t="shared" si="772"/>
        <v>16.032154093319761</v>
      </c>
      <c r="T297" s="172">
        <f t="shared" si="773"/>
        <v>4</v>
      </c>
      <c r="U297" s="217">
        <f t="shared" si="774"/>
        <v>3.7618850442738063</v>
      </c>
      <c r="V297" s="217">
        <f t="shared" si="775"/>
        <v>1.2567558874194762</v>
      </c>
      <c r="W297" s="217">
        <f t="shared" si="776"/>
        <v>2.2902929002424526</v>
      </c>
      <c r="X297" s="197">
        <f t="shared" si="777"/>
        <v>350</v>
      </c>
      <c r="Y297" s="443">
        <f t="shared" si="840"/>
        <v>266.87669594608525</v>
      </c>
      <c r="AA297" s="217">
        <f t="shared" si="778"/>
        <v>3.0301931625598684</v>
      </c>
      <c r="AB297" s="173">
        <f t="shared" si="779"/>
        <v>1.8448277405865792</v>
      </c>
      <c r="AC297" s="173">
        <f t="shared" si="780"/>
        <v>3.9131290839383559</v>
      </c>
      <c r="AD297" s="173"/>
      <c r="AE297" s="173">
        <f t="shared" si="781"/>
        <v>0.8117536370863313</v>
      </c>
      <c r="AF297" s="545">
        <f t="shared" si="782"/>
        <v>2245.1393091894138</v>
      </c>
      <c r="AG297" s="528">
        <f t="shared" si="783"/>
        <v>0.75763672794724268</v>
      </c>
      <c r="AI297" s="173">
        <f t="shared" si="784"/>
        <v>3.3769634592939481</v>
      </c>
      <c r="AJ297" s="173">
        <f t="shared" si="785"/>
        <v>3.7618850442738063</v>
      </c>
      <c r="AK297" s="173">
        <f t="shared" si="786"/>
        <v>2.998927193289239</v>
      </c>
      <c r="AM297" s="545">
        <f t="shared" si="787"/>
        <v>4860</v>
      </c>
      <c r="AN297" s="460">
        <f t="shared" si="788"/>
        <v>266.87669594608525</v>
      </c>
      <c r="AP297">
        <f t="shared" si="789"/>
        <v>4860</v>
      </c>
      <c r="AQ297">
        <f t="shared" si="790"/>
        <v>266.87669594608525</v>
      </c>
      <c r="AS297" s="5">
        <f t="shared" si="763"/>
        <v>3.7470487876619289</v>
      </c>
      <c r="AT297" s="5">
        <f t="shared" si="791"/>
        <v>1.2567558874194762</v>
      </c>
      <c r="AU297" s="5">
        <f t="shared" si="722"/>
        <v>2.4902929002424528</v>
      </c>
      <c r="AV297" s="5"/>
      <c r="AW297" s="173">
        <f t="shared" si="723"/>
        <v>0.33539885884530013</v>
      </c>
      <c r="AX297" s="173">
        <f t="shared" si="792"/>
        <v>22.660680265913459</v>
      </c>
      <c r="AY297" s="173">
        <f t="shared" si="793"/>
        <v>5.000306186634341</v>
      </c>
      <c r="AZ297" s="173">
        <f t="shared" si="794"/>
        <v>4.5318585342803077</v>
      </c>
      <c r="BA297" s="460">
        <f t="shared" si="724"/>
        <v>152.69584032146639</v>
      </c>
      <c r="BB297" s="5">
        <f t="shared" si="725"/>
        <v>1.1231289118024477</v>
      </c>
      <c r="BD297" s="173">
        <f t="shared" si="841"/>
        <v>1.2578408161324417</v>
      </c>
      <c r="BE297" s="173">
        <f t="shared" si="842"/>
        <v>7.0824811208670866</v>
      </c>
      <c r="BG297" s="528">
        <f t="shared" si="843"/>
        <v>1.9302394928490469E-2</v>
      </c>
      <c r="BH297" s="528">
        <f t="shared" si="795"/>
        <v>1.0471994793046664</v>
      </c>
      <c r="BI297" s="528">
        <f t="shared" si="796"/>
        <v>0.2396550025016165</v>
      </c>
      <c r="BJ297" s="528">
        <f t="shared" si="844"/>
        <v>8.2591356354238241E-2</v>
      </c>
      <c r="BK297">
        <f t="shared" si="845"/>
        <v>1.6163981758454377E-2</v>
      </c>
      <c r="BL297" s="460">
        <f t="shared" si="846"/>
        <v>255.81898426007089</v>
      </c>
      <c r="BM297" s="528">
        <f t="shared" si="797"/>
        <v>1.1596231979908476</v>
      </c>
      <c r="BN297" s="460">
        <f t="shared" si="847"/>
        <v>1159.6231979908475</v>
      </c>
      <c r="BO297" s="528">
        <f t="shared" si="798"/>
        <v>3.4020000000000001</v>
      </c>
      <c r="BR297" s="460">
        <f t="shared" si="848"/>
        <v>3402</v>
      </c>
      <c r="BS297" s="528">
        <f t="shared" si="849"/>
        <v>4.7464905561861809E-2</v>
      </c>
      <c r="BT297" s="528">
        <f t="shared" si="850"/>
        <v>1.504846164823161</v>
      </c>
      <c r="BU297" s="528">
        <f t="shared" si="851"/>
        <v>1.5968364429557658</v>
      </c>
      <c r="BV297" s="528"/>
      <c r="BW297" s="528">
        <f t="shared" si="852"/>
        <v>9.4419501107972759E-2</v>
      </c>
      <c r="BX297" s="460">
        <f t="shared" si="853"/>
        <v>3243.5670144487613</v>
      </c>
      <c r="BY297" s="173">
        <f t="shared" si="854"/>
        <v>8.0504792292962275</v>
      </c>
      <c r="BZ297" s="5">
        <f t="shared" si="855"/>
        <v>19.440000000000001</v>
      </c>
      <c r="CA297" s="173">
        <f t="shared" si="856"/>
        <v>0.70715391455537302</v>
      </c>
      <c r="CB297" s="5">
        <f t="shared" si="857"/>
        <v>70.715391455537301</v>
      </c>
      <c r="CE297" s="562">
        <f t="shared" si="799"/>
        <v>-50</v>
      </c>
      <c r="CF297">
        <f t="shared" si="800"/>
        <v>-50</v>
      </c>
      <c r="CG297" s="173">
        <f t="shared" si="801"/>
        <v>0.64058790795697385</v>
      </c>
      <c r="CI297" s="170">
        <v>81</v>
      </c>
      <c r="CJ297" s="217">
        <f t="shared" si="858"/>
        <v>4.8600000000000003</v>
      </c>
      <c r="CK297" s="217"/>
      <c r="CL297" s="217">
        <f t="shared" si="802"/>
        <v>19.440000000000001</v>
      </c>
      <c r="CM297" s="541">
        <f t="shared" si="803"/>
        <v>36</v>
      </c>
      <c r="CN297" s="443">
        <f t="shared" si="804"/>
        <v>18.8</v>
      </c>
      <c r="CO297" s="443">
        <f t="shared" si="805"/>
        <v>54.8</v>
      </c>
      <c r="CP297" s="443"/>
      <c r="CQ297" s="217">
        <f t="shared" si="806"/>
        <v>0.34306569343065696</v>
      </c>
      <c r="CR297" s="172">
        <f t="shared" si="807"/>
        <v>41.723649635036502</v>
      </c>
      <c r="CS297" s="172">
        <f t="shared" si="808"/>
        <v>19.440000000000001</v>
      </c>
      <c r="CT297" s="217">
        <f t="shared" si="809"/>
        <v>10.430912408759125</v>
      </c>
      <c r="CU297" s="217">
        <f t="shared" si="810"/>
        <v>4</v>
      </c>
      <c r="CV297" s="217"/>
      <c r="CW297" s="172">
        <f t="shared" si="811"/>
        <v>16.06709397566436</v>
      </c>
      <c r="CX297" s="172">
        <f t="shared" si="812"/>
        <v>4</v>
      </c>
      <c r="CY297" s="217">
        <f t="shared" si="813"/>
        <v>3.1480851063829784</v>
      </c>
      <c r="CZ297" s="217">
        <f t="shared" si="814"/>
        <v>1.0493617021276596</v>
      </c>
      <c r="DA297" s="217">
        <f t="shared" si="815"/>
        <v>2.0094160253508369</v>
      </c>
      <c r="DB297" s="197">
        <f t="shared" si="816"/>
        <v>350</v>
      </c>
      <c r="DC297" s="443">
        <f t="shared" si="817"/>
        <v>326.927972247382</v>
      </c>
      <c r="DE297" s="217">
        <f t="shared" si="818"/>
        <v>2.940563086548488</v>
      </c>
      <c r="DF297" s="173">
        <f t="shared" si="819"/>
        <v>1.8769551616266944</v>
      </c>
      <c r="DG297" s="173">
        <f t="shared" si="820"/>
        <v>3.8635135443702762</v>
      </c>
      <c r="DH297" s="173"/>
      <c r="DI297" s="173">
        <f t="shared" si="821"/>
        <v>0.85106382978723416</v>
      </c>
      <c r="DJ297" s="545">
        <f t="shared" si="822"/>
        <v>2141.4374999999995</v>
      </c>
      <c r="DK297" s="528">
        <f t="shared" si="823"/>
        <v>0.79432624113475192</v>
      </c>
      <c r="DM297" s="173">
        <f t="shared" si="824"/>
        <v>3.2980513727264555</v>
      </c>
      <c r="DN297" s="173">
        <f t="shared" si="825"/>
        <v>3.1480851063829784</v>
      </c>
      <c r="DO297" s="173">
        <f t="shared" si="826"/>
        <v>2.5442605726293666</v>
      </c>
      <c r="DQ297" s="545">
        <f t="shared" si="827"/>
        <v>4860</v>
      </c>
      <c r="DR297" s="460">
        <f t="shared" si="828"/>
        <v>326.927972247382</v>
      </c>
      <c r="DT297">
        <f t="shared" si="829"/>
        <v>4860</v>
      </c>
      <c r="DU297">
        <f t="shared" si="830"/>
        <v>326.927972247382</v>
      </c>
      <c r="DW297" s="5">
        <f t="shared" si="859"/>
        <v>3.0587777274784962</v>
      </c>
      <c r="DX297" s="5">
        <f t="shared" si="831"/>
        <v>1.0493617021276596</v>
      </c>
      <c r="DY297" s="5">
        <f t="shared" si="832"/>
        <v>2.0094160253508369</v>
      </c>
      <c r="DZ297" s="5"/>
      <c r="EA297" s="173">
        <f t="shared" si="833"/>
        <v>0.34306569343065701</v>
      </c>
      <c r="EB297" s="173">
        <f t="shared" si="860"/>
        <v>19.440000000000001</v>
      </c>
      <c r="EC297" s="173">
        <f t="shared" si="861"/>
        <v>4.1361702127659559</v>
      </c>
      <c r="ED297" s="173">
        <f t="shared" si="862"/>
        <v>4.700000000000002</v>
      </c>
      <c r="EE297" s="460">
        <f t="shared" si="834"/>
        <v>127.49744680851066</v>
      </c>
      <c r="EF297" s="5">
        <f t="shared" si="835"/>
        <v>0.90423721140787661</v>
      </c>
      <c r="EH297" s="173">
        <f t="shared" si="863"/>
        <v>1.0645706356545217</v>
      </c>
      <c r="EI297" s="173">
        <f t="shared" si="864"/>
        <v>5.8925978072546625</v>
      </c>
      <c r="EK297" s="528">
        <f t="shared" si="865"/>
        <v>1.3826389787234042E-2</v>
      </c>
      <c r="EL297" s="528">
        <f t="shared" si="866"/>
        <v>1.1280000000000001</v>
      </c>
      <c r="EM297" s="528">
        <f t="shared" si="867"/>
        <v>4.0865996530922745E-2</v>
      </c>
      <c r="EN297" s="528">
        <f t="shared" si="868"/>
        <v>9.8177777777777794E-2</v>
      </c>
      <c r="EO297">
        <f t="shared" si="869"/>
        <v>1.6199999999999999E-2</v>
      </c>
      <c r="EP297" s="460">
        <f t="shared" si="870"/>
        <v>57.065996530922746</v>
      </c>
      <c r="EQ297" s="460"/>
      <c r="ER297" s="460">
        <f t="shared" si="871"/>
        <v>1297.0701640959346</v>
      </c>
      <c r="ES297" s="528">
        <f t="shared" si="872"/>
        <v>3.4020000000000001</v>
      </c>
      <c r="EV297" s="460">
        <f t="shared" si="873"/>
        <v>3402</v>
      </c>
      <c r="EW297" s="528">
        <f t="shared" si="874"/>
        <v>3.3999319148936169E-2</v>
      </c>
      <c r="EX297" s="528">
        <f t="shared" si="875"/>
        <v>1.0416812675418736</v>
      </c>
      <c r="EY297" s="528">
        <f t="shared" si="876"/>
        <v>1.6990899383038467</v>
      </c>
      <c r="EZ297" s="528"/>
      <c r="FA297" s="528">
        <f t="shared" si="877"/>
        <v>8.1000000000000003E-2</v>
      </c>
      <c r="FB297" s="460">
        <f t="shared" si="878"/>
        <v>2855.7705249946566</v>
      </c>
      <c r="FC297" s="173">
        <f t="shared" si="879"/>
        <v>7.5548406890905921</v>
      </c>
      <c r="FD297" s="5">
        <f t="shared" si="880"/>
        <v>19.440000000000001</v>
      </c>
      <c r="FE297" s="173">
        <f t="shared" si="881"/>
        <v>0.72013760791914116</v>
      </c>
      <c r="FF297" s="5">
        <f t="shared" si="882"/>
        <v>72.013760791914123</v>
      </c>
      <c r="FI297" s="562">
        <f t="shared" si="836"/>
        <v>-50</v>
      </c>
      <c r="FJ297">
        <f t="shared" si="837"/>
        <v>-50</v>
      </c>
      <c r="FL297">
        <f t="shared" si="838"/>
        <v>0.65693430656934293</v>
      </c>
    </row>
    <row r="298" spans="5:168">
      <c r="E298" s="170">
        <v>82</v>
      </c>
      <c r="F298" s="217">
        <f t="shared" si="839"/>
        <v>4.92</v>
      </c>
      <c r="G298" s="217"/>
      <c r="H298" s="217">
        <f t="shared" si="764"/>
        <v>19.68</v>
      </c>
      <c r="I298" s="541">
        <f t="shared" si="765"/>
        <v>35.918996516155431</v>
      </c>
      <c r="J298" s="172">
        <f t="shared" si="766"/>
        <v>19.721366640886121</v>
      </c>
      <c r="K298" s="172">
        <f t="shared" si="767"/>
        <v>55.640363157041548</v>
      </c>
      <c r="L298" s="443"/>
      <c r="M298" s="217">
        <f t="shared" si="768"/>
        <v>0.35418066820988703</v>
      </c>
      <c r="N298" s="172">
        <f t="shared" si="769"/>
        <v>42.978528930173539</v>
      </c>
      <c r="O298" s="172">
        <f t="shared" si="762"/>
        <v>19.68</v>
      </c>
      <c r="P298" s="217">
        <f t="shared" si="770"/>
        <v>10.744632232543385</v>
      </c>
      <c r="Q298" s="217">
        <f t="shared" si="771"/>
        <v>4</v>
      </c>
      <c r="R298" s="217"/>
      <c r="S298" s="172">
        <f t="shared" si="772"/>
        <v>15.738010065788696</v>
      </c>
      <c r="T298" s="172">
        <f t="shared" si="773"/>
        <v>4</v>
      </c>
      <c r="U298" s="217">
        <f t="shared" si="774"/>
        <v>3.8091148389461407</v>
      </c>
      <c r="V298" s="217">
        <f t="shared" si="775"/>
        <v>1.2725683482497847</v>
      </c>
      <c r="W298" s="217">
        <f t="shared" si="776"/>
        <v>2.3177591543067564</v>
      </c>
      <c r="X298" s="197">
        <f t="shared" si="777"/>
        <v>350</v>
      </c>
      <c r="Y298" s="443">
        <f t="shared" si="840"/>
        <v>263.829444639153</v>
      </c>
      <c r="AA298" s="217">
        <f t="shared" si="778"/>
        <v>3.0312513959749663</v>
      </c>
      <c r="AB298" s="173">
        <f t="shared" si="779"/>
        <v>1.8444470616091744</v>
      </c>
      <c r="AC298" s="173">
        <f t="shared" si="780"/>
        <v>3.9136879112133141</v>
      </c>
      <c r="AD298" s="173"/>
      <c r="AE298" s="173">
        <f t="shared" si="781"/>
        <v>0.81130280123837761</v>
      </c>
      <c r="AF298" s="545">
        <f t="shared" si="782"/>
        <v>2274.1200907771799</v>
      </c>
      <c r="AG298" s="528">
        <f t="shared" si="783"/>
        <v>0.7572159478224858</v>
      </c>
      <c r="AI298" s="173">
        <f t="shared" si="784"/>
        <v>3.3986888906424131</v>
      </c>
      <c r="AJ298" s="173">
        <f t="shared" si="785"/>
        <v>3.8091148389461407</v>
      </c>
      <c r="AK298" s="173">
        <f t="shared" si="786"/>
        <v>3.033912226379857</v>
      </c>
      <c r="AM298" s="545">
        <f t="shared" si="787"/>
        <v>4920</v>
      </c>
      <c r="AN298" s="460">
        <f t="shared" si="788"/>
        <v>263.829444639153</v>
      </c>
      <c r="AP298">
        <f t="shared" si="789"/>
        <v>4920</v>
      </c>
      <c r="AQ298">
        <f t="shared" si="790"/>
        <v>263.829444639153</v>
      </c>
      <c r="AS298" s="5">
        <f t="shared" si="763"/>
        <v>3.7903275025565413</v>
      </c>
      <c r="AT298" s="5">
        <f t="shared" si="791"/>
        <v>1.2725683482497847</v>
      </c>
      <c r="AU298" s="5">
        <f t="shared" ref="AU298:AU316" si="883">AS298-AT298</f>
        <v>2.5177591543067566</v>
      </c>
      <c r="AV298" s="5"/>
      <c r="AW298" s="173">
        <f t="shared" ref="AW298:AW315" si="884">AT298/AS298</f>
        <v>0.33574100058410494</v>
      </c>
      <c r="AX298" s="173">
        <f t="shared" si="792"/>
        <v>22.967971785804664</v>
      </c>
      <c r="AY298" s="173">
        <f t="shared" si="793"/>
        <v>5.0604776231572037</v>
      </c>
      <c r="AZ298" s="173">
        <f t="shared" si="794"/>
        <v>4.5386964425454916</v>
      </c>
      <c r="BA298" s="460">
        <f t="shared" si="724"/>
        <v>156.52590683472351</v>
      </c>
      <c r="BB298" s="5">
        <f t="shared" si="725"/>
        <v>1.1495658046031176</v>
      </c>
      <c r="BD298" s="173">
        <f t="shared" si="841"/>
        <v>1.2742822362697863</v>
      </c>
      <c r="BE298" s="173">
        <f t="shared" si="842"/>
        <v>7.1695542225948747</v>
      </c>
      <c r="BG298" s="528">
        <f t="shared" si="843"/>
        <v>1.9810301655607272E-2</v>
      </c>
      <c r="BH298" s="528">
        <f t="shared" si="795"/>
        <v>1.048427870693003</v>
      </c>
      <c r="BI298" s="528">
        <f t="shared" si="796"/>
        <v>0.23691222257132397</v>
      </c>
      <c r="BJ298" s="528">
        <f t="shared" si="844"/>
        <v>8.1677638941736422E-2</v>
      </c>
      <c r="BK298">
        <f t="shared" si="845"/>
        <v>1.6163548432269942E-2</v>
      </c>
      <c r="BL298" s="460">
        <f t="shared" si="846"/>
        <v>253.0757710035939</v>
      </c>
      <c r="BM298" s="528">
        <f t="shared" si="797"/>
        <v>1.1607280557442026</v>
      </c>
      <c r="BN298" s="460">
        <f t="shared" si="847"/>
        <v>1160.7280557442025</v>
      </c>
      <c r="BO298" s="528">
        <f t="shared" si="798"/>
        <v>3.444</v>
      </c>
      <c r="BR298" s="460">
        <f t="shared" si="848"/>
        <v>3444</v>
      </c>
      <c r="BS298" s="528">
        <f t="shared" si="849"/>
        <v>4.8713856530181822E-2</v>
      </c>
      <c r="BT298" s="528">
        <f t="shared" si="850"/>
        <v>1.5420752325218399</v>
      </c>
      <c r="BU298" s="528">
        <f t="shared" si="851"/>
        <v>1.6008046160163232</v>
      </c>
      <c r="BV298" s="528"/>
      <c r="BW298" s="528">
        <f t="shared" si="852"/>
        <v>9.5699882440852771E-2</v>
      </c>
      <c r="BX298" s="460">
        <f t="shared" si="853"/>
        <v>3287.2935875091976</v>
      </c>
      <c r="BY298" s="173">
        <f t="shared" si="854"/>
        <v>8.1342851698031371</v>
      </c>
      <c r="BZ298" s="5">
        <f t="shared" si="855"/>
        <v>19.68</v>
      </c>
      <c r="CA298" s="173">
        <f t="shared" si="856"/>
        <v>0.70755009089235177</v>
      </c>
      <c r="CB298" s="5">
        <f t="shared" si="857"/>
        <v>70.755009089235173</v>
      </c>
      <c r="CE298" s="562">
        <f t="shared" si="799"/>
        <v>-50</v>
      </c>
      <c r="CF298">
        <f t="shared" si="800"/>
        <v>-50</v>
      </c>
      <c r="CG298" s="173">
        <f t="shared" si="801"/>
        <v>0.64078725428151506</v>
      </c>
      <c r="CI298" s="170">
        <v>82</v>
      </c>
      <c r="CJ298" s="217">
        <f t="shared" si="858"/>
        <v>4.92</v>
      </c>
      <c r="CK298" s="217"/>
      <c r="CL298" s="217">
        <f t="shared" si="802"/>
        <v>19.68</v>
      </c>
      <c r="CM298" s="541">
        <f t="shared" si="803"/>
        <v>36</v>
      </c>
      <c r="CN298" s="443">
        <f t="shared" si="804"/>
        <v>18.8</v>
      </c>
      <c r="CO298" s="443">
        <f t="shared" si="805"/>
        <v>54.8</v>
      </c>
      <c r="CP298" s="443"/>
      <c r="CQ298" s="217">
        <f t="shared" si="806"/>
        <v>0.34306569343065696</v>
      </c>
      <c r="CR298" s="172">
        <f t="shared" si="807"/>
        <v>41.723649635036502</v>
      </c>
      <c r="CS298" s="172">
        <f t="shared" si="808"/>
        <v>19.68</v>
      </c>
      <c r="CT298" s="217">
        <f t="shared" si="809"/>
        <v>10.430912408759125</v>
      </c>
      <c r="CU298" s="217">
        <f t="shared" si="810"/>
        <v>4</v>
      </c>
      <c r="CV298" s="217"/>
      <c r="CW298" s="172">
        <f t="shared" si="811"/>
        <v>15.772694983237336</v>
      </c>
      <c r="CX298" s="172">
        <f t="shared" si="812"/>
        <v>4</v>
      </c>
      <c r="CY298" s="217">
        <f t="shared" si="813"/>
        <v>3.1869503546099285</v>
      </c>
      <c r="CZ298" s="217">
        <f t="shared" si="814"/>
        <v>1.0623167848699762</v>
      </c>
      <c r="DA298" s="217">
        <f t="shared" si="815"/>
        <v>2.034223630602082</v>
      </c>
      <c r="DB298" s="197">
        <f t="shared" si="816"/>
        <v>350</v>
      </c>
      <c r="DC298" s="443">
        <f t="shared" si="817"/>
        <v>322.94104575656024</v>
      </c>
      <c r="DE298" s="217">
        <f t="shared" si="818"/>
        <v>2.940563086548488</v>
      </c>
      <c r="DF298" s="173">
        <f t="shared" si="819"/>
        <v>1.8769551616266944</v>
      </c>
      <c r="DG298" s="173">
        <f t="shared" si="820"/>
        <v>3.8635135443702762</v>
      </c>
      <c r="DH298" s="173"/>
      <c r="DI298" s="173">
        <f t="shared" si="821"/>
        <v>0.85106382978723416</v>
      </c>
      <c r="DJ298" s="545">
        <f t="shared" si="822"/>
        <v>2167.8749999999995</v>
      </c>
      <c r="DK298" s="528">
        <f t="shared" si="823"/>
        <v>0.79432624113475192</v>
      </c>
      <c r="DM298" s="173">
        <f t="shared" si="824"/>
        <v>3.3183472650445389</v>
      </c>
      <c r="DN298" s="173">
        <f t="shared" si="825"/>
        <v>3.1869503546099285</v>
      </c>
      <c r="DO298" s="173">
        <f t="shared" si="826"/>
        <v>2.5730496453900704</v>
      </c>
      <c r="DQ298" s="545">
        <f t="shared" si="827"/>
        <v>4920</v>
      </c>
      <c r="DR298" s="460">
        <f t="shared" si="828"/>
        <v>322.94104575656024</v>
      </c>
      <c r="DT298">
        <f t="shared" si="829"/>
        <v>4920</v>
      </c>
      <c r="DU298">
        <f t="shared" si="830"/>
        <v>322.94104575656024</v>
      </c>
      <c r="DW298" s="5">
        <f t="shared" si="859"/>
        <v>3.0965404154720582</v>
      </c>
      <c r="DX298" s="5">
        <f t="shared" si="831"/>
        <v>1.0623167848699762</v>
      </c>
      <c r="DY298" s="5">
        <f t="shared" si="832"/>
        <v>2.034223630602082</v>
      </c>
      <c r="DZ298" s="5"/>
      <c r="EA298" s="173">
        <f t="shared" si="833"/>
        <v>0.34306569343065696</v>
      </c>
      <c r="EB298" s="173">
        <f t="shared" si="860"/>
        <v>19.679999999999996</v>
      </c>
      <c r="EC298" s="173">
        <f t="shared" si="861"/>
        <v>4.1872340425531904</v>
      </c>
      <c r="ED298" s="173">
        <f t="shared" si="862"/>
        <v>4.7</v>
      </c>
      <c r="EE298" s="460">
        <f t="shared" si="834"/>
        <v>130.66496453900706</v>
      </c>
      <c r="EF298" s="5">
        <f t="shared" si="835"/>
        <v>0.92670187616317057</v>
      </c>
      <c r="EH298" s="173">
        <f t="shared" si="863"/>
        <v>1.0777134830082811</v>
      </c>
      <c r="EI298" s="173">
        <f t="shared" si="864"/>
        <v>5.9653459283318808</v>
      </c>
      <c r="EK298" s="528">
        <f t="shared" si="865"/>
        <v>1.4169889487785654E-2</v>
      </c>
      <c r="EL298" s="528">
        <f t="shared" si="866"/>
        <v>1.1279999999999999</v>
      </c>
      <c r="EM298" s="528">
        <f t="shared" si="867"/>
        <v>4.036763071957003E-2</v>
      </c>
      <c r="EN298" s="528">
        <f t="shared" si="868"/>
        <v>9.6980487804878057E-2</v>
      </c>
      <c r="EO298">
        <f t="shared" si="869"/>
        <v>1.6199999999999999E-2</v>
      </c>
      <c r="EP298" s="460">
        <f t="shared" si="870"/>
        <v>56.567630719570026</v>
      </c>
      <c r="EQ298" s="460"/>
      <c r="ER298" s="460">
        <f t="shared" si="871"/>
        <v>1295.7180080122337</v>
      </c>
      <c r="ES298" s="528">
        <f t="shared" si="872"/>
        <v>3.444</v>
      </c>
      <c r="EV298" s="460">
        <f t="shared" si="873"/>
        <v>3444</v>
      </c>
      <c r="EW298" s="528">
        <f t="shared" si="874"/>
        <v>3.4843990543735215E-2</v>
      </c>
      <c r="EX298" s="528">
        <f t="shared" si="875"/>
        <v>1.0675605613399723</v>
      </c>
      <c r="EY298" s="528">
        <f t="shared" si="876"/>
        <v>1.6990899383038454</v>
      </c>
      <c r="EZ298" s="528"/>
      <c r="FA298" s="528">
        <f t="shared" si="877"/>
        <v>8.199999999999999E-2</v>
      </c>
      <c r="FB298" s="460">
        <f t="shared" si="878"/>
        <v>2883.4944901875524</v>
      </c>
      <c r="FC298" s="173">
        <f t="shared" si="879"/>
        <v>7.623212498199786</v>
      </c>
      <c r="FD298" s="5">
        <f t="shared" si="880"/>
        <v>19.68</v>
      </c>
      <c r="FE298" s="173">
        <f t="shared" si="881"/>
        <v>0.72079430218321694</v>
      </c>
      <c r="FF298" s="5">
        <f t="shared" si="882"/>
        <v>72.07943021832169</v>
      </c>
      <c r="FI298" s="562">
        <f t="shared" si="836"/>
        <v>-50</v>
      </c>
      <c r="FJ298">
        <f t="shared" si="837"/>
        <v>-50</v>
      </c>
      <c r="FL298">
        <f t="shared" si="838"/>
        <v>0.65693430656934304</v>
      </c>
    </row>
    <row r="299" spans="5:168">
      <c r="E299" s="170">
        <v>83</v>
      </c>
      <c r="F299" s="217">
        <f t="shared" si="839"/>
        <v>4.9799999999999995</v>
      </c>
      <c r="G299" s="217"/>
      <c r="H299" s="217">
        <f t="shared" si="764"/>
        <v>19.919999999999998</v>
      </c>
      <c r="I299" s="541">
        <f t="shared" si="765"/>
        <v>35.918033553777455</v>
      </c>
      <c r="J299" s="172">
        <f t="shared" si="766"/>
        <v>19.732319767460201</v>
      </c>
      <c r="K299" s="172">
        <f t="shared" si="767"/>
        <v>55.65035332123766</v>
      </c>
      <c r="L299" s="443"/>
      <c r="M299" s="217">
        <f t="shared" si="768"/>
        <v>0.35431404134462396</v>
      </c>
      <c r="N299" s="172">
        <f t="shared" si="769"/>
        <v>42.993560615120572</v>
      </c>
      <c r="O299" s="172">
        <f t="shared" si="762"/>
        <v>19.919999999999998</v>
      </c>
      <c r="P299" s="217">
        <f t="shared" si="770"/>
        <v>10.748390153780143</v>
      </c>
      <c r="Q299" s="217">
        <f t="shared" si="771"/>
        <v>4</v>
      </c>
      <c r="R299" s="217"/>
      <c r="S299" s="172">
        <f t="shared" si="772"/>
        <v>15.451189436630717</v>
      </c>
      <c r="T299" s="172">
        <f t="shared" si="773"/>
        <v>4</v>
      </c>
      <c r="U299" s="217">
        <f t="shared" si="774"/>
        <v>3.8563638663993229</v>
      </c>
      <c r="V299" s="217">
        <f t="shared" si="775"/>
        <v>1.288388083036496</v>
      </c>
      <c r="W299" s="217">
        <f t="shared" si="776"/>
        <v>2.3452065921364413</v>
      </c>
      <c r="X299" s="197">
        <f t="shared" si="777"/>
        <v>350</v>
      </c>
      <c r="Y299" s="443">
        <f t="shared" si="840"/>
        <v>260.85178135189494</v>
      </c>
      <c r="AA299" s="217">
        <f t="shared" si="778"/>
        <v>3.0323091760096328</v>
      </c>
      <c r="AB299" s="173">
        <f t="shared" si="779"/>
        <v>1.8440665132601972</v>
      </c>
      <c r="AC299" s="173">
        <f t="shared" si="780"/>
        <v>3.9142458665316893</v>
      </c>
      <c r="AD299" s="173"/>
      <c r="AE299" s="173">
        <f t="shared" si="781"/>
        <v>0.81085245873548939</v>
      </c>
      <c r="AF299" s="545">
        <f t="shared" si="782"/>
        <v>2303.131697858244</v>
      </c>
      <c r="AG299" s="528">
        <f t="shared" si="783"/>
        <v>0.75679562815312362</v>
      </c>
      <c r="AI299" s="173">
        <f t="shared" si="784"/>
        <v>3.4202992148757945</v>
      </c>
      <c r="AJ299" s="173">
        <f t="shared" si="785"/>
        <v>3.8563638663993229</v>
      </c>
      <c r="AK299" s="173">
        <f t="shared" si="786"/>
        <v>3.0689115059748069</v>
      </c>
      <c r="AM299" s="545">
        <f t="shared" si="787"/>
        <v>4979.9999999999991</v>
      </c>
      <c r="AN299" s="460">
        <f t="shared" si="788"/>
        <v>260.85178135189494</v>
      </c>
      <c r="AP299">
        <f t="shared" si="789"/>
        <v>4979.9999999999991</v>
      </c>
      <c r="AQ299">
        <f t="shared" si="790"/>
        <v>260.85178135189494</v>
      </c>
      <c r="AS299" s="5">
        <f t="shared" si="763"/>
        <v>3.8335946751729386</v>
      </c>
      <c r="AT299" s="5">
        <f t="shared" si="791"/>
        <v>1.288388083036496</v>
      </c>
      <c r="AU299" s="5">
        <f t="shared" si="883"/>
        <v>2.5452065921364424</v>
      </c>
      <c r="AV299" s="5"/>
      <c r="AW299" s="173">
        <f t="shared" si="884"/>
        <v>0.3360783265326231</v>
      </c>
      <c r="AX299" s="173">
        <f t="shared" si="792"/>
        <v>23.275609755587105</v>
      </c>
      <c r="AY299" s="173">
        <f t="shared" si="793"/>
        <v>5.1206471033579248</v>
      </c>
      <c r="AZ299" s="173">
        <f t="shared" si="794"/>
        <v>4.5454430437754336</v>
      </c>
      <c r="BA299" s="460">
        <f t="shared" si="724"/>
        <v>160.40431633804371</v>
      </c>
      <c r="BB299" s="5">
        <f t="shared" si="725"/>
        <v>1.1763012962891313</v>
      </c>
      <c r="BD299" s="173">
        <f t="shared" si="841"/>
        <v>1.2907366164435465</v>
      </c>
      <c r="BE299" s="173">
        <f t="shared" si="842"/>
        <v>7.2566435697636162</v>
      </c>
      <c r="BG299" s="528">
        <f t="shared" si="843"/>
        <v>2.0325212358943245E-2</v>
      </c>
      <c r="BH299" s="528">
        <f t="shared" si="795"/>
        <v>1.0496415402080908</v>
      </c>
      <c r="BI299" s="528">
        <f t="shared" si="796"/>
        <v>0.23423207587899955</v>
      </c>
      <c r="BJ299" s="528">
        <f t="shared" si="844"/>
        <v>8.0784800877230972E-2</v>
      </c>
      <c r="BK299">
        <f t="shared" si="845"/>
        <v>1.6163115099199855E-2</v>
      </c>
      <c r="BL299" s="460">
        <f t="shared" si="846"/>
        <v>250.39519097819939</v>
      </c>
      <c r="BM299" s="528">
        <f t="shared" si="797"/>
        <v>1.1618502498677254</v>
      </c>
      <c r="BN299" s="460">
        <f t="shared" si="847"/>
        <v>1161.8502498677256</v>
      </c>
      <c r="BO299" s="528">
        <f t="shared" si="798"/>
        <v>3.4859999999999993</v>
      </c>
      <c r="BR299" s="460">
        <f t="shared" si="848"/>
        <v>3485.9999999999995</v>
      </c>
      <c r="BS299" s="528">
        <f t="shared" si="849"/>
        <v>4.9980030390844046E-2</v>
      </c>
      <c r="BT299" s="528">
        <f t="shared" si="850"/>
        <v>1.5797662769577492</v>
      </c>
      <c r="BU299" s="528">
        <f t="shared" si="851"/>
        <v>1.6047209918814545</v>
      </c>
      <c r="BV299" s="528"/>
      <c r="BW299" s="528">
        <f t="shared" si="852"/>
        <v>9.6981707314946278E-2</v>
      </c>
      <c r="BX299" s="460">
        <f t="shared" si="853"/>
        <v>3331.4490065449936</v>
      </c>
      <c r="BY299" s="173">
        <f t="shared" si="854"/>
        <v>8.2185957509674576</v>
      </c>
      <c r="BZ299" s="5">
        <f t="shared" si="855"/>
        <v>19.919999999999998</v>
      </c>
      <c r="CA299" s="173">
        <f t="shared" si="856"/>
        <v>0.70792445281549321</v>
      </c>
      <c r="CB299" s="5">
        <f t="shared" si="857"/>
        <v>70.79244528154932</v>
      </c>
      <c r="CE299" s="562">
        <f t="shared" si="799"/>
        <v>-50</v>
      </c>
      <c r="CF299">
        <f t="shared" si="800"/>
        <v>-50</v>
      </c>
      <c r="CG299" s="173">
        <f t="shared" si="801"/>
        <v>0.64098179708016345</v>
      </c>
      <c r="CI299" s="170">
        <v>83</v>
      </c>
      <c r="CJ299" s="217">
        <f t="shared" si="858"/>
        <v>4.9799999999999995</v>
      </c>
      <c r="CK299" s="217"/>
      <c r="CL299" s="217">
        <f t="shared" si="802"/>
        <v>19.919999999999998</v>
      </c>
      <c r="CM299" s="541">
        <f t="shared" si="803"/>
        <v>36</v>
      </c>
      <c r="CN299" s="443">
        <f t="shared" si="804"/>
        <v>18.8</v>
      </c>
      <c r="CO299" s="443">
        <f t="shared" si="805"/>
        <v>54.8</v>
      </c>
      <c r="CP299" s="443"/>
      <c r="CQ299" s="217">
        <f t="shared" si="806"/>
        <v>0.34306569343065696</v>
      </c>
      <c r="CR299" s="172">
        <f t="shared" si="807"/>
        <v>41.723649635036502</v>
      </c>
      <c r="CS299" s="172">
        <f t="shared" si="808"/>
        <v>19.919999999999998</v>
      </c>
      <c r="CT299" s="217">
        <f t="shared" si="809"/>
        <v>10.430912408759125</v>
      </c>
      <c r="CU299" s="217">
        <f t="shared" si="810"/>
        <v>4</v>
      </c>
      <c r="CV299" s="217"/>
      <c r="CW299" s="172">
        <f t="shared" si="811"/>
        <v>15.485619938137386</v>
      </c>
      <c r="CX299" s="172">
        <f t="shared" si="812"/>
        <v>4</v>
      </c>
      <c r="CY299" s="217">
        <f t="shared" si="813"/>
        <v>3.225815602836879</v>
      </c>
      <c r="CZ299" s="217">
        <f t="shared" si="814"/>
        <v>1.075271867612293</v>
      </c>
      <c r="DA299" s="217">
        <f t="shared" si="815"/>
        <v>2.0590312358533267</v>
      </c>
      <c r="DB299" s="197">
        <f t="shared" si="816"/>
        <v>350</v>
      </c>
      <c r="DC299" s="443">
        <f t="shared" si="817"/>
        <v>319.0501897835897</v>
      </c>
      <c r="DE299" s="217">
        <f t="shared" si="818"/>
        <v>2.940563086548488</v>
      </c>
      <c r="DF299" s="173">
        <f t="shared" si="819"/>
        <v>1.8769551616266944</v>
      </c>
      <c r="DG299" s="173">
        <f t="shared" si="820"/>
        <v>3.8635135443702762</v>
      </c>
      <c r="DH299" s="173"/>
      <c r="DI299" s="173">
        <f t="shared" si="821"/>
        <v>0.85106382978723416</v>
      </c>
      <c r="DJ299" s="545">
        <f t="shared" si="822"/>
        <v>2194.3124999999991</v>
      </c>
      <c r="DK299" s="528">
        <f t="shared" si="823"/>
        <v>0.79432624113475192</v>
      </c>
      <c r="DM299" s="173">
        <f t="shared" si="824"/>
        <v>3.3385197746477835</v>
      </c>
      <c r="DN299" s="173">
        <f t="shared" si="825"/>
        <v>3.225815602836879</v>
      </c>
      <c r="DO299" s="173">
        <f t="shared" si="826"/>
        <v>2.6018387181507743</v>
      </c>
      <c r="DQ299" s="545">
        <f t="shared" si="827"/>
        <v>4979.9999999999991</v>
      </c>
      <c r="DR299" s="460">
        <f t="shared" si="828"/>
        <v>319.0501897835897</v>
      </c>
      <c r="DT299">
        <f t="shared" si="829"/>
        <v>4979.9999999999991</v>
      </c>
      <c r="DU299">
        <f t="shared" si="830"/>
        <v>319.0501897835897</v>
      </c>
      <c r="DW299" s="5">
        <f t="shared" si="859"/>
        <v>3.1343031034656192</v>
      </c>
      <c r="DX299" s="5">
        <f t="shared" si="831"/>
        <v>1.075271867612293</v>
      </c>
      <c r="DY299" s="5">
        <f t="shared" si="832"/>
        <v>2.0590312358533263</v>
      </c>
      <c r="DZ299" s="5"/>
      <c r="EA299" s="173">
        <f t="shared" si="833"/>
        <v>0.34306569343065701</v>
      </c>
      <c r="EB299" s="173">
        <f t="shared" si="860"/>
        <v>19.920000000000005</v>
      </c>
      <c r="EC299" s="173">
        <f t="shared" si="861"/>
        <v>4.2382978723404241</v>
      </c>
      <c r="ED299" s="173">
        <f t="shared" si="862"/>
        <v>4.7000000000000028</v>
      </c>
      <c r="EE299" s="460">
        <f t="shared" si="834"/>
        <v>133.87134751773047</v>
      </c>
      <c r="EF299" s="5">
        <f t="shared" si="835"/>
        <v>0.94944218097681132</v>
      </c>
      <c r="EH299" s="173">
        <f t="shared" si="863"/>
        <v>1.0908563303620407</v>
      </c>
      <c r="EI299" s="173">
        <f t="shared" si="864"/>
        <v>6.0380940494090982</v>
      </c>
      <c r="EK299" s="528">
        <f t="shared" si="865"/>
        <v>1.4517603908589439E-2</v>
      </c>
      <c r="EL299" s="528">
        <f t="shared" si="866"/>
        <v>1.1280000000000001</v>
      </c>
      <c r="EM299" s="528">
        <f t="shared" si="867"/>
        <v>3.988127372294871E-2</v>
      </c>
      <c r="EN299" s="528">
        <f t="shared" si="868"/>
        <v>9.5812048192771115E-2</v>
      </c>
      <c r="EO299">
        <f t="shared" si="869"/>
        <v>1.6199999999999999E-2</v>
      </c>
      <c r="EP299" s="460">
        <f t="shared" si="870"/>
        <v>56.081273722948708</v>
      </c>
      <c r="EQ299" s="460"/>
      <c r="ER299" s="460">
        <f t="shared" si="871"/>
        <v>1294.4109258243095</v>
      </c>
      <c r="ES299" s="528">
        <f t="shared" si="872"/>
        <v>3.4859999999999993</v>
      </c>
      <c r="EV299" s="460">
        <f t="shared" si="873"/>
        <v>3485.9999999999995</v>
      </c>
      <c r="EW299" s="528">
        <f t="shared" si="874"/>
        <v>3.5699026004728129E-2</v>
      </c>
      <c r="EX299" s="528">
        <f t="shared" si="875"/>
        <v>1.0937573924852868</v>
      </c>
      <c r="EY299" s="528">
        <f t="shared" si="876"/>
        <v>1.6990899383038491</v>
      </c>
      <c r="EZ299" s="528"/>
      <c r="FA299" s="528">
        <f t="shared" si="877"/>
        <v>8.3000000000000018E-2</v>
      </c>
      <c r="FB299" s="460">
        <f t="shared" si="878"/>
        <v>2911.5463567938641</v>
      </c>
      <c r="FC299" s="173">
        <f t="shared" si="879"/>
        <v>7.6919572826181728</v>
      </c>
      <c r="FD299" s="5">
        <f t="shared" si="880"/>
        <v>19.919999999999998</v>
      </c>
      <c r="FE299" s="173">
        <f t="shared" si="881"/>
        <v>0.72142658327737275</v>
      </c>
      <c r="FF299" s="5">
        <f t="shared" si="882"/>
        <v>72.14265832773728</v>
      </c>
      <c r="FI299" s="562">
        <f t="shared" si="836"/>
        <v>-50</v>
      </c>
      <c r="FJ299">
        <f t="shared" si="837"/>
        <v>-50</v>
      </c>
      <c r="FL299">
        <f t="shared" si="838"/>
        <v>0.65693430656934293</v>
      </c>
    </row>
    <row r="300" spans="5:168">
      <c r="E300" s="170">
        <v>84</v>
      </c>
      <c r="F300" s="217">
        <f t="shared" si="839"/>
        <v>5.04</v>
      </c>
      <c r="G300" s="217"/>
      <c r="H300" s="217">
        <f t="shared" si="764"/>
        <v>20.16</v>
      </c>
      <c r="I300" s="541">
        <f t="shared" si="765"/>
        <v>35.917070576657949</v>
      </c>
      <c r="J300" s="172">
        <f t="shared" si="766"/>
        <v>19.743273061710536</v>
      </c>
      <c r="K300" s="172">
        <f t="shared" si="767"/>
        <v>55.660343638368488</v>
      </c>
      <c r="L300" s="443"/>
      <c r="M300" s="217">
        <f t="shared" si="768"/>
        <v>0.35444736664404602</v>
      </c>
      <c r="N300" s="172">
        <f t="shared" si="769"/>
        <v>43.008585610305111</v>
      </c>
      <c r="O300" s="172">
        <f t="shared" si="762"/>
        <v>20.16</v>
      </c>
      <c r="P300" s="217">
        <f t="shared" si="770"/>
        <v>10.752146402576278</v>
      </c>
      <c r="Q300" s="217">
        <f t="shared" si="771"/>
        <v>4</v>
      </c>
      <c r="R300" s="217"/>
      <c r="S300" s="172">
        <f t="shared" si="772"/>
        <v>15.171433837390483</v>
      </c>
      <c r="T300" s="172">
        <f t="shared" si="773"/>
        <v>4</v>
      </c>
      <c r="U300" s="217">
        <f t="shared" si="774"/>
        <v>3.903632128180766</v>
      </c>
      <c r="V300" s="217">
        <f t="shared" si="775"/>
        <v>1.3042150928815517</v>
      </c>
      <c r="W300" s="217">
        <f t="shared" si="776"/>
        <v>2.3726352460279814</v>
      </c>
      <c r="X300" s="197">
        <f t="shared" si="777"/>
        <v>350</v>
      </c>
      <c r="Y300" s="443">
        <f t="shared" si="840"/>
        <v>257.94134737769537</v>
      </c>
      <c r="AA300" s="217">
        <f t="shared" si="778"/>
        <v>3.0333665022800003</v>
      </c>
      <c r="AB300" s="173">
        <f t="shared" si="779"/>
        <v>1.8436860956937153</v>
      </c>
      <c r="AC300" s="173">
        <f t="shared" si="780"/>
        <v>3.9148029503777009</v>
      </c>
      <c r="AD300" s="173"/>
      <c r="AE300" s="173">
        <f t="shared" si="781"/>
        <v>0.81040260902990224</v>
      </c>
      <c r="AF300" s="545">
        <f t="shared" si="782"/>
        <v>2332.1741304145562</v>
      </c>
      <c r="AG300" s="528">
        <f t="shared" si="783"/>
        <v>0.75637576842790888</v>
      </c>
      <c r="AI300" s="173">
        <f t="shared" si="784"/>
        <v>3.4417966001822831</v>
      </c>
      <c r="AJ300" s="173">
        <f t="shared" si="785"/>
        <v>3.903632128180766</v>
      </c>
      <c r="AK300" s="173">
        <f t="shared" si="786"/>
        <v>3.1039250332203201</v>
      </c>
      <c r="AM300" s="545">
        <f t="shared" si="787"/>
        <v>5040</v>
      </c>
      <c r="AN300" s="460">
        <f t="shared" si="788"/>
        <v>257.94134737769537</v>
      </c>
      <c r="AP300">
        <f t="shared" si="789"/>
        <v>5040</v>
      </c>
      <c r="AQ300">
        <f t="shared" si="790"/>
        <v>257.94134737769537</v>
      </c>
      <c r="AS300" s="5">
        <f t="shared" si="763"/>
        <v>3.8768503389095335</v>
      </c>
      <c r="AT300" s="5">
        <f t="shared" si="791"/>
        <v>1.3042150928815517</v>
      </c>
      <c r="AU300" s="5">
        <f t="shared" si="883"/>
        <v>2.572635246027982</v>
      </c>
      <c r="AV300" s="5"/>
      <c r="AW300" s="173">
        <f t="shared" si="884"/>
        <v>0.33641099832819354</v>
      </c>
      <c r="AX300" s="173">
        <f t="shared" si="792"/>
        <v>23.583593577333634</v>
      </c>
      <c r="AY300" s="173">
        <f t="shared" si="793"/>
        <v>5.1808146936669273</v>
      </c>
      <c r="AZ300" s="173">
        <f t="shared" si="794"/>
        <v>4.5521013531254884</v>
      </c>
      <c r="BA300" s="460">
        <f t="shared" si="724"/>
        <v>164.33110170307552</v>
      </c>
      <c r="BB300" s="5">
        <f t="shared" si="725"/>
        <v>1.2033351116713398</v>
      </c>
      <c r="BD300" s="173">
        <f t="shared" si="841"/>
        <v>1.3072039432812936</v>
      </c>
      <c r="BE300" s="173">
        <f t="shared" si="842"/>
        <v>7.3437492129200983</v>
      </c>
      <c r="BG300" s="528">
        <f t="shared" si="843"/>
        <v>2.0847142221827993E-2</v>
      </c>
      <c r="BH300" s="528">
        <f t="shared" si="795"/>
        <v>1.0508409857463967</v>
      </c>
      <c r="BI300" s="528">
        <f t="shared" si="796"/>
        <v>0.23161243946007321</v>
      </c>
      <c r="BJ300" s="528">
        <f t="shared" si="844"/>
        <v>7.9912134416121994E-2</v>
      </c>
      <c r="BK300">
        <f t="shared" si="845"/>
        <v>1.6162681759496075E-2</v>
      </c>
      <c r="BL300" s="460">
        <f t="shared" si="846"/>
        <v>247.77512121956929</v>
      </c>
      <c r="BM300" s="528">
        <f t="shared" si="797"/>
        <v>1.1629896050889119</v>
      </c>
      <c r="BN300" s="460">
        <f t="shared" si="847"/>
        <v>1162.989605088912</v>
      </c>
      <c r="BO300" s="528">
        <f t="shared" si="798"/>
        <v>3.5279999999999996</v>
      </c>
      <c r="BR300" s="460">
        <f t="shared" si="848"/>
        <v>3527.9999999999995</v>
      </c>
      <c r="BS300" s="528">
        <f t="shared" si="849"/>
        <v>5.1263464479904909E-2</v>
      </c>
      <c r="BT300" s="528">
        <f t="shared" si="850"/>
        <v>1.6179195750679369</v>
      </c>
      <c r="BU300" s="528">
        <f t="shared" si="851"/>
        <v>1.6085872566336146</v>
      </c>
      <c r="BV300" s="528"/>
      <c r="BW300" s="528">
        <f t="shared" si="852"/>
        <v>9.8264973238890135E-2</v>
      </c>
      <c r="BX300" s="460">
        <f t="shared" si="853"/>
        <v>3376.0352694203466</v>
      </c>
      <c r="BY300" s="173">
        <f t="shared" si="854"/>
        <v>8.3034106530242617</v>
      </c>
      <c r="BZ300" s="5">
        <f t="shared" si="855"/>
        <v>20.16</v>
      </c>
      <c r="CA300" s="173">
        <f t="shared" si="856"/>
        <v>0.70827773402685956</v>
      </c>
      <c r="CB300" s="5">
        <f t="shared" si="857"/>
        <v>70.827773402685949</v>
      </c>
      <c r="CE300" s="562">
        <f t="shared" si="799"/>
        <v>-50</v>
      </c>
      <c r="CF300">
        <f t="shared" si="800"/>
        <v>-50</v>
      </c>
      <c r="CG300" s="173">
        <f t="shared" si="801"/>
        <v>0.64117170790741573</v>
      </c>
      <c r="CI300" s="170">
        <v>84</v>
      </c>
      <c r="CJ300" s="217">
        <f t="shared" si="858"/>
        <v>5.04</v>
      </c>
      <c r="CK300" s="217"/>
      <c r="CL300" s="217">
        <f t="shared" si="802"/>
        <v>20.16</v>
      </c>
      <c r="CM300" s="541">
        <f t="shared" si="803"/>
        <v>36</v>
      </c>
      <c r="CN300" s="443">
        <f t="shared" si="804"/>
        <v>18.8</v>
      </c>
      <c r="CO300" s="443">
        <f t="shared" si="805"/>
        <v>54.8</v>
      </c>
      <c r="CP300" s="443"/>
      <c r="CQ300" s="217">
        <f t="shared" si="806"/>
        <v>0.34306569343065696</v>
      </c>
      <c r="CR300" s="172">
        <f t="shared" si="807"/>
        <v>41.723649635036502</v>
      </c>
      <c r="CS300" s="172">
        <f t="shared" si="808"/>
        <v>20.16</v>
      </c>
      <c r="CT300" s="217">
        <f t="shared" si="809"/>
        <v>10.430912408759125</v>
      </c>
      <c r="CU300" s="217">
        <f t="shared" si="810"/>
        <v>4</v>
      </c>
      <c r="CV300" s="217"/>
      <c r="CW300" s="172">
        <f t="shared" si="811"/>
        <v>15.205610461786289</v>
      </c>
      <c r="CX300" s="172">
        <f t="shared" si="812"/>
        <v>4</v>
      </c>
      <c r="CY300" s="217">
        <f t="shared" si="813"/>
        <v>3.2646808510638294</v>
      </c>
      <c r="CZ300" s="217">
        <f t="shared" si="814"/>
        <v>1.0882269503546098</v>
      </c>
      <c r="DA300" s="217">
        <f t="shared" si="815"/>
        <v>2.0838388411045718</v>
      </c>
      <c r="DB300" s="197">
        <f t="shared" si="816"/>
        <v>350</v>
      </c>
      <c r="DC300" s="443">
        <f t="shared" si="817"/>
        <v>315.2519732385469</v>
      </c>
      <c r="DE300" s="217">
        <f t="shared" si="818"/>
        <v>2.940563086548488</v>
      </c>
      <c r="DF300" s="173">
        <f t="shared" si="819"/>
        <v>1.8769551616266944</v>
      </c>
      <c r="DG300" s="173">
        <f t="shared" si="820"/>
        <v>3.8635135443702762</v>
      </c>
      <c r="DH300" s="173"/>
      <c r="DI300" s="173">
        <f t="shared" si="821"/>
        <v>0.85106382978723416</v>
      </c>
      <c r="DJ300" s="545">
        <f t="shared" si="822"/>
        <v>2220.7499999999995</v>
      </c>
      <c r="DK300" s="528">
        <f t="shared" si="823"/>
        <v>0.79432624113475192</v>
      </c>
      <c r="DM300" s="173">
        <f t="shared" si="824"/>
        <v>3.3585711247493331</v>
      </c>
      <c r="DN300" s="173">
        <f t="shared" si="825"/>
        <v>3.2646808510638294</v>
      </c>
      <c r="DO300" s="173">
        <f t="shared" si="826"/>
        <v>2.6306277909114781</v>
      </c>
      <c r="DQ300" s="545">
        <f t="shared" si="827"/>
        <v>5040</v>
      </c>
      <c r="DR300" s="460">
        <f t="shared" si="828"/>
        <v>315.2519732385469</v>
      </c>
      <c r="DT300">
        <f t="shared" si="829"/>
        <v>5040</v>
      </c>
      <c r="DU300">
        <f t="shared" si="830"/>
        <v>315.2519732385469</v>
      </c>
      <c r="DW300" s="5">
        <f t="shared" si="859"/>
        <v>3.1720657914591817</v>
      </c>
      <c r="DX300" s="5">
        <f t="shared" si="831"/>
        <v>1.0882269503546098</v>
      </c>
      <c r="DY300" s="5">
        <f t="shared" si="832"/>
        <v>2.0838388411045718</v>
      </c>
      <c r="DZ300" s="5"/>
      <c r="EA300" s="173">
        <f t="shared" si="833"/>
        <v>0.34306569343065696</v>
      </c>
      <c r="EB300" s="173">
        <f t="shared" si="860"/>
        <v>20.16</v>
      </c>
      <c r="EC300" s="173">
        <f t="shared" si="861"/>
        <v>4.2893617021276587</v>
      </c>
      <c r="ED300" s="173">
        <f t="shared" si="862"/>
        <v>4.7000000000000011</v>
      </c>
      <c r="EE300" s="460">
        <f t="shared" si="834"/>
        <v>137.11659574468086</v>
      </c>
      <c r="EF300" s="5">
        <f t="shared" si="835"/>
        <v>0.97245812584880009</v>
      </c>
      <c r="EH300" s="173">
        <f t="shared" si="863"/>
        <v>1.1039991777158</v>
      </c>
      <c r="EI300" s="173">
        <f t="shared" si="864"/>
        <v>6.1108421704863174</v>
      </c>
      <c r="EK300" s="528">
        <f t="shared" si="865"/>
        <v>1.4869533049645384E-2</v>
      </c>
      <c r="EL300" s="528">
        <f t="shared" si="866"/>
        <v>1.1280000000000001</v>
      </c>
      <c r="EM300" s="528">
        <f t="shared" si="867"/>
        <v>3.9406496654818358E-2</v>
      </c>
      <c r="EN300" s="528">
        <f t="shared" si="868"/>
        <v>9.4671428571428573E-2</v>
      </c>
      <c r="EO300">
        <f t="shared" si="869"/>
        <v>1.6199999999999999E-2</v>
      </c>
      <c r="EP300" s="460">
        <f t="shared" si="870"/>
        <v>55.606496654818358</v>
      </c>
      <c r="EQ300" s="460"/>
      <c r="ER300" s="460">
        <f t="shared" si="871"/>
        <v>1293.1474582758924</v>
      </c>
      <c r="ES300" s="528">
        <f t="shared" si="872"/>
        <v>3.5279999999999996</v>
      </c>
      <c r="EV300" s="460">
        <f t="shared" si="873"/>
        <v>3527.9999999999995</v>
      </c>
      <c r="EW300" s="528">
        <f t="shared" si="874"/>
        <v>3.6564425531914878E-2</v>
      </c>
      <c r="EX300" s="528">
        <f t="shared" si="875"/>
        <v>1.1202717609778179</v>
      </c>
      <c r="EY300" s="528">
        <f t="shared" si="876"/>
        <v>1.6990899383038476</v>
      </c>
      <c r="EZ300" s="528"/>
      <c r="FA300" s="528">
        <f t="shared" si="877"/>
        <v>8.4000000000000005E-2</v>
      </c>
      <c r="FB300" s="460">
        <f t="shared" si="878"/>
        <v>2939.9261248135804</v>
      </c>
      <c r="FC300" s="173">
        <f t="shared" si="879"/>
        <v>7.7610735830894715</v>
      </c>
      <c r="FD300" s="5">
        <f t="shared" si="880"/>
        <v>20.16</v>
      </c>
      <c r="FE300" s="173">
        <f t="shared" si="881"/>
        <v>0.72203527346491425</v>
      </c>
      <c r="FF300" s="5">
        <f t="shared" si="882"/>
        <v>72.203527346491427</v>
      </c>
      <c r="FI300" s="562">
        <f t="shared" si="836"/>
        <v>-50</v>
      </c>
      <c r="FJ300">
        <f t="shared" si="837"/>
        <v>-50</v>
      </c>
      <c r="FL300">
        <f t="shared" si="838"/>
        <v>0.65693430656934304</v>
      </c>
    </row>
    <row r="301" spans="5:168">
      <c r="E301" s="170">
        <v>85</v>
      </c>
      <c r="F301" s="217">
        <f t="shared" si="839"/>
        <v>5.0999999999999996</v>
      </c>
      <c r="G301" s="217"/>
      <c r="H301" s="217">
        <f t="shared" si="764"/>
        <v>20.399999999999999</v>
      </c>
      <c r="I301" s="541">
        <f t="shared" si="765"/>
        <v>35.916107585329833</v>
      </c>
      <c r="J301" s="172">
        <f t="shared" si="766"/>
        <v>19.754226517575397</v>
      </c>
      <c r="K301" s="172">
        <f t="shared" si="767"/>
        <v>55.67033410290523</v>
      </c>
      <c r="L301" s="443"/>
      <c r="M301" s="217">
        <f t="shared" si="768"/>
        <v>0.35458064413064444</v>
      </c>
      <c r="N301" s="172">
        <f t="shared" si="769"/>
        <v>43.023603919541486</v>
      </c>
      <c r="O301" s="172">
        <f t="shared" si="762"/>
        <v>20.399999999999999</v>
      </c>
      <c r="P301" s="217">
        <f t="shared" si="770"/>
        <v>10.755900979885372</v>
      </c>
      <c r="Q301" s="217">
        <f t="shared" si="771"/>
        <v>4</v>
      </c>
      <c r="R301" s="217"/>
      <c r="S301" s="172">
        <f t="shared" si="772"/>
        <v>14.898497097414856</v>
      </c>
      <c r="T301" s="172">
        <f t="shared" si="773"/>
        <v>4</v>
      </c>
      <c r="U301" s="217">
        <f t="shared" si="774"/>
        <v>3.9509196258380657</v>
      </c>
      <c r="V301" s="217">
        <f t="shared" si="775"/>
        <v>1.3200493788870966</v>
      </c>
      <c r="W301" s="217">
        <f t="shared" si="776"/>
        <v>2.4000451482053746</v>
      </c>
      <c r="X301" s="197">
        <f t="shared" si="777"/>
        <v>350</v>
      </c>
      <c r="Y301" s="443">
        <f t="shared" si="840"/>
        <v>255.09588942022236</v>
      </c>
      <c r="AA301" s="217">
        <f t="shared" si="778"/>
        <v>3.0344233744327549</v>
      </c>
      <c r="AB301" s="173">
        <f t="shared" si="779"/>
        <v>1.8433058090528744</v>
      </c>
      <c r="AC301" s="173">
        <f t="shared" si="780"/>
        <v>3.9153591632524058</v>
      </c>
      <c r="AD301" s="173"/>
      <c r="AE301" s="173">
        <f t="shared" si="781"/>
        <v>0.80995325156187481</v>
      </c>
      <c r="AF301" s="545">
        <f t="shared" si="782"/>
        <v>2361.2473884289334</v>
      </c>
      <c r="AG301" s="528">
        <f t="shared" si="783"/>
        <v>0.75595636812441647</v>
      </c>
      <c r="AI301" s="173">
        <f t="shared" si="784"/>
        <v>3.4631831497233754</v>
      </c>
      <c r="AJ301" s="173">
        <f t="shared" si="785"/>
        <v>3.9509196258380657</v>
      </c>
      <c r="AK301" s="173">
        <f t="shared" si="786"/>
        <v>3.1389528092627641</v>
      </c>
      <c r="AM301" s="545">
        <f t="shared" si="787"/>
        <v>5100</v>
      </c>
      <c r="AN301" s="460">
        <f t="shared" si="788"/>
        <v>255.09588942022236</v>
      </c>
      <c r="AP301">
        <f t="shared" si="789"/>
        <v>5100</v>
      </c>
      <c r="AQ301">
        <f t="shared" si="790"/>
        <v>255.09588942022236</v>
      </c>
      <c r="AS301" s="5">
        <f t="shared" si="763"/>
        <v>3.9200945270924721</v>
      </c>
      <c r="AT301" s="5">
        <f t="shared" si="791"/>
        <v>1.3200493788870966</v>
      </c>
      <c r="AU301" s="5">
        <f t="shared" si="883"/>
        <v>2.6000451482053757</v>
      </c>
      <c r="AV301" s="5"/>
      <c r="AW301" s="173">
        <f t="shared" si="884"/>
        <v>0.33673917038581597</v>
      </c>
      <c r="AX301" s="173">
        <f t="shared" si="792"/>
        <v>23.891922679849472</v>
      </c>
      <c r="AY301" s="173">
        <f t="shared" si="793"/>
        <v>5.2409804575446337</v>
      </c>
      <c r="AZ301" s="173">
        <f t="shared" si="794"/>
        <v>4.5586742544433543</v>
      </c>
      <c r="BA301" s="460">
        <f t="shared" si="724"/>
        <v>168.30629580810481</v>
      </c>
      <c r="BB301" s="5">
        <f t="shared" si="725"/>
        <v>1.2306669762161384</v>
      </c>
      <c r="BD301" s="173">
        <f t="shared" si="841"/>
        <v>1.3236842039876142</v>
      </c>
      <c r="BE301" s="173">
        <f t="shared" si="842"/>
        <v>7.4308712003096664</v>
      </c>
      <c r="BG301" s="528">
        <f t="shared" si="843"/>
        <v>2.137610643701315E-2</v>
      </c>
      <c r="BH301" s="528">
        <f t="shared" si="795"/>
        <v>1.0520266829538019</v>
      </c>
      <c r="BI301" s="528">
        <f t="shared" si="796"/>
        <v>0.2290512852248027</v>
      </c>
      <c r="BJ301" s="528">
        <f t="shared" si="844"/>
        <v>7.9058963443612559E-2</v>
      </c>
      <c r="BK301">
        <f t="shared" si="845"/>
        <v>1.6162248413398424E-2</v>
      </c>
      <c r="BL301" s="460">
        <f t="shared" si="846"/>
        <v>245.21353363820111</v>
      </c>
      <c r="BM301" s="528">
        <f t="shared" si="797"/>
        <v>1.1641459556792009</v>
      </c>
      <c r="BN301" s="460">
        <f t="shared" si="847"/>
        <v>1164.1459556792008</v>
      </c>
      <c r="BO301" s="528">
        <f t="shared" si="798"/>
        <v>3.5699999999999994</v>
      </c>
      <c r="BR301" s="460">
        <f t="shared" si="848"/>
        <v>3569.9999999999995</v>
      </c>
      <c r="BS301" s="528">
        <f t="shared" si="849"/>
        <v>5.2564196156589714E-2</v>
      </c>
      <c r="BT301" s="528">
        <f t="shared" si="850"/>
        <v>1.6565354038677484</v>
      </c>
      <c r="BU301" s="528">
        <f t="shared" si="851"/>
        <v>1.612405024197646</v>
      </c>
      <c r="BV301" s="528"/>
      <c r="BW301" s="528">
        <f t="shared" si="852"/>
        <v>9.9549677832706129E-2</v>
      </c>
      <c r="BX301" s="460">
        <f t="shared" si="853"/>
        <v>3421.0543020546902</v>
      </c>
      <c r="BY301" s="173">
        <f t="shared" si="854"/>
        <v>8.388729588527319</v>
      </c>
      <c r="BZ301" s="5">
        <f t="shared" si="855"/>
        <v>20.399999999999999</v>
      </c>
      <c r="CA301" s="173">
        <f t="shared" si="856"/>
        <v>0.70861063657806089</v>
      </c>
      <c r="CB301" s="5">
        <f t="shared" si="857"/>
        <v>70.861063657806085</v>
      </c>
      <c r="CE301" s="562">
        <f t="shared" si="799"/>
        <v>-50</v>
      </c>
      <c r="CF301">
        <f t="shared" si="800"/>
        <v>-50</v>
      </c>
      <c r="CG301" s="173">
        <f t="shared" si="801"/>
        <v>0.64135715024461493</v>
      </c>
      <c r="CI301" s="170">
        <v>85</v>
      </c>
      <c r="CJ301" s="217">
        <f t="shared" si="858"/>
        <v>5.0999999999999996</v>
      </c>
      <c r="CK301" s="217"/>
      <c r="CL301" s="217">
        <f t="shared" si="802"/>
        <v>20.399999999999999</v>
      </c>
      <c r="CM301" s="541">
        <f t="shared" si="803"/>
        <v>36</v>
      </c>
      <c r="CN301" s="443">
        <f t="shared" si="804"/>
        <v>18.8</v>
      </c>
      <c r="CO301" s="443">
        <f t="shared" si="805"/>
        <v>54.8</v>
      </c>
      <c r="CP301" s="443"/>
      <c r="CQ301" s="217">
        <f t="shared" si="806"/>
        <v>0.34306569343065696</v>
      </c>
      <c r="CR301" s="172">
        <f t="shared" si="807"/>
        <v>41.723649635036502</v>
      </c>
      <c r="CS301" s="172">
        <f t="shared" si="808"/>
        <v>20.399999999999999</v>
      </c>
      <c r="CT301" s="217">
        <f t="shared" si="809"/>
        <v>10.430912408759125</v>
      </c>
      <c r="CU301" s="217">
        <f t="shared" si="810"/>
        <v>4</v>
      </c>
      <c r="CV301" s="217"/>
      <c r="CW301" s="172">
        <f t="shared" si="811"/>
        <v>14.932420374322614</v>
      </c>
      <c r="CX301" s="172">
        <f t="shared" si="812"/>
        <v>4</v>
      </c>
      <c r="CY301" s="217">
        <f t="shared" si="813"/>
        <v>3.3035460992907795</v>
      </c>
      <c r="CZ301" s="217">
        <f t="shared" si="814"/>
        <v>1.1011820330969264</v>
      </c>
      <c r="DA301" s="217">
        <f t="shared" si="815"/>
        <v>2.1086464463558166</v>
      </c>
      <c r="DB301" s="197">
        <f t="shared" si="816"/>
        <v>350</v>
      </c>
      <c r="DC301" s="443">
        <f t="shared" si="817"/>
        <v>311.54312649456398</v>
      </c>
      <c r="DE301" s="217">
        <f t="shared" si="818"/>
        <v>2.940563086548488</v>
      </c>
      <c r="DF301" s="173">
        <f t="shared" si="819"/>
        <v>1.8769551616266944</v>
      </c>
      <c r="DG301" s="173">
        <f t="shared" si="820"/>
        <v>3.8635135443702762</v>
      </c>
      <c r="DH301" s="173"/>
      <c r="DI301" s="173">
        <f t="shared" si="821"/>
        <v>0.85106382978723416</v>
      </c>
      <c r="DJ301" s="545">
        <f t="shared" si="822"/>
        <v>2247.1874999999995</v>
      </c>
      <c r="DK301" s="528">
        <f t="shared" si="823"/>
        <v>0.79432624113475192</v>
      </c>
      <c r="DM301" s="173">
        <f t="shared" si="824"/>
        <v>3.3785034725874881</v>
      </c>
      <c r="DN301" s="173">
        <f t="shared" si="825"/>
        <v>3.3035460992907795</v>
      </c>
      <c r="DO301" s="173">
        <f t="shared" si="826"/>
        <v>2.659416863672182</v>
      </c>
      <c r="DQ301" s="545">
        <f t="shared" si="827"/>
        <v>5100</v>
      </c>
      <c r="DR301" s="460">
        <f t="shared" si="828"/>
        <v>311.54312649456398</v>
      </c>
      <c r="DT301">
        <f t="shared" si="829"/>
        <v>5100</v>
      </c>
      <c r="DU301">
        <f t="shared" si="830"/>
        <v>311.54312649456398</v>
      </c>
      <c r="DW301" s="5">
        <f t="shared" si="859"/>
        <v>3.2098284794527436</v>
      </c>
      <c r="DX301" s="5">
        <f t="shared" si="831"/>
        <v>1.1011820330969264</v>
      </c>
      <c r="DY301" s="5">
        <f t="shared" si="832"/>
        <v>2.1086464463558174</v>
      </c>
      <c r="DZ301" s="5"/>
      <c r="EA301" s="173">
        <f t="shared" si="833"/>
        <v>0.34306569343065685</v>
      </c>
      <c r="EB301" s="173">
        <f t="shared" si="860"/>
        <v>20.399999999999995</v>
      </c>
      <c r="EC301" s="173">
        <f t="shared" si="861"/>
        <v>4.3404255319148932</v>
      </c>
      <c r="ED301" s="173">
        <f t="shared" si="862"/>
        <v>4.6999999999999993</v>
      </c>
      <c r="EE301" s="460">
        <f t="shared" si="834"/>
        <v>140.4007092198581</v>
      </c>
      <c r="EF301" s="5">
        <f t="shared" si="835"/>
        <v>0.99574971077913577</v>
      </c>
      <c r="EH301" s="173">
        <f t="shared" si="863"/>
        <v>1.1171420250695594</v>
      </c>
      <c r="EI301" s="173">
        <f t="shared" si="864"/>
        <v>6.1835902915635357</v>
      </c>
      <c r="EK301" s="528">
        <f t="shared" si="865"/>
        <v>1.5225676910953495E-2</v>
      </c>
      <c r="EL301" s="528">
        <f t="shared" si="866"/>
        <v>1.1279999999999997</v>
      </c>
      <c r="EM301" s="528">
        <f t="shared" si="867"/>
        <v>3.8942890811820494E-2</v>
      </c>
      <c r="EN301" s="528">
        <f t="shared" si="868"/>
        <v>9.3557647058823523E-2</v>
      </c>
      <c r="EO301">
        <f t="shared" si="869"/>
        <v>1.6199999999999999E-2</v>
      </c>
      <c r="EP301" s="460">
        <f t="shared" si="870"/>
        <v>55.142890811820493</v>
      </c>
      <c r="EQ301" s="460"/>
      <c r="ER301" s="460">
        <f t="shared" si="871"/>
        <v>1291.9262147815973</v>
      </c>
      <c r="ES301" s="528">
        <f t="shared" si="872"/>
        <v>3.5699999999999994</v>
      </c>
      <c r="EV301" s="460">
        <f t="shared" si="873"/>
        <v>3569.9999999999995</v>
      </c>
      <c r="EW301" s="528">
        <f t="shared" si="874"/>
        <v>3.7440189125295481E-2</v>
      </c>
      <c r="EX301" s="528">
        <f t="shared" si="875"/>
        <v>1.1471036668175643</v>
      </c>
      <c r="EY301" s="528">
        <f t="shared" si="876"/>
        <v>1.6990899383038427</v>
      </c>
      <c r="EZ301" s="528"/>
      <c r="FA301" s="528">
        <f t="shared" si="877"/>
        <v>8.4999999999999978E-2</v>
      </c>
      <c r="FB301" s="460">
        <f t="shared" si="878"/>
        <v>2968.6337942467026</v>
      </c>
      <c r="FC301" s="173">
        <f t="shared" si="879"/>
        <v>7.8305600090282983</v>
      </c>
      <c r="FD301" s="5">
        <f t="shared" si="880"/>
        <v>20.399999999999999</v>
      </c>
      <c r="FE301" s="173">
        <f t="shared" si="881"/>
        <v>0.7226211592499745</v>
      </c>
      <c r="FF301" s="5">
        <f t="shared" si="882"/>
        <v>72.262115924997445</v>
      </c>
      <c r="FI301" s="562">
        <f t="shared" si="836"/>
        <v>-50</v>
      </c>
      <c r="FJ301">
        <f t="shared" si="837"/>
        <v>-50</v>
      </c>
      <c r="FL301">
        <f t="shared" si="838"/>
        <v>0.65693430656934315</v>
      </c>
    </row>
    <row r="302" spans="5:168">
      <c r="E302" s="170">
        <v>86</v>
      </c>
      <c r="F302" s="217">
        <f t="shared" si="839"/>
        <v>5.16</v>
      </c>
      <c r="G302" s="217"/>
      <c r="H302" s="217">
        <f t="shared" si="764"/>
        <v>20.64</v>
      </c>
      <c r="I302" s="541">
        <f t="shared" si="765"/>
        <v>35.915144580300641</v>
      </c>
      <c r="J302" s="172">
        <f t="shared" si="766"/>
        <v>19.765180129281781</v>
      </c>
      <c r="K302" s="172">
        <f t="shared" si="767"/>
        <v>55.680324709582422</v>
      </c>
      <c r="L302" s="443"/>
      <c r="M302" s="217">
        <f t="shared" si="768"/>
        <v>0.35471387382705027</v>
      </c>
      <c r="N302" s="172">
        <f t="shared" si="769"/>
        <v>43.038615546631263</v>
      </c>
      <c r="O302" s="172">
        <f t="shared" si="762"/>
        <v>20.64</v>
      </c>
      <c r="P302" s="217">
        <f t="shared" si="770"/>
        <v>10.759653886657816</v>
      </c>
      <c r="Q302" s="217">
        <f t="shared" si="771"/>
        <v>4</v>
      </c>
      <c r="R302" s="217"/>
      <c r="S302" s="172">
        <f t="shared" si="772"/>
        <v>14.632144534678856</v>
      </c>
      <c r="T302" s="172">
        <f t="shared" si="773"/>
        <v>4</v>
      </c>
      <c r="U302" s="217">
        <f t="shared" si="774"/>
        <v>3.9982263609190141</v>
      </c>
      <c r="V302" s="217">
        <f t="shared" si="775"/>
        <v>1.3358909421554819</v>
      </c>
      <c r="W302" s="217">
        <f t="shared" si="776"/>
        <v>2.4274363308204068</v>
      </c>
      <c r="X302" s="197">
        <f t="shared" si="777"/>
        <v>350</v>
      </c>
      <c r="Y302" s="443">
        <f t="shared" si="840"/>
        <v>252.31325377001829</v>
      </c>
      <c r="AA302" s="217">
        <f t="shared" si="778"/>
        <v>3.0354797921432941</v>
      </c>
      <c r="AB302" s="173">
        <f t="shared" si="779"/>
        <v>1.8429256534705387</v>
      </c>
      <c r="AC302" s="173">
        <f t="shared" si="780"/>
        <v>3.9159145056726063</v>
      </c>
      <c r="AD302" s="173"/>
      <c r="AE302" s="173">
        <f t="shared" si="781"/>
        <v>0.80950438576050587</v>
      </c>
      <c r="AF302" s="545">
        <f t="shared" si="782"/>
        <v>2390.3514718850147</v>
      </c>
      <c r="AG302" s="528">
        <f t="shared" si="783"/>
        <v>0.7555374267098055</v>
      </c>
      <c r="AI302" s="173">
        <f t="shared" si="784"/>
        <v>3.4844609043152808</v>
      </c>
      <c r="AJ302" s="173">
        <f t="shared" si="785"/>
        <v>3.9982263609190141</v>
      </c>
      <c r="AK302" s="173">
        <f t="shared" si="786"/>
        <v>3.173994835248652</v>
      </c>
      <c r="AM302" s="545">
        <f t="shared" si="787"/>
        <v>5160</v>
      </c>
      <c r="AN302" s="460">
        <f t="shared" si="788"/>
        <v>252.31325377001829</v>
      </c>
      <c r="AP302">
        <f t="shared" si="789"/>
        <v>5160</v>
      </c>
      <c r="AQ302">
        <f t="shared" si="790"/>
        <v>252.31325377001829</v>
      </c>
      <c r="AS302" s="5">
        <f t="shared" si="763"/>
        <v>3.9633272729758886</v>
      </c>
      <c r="AT302" s="5">
        <f t="shared" si="791"/>
        <v>1.3358909421554819</v>
      </c>
      <c r="AU302" s="5">
        <f t="shared" si="883"/>
        <v>2.627436330820407</v>
      </c>
      <c r="AV302" s="5"/>
      <c r="AW302" s="173">
        <f t="shared" si="884"/>
        <v>0.33706299029714493</v>
      </c>
      <c r="AX302" s="173">
        <f t="shared" si="792"/>
        <v>24.200596517195496</v>
      </c>
      <c r="AY302" s="173">
        <f t="shared" si="793"/>
        <v>5.3011444556455585</v>
      </c>
      <c r="AZ302" s="173">
        <f t="shared" si="794"/>
        <v>4.5651645073400315</v>
      </c>
      <c r="BA302" s="460">
        <f t="shared" si="724"/>
        <v>172.32993153805714</v>
      </c>
      <c r="BB302" s="5">
        <f t="shared" si="725"/>
        <v>1.2582966160436573</v>
      </c>
      <c r="BD302" s="173">
        <f t="shared" si="841"/>
        <v>1.3401773863120792</v>
      </c>
      <c r="BE302" s="173">
        <f t="shared" si="842"/>
        <v>7.5180095780025447</v>
      </c>
      <c r="BG302" s="528">
        <f t="shared" si="843"/>
        <v>2.1912120206743765E-2</v>
      </c>
      <c r="BH302" s="528">
        <f t="shared" si="795"/>
        <v>1.0531990864548195</v>
      </c>
      <c r="BI302" s="528">
        <f t="shared" si="796"/>
        <v>0.22654667471690731</v>
      </c>
      <c r="BJ302" s="528">
        <f t="shared" si="844"/>
        <v>7.8224641727269131E-2</v>
      </c>
      <c r="BK302">
        <f t="shared" si="845"/>
        <v>1.6161815061135287E-2</v>
      </c>
      <c r="BL302" s="460">
        <f t="shared" si="846"/>
        <v>242.7084897780426</v>
      </c>
      <c r="BM302" s="528">
        <f t="shared" si="797"/>
        <v>1.1653191449369527</v>
      </c>
      <c r="BN302" s="460">
        <f t="shared" si="847"/>
        <v>1165.3191449369526</v>
      </c>
      <c r="BO302" s="528">
        <f t="shared" si="798"/>
        <v>3.6119999999999997</v>
      </c>
      <c r="BR302" s="460">
        <f t="shared" si="848"/>
        <v>3611.9999999999995</v>
      </c>
      <c r="BS302" s="528">
        <f t="shared" si="849"/>
        <v>5.3882262803468271E-2</v>
      </c>
      <c r="BT302" s="528">
        <f t="shared" si="850"/>
        <v>1.6956140404481399</v>
      </c>
      <c r="BU302" s="528">
        <f t="shared" si="851"/>
        <v>1.616175840152912</v>
      </c>
      <c r="BV302" s="528"/>
      <c r="BW302" s="528">
        <f t="shared" si="852"/>
        <v>0.1008358188216479</v>
      </c>
      <c r="BX302" s="460">
        <f t="shared" si="853"/>
        <v>3466.5079622261683</v>
      </c>
      <c r="BY302" s="173">
        <f t="shared" si="854"/>
        <v>8.4745523003930447</v>
      </c>
      <c r="BZ302" s="5">
        <f t="shared" si="855"/>
        <v>20.64</v>
      </c>
      <c r="CA302" s="173">
        <f t="shared" si="856"/>
        <v>0.7089238325578292</v>
      </c>
      <c r="CB302" s="5">
        <f t="shared" si="857"/>
        <v>70.892383255782917</v>
      </c>
      <c r="CE302" s="562">
        <f t="shared" si="799"/>
        <v>-50</v>
      </c>
      <c r="CF302">
        <f t="shared" si="800"/>
        <v>-50</v>
      </c>
      <c r="CG302" s="173">
        <f t="shared" si="801"/>
        <v>0.641538279969321</v>
      </c>
      <c r="CI302" s="170">
        <v>86</v>
      </c>
      <c r="CJ302" s="217">
        <f t="shared" si="858"/>
        <v>5.16</v>
      </c>
      <c r="CK302" s="217"/>
      <c r="CL302" s="217">
        <f t="shared" si="802"/>
        <v>20.64</v>
      </c>
      <c r="CM302" s="541">
        <f t="shared" si="803"/>
        <v>36</v>
      </c>
      <c r="CN302" s="443">
        <f t="shared" si="804"/>
        <v>18.8</v>
      </c>
      <c r="CO302" s="443">
        <f t="shared" si="805"/>
        <v>54.8</v>
      </c>
      <c r="CP302" s="443"/>
      <c r="CQ302" s="217">
        <f t="shared" si="806"/>
        <v>0.34306569343065696</v>
      </c>
      <c r="CR302" s="172">
        <f t="shared" si="807"/>
        <v>41.723649635036502</v>
      </c>
      <c r="CS302" s="172">
        <f t="shared" si="808"/>
        <v>20.64</v>
      </c>
      <c r="CT302" s="217">
        <f t="shared" si="809"/>
        <v>10.430912408759125</v>
      </c>
      <c r="CU302" s="217">
        <f t="shared" si="810"/>
        <v>4</v>
      </c>
      <c r="CV302" s="217"/>
      <c r="CW302" s="172">
        <f t="shared" si="811"/>
        <v>14.665814985388769</v>
      </c>
      <c r="CX302" s="172">
        <f t="shared" si="812"/>
        <v>4</v>
      </c>
      <c r="CY302" s="217">
        <f t="shared" si="813"/>
        <v>3.3424113475177304</v>
      </c>
      <c r="CZ302" s="217">
        <f t="shared" si="814"/>
        <v>1.1141371158392435</v>
      </c>
      <c r="DA302" s="217">
        <f t="shared" si="815"/>
        <v>2.1334540516070621</v>
      </c>
      <c r="DB302" s="197">
        <f t="shared" si="816"/>
        <v>350</v>
      </c>
      <c r="DC302" s="443">
        <f t="shared" si="817"/>
        <v>307.92053200044114</v>
      </c>
      <c r="DE302" s="217">
        <f t="shared" si="818"/>
        <v>2.940563086548488</v>
      </c>
      <c r="DF302" s="173">
        <f t="shared" si="819"/>
        <v>1.8769551616266944</v>
      </c>
      <c r="DG302" s="173">
        <f t="shared" si="820"/>
        <v>3.8635135443702762</v>
      </c>
      <c r="DH302" s="173"/>
      <c r="DI302" s="173">
        <f t="shared" si="821"/>
        <v>0.85106382978723416</v>
      </c>
      <c r="DJ302" s="545">
        <f t="shared" si="822"/>
        <v>2273.6249999999995</v>
      </c>
      <c r="DK302" s="528">
        <f t="shared" si="823"/>
        <v>0.79432624113475192</v>
      </c>
      <c r="DM302" s="173">
        <f t="shared" si="824"/>
        <v>3.3983189121345614</v>
      </c>
      <c r="DN302" s="173">
        <f t="shared" si="825"/>
        <v>3.3424113475177304</v>
      </c>
      <c r="DO302" s="173">
        <f t="shared" si="826"/>
        <v>2.6882059364328867</v>
      </c>
      <c r="DQ302" s="545">
        <f t="shared" si="827"/>
        <v>5160</v>
      </c>
      <c r="DR302" s="460">
        <f t="shared" si="828"/>
        <v>307.92053200044114</v>
      </c>
      <c r="DT302">
        <f t="shared" si="829"/>
        <v>5160</v>
      </c>
      <c r="DU302">
        <f t="shared" si="830"/>
        <v>307.92053200044114</v>
      </c>
      <c r="DW302" s="5">
        <f t="shared" si="859"/>
        <v>3.2475911674463052</v>
      </c>
      <c r="DX302" s="5">
        <f t="shared" si="831"/>
        <v>1.1141371158392435</v>
      </c>
      <c r="DY302" s="5">
        <f t="shared" si="832"/>
        <v>2.1334540516070617</v>
      </c>
      <c r="DZ302" s="5"/>
      <c r="EA302" s="173">
        <f t="shared" si="833"/>
        <v>0.34306569343065696</v>
      </c>
      <c r="EB302" s="173">
        <f t="shared" si="860"/>
        <v>20.64</v>
      </c>
      <c r="EC302" s="173">
        <f t="shared" si="861"/>
        <v>4.3914893617021278</v>
      </c>
      <c r="ED302" s="173">
        <f t="shared" si="862"/>
        <v>4.7</v>
      </c>
      <c r="EE302" s="460">
        <f t="shared" si="834"/>
        <v>143.72368794326241</v>
      </c>
      <c r="EF302" s="5">
        <f t="shared" si="835"/>
        <v>1.0193169357678182</v>
      </c>
      <c r="EH302" s="173">
        <f t="shared" si="863"/>
        <v>1.1302848724233192</v>
      </c>
      <c r="EI302" s="173">
        <f t="shared" si="864"/>
        <v>6.256338412640754</v>
      </c>
      <c r="EK302" s="528">
        <f t="shared" si="865"/>
        <v>1.5586035492513787E-2</v>
      </c>
      <c r="EL302" s="528">
        <f t="shared" si="866"/>
        <v>1.1280000000000001</v>
      </c>
      <c r="EM302" s="528">
        <f t="shared" si="867"/>
        <v>3.849006650005514E-2</v>
      </c>
      <c r="EN302" s="528">
        <f t="shared" si="868"/>
        <v>9.2469767441860473E-2</v>
      </c>
      <c r="EO302">
        <f t="shared" si="869"/>
        <v>1.6199999999999999E-2</v>
      </c>
      <c r="EP302" s="460">
        <f t="shared" si="870"/>
        <v>54.690066500055138</v>
      </c>
      <c r="EQ302" s="460"/>
      <c r="ER302" s="460">
        <f t="shared" si="871"/>
        <v>1290.7458694344293</v>
      </c>
      <c r="ES302" s="528">
        <f t="shared" si="872"/>
        <v>3.6119999999999997</v>
      </c>
      <c r="EV302" s="460">
        <f t="shared" si="873"/>
        <v>3611.9999999999995</v>
      </c>
      <c r="EW302" s="528">
        <f t="shared" si="874"/>
        <v>3.8326316784869967E-2</v>
      </c>
      <c r="EX302" s="528">
        <f t="shared" si="875"/>
        <v>1.1742531100045268</v>
      </c>
      <c r="EY302" s="528">
        <f t="shared" si="876"/>
        <v>1.6990899383038498</v>
      </c>
      <c r="EZ302" s="528"/>
      <c r="FA302" s="528">
        <f t="shared" si="877"/>
        <v>8.6000000000000021E-2</v>
      </c>
      <c r="FB302" s="460">
        <f t="shared" si="878"/>
        <v>2997.6693650932466</v>
      </c>
      <c r="FC302" s="173">
        <f t="shared" si="879"/>
        <v>7.9004152345276752</v>
      </c>
      <c r="FD302" s="5">
        <f t="shared" si="880"/>
        <v>20.64</v>
      </c>
      <c r="FE302" s="173">
        <f t="shared" si="881"/>
        <v>0.72318499329435493</v>
      </c>
      <c r="FF302" s="5">
        <f t="shared" si="882"/>
        <v>72.318499329435497</v>
      </c>
      <c r="FI302" s="562">
        <f t="shared" si="836"/>
        <v>-50</v>
      </c>
      <c r="FJ302">
        <f t="shared" si="837"/>
        <v>-50</v>
      </c>
      <c r="FL302">
        <f t="shared" si="838"/>
        <v>0.65693430656934304</v>
      </c>
    </row>
    <row r="303" spans="5:168">
      <c r="E303" s="170">
        <v>87</v>
      </c>
      <c r="F303" s="217">
        <f t="shared" si="839"/>
        <v>5.22</v>
      </c>
      <c r="G303" s="217"/>
      <c r="H303" s="217">
        <f t="shared" si="764"/>
        <v>20.88</v>
      </c>
      <c r="I303" s="541">
        <f t="shared" si="765"/>
        <v>35.914181562054047</v>
      </c>
      <c r="J303" s="172">
        <f t="shared" si="766"/>
        <v>19.776133891328389</v>
      </c>
      <c r="K303" s="172">
        <f t="shared" si="767"/>
        <v>55.690315453382439</v>
      </c>
      <c r="L303" s="443"/>
      <c r="M303" s="217">
        <f t="shared" si="768"/>
        <v>0.35484705575602588</v>
      </c>
      <c r="N303" s="172">
        <f t="shared" si="769"/>
        <v>43.053620495363965</v>
      </c>
      <c r="O303" s="172">
        <f t="shared" si="762"/>
        <v>20.88</v>
      </c>
      <c r="P303" s="217">
        <f t="shared" si="770"/>
        <v>10.763405123840991</v>
      </c>
      <c r="Q303" s="217">
        <f t="shared" si="771"/>
        <v>4</v>
      </c>
      <c r="R303" s="217"/>
      <c r="S303" s="172">
        <f t="shared" si="772"/>
        <v>14.372152295490514</v>
      </c>
      <c r="T303" s="172">
        <f t="shared" si="773"/>
        <v>4</v>
      </c>
      <c r="U303" s="217">
        <f t="shared" si="774"/>
        <v>4.045552334971581</v>
      </c>
      <c r="V303" s="217">
        <f t="shared" si="775"/>
        <v>1.3517397837892546</v>
      </c>
      <c r="W303" s="217">
        <f t="shared" si="776"/>
        <v>2.4548088259528886</v>
      </c>
      <c r="X303" s="197">
        <f t="shared" si="777"/>
        <v>350</v>
      </c>
      <c r="Y303" s="443">
        <f t="shared" si="840"/>
        <v>249.59138086293152</v>
      </c>
      <c r="AA303" s="217">
        <f t="shared" si="778"/>
        <v>3.0365357551140404</v>
      </c>
      <c r="AB303" s="173">
        <f t="shared" si="779"/>
        <v>1.8425456290699125</v>
      </c>
      <c r="AC303" s="173">
        <f t="shared" si="780"/>
        <v>3.9164689781699167</v>
      </c>
      <c r="AD303" s="173"/>
      <c r="AE303" s="173">
        <f t="shared" si="781"/>
        <v>0.80905601104449554</v>
      </c>
      <c r="AF303" s="545">
        <f t="shared" si="782"/>
        <v>2419.4863807672068</v>
      </c>
      <c r="AG303" s="528">
        <f t="shared" si="783"/>
        <v>0.75511894364152921</v>
      </c>
      <c r="AI303" s="173">
        <f t="shared" si="784"/>
        <v>3.5056318449700838</v>
      </c>
      <c r="AJ303" s="173">
        <f t="shared" si="785"/>
        <v>4.045552334971581</v>
      </c>
      <c r="AK303" s="173">
        <f t="shared" si="786"/>
        <v>3.2090511123246275</v>
      </c>
      <c r="AM303" s="545">
        <f t="shared" si="787"/>
        <v>5220</v>
      </c>
      <c r="AN303" s="460">
        <f t="shared" si="788"/>
        <v>249.59138086293152</v>
      </c>
      <c r="AP303">
        <f t="shared" si="789"/>
        <v>5220</v>
      </c>
      <c r="AQ303">
        <f t="shared" si="790"/>
        <v>249.59138086293152</v>
      </c>
      <c r="AS303" s="5">
        <f t="shared" si="763"/>
        <v>4.0065486097421434</v>
      </c>
      <c r="AT303" s="5">
        <f t="shared" si="791"/>
        <v>1.3517397837892546</v>
      </c>
      <c r="AU303" s="5">
        <f t="shared" si="883"/>
        <v>2.6548088259528888</v>
      </c>
      <c r="AV303" s="5"/>
      <c r="AW303" s="173">
        <f t="shared" si="884"/>
        <v>0.33738259920332053</v>
      </c>
      <c r="AX303" s="173">
        <f t="shared" si="792"/>
        <v>24.509614567308102</v>
      </c>
      <c r="AY303" s="173">
        <f t="shared" si="793"/>
        <v>5.3613067459716124</v>
      </c>
      <c r="AZ303" s="173">
        <f t="shared" si="794"/>
        <v>4.5715747538087008</v>
      </c>
      <c r="BA303" s="460">
        <f t="shared" si="724"/>
        <v>176.40204178449773</v>
      </c>
      <c r="BB303" s="5">
        <f t="shared" si="725"/>
        <v>1.2862237579259566</v>
      </c>
      <c r="BD303" s="173">
        <f t="shared" si="841"/>
        <v>1.3566834785193187</v>
      </c>
      <c r="BE303" s="173">
        <f t="shared" si="842"/>
        <v>7.6051643900118897</v>
      </c>
      <c r="BG303" s="528">
        <f t="shared" si="843"/>
        <v>2.2455198742824797E-2</v>
      </c>
      <c r="BH303" s="528">
        <f t="shared" si="795"/>
        <v>1.0543586310012121</v>
      </c>
      <c r="BI303" s="528">
        <f t="shared" si="796"/>
        <v>0.2240967542158776</v>
      </c>
      <c r="BJ303" s="528">
        <f t="shared" si="844"/>
        <v>7.7408551284165003E-2</v>
      </c>
      <c r="BK303">
        <f t="shared" si="845"/>
        <v>1.6161381702924322E-2</v>
      </c>
      <c r="BL303" s="460">
        <f t="shared" si="846"/>
        <v>240.25813591880194</v>
      </c>
      <c r="BM303" s="528">
        <f t="shared" si="797"/>
        <v>1.1665090247044092</v>
      </c>
      <c r="BN303" s="460">
        <f t="shared" si="847"/>
        <v>1166.5090247044093</v>
      </c>
      <c r="BO303" s="528">
        <f t="shared" si="798"/>
        <v>3.6539999999999995</v>
      </c>
      <c r="BR303" s="460">
        <f t="shared" si="848"/>
        <v>3653.9999999999995</v>
      </c>
      <c r="BS303" s="528">
        <f t="shared" si="849"/>
        <v>5.5217701826618358E-2</v>
      </c>
      <c r="BT303" s="528">
        <f t="shared" si="850"/>
        <v>1.7351557619731475</v>
      </c>
      <c r="BU303" s="528">
        <f t="shared" si="851"/>
        <v>1.6199011853066503</v>
      </c>
      <c r="BV303" s="528"/>
      <c r="BW303" s="528">
        <f t="shared" si="852"/>
        <v>0.10212339403045044</v>
      </c>
      <c r="BX303" s="460">
        <f t="shared" si="853"/>
        <v>3512.3980431368664</v>
      </c>
      <c r="BY303" s="173">
        <f t="shared" si="854"/>
        <v>8.5608785600838679</v>
      </c>
      <c r="BZ303" s="5">
        <f t="shared" si="855"/>
        <v>20.88</v>
      </c>
      <c r="CA303" s="173">
        <f t="shared" si="856"/>
        <v>0.70921796567271056</v>
      </c>
      <c r="CB303" s="5">
        <f t="shared" si="857"/>
        <v>70.921796567271059</v>
      </c>
      <c r="CE303" s="562">
        <f t="shared" si="799"/>
        <v>-50</v>
      </c>
      <c r="CF303">
        <f t="shared" si="800"/>
        <v>-50</v>
      </c>
      <c r="CG303" s="173">
        <f t="shared" si="801"/>
        <v>0.64171524579230987</v>
      </c>
      <c r="CI303" s="170">
        <v>87</v>
      </c>
      <c r="CJ303" s="217">
        <f t="shared" si="858"/>
        <v>5.22</v>
      </c>
      <c r="CK303" s="217"/>
      <c r="CL303" s="217">
        <f t="shared" si="802"/>
        <v>20.88</v>
      </c>
      <c r="CM303" s="541">
        <f t="shared" si="803"/>
        <v>36</v>
      </c>
      <c r="CN303" s="443">
        <f t="shared" si="804"/>
        <v>18.8</v>
      </c>
      <c r="CO303" s="443">
        <f t="shared" si="805"/>
        <v>54.8</v>
      </c>
      <c r="CP303" s="443"/>
      <c r="CQ303" s="217">
        <f t="shared" si="806"/>
        <v>0.34306569343065696</v>
      </c>
      <c r="CR303" s="172">
        <f t="shared" si="807"/>
        <v>41.723649635036502</v>
      </c>
      <c r="CS303" s="172">
        <f t="shared" si="808"/>
        <v>20.88</v>
      </c>
      <c r="CT303" s="217">
        <f t="shared" si="809"/>
        <v>10.430912408759125</v>
      </c>
      <c r="CU303" s="217">
        <f t="shared" si="810"/>
        <v>4</v>
      </c>
      <c r="CV303" s="217"/>
      <c r="CW303" s="172">
        <f t="shared" si="811"/>
        <v>14.405570433800117</v>
      </c>
      <c r="CX303" s="172">
        <f t="shared" si="812"/>
        <v>4</v>
      </c>
      <c r="CY303" s="217">
        <f t="shared" si="813"/>
        <v>3.3812765957446804</v>
      </c>
      <c r="CZ303" s="217">
        <f t="shared" si="814"/>
        <v>1.1270921985815601</v>
      </c>
      <c r="DA303" s="217">
        <f t="shared" si="815"/>
        <v>2.1582616568583064</v>
      </c>
      <c r="DB303" s="197">
        <f t="shared" si="816"/>
        <v>350</v>
      </c>
      <c r="DC303" s="443">
        <f t="shared" si="817"/>
        <v>304.38121554066601</v>
      </c>
      <c r="DE303" s="217">
        <f t="shared" si="818"/>
        <v>2.940563086548488</v>
      </c>
      <c r="DF303" s="173">
        <f t="shared" si="819"/>
        <v>1.8769551616266944</v>
      </c>
      <c r="DG303" s="173">
        <f t="shared" si="820"/>
        <v>3.8635135443702762</v>
      </c>
      <c r="DH303" s="173"/>
      <c r="DI303" s="173">
        <f t="shared" si="821"/>
        <v>0.85106382978723416</v>
      </c>
      <c r="DJ303" s="545">
        <f t="shared" si="822"/>
        <v>2300.0624999999995</v>
      </c>
      <c r="DK303" s="528">
        <f t="shared" si="823"/>
        <v>0.79432624113475192</v>
      </c>
      <c r="DM303" s="173">
        <f t="shared" si="824"/>
        <v>3.4180194766643948</v>
      </c>
      <c r="DN303" s="173">
        <f t="shared" si="825"/>
        <v>3.3812765957446804</v>
      </c>
      <c r="DO303" s="173">
        <f t="shared" si="826"/>
        <v>2.7169950091935906</v>
      </c>
      <c r="DQ303" s="545">
        <f t="shared" si="827"/>
        <v>5220</v>
      </c>
      <c r="DR303" s="460">
        <f t="shared" si="828"/>
        <v>304.38121554066601</v>
      </c>
      <c r="DT303">
        <f t="shared" si="829"/>
        <v>5220</v>
      </c>
      <c r="DU303">
        <f t="shared" si="830"/>
        <v>304.38121554066601</v>
      </c>
      <c r="DW303" s="5">
        <f t="shared" si="859"/>
        <v>3.2853538554398667</v>
      </c>
      <c r="DX303" s="5">
        <f t="shared" si="831"/>
        <v>1.1270921985815601</v>
      </c>
      <c r="DY303" s="5">
        <f t="shared" si="832"/>
        <v>2.1582616568583068</v>
      </c>
      <c r="DZ303" s="5"/>
      <c r="EA303" s="173">
        <f t="shared" si="833"/>
        <v>0.3430656934306569</v>
      </c>
      <c r="EB303" s="173">
        <f t="shared" si="860"/>
        <v>20.880000000000003</v>
      </c>
      <c r="EC303" s="173">
        <f t="shared" si="861"/>
        <v>4.4425531914893615</v>
      </c>
      <c r="ED303" s="173">
        <f t="shared" si="862"/>
        <v>4.7000000000000011</v>
      </c>
      <c r="EE303" s="460">
        <f t="shared" si="834"/>
        <v>147.08553191489358</v>
      </c>
      <c r="EF303" s="5">
        <f t="shared" si="835"/>
        <v>1.0431598008148482</v>
      </c>
      <c r="EH303" s="173">
        <f t="shared" si="863"/>
        <v>1.1434277197770786</v>
      </c>
      <c r="EI303" s="173">
        <f t="shared" si="864"/>
        <v>6.3290865337179723</v>
      </c>
      <c r="EK303" s="528">
        <f t="shared" si="865"/>
        <v>1.5950608794326235E-2</v>
      </c>
      <c r="EL303" s="528">
        <f t="shared" si="866"/>
        <v>1.1280000000000001</v>
      </c>
      <c r="EM303" s="528">
        <f t="shared" si="867"/>
        <v>3.8047651942583249E-2</v>
      </c>
      <c r="EN303" s="528">
        <f t="shared" si="868"/>
        <v>9.1406896551724154E-2</v>
      </c>
      <c r="EO303">
        <f t="shared" si="869"/>
        <v>1.6199999999999999E-2</v>
      </c>
      <c r="EP303" s="460">
        <f t="shared" si="870"/>
        <v>54.247651942583246</v>
      </c>
      <c r="EQ303" s="460"/>
      <c r="ER303" s="460">
        <f t="shared" si="871"/>
        <v>1289.6051572886336</v>
      </c>
      <c r="ES303" s="528">
        <f t="shared" si="872"/>
        <v>3.6539999999999995</v>
      </c>
      <c r="EV303" s="460">
        <f t="shared" si="873"/>
        <v>3653.9999999999995</v>
      </c>
      <c r="EW303" s="528">
        <f t="shared" si="874"/>
        <v>3.922280851063828E-2</v>
      </c>
      <c r="EX303" s="528">
        <f t="shared" si="875"/>
        <v>1.2017200905387051</v>
      </c>
      <c r="EY303" s="528">
        <f t="shared" si="876"/>
        <v>1.6990899383038445</v>
      </c>
      <c r="EZ303" s="528"/>
      <c r="FA303" s="528">
        <f t="shared" si="877"/>
        <v>8.7000000000000008E-2</v>
      </c>
      <c r="FB303" s="460">
        <f t="shared" si="878"/>
        <v>3027.0328373531884</v>
      </c>
      <c r="FC303" s="173">
        <f t="shared" si="879"/>
        <v>7.9706379946418213</v>
      </c>
      <c r="FD303" s="5">
        <f t="shared" si="880"/>
        <v>20.88</v>
      </c>
      <c r="FE303" s="173">
        <f t="shared" si="881"/>
        <v>0.72372749621266119</v>
      </c>
      <c r="FF303" s="5">
        <f t="shared" si="882"/>
        <v>72.372749621266124</v>
      </c>
      <c r="FI303" s="562">
        <f t="shared" si="836"/>
        <v>-50</v>
      </c>
      <c r="FJ303">
        <f t="shared" si="837"/>
        <v>-50</v>
      </c>
      <c r="FL303">
        <f t="shared" si="838"/>
        <v>0.65693430656934315</v>
      </c>
    </row>
    <row r="304" spans="5:168">
      <c r="E304" s="170">
        <v>88</v>
      </c>
      <c r="F304" s="217">
        <f t="shared" si="839"/>
        <v>5.28</v>
      </c>
      <c r="G304" s="217"/>
      <c r="H304" s="217">
        <f t="shared" si="764"/>
        <v>21.12</v>
      </c>
      <c r="I304" s="541">
        <f t="shared" si="765"/>
        <v>35.913218531051193</v>
      </c>
      <c r="J304" s="172">
        <f t="shared" si="766"/>
        <v>19.787087798469848</v>
      </c>
      <c r="K304" s="172">
        <f t="shared" si="767"/>
        <v>55.700306329521041</v>
      </c>
      <c r="L304" s="443"/>
      <c r="M304" s="217">
        <f t="shared" si="768"/>
        <v>0.35498018994045599</v>
      </c>
      <c r="N304" s="172">
        <f t="shared" si="769"/>
        <v>43.068618769517514</v>
      </c>
      <c r="O304" s="172">
        <f t="shared" si="762"/>
        <v>21.12</v>
      </c>
      <c r="P304" s="217">
        <f t="shared" si="770"/>
        <v>10.767154692379378</v>
      </c>
      <c r="Q304" s="217">
        <f t="shared" si="771"/>
        <v>4</v>
      </c>
      <c r="R304" s="217"/>
      <c r="S304" s="172">
        <f t="shared" si="772"/>
        <v>14.118306739184906</v>
      </c>
      <c r="T304" s="172">
        <f t="shared" si="773"/>
        <v>4</v>
      </c>
      <c r="U304" s="217">
        <f t="shared" si="774"/>
        <v>4.0928975495439319</v>
      </c>
      <c r="V304" s="217">
        <f t="shared" si="775"/>
        <v>1.367595904891167</v>
      </c>
      <c r="W304" s="217">
        <f t="shared" si="776"/>
        <v>2.4821626656109181</v>
      </c>
      <c r="X304" s="197">
        <f t="shared" si="777"/>
        <v>350</v>
      </c>
      <c r="Y304" s="443">
        <f t="shared" si="840"/>
        <v>246.92830019149039</v>
      </c>
      <c r="AA304" s="217">
        <f t="shared" si="778"/>
        <v>3.0375912630728474</v>
      </c>
      <c r="AB304" s="173">
        <f t="shared" si="779"/>
        <v>1.8421657359650954</v>
      </c>
      <c r="AC304" s="173">
        <f t="shared" si="780"/>
        <v>3.9170225812898147</v>
      </c>
      <c r="AD304" s="173"/>
      <c r="AE304" s="173">
        <f t="shared" si="781"/>
        <v>0.80860812682285144</v>
      </c>
      <c r="AF304" s="545">
        <f t="shared" si="782"/>
        <v>2448.6521150606432</v>
      </c>
      <c r="AG304" s="528">
        <f t="shared" si="783"/>
        <v>0.75470091836799469</v>
      </c>
      <c r="AI304" s="173">
        <f t="shared" si="784"/>
        <v>3.5266978953055332</v>
      </c>
      <c r="AJ304" s="173">
        <f t="shared" si="785"/>
        <v>4.0928975495439319</v>
      </c>
      <c r="AK304" s="173">
        <f t="shared" si="786"/>
        <v>3.2441216416374798</v>
      </c>
      <c r="AM304" s="545">
        <f t="shared" si="787"/>
        <v>5280</v>
      </c>
      <c r="AN304" s="460">
        <f t="shared" si="788"/>
        <v>246.92830019149039</v>
      </c>
      <c r="AP304">
        <f t="shared" si="789"/>
        <v>5280</v>
      </c>
      <c r="AQ304">
        <f t="shared" si="790"/>
        <v>246.92830019149039</v>
      </c>
      <c r="AS304" s="5">
        <f t="shared" si="763"/>
        <v>4.0497585705020853</v>
      </c>
      <c r="AT304" s="5">
        <f t="shared" si="791"/>
        <v>1.367595904891167</v>
      </c>
      <c r="AU304" s="5">
        <f t="shared" si="883"/>
        <v>2.6821626656109183</v>
      </c>
      <c r="AV304" s="5"/>
      <c r="AW304" s="173">
        <f t="shared" si="884"/>
        <v>0.33769813214361905</v>
      </c>
      <c r="AX304" s="173">
        <f t="shared" si="792"/>
        <v>24.818976330708793</v>
      </c>
      <c r="AY304" s="173">
        <f t="shared" si="793"/>
        <v>5.4214673840155019</v>
      </c>
      <c r="AZ304" s="173">
        <f t="shared" si="794"/>
        <v>4.5779075244249086</v>
      </c>
      <c r="BA304" s="460">
        <f t="shared" si="724"/>
        <v>180.52265944563405</v>
      </c>
      <c r="BB304" s="5">
        <f t="shared" si="725"/>
        <v>1.3144481292852372</v>
      </c>
      <c r="BD304" s="173">
        <f t="shared" si="841"/>
        <v>1.3732024693610705</v>
      </c>
      <c r="BE304" s="173">
        <f t="shared" si="842"/>
        <v>7.6923356784042989</v>
      </c>
      <c r="BG304" s="528">
        <f t="shared" si="843"/>
        <v>2.3005357266683967E-2</v>
      </c>
      <c r="BH304" s="528">
        <f t="shared" si="795"/>
        <v>1.0555057325461077</v>
      </c>
      <c r="BI304" s="528">
        <f t="shared" si="796"/>
        <v>0.22169975015695009</v>
      </c>
      <c r="BJ304" s="528">
        <f t="shared" si="844"/>
        <v>7.6610100853933952E-2</v>
      </c>
      <c r="BK304">
        <f t="shared" si="845"/>
        <v>1.6160948338973035E-2</v>
      </c>
      <c r="BL304" s="460">
        <f t="shared" si="846"/>
        <v>237.86069849592312</v>
      </c>
      <c r="BM304" s="528">
        <f t="shared" si="797"/>
        <v>1.1677154549160689</v>
      </c>
      <c r="BN304" s="460">
        <f t="shared" si="847"/>
        <v>1167.7154549160689</v>
      </c>
      <c r="BO304" s="528">
        <f t="shared" si="798"/>
        <v>3.6959999999999997</v>
      </c>
      <c r="BR304" s="460">
        <f t="shared" si="848"/>
        <v>3695.9999999999995</v>
      </c>
      <c r="BS304" s="528">
        <f t="shared" si="849"/>
        <v>5.6570550655780247E-2</v>
      </c>
      <c r="BT304" s="528">
        <f t="shared" si="850"/>
        <v>1.7751608456775518</v>
      </c>
      <c r="BU304" s="528">
        <f t="shared" si="851"/>
        <v>1.6235824790457776</v>
      </c>
      <c r="BV304" s="528"/>
      <c r="BW304" s="528">
        <f t="shared" si="852"/>
        <v>0.10341240137795329</v>
      </c>
      <c r="BX304" s="460">
        <f t="shared" si="853"/>
        <v>3558.7262767570633</v>
      </c>
      <c r="BY304" s="173">
        <f t="shared" si="854"/>
        <v>8.6477081659197115</v>
      </c>
      <c r="BZ304" s="5">
        <f t="shared" si="855"/>
        <v>21.12</v>
      </c>
      <c r="CA304" s="173">
        <f t="shared" si="856"/>
        <v>0.70949365272868903</v>
      </c>
      <c r="CB304" s="5">
        <f t="shared" si="857"/>
        <v>70.949365272868903</v>
      </c>
      <c r="CE304" s="562">
        <f t="shared" si="799"/>
        <v>-50</v>
      </c>
      <c r="CF304">
        <f t="shared" si="800"/>
        <v>-50</v>
      </c>
      <c r="CG304" s="173">
        <f t="shared" si="801"/>
        <v>0.64188818966477612</v>
      </c>
      <c r="CI304" s="170">
        <v>88</v>
      </c>
      <c r="CJ304" s="217">
        <f t="shared" si="858"/>
        <v>5.28</v>
      </c>
      <c r="CK304" s="217"/>
      <c r="CL304" s="217">
        <f t="shared" si="802"/>
        <v>21.12</v>
      </c>
      <c r="CM304" s="541">
        <f t="shared" si="803"/>
        <v>36</v>
      </c>
      <c r="CN304" s="443">
        <f t="shared" si="804"/>
        <v>18.8</v>
      </c>
      <c r="CO304" s="443">
        <f t="shared" si="805"/>
        <v>54.8</v>
      </c>
      <c r="CP304" s="443"/>
      <c r="CQ304" s="217">
        <f t="shared" si="806"/>
        <v>0.34306569343065696</v>
      </c>
      <c r="CR304" s="172">
        <f t="shared" si="807"/>
        <v>41.723649635036502</v>
      </c>
      <c r="CS304" s="172">
        <f t="shared" si="808"/>
        <v>21.12</v>
      </c>
      <c r="CT304" s="217">
        <f t="shared" si="809"/>
        <v>10.430912408759125</v>
      </c>
      <c r="CU304" s="217">
        <f t="shared" si="810"/>
        <v>4</v>
      </c>
      <c r="CV304" s="217"/>
      <c r="CW304" s="172">
        <f t="shared" si="811"/>
        <v>14.151473072206194</v>
      </c>
      <c r="CX304" s="172">
        <f t="shared" si="812"/>
        <v>4</v>
      </c>
      <c r="CY304" s="217">
        <f t="shared" si="813"/>
        <v>3.4201418439716309</v>
      </c>
      <c r="CZ304" s="217">
        <f t="shared" si="814"/>
        <v>1.1400472813238769</v>
      </c>
      <c r="DA304" s="217">
        <f t="shared" si="815"/>
        <v>2.1830692621095515</v>
      </c>
      <c r="DB304" s="197">
        <f t="shared" si="816"/>
        <v>350</v>
      </c>
      <c r="DC304" s="443">
        <f t="shared" si="817"/>
        <v>300.92233809134018</v>
      </c>
      <c r="DE304" s="217">
        <f t="shared" si="818"/>
        <v>2.940563086548488</v>
      </c>
      <c r="DF304" s="173">
        <f t="shared" si="819"/>
        <v>1.8769551616266944</v>
      </c>
      <c r="DG304" s="173">
        <f t="shared" si="820"/>
        <v>3.8635135443702762</v>
      </c>
      <c r="DH304" s="173"/>
      <c r="DI304" s="173">
        <f t="shared" si="821"/>
        <v>0.85106382978723416</v>
      </c>
      <c r="DJ304" s="545">
        <f t="shared" si="822"/>
        <v>2326.4999999999995</v>
      </c>
      <c r="DK304" s="528">
        <f t="shared" si="823"/>
        <v>0.79432624113475192</v>
      </c>
      <c r="DM304" s="173">
        <f t="shared" si="824"/>
        <v>3.4376071411874363</v>
      </c>
      <c r="DN304" s="173">
        <f t="shared" si="825"/>
        <v>3.4201418439716309</v>
      </c>
      <c r="DO304" s="173">
        <f t="shared" si="826"/>
        <v>2.7457840819542945</v>
      </c>
      <c r="DQ304" s="545">
        <f t="shared" si="827"/>
        <v>5280</v>
      </c>
      <c r="DR304" s="460">
        <f t="shared" si="828"/>
        <v>300.92233809134018</v>
      </c>
      <c r="DT304">
        <f t="shared" si="829"/>
        <v>5280</v>
      </c>
      <c r="DU304">
        <f t="shared" si="830"/>
        <v>300.92233809134018</v>
      </c>
      <c r="DW304" s="5">
        <f t="shared" si="859"/>
        <v>3.3231165434334291</v>
      </c>
      <c r="DX304" s="5">
        <f t="shared" si="831"/>
        <v>1.1400472813238769</v>
      </c>
      <c r="DY304" s="5">
        <f t="shared" si="832"/>
        <v>2.1830692621095524</v>
      </c>
      <c r="DZ304" s="5"/>
      <c r="EA304" s="173">
        <f t="shared" si="833"/>
        <v>0.34306569343065685</v>
      </c>
      <c r="EB304" s="173">
        <f t="shared" si="860"/>
        <v>21.119999999999997</v>
      </c>
      <c r="EC304" s="173">
        <f t="shared" si="861"/>
        <v>4.493617021276596</v>
      </c>
      <c r="ED304" s="173">
        <f t="shared" si="862"/>
        <v>4.6999999999999993</v>
      </c>
      <c r="EE304" s="460">
        <f t="shared" si="834"/>
        <v>150.48624113475177</v>
      </c>
      <c r="EF304" s="5">
        <f t="shared" si="835"/>
        <v>1.0672783059202255</v>
      </c>
      <c r="EH304" s="173">
        <f t="shared" si="863"/>
        <v>1.1565705671308379</v>
      </c>
      <c r="EI304" s="173">
        <f t="shared" si="864"/>
        <v>6.4018346547951905</v>
      </c>
      <c r="EK304" s="528">
        <f t="shared" si="865"/>
        <v>1.6319396816390847E-2</v>
      </c>
      <c r="EL304" s="528">
        <f t="shared" si="866"/>
        <v>1.1280000000000001</v>
      </c>
      <c r="EM304" s="528">
        <f t="shared" si="867"/>
        <v>3.7615292261417521E-2</v>
      </c>
      <c r="EN304" s="528">
        <f t="shared" si="868"/>
        <v>9.0368181818181806E-2</v>
      </c>
      <c r="EO304">
        <f t="shared" si="869"/>
        <v>1.6199999999999999E-2</v>
      </c>
      <c r="EP304" s="460">
        <f t="shared" si="870"/>
        <v>53.815292261417518</v>
      </c>
      <c r="EQ304" s="460"/>
      <c r="ER304" s="460">
        <f t="shared" si="871"/>
        <v>1288.5028708959903</v>
      </c>
      <c r="ES304" s="528">
        <f t="shared" si="872"/>
        <v>3.6959999999999997</v>
      </c>
      <c r="EV304" s="460">
        <f t="shared" si="873"/>
        <v>3695.9999999999995</v>
      </c>
      <c r="EW304" s="528">
        <f t="shared" si="874"/>
        <v>4.0129664302600447E-2</v>
      </c>
      <c r="EX304" s="528">
        <f t="shared" si="875"/>
        <v>1.2295046084200998</v>
      </c>
      <c r="EY304" s="528">
        <f t="shared" si="876"/>
        <v>1.6990899383038445</v>
      </c>
      <c r="EZ304" s="528"/>
      <c r="FA304" s="528">
        <f t="shared" si="877"/>
        <v>8.7999999999999995E-2</v>
      </c>
      <c r="FB304" s="460">
        <f t="shared" si="878"/>
        <v>3056.7242110265447</v>
      </c>
      <c r="FC304" s="173">
        <f t="shared" si="879"/>
        <v>8.0412270819225338</v>
      </c>
      <c r="FD304" s="5">
        <f t="shared" si="880"/>
        <v>21.12</v>
      </c>
      <c r="FE304" s="173">
        <f t="shared" si="881"/>
        <v>0.72424935825463244</v>
      </c>
      <c r="FF304" s="5">
        <f t="shared" si="882"/>
        <v>72.424935825463237</v>
      </c>
      <c r="FI304" s="562">
        <f t="shared" si="836"/>
        <v>-50</v>
      </c>
      <c r="FJ304">
        <f t="shared" si="837"/>
        <v>-50</v>
      </c>
      <c r="FL304">
        <f t="shared" si="838"/>
        <v>0.65693430656934315</v>
      </c>
    </row>
    <row r="305" spans="5:168">
      <c r="E305" s="170">
        <v>89</v>
      </c>
      <c r="F305" s="217">
        <f t="shared" si="839"/>
        <v>5.34</v>
      </c>
      <c r="G305" s="217"/>
      <c r="H305" s="217">
        <f t="shared" si="764"/>
        <v>21.36</v>
      </c>
      <c r="I305" s="541">
        <f t="shared" si="765"/>
        <v>35.912255487732033</v>
      </c>
      <c r="J305" s="172">
        <f t="shared" si="766"/>
        <v>19.798041845701999</v>
      </c>
      <c r="K305" s="172">
        <f t="shared" si="767"/>
        <v>55.710297333434028</v>
      </c>
      <c r="L305" s="443"/>
      <c r="M305" s="217">
        <f t="shared" si="768"/>
        <v>0.35511327640333973</v>
      </c>
      <c r="N305" s="172">
        <f t="shared" si="769"/>
        <v>43.083610372858836</v>
      </c>
      <c r="O305" s="172">
        <f t="shared" si="762"/>
        <v>21.36</v>
      </c>
      <c r="P305" s="217">
        <f t="shared" si="770"/>
        <v>10.770902593214709</v>
      </c>
      <c r="Q305" s="217">
        <f t="shared" si="771"/>
        <v>4</v>
      </c>
      <c r="R305" s="217"/>
      <c r="S305" s="172">
        <f t="shared" si="772"/>
        <v>13.870403864267605</v>
      </c>
      <c r="T305" s="172">
        <f t="shared" si="773"/>
        <v>4</v>
      </c>
      <c r="U305" s="217">
        <f t="shared" si="774"/>
        <v>4.1402620061844102</v>
      </c>
      <c r="V305" s="217">
        <f t="shared" si="775"/>
        <v>1.383459306564166</v>
      </c>
      <c r="W305" s="217">
        <f t="shared" si="776"/>
        <v>2.5094978817311042</v>
      </c>
      <c r="X305" s="197">
        <f t="shared" si="777"/>
        <v>350</v>
      </c>
      <c r="Y305" s="443">
        <f t="shared" si="840"/>
        <v>244.32212554280423</v>
      </c>
      <c r="AA305" s="217">
        <f t="shared" si="778"/>
        <v>3.0386463157715369</v>
      </c>
      <c r="AB305" s="173">
        <f t="shared" si="779"/>
        <v>1.8417859742616132</v>
      </c>
      <c r="AC305" s="173">
        <f t="shared" si="780"/>
        <v>3.9175753155908191</v>
      </c>
      <c r="AD305" s="173"/>
      <c r="AE305" s="173">
        <f t="shared" si="781"/>
        <v>0.80816073249554621</v>
      </c>
      <c r="AF305" s="545">
        <f t="shared" si="782"/>
        <v>2477.8486747511402</v>
      </c>
      <c r="AG305" s="528">
        <f t="shared" si="783"/>
        <v>0.75428335032917648</v>
      </c>
      <c r="AI305" s="173">
        <f t="shared" si="784"/>
        <v>3.5476609238316428</v>
      </c>
      <c r="AJ305" s="173">
        <f t="shared" si="785"/>
        <v>4.1402620061844102</v>
      </c>
      <c r="AK305" s="173">
        <f t="shared" si="786"/>
        <v>3.2792064243341308</v>
      </c>
      <c r="AM305" s="545">
        <f t="shared" si="787"/>
        <v>5340</v>
      </c>
      <c r="AN305" s="460">
        <f t="shared" si="788"/>
        <v>244.32212554280423</v>
      </c>
      <c r="AP305">
        <f t="shared" si="789"/>
        <v>5340</v>
      </c>
      <c r="AQ305">
        <f t="shared" si="790"/>
        <v>244.32212554280423</v>
      </c>
      <c r="AS305" s="5">
        <f t="shared" si="763"/>
        <v>4.0929571882952702</v>
      </c>
      <c r="AT305" s="5">
        <f t="shared" si="791"/>
        <v>1.383459306564166</v>
      </c>
      <c r="AU305" s="5">
        <f t="shared" si="883"/>
        <v>2.709497881731104</v>
      </c>
      <c r="AV305" s="5"/>
      <c r="AW305" s="173">
        <f t="shared" si="884"/>
        <v>0.33800971838173105</v>
      </c>
      <c r="AX305" s="173">
        <f t="shared" si="792"/>
        <v>25.128681329296427</v>
      </c>
      <c r="AY305" s="173">
        <f t="shared" si="793"/>
        <v>5.4816264228948741</v>
      </c>
      <c r="AZ305" s="173">
        <f t="shared" si="794"/>
        <v>4.5841652441586573</v>
      </c>
      <c r="BA305" s="460">
        <f t="shared" si="724"/>
        <v>184.69181742631616</v>
      </c>
      <c r="BB305" s="5">
        <f t="shared" si="725"/>
        <v>1.3429694581920411</v>
      </c>
      <c r="BD305" s="173">
        <f t="shared" si="841"/>
        <v>1.3897343480500217</v>
      </c>
      <c r="BE305" s="173">
        <f t="shared" si="842"/>
        <v>7.7795234834032012</v>
      </c>
      <c r="BG305" s="528">
        <f t="shared" si="843"/>
        <v>2.3562611009430228E-2</v>
      </c>
      <c r="BH305" s="528">
        <f t="shared" si="795"/>
        <v>1.0566407892492007</v>
      </c>
      <c r="BI305" s="528">
        <f t="shared" si="796"/>
        <v>0.21935396484497313</v>
      </c>
      <c r="BJ305" s="528">
        <f t="shared" si="844"/>
        <v>7.5828724469808123E-2</v>
      </c>
      <c r="BK305">
        <f t="shared" si="845"/>
        <v>1.6160514969479414E-2</v>
      </c>
      <c r="BL305" s="460">
        <f t="shared" si="846"/>
        <v>235.51447981445256</v>
      </c>
      <c r="BM305" s="528">
        <f t="shared" si="797"/>
        <v>1.168938303176132</v>
      </c>
      <c r="BN305" s="460">
        <f t="shared" si="847"/>
        <v>1168.938303176132</v>
      </c>
      <c r="BO305" s="528">
        <f t="shared" si="798"/>
        <v>3.7379999999999995</v>
      </c>
      <c r="BR305" s="460">
        <f t="shared" si="848"/>
        <v>3737.9999999999995</v>
      </c>
      <c r="BS305" s="528">
        <f t="shared" si="849"/>
        <v>5.794084674450057E-2</v>
      </c>
      <c r="BT305" s="528">
        <f t="shared" si="850"/>
        <v>1.8156295688646562</v>
      </c>
      <c r="BU305" s="528">
        <f t="shared" si="851"/>
        <v>1.6272210824830493</v>
      </c>
      <c r="BV305" s="528"/>
      <c r="BW305" s="528">
        <f t="shared" si="852"/>
        <v>0.10470283887206845</v>
      </c>
      <c r="BX305" s="460">
        <f t="shared" si="853"/>
        <v>3605.4943369642747</v>
      </c>
      <c r="BY305" s="173">
        <f t="shared" si="854"/>
        <v>8.7350409415071653</v>
      </c>
      <c r="BZ305" s="5">
        <f t="shared" si="855"/>
        <v>21.36</v>
      </c>
      <c r="CA305" s="173">
        <f t="shared" si="856"/>
        <v>0.70975148502091678</v>
      </c>
      <c r="CB305" s="5">
        <f t="shared" si="857"/>
        <v>70.975148502091685</v>
      </c>
      <c r="CE305" s="562">
        <f t="shared" si="799"/>
        <v>-50</v>
      </c>
      <c r="CF305">
        <f t="shared" si="800"/>
        <v>-50</v>
      </c>
      <c r="CG305" s="173">
        <f t="shared" si="801"/>
        <v>0.64205724715808588</v>
      </c>
      <c r="CI305" s="170">
        <v>89</v>
      </c>
      <c r="CJ305" s="217">
        <f t="shared" si="858"/>
        <v>5.34</v>
      </c>
      <c r="CK305" s="217"/>
      <c r="CL305" s="217">
        <f t="shared" si="802"/>
        <v>21.36</v>
      </c>
      <c r="CM305" s="541">
        <f t="shared" si="803"/>
        <v>36</v>
      </c>
      <c r="CN305" s="443">
        <f t="shared" si="804"/>
        <v>18.8</v>
      </c>
      <c r="CO305" s="443">
        <f t="shared" si="805"/>
        <v>54.8</v>
      </c>
      <c r="CP305" s="443"/>
      <c r="CQ305" s="217">
        <f t="shared" si="806"/>
        <v>0.34306569343065696</v>
      </c>
      <c r="CR305" s="172">
        <f t="shared" si="807"/>
        <v>41.723649635036502</v>
      </c>
      <c r="CS305" s="172">
        <f t="shared" si="808"/>
        <v>21.36</v>
      </c>
      <c r="CT305" s="217">
        <f t="shared" si="809"/>
        <v>10.430912408759125</v>
      </c>
      <c r="CU305" s="217">
        <f t="shared" si="810"/>
        <v>4</v>
      </c>
      <c r="CV305" s="217"/>
      <c r="CW305" s="172">
        <f t="shared" si="811"/>
        <v>13.903318893204011</v>
      </c>
      <c r="CX305" s="172">
        <f t="shared" si="812"/>
        <v>4</v>
      </c>
      <c r="CY305" s="217">
        <f t="shared" si="813"/>
        <v>3.4590070921985809</v>
      </c>
      <c r="CZ305" s="217">
        <f t="shared" si="814"/>
        <v>1.1530023640661937</v>
      </c>
      <c r="DA305" s="217">
        <f t="shared" si="815"/>
        <v>2.2078768673607962</v>
      </c>
      <c r="DB305" s="197">
        <f t="shared" si="816"/>
        <v>350</v>
      </c>
      <c r="DC305" s="443">
        <f t="shared" si="817"/>
        <v>297.54118822514533</v>
      </c>
      <c r="DE305" s="217">
        <f t="shared" si="818"/>
        <v>2.940563086548488</v>
      </c>
      <c r="DF305" s="173">
        <f t="shared" si="819"/>
        <v>1.8769551616266944</v>
      </c>
      <c r="DG305" s="173">
        <f t="shared" si="820"/>
        <v>3.8635135443702762</v>
      </c>
      <c r="DH305" s="173"/>
      <c r="DI305" s="173">
        <f t="shared" si="821"/>
        <v>0.85106382978723416</v>
      </c>
      <c r="DJ305" s="545">
        <f t="shared" si="822"/>
        <v>2352.9374999999995</v>
      </c>
      <c r="DK305" s="528">
        <f t="shared" si="823"/>
        <v>0.79432624113475192</v>
      </c>
      <c r="DM305" s="173">
        <f t="shared" si="824"/>
        <v>3.4570838247616402</v>
      </c>
      <c r="DN305" s="173">
        <f t="shared" si="825"/>
        <v>3.4590070921985809</v>
      </c>
      <c r="DO305" s="173">
        <f t="shared" si="826"/>
        <v>2.7745731547149983</v>
      </c>
      <c r="DQ305" s="545">
        <f t="shared" si="827"/>
        <v>5340</v>
      </c>
      <c r="DR305" s="460">
        <f t="shared" si="828"/>
        <v>297.54118822514533</v>
      </c>
      <c r="DT305">
        <f t="shared" si="829"/>
        <v>5340</v>
      </c>
      <c r="DU305">
        <f t="shared" si="830"/>
        <v>297.54118822514533</v>
      </c>
      <c r="DW305" s="5">
        <f t="shared" si="859"/>
        <v>3.3608792314269906</v>
      </c>
      <c r="DX305" s="5">
        <f t="shared" si="831"/>
        <v>1.1530023640661937</v>
      </c>
      <c r="DY305" s="5">
        <f t="shared" si="832"/>
        <v>2.2078768673607971</v>
      </c>
      <c r="DZ305" s="5"/>
      <c r="EA305" s="173">
        <f t="shared" si="833"/>
        <v>0.3430656934306569</v>
      </c>
      <c r="EB305" s="173">
        <f t="shared" si="860"/>
        <v>21.359999999999992</v>
      </c>
      <c r="EC305" s="173">
        <f t="shared" si="861"/>
        <v>4.5446808510638297</v>
      </c>
      <c r="ED305" s="173">
        <f t="shared" si="862"/>
        <v>4.6999999999999984</v>
      </c>
      <c r="EE305" s="460">
        <f t="shared" si="834"/>
        <v>153.92581560283685</v>
      </c>
      <c r="EF305" s="5">
        <f t="shared" si="835"/>
        <v>1.0916724510839495</v>
      </c>
      <c r="EH305" s="173">
        <f t="shared" si="863"/>
        <v>1.1697134144845978</v>
      </c>
      <c r="EI305" s="173">
        <f t="shared" si="864"/>
        <v>6.4745827758724079</v>
      </c>
      <c r="EK305" s="528">
        <f t="shared" si="865"/>
        <v>1.6692399558707639E-2</v>
      </c>
      <c r="EL305" s="528">
        <f t="shared" si="866"/>
        <v>1.1279999999999997</v>
      </c>
      <c r="EM305" s="528">
        <f t="shared" si="867"/>
        <v>3.719264852814317E-2</v>
      </c>
      <c r="EN305" s="528">
        <f t="shared" si="868"/>
        <v>8.9352808988764035E-2</v>
      </c>
      <c r="EO305">
        <f t="shared" si="869"/>
        <v>1.6199999999999999E-2</v>
      </c>
      <c r="EP305" s="460">
        <f t="shared" si="870"/>
        <v>53.39264852814317</v>
      </c>
      <c r="EQ305" s="460"/>
      <c r="ER305" s="460">
        <f t="shared" si="871"/>
        <v>1287.4378570756144</v>
      </c>
      <c r="ES305" s="528">
        <f t="shared" si="872"/>
        <v>3.7379999999999995</v>
      </c>
      <c r="EV305" s="460">
        <f t="shared" si="873"/>
        <v>3737.9999999999995</v>
      </c>
      <c r="EW305" s="528">
        <f t="shared" si="874"/>
        <v>4.104688416075649E-2</v>
      </c>
      <c r="EX305" s="528">
        <f t="shared" si="875"/>
        <v>1.2576066636487095</v>
      </c>
      <c r="EY305" s="528">
        <f t="shared" si="876"/>
        <v>1.6990899383038476</v>
      </c>
      <c r="EZ305" s="528"/>
      <c r="FA305" s="528">
        <f t="shared" si="877"/>
        <v>8.8999999999999982E-2</v>
      </c>
      <c r="FB305" s="460">
        <f t="shared" si="878"/>
        <v>3086.7434861133138</v>
      </c>
      <c r="FC305" s="173">
        <f t="shared" si="879"/>
        <v>8.1121813431889276</v>
      </c>
      <c r="FD305" s="5">
        <f t="shared" si="880"/>
        <v>21.36</v>
      </c>
      <c r="FE305" s="173">
        <f t="shared" si="881"/>
        <v>0.72475124088283105</v>
      </c>
      <c r="FF305" s="5">
        <f t="shared" si="882"/>
        <v>72.47512408828311</v>
      </c>
      <c r="FI305" s="562">
        <f t="shared" si="836"/>
        <v>-50</v>
      </c>
      <c r="FJ305">
        <f t="shared" si="837"/>
        <v>-50</v>
      </c>
      <c r="FL305">
        <f t="shared" si="838"/>
        <v>0.65693430656934315</v>
      </c>
    </row>
    <row r="306" spans="5:168">
      <c r="E306" s="170">
        <v>90</v>
      </c>
      <c r="F306" s="217">
        <f t="shared" si="839"/>
        <v>5.4</v>
      </c>
      <c r="G306" s="217"/>
      <c r="H306" s="217">
        <f t="shared" si="764"/>
        <v>21.6</v>
      </c>
      <c r="I306" s="541">
        <f t="shared" si="765"/>
        <v>35.911292432516511</v>
      </c>
      <c r="J306" s="172">
        <f t="shared" si="766"/>
        <v>19.808996028248178</v>
      </c>
      <c r="K306" s="172">
        <f t="shared" si="767"/>
        <v>55.720288460764692</v>
      </c>
      <c r="L306" s="443"/>
      <c r="M306" s="217">
        <f t="shared" si="768"/>
        <v>0.35524631516778293</v>
      </c>
      <c r="N306" s="172">
        <f t="shared" si="769"/>
        <v>43.098595309144315</v>
      </c>
      <c r="O306" s="172">
        <f t="shared" si="762"/>
        <v>21.6</v>
      </c>
      <c r="P306" s="217">
        <f t="shared" si="770"/>
        <v>10.774648827286079</v>
      </c>
      <c r="Q306" s="217">
        <f t="shared" si="771"/>
        <v>4</v>
      </c>
      <c r="R306" s="217"/>
      <c r="S306" s="172">
        <f t="shared" si="772"/>
        <v>13.628248772781937</v>
      </c>
      <c r="T306" s="172">
        <f t="shared" si="773"/>
        <v>4</v>
      </c>
      <c r="U306" s="217">
        <f t="shared" si="774"/>
        <v>4.1876457064415478</v>
      </c>
      <c r="V306" s="217">
        <f t="shared" si="775"/>
        <v>1.3993299899113976</v>
      </c>
      <c r="W306" s="217">
        <f t="shared" si="776"/>
        <v>2.5368145061788181</v>
      </c>
      <c r="X306" s="197">
        <f t="shared" si="777"/>
        <v>350</v>
      </c>
      <c r="Y306" s="443">
        <f t="shared" si="840"/>
        <v>241.77105053879831</v>
      </c>
      <c r="AA306" s="217">
        <f t="shared" si="778"/>
        <v>3.0397009129845198</v>
      </c>
      <c r="AB306" s="173">
        <f t="shared" si="779"/>
        <v>1.8414063440569055</v>
      </c>
      <c r="AC306" s="173">
        <f t="shared" si="780"/>
        <v>3.9181271816436838</v>
      </c>
      <c r="AD306" s="173"/>
      <c r="AE306" s="173">
        <f t="shared" si="781"/>
        <v>0.80771382745413034</v>
      </c>
      <c r="AF306" s="545">
        <f t="shared" si="782"/>
        <v>2507.0760598251595</v>
      </c>
      <c r="AG306" s="528">
        <f t="shared" si="783"/>
        <v>0.75386623895718841</v>
      </c>
      <c r="AI306" s="173">
        <f t="shared" si="784"/>
        <v>3.5685227461217219</v>
      </c>
      <c r="AJ306" s="173">
        <f t="shared" si="785"/>
        <v>4.1876457064415478</v>
      </c>
      <c r="AK306" s="173">
        <f t="shared" si="786"/>
        <v>3.3143054615616396</v>
      </c>
      <c r="AM306" s="545">
        <f t="shared" si="787"/>
        <v>5400</v>
      </c>
      <c r="AN306" s="460">
        <f t="shared" si="788"/>
        <v>241.77105053879831</v>
      </c>
      <c r="AP306">
        <f t="shared" si="789"/>
        <v>5400</v>
      </c>
      <c r="AQ306">
        <f t="shared" si="790"/>
        <v>241.77105053879831</v>
      </c>
      <c r="AS306" s="5">
        <f t="shared" si="763"/>
        <v>4.136144496090215</v>
      </c>
      <c r="AT306" s="5">
        <f t="shared" si="791"/>
        <v>1.3993299899113976</v>
      </c>
      <c r="AU306" s="5">
        <f t="shared" si="883"/>
        <v>2.7368145061788174</v>
      </c>
      <c r="AV306" s="5"/>
      <c r="AW306" s="173">
        <f t="shared" si="884"/>
        <v>0.3383174817113247</v>
      </c>
      <c r="AX306" s="173">
        <f t="shared" si="792"/>
        <v>25.438729105216204</v>
      </c>
      <c r="AY306" s="173">
        <f t="shared" si="793"/>
        <v>5.541783913478004</v>
      </c>
      <c r="AZ306" s="173">
        <f t="shared" si="794"/>
        <v>4.5903502378263878</v>
      </c>
      <c r="BA306" s="460">
        <f t="shared" si="724"/>
        <v>188.9095486380387</v>
      </c>
      <c r="BB306" s="5">
        <f t="shared" si="725"/>
        <v>1.3717874733634752</v>
      </c>
      <c r="BD306" s="173">
        <f t="shared" si="841"/>
        <v>1.4062791042353375</v>
      </c>
      <c r="BE306" s="173">
        <f t="shared" si="842"/>
        <v>7.866727843485795</v>
      </c>
      <c r="BG306" s="528">
        <f t="shared" si="843"/>
        <v>2.4126975211909107E-2</v>
      </c>
      <c r="BH306" s="528">
        <f t="shared" si="795"/>
        <v>1.0577641824181281</v>
      </c>
      <c r="BI306" s="528">
        <f t="shared" si="796"/>
        <v>0.21705777244038785</v>
      </c>
      <c r="BJ306" s="528">
        <f t="shared" si="844"/>
        <v>7.5063880120379317E-2</v>
      </c>
      <c r="BK306">
        <f t="shared" si="845"/>
        <v>1.616008159463243E-2</v>
      </c>
      <c r="BL306" s="460">
        <f t="shared" si="846"/>
        <v>233.21785403502025</v>
      </c>
      <c r="BM306" s="528">
        <f t="shared" si="797"/>
        <v>1.1701774443628497</v>
      </c>
      <c r="BN306" s="460">
        <f t="shared" si="847"/>
        <v>1170.1774443628497</v>
      </c>
      <c r="BO306" s="528">
        <f t="shared" si="798"/>
        <v>3.78</v>
      </c>
      <c r="BR306" s="460">
        <f t="shared" si="848"/>
        <v>3780</v>
      </c>
      <c r="BS306" s="528">
        <f t="shared" si="849"/>
        <v>5.93286275702683E-2</v>
      </c>
      <c r="BT306" s="528">
        <f t="shared" si="850"/>
        <v>1.85656220890424</v>
      </c>
      <c r="BU306" s="528">
        <f t="shared" si="851"/>
        <v>1.6308183014120483</v>
      </c>
      <c r="BV306" s="528"/>
      <c r="BW306" s="528">
        <f t="shared" si="852"/>
        <v>0.10599470460506753</v>
      </c>
      <c r="BX306" s="460">
        <f t="shared" si="853"/>
        <v>3652.7038424916236</v>
      </c>
      <c r="BY306" s="173">
        <f t="shared" si="854"/>
        <v>8.8228767342770595</v>
      </c>
      <c r="BZ306" s="5">
        <f t="shared" si="855"/>
        <v>21.6</v>
      </c>
      <c r="CA306" s="173">
        <f t="shared" si="856"/>
        <v>0.70999202963812957</v>
      </c>
      <c r="CB306" s="5">
        <f t="shared" si="857"/>
        <v>70.999202963812962</v>
      </c>
      <c r="CE306" s="562">
        <f t="shared" si="799"/>
        <v>-50</v>
      </c>
      <c r="CF306">
        <f t="shared" si="800"/>
        <v>-50</v>
      </c>
      <c r="CG306" s="173">
        <f t="shared" si="801"/>
        <v>0.64222254781821098</v>
      </c>
      <c r="CI306" s="170">
        <v>90</v>
      </c>
      <c r="CJ306" s="217">
        <f t="shared" si="858"/>
        <v>5.4</v>
      </c>
      <c r="CK306" s="217"/>
      <c r="CL306" s="217">
        <f t="shared" si="802"/>
        <v>21.6</v>
      </c>
      <c r="CM306" s="541">
        <f t="shared" si="803"/>
        <v>36</v>
      </c>
      <c r="CN306" s="443">
        <f t="shared" si="804"/>
        <v>18.8</v>
      </c>
      <c r="CO306" s="443">
        <f t="shared" si="805"/>
        <v>54.8</v>
      </c>
      <c r="CP306" s="443"/>
      <c r="CQ306" s="217">
        <f t="shared" si="806"/>
        <v>0.34306569343065696</v>
      </c>
      <c r="CR306" s="172">
        <f t="shared" si="807"/>
        <v>41.723649635036502</v>
      </c>
      <c r="CS306" s="172">
        <f t="shared" si="808"/>
        <v>21.6</v>
      </c>
      <c r="CT306" s="217">
        <f t="shared" si="809"/>
        <v>10.430912408759125</v>
      </c>
      <c r="CU306" s="217">
        <f t="shared" si="810"/>
        <v>4</v>
      </c>
      <c r="CV306" s="217"/>
      <c r="CW306" s="172">
        <f t="shared" si="811"/>
        <v>13.6609129936776</v>
      </c>
      <c r="CX306" s="172">
        <f t="shared" si="812"/>
        <v>4</v>
      </c>
      <c r="CY306" s="217">
        <f t="shared" si="813"/>
        <v>3.4978723404255319</v>
      </c>
      <c r="CZ306" s="217">
        <f t="shared" si="814"/>
        <v>1.1659574468085108</v>
      </c>
      <c r="DA306" s="217">
        <f t="shared" si="815"/>
        <v>2.2326844726120418</v>
      </c>
      <c r="DB306" s="197">
        <f t="shared" si="816"/>
        <v>350</v>
      </c>
      <c r="DC306" s="443">
        <f t="shared" si="817"/>
        <v>294.23517502264366</v>
      </c>
      <c r="DE306" s="217">
        <f t="shared" si="818"/>
        <v>2.940563086548488</v>
      </c>
      <c r="DF306" s="173">
        <f t="shared" si="819"/>
        <v>1.8769551616266944</v>
      </c>
      <c r="DG306" s="173">
        <f t="shared" si="820"/>
        <v>3.8635135443702762</v>
      </c>
      <c r="DH306" s="173"/>
      <c r="DI306" s="173">
        <f t="shared" si="821"/>
        <v>0.85106382978723416</v>
      </c>
      <c r="DJ306" s="545">
        <f t="shared" si="822"/>
        <v>2379.3749999999995</v>
      </c>
      <c r="DK306" s="528">
        <f t="shared" si="823"/>
        <v>0.79432624113475192</v>
      </c>
      <c r="DM306" s="173">
        <f t="shared" si="824"/>
        <v>3.4764513926868426</v>
      </c>
      <c r="DN306" s="173">
        <f t="shared" si="825"/>
        <v>3.4978723404255319</v>
      </c>
      <c r="DO306" s="173">
        <f t="shared" si="826"/>
        <v>2.8033622274757026</v>
      </c>
      <c r="DQ306" s="545">
        <f t="shared" si="827"/>
        <v>5400</v>
      </c>
      <c r="DR306" s="460">
        <f t="shared" si="828"/>
        <v>294.23517502264366</v>
      </c>
      <c r="DT306">
        <f t="shared" si="829"/>
        <v>5400</v>
      </c>
      <c r="DU306">
        <f t="shared" si="830"/>
        <v>294.23517502264366</v>
      </c>
      <c r="DW306" s="5">
        <f t="shared" si="859"/>
        <v>3.398641919420553</v>
      </c>
      <c r="DX306" s="5">
        <f t="shared" si="831"/>
        <v>1.1659574468085108</v>
      </c>
      <c r="DY306" s="5">
        <f t="shared" si="832"/>
        <v>2.2326844726120423</v>
      </c>
      <c r="DZ306" s="5"/>
      <c r="EA306" s="173">
        <f t="shared" si="833"/>
        <v>0.3430656934306569</v>
      </c>
      <c r="EB306" s="173">
        <f t="shared" si="860"/>
        <v>21.599999999999998</v>
      </c>
      <c r="EC306" s="173">
        <f t="shared" si="861"/>
        <v>4.5957446808510642</v>
      </c>
      <c r="ED306" s="173">
        <f t="shared" si="862"/>
        <v>4.6999999999999993</v>
      </c>
      <c r="EE306" s="460">
        <f t="shared" si="834"/>
        <v>157.40425531914897</v>
      </c>
      <c r="EF306" s="5">
        <f t="shared" si="835"/>
        <v>1.1163422363060211</v>
      </c>
      <c r="EH306" s="173">
        <f t="shared" si="863"/>
        <v>1.1828562618383573</v>
      </c>
      <c r="EI306" s="173">
        <f t="shared" si="864"/>
        <v>6.5473308969496271</v>
      </c>
      <c r="EK306" s="528">
        <f t="shared" si="865"/>
        <v>1.706961702127659E-2</v>
      </c>
      <c r="EL306" s="528">
        <f t="shared" si="866"/>
        <v>1.1279999999999997</v>
      </c>
      <c r="EM306" s="528">
        <f t="shared" si="867"/>
        <v>3.6779396877830453E-2</v>
      </c>
      <c r="EN306" s="528">
        <f t="shared" si="868"/>
        <v>8.835999999999998E-2</v>
      </c>
      <c r="EO306">
        <f t="shared" si="869"/>
        <v>1.6199999999999999E-2</v>
      </c>
      <c r="EP306" s="460">
        <f t="shared" si="870"/>
        <v>52.979396877830453</v>
      </c>
      <c r="EQ306" s="460"/>
      <c r="ER306" s="460">
        <f t="shared" si="871"/>
        <v>1286.4090138991066</v>
      </c>
      <c r="ES306" s="528">
        <f t="shared" si="872"/>
        <v>3.78</v>
      </c>
      <c r="EV306" s="460">
        <f t="shared" si="873"/>
        <v>3780</v>
      </c>
      <c r="EW306" s="528">
        <f t="shared" si="874"/>
        <v>4.1974468085106374E-2</v>
      </c>
      <c r="EX306" s="528">
        <f t="shared" si="875"/>
        <v>1.2860262562245361</v>
      </c>
      <c r="EY306" s="528">
        <f t="shared" si="876"/>
        <v>1.699089938303846</v>
      </c>
      <c r="EZ306" s="528"/>
      <c r="FA306" s="528">
        <f t="shared" si="877"/>
        <v>0.09</v>
      </c>
      <c r="FB306" s="460">
        <f t="shared" si="878"/>
        <v>3117.0906626134888</v>
      </c>
      <c r="FC306" s="173">
        <f t="shared" si="879"/>
        <v>8.1834996765125947</v>
      </c>
      <c r="FD306" s="5">
        <f t="shared" si="880"/>
        <v>21.6</v>
      </c>
      <c r="FE306" s="173">
        <f t="shared" si="881"/>
        <v>0.72523377825319357</v>
      </c>
      <c r="FF306" s="5">
        <f t="shared" si="882"/>
        <v>72.523377825319358</v>
      </c>
      <c r="FI306" s="562">
        <f t="shared" si="836"/>
        <v>-50</v>
      </c>
      <c r="FJ306">
        <f t="shared" si="837"/>
        <v>-50</v>
      </c>
      <c r="FL306">
        <f t="shared" si="838"/>
        <v>0.65693430656934315</v>
      </c>
    </row>
    <row r="307" spans="5:168">
      <c r="E307" s="170">
        <v>91</v>
      </c>
      <c r="F307" s="217">
        <f t="shared" si="839"/>
        <v>5.46</v>
      </c>
      <c r="G307" s="217"/>
      <c r="H307" s="217">
        <f t="shared" si="764"/>
        <v>21.84</v>
      </c>
      <c r="I307" s="541">
        <f t="shared" si="765"/>
        <v>35.910329365805708</v>
      </c>
      <c r="J307" s="172">
        <f t="shared" si="766"/>
        <v>19.819950341546445</v>
      </c>
      <c r="K307" s="172">
        <f t="shared" si="767"/>
        <v>55.730279707352153</v>
      </c>
      <c r="L307" s="443"/>
      <c r="M307" s="217">
        <f t="shared" si="768"/>
        <v>0.35537930625699127</v>
      </c>
      <c r="N307" s="172">
        <f t="shared" si="769"/>
        <v>43.113573582120253</v>
      </c>
      <c r="O307" s="172">
        <f t="shared" si="762"/>
        <v>21.84</v>
      </c>
      <c r="P307" s="217">
        <f t="shared" si="770"/>
        <v>10.778393395530063</v>
      </c>
      <c r="Q307" s="217">
        <f t="shared" si="771"/>
        <v>4</v>
      </c>
      <c r="R307" s="217"/>
      <c r="S307" s="172">
        <f t="shared" si="772"/>
        <v>13.391655169958403</v>
      </c>
      <c r="T307" s="172">
        <f t="shared" si="773"/>
        <v>4</v>
      </c>
      <c r="U307" s="217">
        <f t="shared" si="774"/>
        <v>4.2350486518640533</v>
      </c>
      <c r="V307" s="217">
        <f t="shared" si="775"/>
        <v>1.4152079560362003</v>
      </c>
      <c r="W307" s="217">
        <f t="shared" si="776"/>
        <v>2.564112570748418</v>
      </c>
      <c r="X307" s="197">
        <f t="shared" si="777"/>
        <v>350</v>
      </c>
      <c r="Y307" s="443">
        <f t="shared" si="840"/>
        <v>239.27334445662993</v>
      </c>
      <c r="AA307" s="217">
        <f t="shared" si="778"/>
        <v>3.0407550545075228</v>
      </c>
      <c r="AB307" s="173">
        <f t="shared" si="779"/>
        <v>1.8410268454407857</v>
      </c>
      <c r="AC307" s="173">
        <f t="shared" si="780"/>
        <v>3.9186781800306765</v>
      </c>
      <c r="AD307" s="173"/>
      <c r="AE307" s="173">
        <f t="shared" si="781"/>
        <v>0.80726741108230282</v>
      </c>
      <c r="AF307" s="545">
        <f t="shared" si="782"/>
        <v>2536.334270269771</v>
      </c>
      <c r="AG307" s="528">
        <f t="shared" si="783"/>
        <v>0.75344958367681614</v>
      </c>
      <c r="AI307" s="173">
        <f t="shared" si="784"/>
        <v>3.5892851268748753</v>
      </c>
      <c r="AJ307" s="173">
        <f t="shared" si="785"/>
        <v>4.2350486518640533</v>
      </c>
      <c r="AK307" s="173">
        <f t="shared" si="786"/>
        <v>3.3494187544671998</v>
      </c>
      <c r="AM307" s="545">
        <f t="shared" si="787"/>
        <v>5460</v>
      </c>
      <c r="AN307" s="460">
        <f t="shared" si="788"/>
        <v>239.27334445662993</v>
      </c>
      <c r="AP307">
        <f t="shared" si="789"/>
        <v>5460</v>
      </c>
      <c r="AQ307">
        <f t="shared" si="790"/>
        <v>239.27334445662993</v>
      </c>
      <c r="AS307" s="5">
        <f t="shared" si="763"/>
        <v>4.1793205267846183</v>
      </c>
      <c r="AT307" s="5">
        <f t="shared" si="791"/>
        <v>1.4152079560362003</v>
      </c>
      <c r="AU307" s="5">
        <f t="shared" si="883"/>
        <v>2.7641125707484182</v>
      </c>
      <c r="AV307" s="5"/>
      <c r="AW307" s="173">
        <f t="shared" si="884"/>
        <v>0.33862154074241291</v>
      </c>
      <c r="AX307" s="173">
        <f t="shared" si="792"/>
        <v>25.749119219799699</v>
      </c>
      <c r="AY307" s="173">
        <f t="shared" si="793"/>
        <v>5.6019399045015374</v>
      </c>
      <c r="AZ307" s="173">
        <f t="shared" si="794"/>
        <v>4.5964647352086985</v>
      </c>
      <c r="BA307" s="460">
        <f t="shared" si="724"/>
        <v>193.17588599894134</v>
      </c>
      <c r="BB307" s="5">
        <f t="shared" si="725"/>
        <v>1.4009019041614261</v>
      </c>
      <c r="BD307" s="173">
        <f t="shared" si="841"/>
        <v>1.4228367279797303</v>
      </c>
      <c r="BE307" s="173">
        <f t="shared" si="842"/>
        <v>7.9539487954738863</v>
      </c>
      <c r="BG307" s="528">
        <f t="shared" si="843"/>
        <v>2.4698465124754387E-2</v>
      </c>
      <c r="BH307" s="528">
        <f t="shared" si="795"/>
        <v>1.0588762773907108</v>
      </c>
      <c r="BI307" s="528">
        <f t="shared" si="796"/>
        <v>0.21480961519738653</v>
      </c>
      <c r="BJ307" s="528">
        <f t="shared" si="844"/>
        <v>7.4315048495436173E-2</v>
      </c>
      <c r="BK307">
        <f t="shared" si="845"/>
        <v>1.6159648214612569E-2</v>
      </c>
      <c r="BL307" s="460">
        <f t="shared" si="846"/>
        <v>230.96926341199912</v>
      </c>
      <c r="BM307" s="528">
        <f t="shared" si="797"/>
        <v>1.1714327602578178</v>
      </c>
      <c r="BN307" s="460">
        <f t="shared" si="847"/>
        <v>1171.4327602578178</v>
      </c>
      <c r="BO307" s="528">
        <f t="shared" si="798"/>
        <v>3.8219999999999996</v>
      </c>
      <c r="BR307" s="460">
        <f t="shared" si="848"/>
        <v>3821.9999999999995</v>
      </c>
      <c r="BS307" s="528">
        <f t="shared" si="849"/>
        <v>6.0733930634641942E-2</v>
      </c>
      <c r="BT307" s="528">
        <f t="shared" si="850"/>
        <v>1.8979590432306146</v>
      </c>
      <c r="BU307" s="528">
        <f t="shared" si="851"/>
        <v>1.6343753890844319</v>
      </c>
      <c r="BV307" s="528"/>
      <c r="BW307" s="528">
        <f t="shared" si="852"/>
        <v>0.10728799674916542</v>
      </c>
      <c r="BX307" s="460">
        <f t="shared" si="853"/>
        <v>3700.3563596988538</v>
      </c>
      <c r="BY307" s="173">
        <f t="shared" si="854"/>
        <v>8.9112154141217559</v>
      </c>
      <c r="BZ307" s="5">
        <f t="shared" si="855"/>
        <v>21.84</v>
      </c>
      <c r="CA307" s="173">
        <f t="shared" si="856"/>
        <v>0.71021583068780125</v>
      </c>
      <c r="CB307" s="5">
        <f t="shared" si="857"/>
        <v>71.021583068780131</v>
      </c>
      <c r="CE307" s="562">
        <f t="shared" si="799"/>
        <v>-50</v>
      </c>
      <c r="CF307">
        <f t="shared" si="800"/>
        <v>-50</v>
      </c>
      <c r="CG307" s="173">
        <f t="shared" si="801"/>
        <v>0.6423842154967947</v>
      </c>
      <c r="CI307" s="170">
        <v>91</v>
      </c>
      <c r="CJ307" s="217">
        <f t="shared" si="858"/>
        <v>5.46</v>
      </c>
      <c r="CK307" s="217"/>
      <c r="CL307" s="217">
        <f t="shared" si="802"/>
        <v>21.84</v>
      </c>
      <c r="CM307" s="541">
        <f t="shared" si="803"/>
        <v>36</v>
      </c>
      <c r="CN307" s="443">
        <f t="shared" si="804"/>
        <v>18.8</v>
      </c>
      <c r="CO307" s="443">
        <f t="shared" si="805"/>
        <v>54.8</v>
      </c>
      <c r="CP307" s="443"/>
      <c r="CQ307" s="217">
        <f t="shared" si="806"/>
        <v>0.34306569343065696</v>
      </c>
      <c r="CR307" s="172">
        <f t="shared" si="807"/>
        <v>41.723649635036502</v>
      </c>
      <c r="CS307" s="172">
        <f t="shared" si="808"/>
        <v>21.84</v>
      </c>
      <c r="CT307" s="217">
        <f t="shared" si="809"/>
        <v>10.430912408759125</v>
      </c>
      <c r="CU307" s="217">
        <f t="shared" si="810"/>
        <v>4</v>
      </c>
      <c r="CV307" s="217"/>
      <c r="CW307" s="172">
        <f t="shared" si="811"/>
        <v>13.42406907442205</v>
      </c>
      <c r="CX307" s="172">
        <f t="shared" si="812"/>
        <v>4</v>
      </c>
      <c r="CY307" s="217">
        <f t="shared" si="813"/>
        <v>3.5367375886524819</v>
      </c>
      <c r="CZ307" s="217">
        <f t="shared" si="814"/>
        <v>1.1789125295508274</v>
      </c>
      <c r="DA307" s="217">
        <f t="shared" si="815"/>
        <v>2.2574920778632861</v>
      </c>
      <c r="DB307" s="197">
        <f t="shared" si="816"/>
        <v>350</v>
      </c>
      <c r="DC307" s="443">
        <f t="shared" si="817"/>
        <v>291.00182145096636</v>
      </c>
      <c r="DE307" s="217">
        <f t="shared" si="818"/>
        <v>2.940563086548488</v>
      </c>
      <c r="DF307" s="173">
        <f t="shared" si="819"/>
        <v>1.8769551616266944</v>
      </c>
      <c r="DG307" s="173">
        <f t="shared" si="820"/>
        <v>3.8635135443702762</v>
      </c>
      <c r="DH307" s="173"/>
      <c r="DI307" s="173">
        <f t="shared" si="821"/>
        <v>0.85106382978723416</v>
      </c>
      <c r="DJ307" s="545">
        <f t="shared" si="822"/>
        <v>2405.8124999999995</v>
      </c>
      <c r="DK307" s="528">
        <f t="shared" si="823"/>
        <v>0.79432624113475192</v>
      </c>
      <c r="DM307" s="173">
        <f t="shared" si="824"/>
        <v>3.4957116585897072</v>
      </c>
      <c r="DN307" s="173">
        <f t="shared" si="825"/>
        <v>3.5367375886524819</v>
      </c>
      <c r="DO307" s="173">
        <f t="shared" si="826"/>
        <v>2.832151300236406</v>
      </c>
      <c r="DQ307" s="545">
        <f t="shared" si="827"/>
        <v>5460</v>
      </c>
      <c r="DR307" s="460">
        <f t="shared" si="828"/>
        <v>291.00182145096636</v>
      </c>
      <c r="DT307">
        <f t="shared" si="829"/>
        <v>5460</v>
      </c>
      <c r="DU307">
        <f t="shared" si="830"/>
        <v>291.00182145096636</v>
      </c>
      <c r="DW307" s="5">
        <f t="shared" si="859"/>
        <v>3.4364046074141137</v>
      </c>
      <c r="DX307" s="5">
        <f t="shared" si="831"/>
        <v>1.1789125295508274</v>
      </c>
      <c r="DY307" s="5">
        <f t="shared" si="832"/>
        <v>2.2574920778632865</v>
      </c>
      <c r="DZ307" s="5"/>
      <c r="EA307" s="173">
        <f t="shared" si="833"/>
        <v>0.34306569343065696</v>
      </c>
      <c r="EB307" s="173">
        <f t="shared" si="860"/>
        <v>21.84</v>
      </c>
      <c r="EC307" s="173">
        <f t="shared" si="861"/>
        <v>4.646808510638297</v>
      </c>
      <c r="ED307" s="173">
        <f t="shared" si="862"/>
        <v>4.7000000000000011</v>
      </c>
      <c r="EE307" s="460">
        <f t="shared" si="834"/>
        <v>160.92156028368794</v>
      </c>
      <c r="EF307" s="5">
        <f t="shared" si="835"/>
        <v>1.1412876615864394</v>
      </c>
      <c r="EH307" s="173">
        <f t="shared" si="863"/>
        <v>1.1959991091921167</v>
      </c>
      <c r="EI307" s="173">
        <f t="shared" si="864"/>
        <v>6.6200790180268436</v>
      </c>
      <c r="EK307" s="528">
        <f t="shared" si="865"/>
        <v>1.7451049204097707E-2</v>
      </c>
      <c r="EL307" s="528">
        <f t="shared" si="866"/>
        <v>1.1280000000000001</v>
      </c>
      <c r="EM307" s="528">
        <f t="shared" si="867"/>
        <v>3.6375227681370796E-2</v>
      </c>
      <c r="EN307" s="528">
        <f t="shared" si="868"/>
        <v>8.7389010989010987E-2</v>
      </c>
      <c r="EO307">
        <f t="shared" si="869"/>
        <v>1.6199999999999999E-2</v>
      </c>
      <c r="EP307" s="460">
        <f t="shared" si="870"/>
        <v>52.575227681370798</v>
      </c>
      <c r="EQ307" s="460"/>
      <c r="ER307" s="460">
        <f t="shared" si="871"/>
        <v>1285.4152878744796</v>
      </c>
      <c r="ES307" s="528">
        <f t="shared" si="872"/>
        <v>3.8219999999999996</v>
      </c>
      <c r="EV307" s="460">
        <f t="shared" si="873"/>
        <v>3821.9999999999995</v>
      </c>
      <c r="EW307" s="528">
        <f t="shared" si="874"/>
        <v>4.2912416075650099E-2</v>
      </c>
      <c r="EX307" s="528">
        <f t="shared" si="875"/>
        <v>1.3147633861475778</v>
      </c>
      <c r="EY307" s="528">
        <f t="shared" si="876"/>
        <v>1.6990899383038491</v>
      </c>
      <c r="EZ307" s="528"/>
      <c r="FA307" s="528">
        <f t="shared" si="877"/>
        <v>9.0999999999999998E-2</v>
      </c>
      <c r="FB307" s="460">
        <f t="shared" si="878"/>
        <v>3147.765740527077</v>
      </c>
      <c r="FC307" s="173">
        <f t="shared" si="879"/>
        <v>8.2551810284015552</v>
      </c>
      <c r="FD307" s="5">
        <f t="shared" si="880"/>
        <v>21.84</v>
      </c>
      <c r="FE307" s="173">
        <f t="shared" si="881"/>
        <v>0.72569757860532758</v>
      </c>
      <c r="FF307" s="5">
        <f t="shared" si="882"/>
        <v>72.569757860532761</v>
      </c>
      <c r="FI307" s="562">
        <f t="shared" si="836"/>
        <v>-50</v>
      </c>
      <c r="FJ307">
        <f t="shared" si="837"/>
        <v>-50</v>
      </c>
      <c r="FL307">
        <f t="shared" si="838"/>
        <v>0.65693430656934304</v>
      </c>
    </row>
    <row r="308" spans="5:168">
      <c r="E308" s="170">
        <v>92</v>
      </c>
      <c r="F308" s="217">
        <f t="shared" si="839"/>
        <v>5.5200000000000005</v>
      </c>
      <c r="G308" s="217"/>
      <c r="H308" s="217">
        <f t="shared" si="764"/>
        <v>22.080000000000002</v>
      </c>
      <c r="I308" s="541">
        <f t="shared" si="765"/>
        <v>35.909366287982856</v>
      </c>
      <c r="J308" s="172">
        <f t="shared" si="766"/>
        <v>19.830904781237642</v>
      </c>
      <c r="K308" s="172">
        <f t="shared" si="767"/>
        <v>55.740271069220498</v>
      </c>
      <c r="L308" s="443"/>
      <c r="M308" s="217">
        <f t="shared" si="768"/>
        <v>0.35551224969426348</v>
      </c>
      <c r="N308" s="172">
        <f t="shared" si="769"/>
        <v>43.128545195523223</v>
      </c>
      <c r="O308" s="172">
        <f t="shared" si="762"/>
        <v>22.080000000000002</v>
      </c>
      <c r="P308" s="217">
        <f t="shared" si="770"/>
        <v>10.782136298880806</v>
      </c>
      <c r="Q308" s="217">
        <f t="shared" si="771"/>
        <v>4</v>
      </c>
      <c r="R308" s="217"/>
      <c r="S308" s="172">
        <f t="shared" si="772"/>
        <v>13.160444896460076</v>
      </c>
      <c r="T308" s="172">
        <f t="shared" si="773"/>
        <v>4</v>
      </c>
      <c r="U308" s="217">
        <f t="shared" si="774"/>
        <v>4.2824708440008248</v>
      </c>
      <c r="V308" s="217">
        <f t="shared" si="775"/>
        <v>1.4310932060421113</v>
      </c>
      <c r="W308" s="217">
        <f t="shared" si="776"/>
        <v>2.5913921071634878</v>
      </c>
      <c r="X308" s="197">
        <f t="shared" si="777"/>
        <v>350</v>
      </c>
      <c r="Y308" s="443">
        <f t="shared" si="840"/>
        <v>236.82734830895751</v>
      </c>
      <c r="AA308" s="217">
        <f t="shared" si="778"/>
        <v>3.0418087401563882</v>
      </c>
      <c r="AB308" s="173">
        <f t="shared" si="779"/>
        <v>1.8406474784958651</v>
      </c>
      <c r="AC308" s="173">
        <f t="shared" si="780"/>
        <v>3.9192283113448778</v>
      </c>
      <c r="AD308" s="173"/>
      <c r="AE308" s="173">
        <f t="shared" si="781"/>
        <v>0.80682148275644372</v>
      </c>
      <c r="AF308" s="545">
        <f t="shared" si="782"/>
        <v>2565.6233060726199</v>
      </c>
      <c r="AG308" s="528">
        <f t="shared" si="783"/>
        <v>0.75303338390601415</v>
      </c>
      <c r="AI308" s="173">
        <f t="shared" si="784"/>
        <v>3.6099497818765358</v>
      </c>
      <c r="AJ308" s="173">
        <f t="shared" si="785"/>
        <v>4.2824708440008248</v>
      </c>
      <c r="AK308" s="173">
        <f t="shared" si="786"/>
        <v>3.3845463041981416</v>
      </c>
      <c r="AM308" s="545">
        <f t="shared" si="787"/>
        <v>5520.0000000000009</v>
      </c>
      <c r="AN308" s="460">
        <f t="shared" si="788"/>
        <v>236.82734830895751</v>
      </c>
      <c r="AP308">
        <f t="shared" si="789"/>
        <v>5520.0000000000009</v>
      </c>
      <c r="AQ308">
        <f t="shared" si="790"/>
        <v>236.82734830895751</v>
      </c>
      <c r="AS308" s="5">
        <f t="shared" si="763"/>
        <v>4.2224853132055991</v>
      </c>
      <c r="AT308" s="5">
        <f t="shared" si="791"/>
        <v>1.4310932060421113</v>
      </c>
      <c r="AU308" s="5">
        <f t="shared" si="883"/>
        <v>2.791392107163488</v>
      </c>
      <c r="AV308" s="5"/>
      <c r="AW308" s="173">
        <f t="shared" si="884"/>
        <v>0.33892200916991783</v>
      </c>
      <c r="AX308" s="173">
        <f t="shared" si="792"/>
        <v>26.059851252570816</v>
      </c>
      <c r="AY308" s="173">
        <f t="shared" si="793"/>
        <v>5.6620944426809423</v>
      </c>
      <c r="AZ308" s="173">
        <f t="shared" si="794"/>
        <v>4.6025108758574058</v>
      </c>
      <c r="BA308" s="460">
        <f t="shared" si="724"/>
        <v>197.49086243381137</v>
      </c>
      <c r="BB308" s="5">
        <f t="shared" si="725"/>
        <v>1.4303124805907934</v>
      </c>
      <c r="BD308" s="173">
        <f t="shared" si="841"/>
        <v>1.4394072097379784</v>
      </c>
      <c r="BE308" s="173">
        <f t="shared" si="842"/>
        <v>8.0411863746191479</v>
      </c>
      <c r="BG308" s="528">
        <f t="shared" si="843"/>
        <v>2.5277096008437205E-2</v>
      </c>
      <c r="BH308" s="528">
        <f t="shared" si="795"/>
        <v>1.0599774243623423</v>
      </c>
      <c r="BI308" s="528">
        <f t="shared" si="796"/>
        <v>0.21260799993595131</v>
      </c>
      <c r="BJ308" s="528">
        <f t="shared" si="844"/>
        <v>7.3581731809777312E-2</v>
      </c>
      <c r="BK308">
        <f t="shared" si="845"/>
        <v>1.6159214829592285E-2</v>
      </c>
      <c r="BL308" s="460">
        <f t="shared" si="846"/>
        <v>228.7672147655436</v>
      </c>
      <c r="BM308" s="528">
        <f t="shared" si="797"/>
        <v>1.172704139198399</v>
      </c>
      <c r="BN308" s="460">
        <f t="shared" si="847"/>
        <v>1172.7041391983989</v>
      </c>
      <c r="BO308" s="528">
        <f t="shared" si="798"/>
        <v>3.8639999999999999</v>
      </c>
      <c r="BR308" s="460">
        <f t="shared" si="848"/>
        <v>3864</v>
      </c>
      <c r="BS308" s="528">
        <f t="shared" si="849"/>
        <v>6.2156793463370184E-2</v>
      </c>
      <c r="BT308" s="528">
        <f t="shared" si="850"/>
        <v>1.9398203493408193</v>
      </c>
      <c r="BU308" s="528">
        <f t="shared" si="851"/>
        <v>1.6378935488217745</v>
      </c>
      <c r="BV308" s="528"/>
      <c r="BW308" s="528">
        <f t="shared" si="852"/>
        <v>0.1085827135523784</v>
      </c>
      <c r="BX308" s="460">
        <f t="shared" si="853"/>
        <v>3748.4534051783421</v>
      </c>
      <c r="BY308" s="173">
        <f t="shared" si="854"/>
        <v>9.0000568721244427</v>
      </c>
      <c r="BZ308" s="5">
        <f t="shared" si="855"/>
        <v>22.080000000000002</v>
      </c>
      <c r="CA308" s="173">
        <f t="shared" si="856"/>
        <v>0.7104234104475996</v>
      </c>
      <c r="CB308" s="5">
        <f t="shared" si="857"/>
        <v>71.042341044759965</v>
      </c>
      <c r="CE308" s="562">
        <f t="shared" si="799"/>
        <v>-50</v>
      </c>
      <c r="CF308">
        <f t="shared" si="800"/>
        <v>-50</v>
      </c>
      <c r="CG308" s="173">
        <f t="shared" si="801"/>
        <v>0.64254236866062686</v>
      </c>
      <c r="CI308" s="170">
        <v>92</v>
      </c>
      <c r="CJ308" s="217">
        <f t="shared" si="858"/>
        <v>5.5200000000000005</v>
      </c>
      <c r="CK308" s="217"/>
      <c r="CL308" s="217">
        <f t="shared" si="802"/>
        <v>22.080000000000002</v>
      </c>
      <c r="CM308" s="541">
        <f t="shared" si="803"/>
        <v>36</v>
      </c>
      <c r="CN308" s="443">
        <f t="shared" si="804"/>
        <v>18.8</v>
      </c>
      <c r="CO308" s="443">
        <f t="shared" si="805"/>
        <v>54.8</v>
      </c>
      <c r="CP308" s="443"/>
      <c r="CQ308" s="217">
        <f t="shared" si="806"/>
        <v>0.34306569343065696</v>
      </c>
      <c r="CR308" s="172">
        <f t="shared" si="807"/>
        <v>41.723649635036502</v>
      </c>
      <c r="CS308" s="172">
        <f t="shared" si="808"/>
        <v>22.080000000000002</v>
      </c>
      <c r="CT308" s="217">
        <f t="shared" si="809"/>
        <v>10.430912408759125</v>
      </c>
      <c r="CU308" s="217">
        <f t="shared" si="810"/>
        <v>4</v>
      </c>
      <c r="CV308" s="217"/>
      <c r="CW308" s="172">
        <f t="shared" si="811"/>
        <v>13.19260897236555</v>
      </c>
      <c r="CX308" s="172">
        <f t="shared" si="812"/>
        <v>4</v>
      </c>
      <c r="CY308" s="217">
        <f t="shared" si="813"/>
        <v>3.5756028368794324</v>
      </c>
      <c r="CZ308" s="217">
        <f t="shared" si="814"/>
        <v>1.1918676122931442</v>
      </c>
      <c r="DA308" s="217">
        <f t="shared" si="815"/>
        <v>2.2822996831145312</v>
      </c>
      <c r="DB308" s="197">
        <f t="shared" si="816"/>
        <v>350</v>
      </c>
      <c r="DC308" s="443">
        <f t="shared" si="817"/>
        <v>287.83875817432533</v>
      </c>
      <c r="DE308" s="217">
        <f t="shared" si="818"/>
        <v>2.940563086548488</v>
      </c>
      <c r="DF308" s="173">
        <f t="shared" si="819"/>
        <v>1.8769551616266944</v>
      </c>
      <c r="DG308" s="173">
        <f t="shared" si="820"/>
        <v>3.8635135443702762</v>
      </c>
      <c r="DH308" s="173"/>
      <c r="DI308" s="173">
        <f t="shared" si="821"/>
        <v>0.85106382978723416</v>
      </c>
      <c r="DJ308" s="545">
        <f t="shared" si="822"/>
        <v>2432.2499999999995</v>
      </c>
      <c r="DK308" s="528">
        <f t="shared" si="823"/>
        <v>0.79432624113475192</v>
      </c>
      <c r="DM308" s="173">
        <f t="shared" si="824"/>
        <v>3.5148663864058496</v>
      </c>
      <c r="DN308" s="173">
        <f t="shared" si="825"/>
        <v>3.5756028368794324</v>
      </c>
      <c r="DO308" s="173">
        <f t="shared" si="826"/>
        <v>2.8609403729971103</v>
      </c>
      <c r="DQ308" s="545">
        <f t="shared" si="827"/>
        <v>5520.0000000000009</v>
      </c>
      <c r="DR308" s="460">
        <f t="shared" si="828"/>
        <v>287.83875817432533</v>
      </c>
      <c r="DT308">
        <f t="shared" si="829"/>
        <v>5520.0000000000009</v>
      </c>
      <c r="DU308">
        <f t="shared" si="830"/>
        <v>287.83875817432533</v>
      </c>
      <c r="DW308" s="5">
        <f t="shared" si="859"/>
        <v>3.4741672954076765</v>
      </c>
      <c r="DX308" s="5">
        <f t="shared" si="831"/>
        <v>1.1918676122931442</v>
      </c>
      <c r="DY308" s="5">
        <f t="shared" si="832"/>
        <v>2.2822996831145321</v>
      </c>
      <c r="DZ308" s="5"/>
      <c r="EA308" s="173">
        <f t="shared" si="833"/>
        <v>0.34306569343065685</v>
      </c>
      <c r="EB308" s="173">
        <f t="shared" si="860"/>
        <v>22.079999999999991</v>
      </c>
      <c r="EC308" s="173">
        <f t="shared" si="861"/>
        <v>4.6978723404255325</v>
      </c>
      <c r="ED308" s="173">
        <f t="shared" si="862"/>
        <v>4.6999999999999975</v>
      </c>
      <c r="EE308" s="460">
        <f t="shared" si="834"/>
        <v>164.47773049645392</v>
      </c>
      <c r="EF308" s="5">
        <f t="shared" si="835"/>
        <v>1.1665087269252052</v>
      </c>
      <c r="EH308" s="173">
        <f t="shared" si="863"/>
        <v>1.2091419565458761</v>
      </c>
      <c r="EI308" s="173">
        <f t="shared" si="864"/>
        <v>6.6928271391040628</v>
      </c>
      <c r="EK308" s="528">
        <f t="shared" si="865"/>
        <v>1.7836696107170986E-2</v>
      </c>
      <c r="EL308" s="528">
        <f t="shared" si="866"/>
        <v>1.1279999999999997</v>
      </c>
      <c r="EM308" s="528">
        <f t="shared" si="867"/>
        <v>3.5979844771790663E-2</v>
      </c>
      <c r="EN308" s="528">
        <f t="shared" si="868"/>
        <v>8.6439130434782574E-2</v>
      </c>
      <c r="EO308">
        <f t="shared" si="869"/>
        <v>1.6199999999999999E-2</v>
      </c>
      <c r="EP308" s="460">
        <f t="shared" si="870"/>
        <v>52.179844771790663</v>
      </c>
      <c r="EQ308" s="460"/>
      <c r="ER308" s="460">
        <f t="shared" si="871"/>
        <v>1284.455671313744</v>
      </c>
      <c r="ES308" s="528">
        <f t="shared" si="872"/>
        <v>3.8639999999999999</v>
      </c>
      <c r="EV308" s="460">
        <f t="shared" si="873"/>
        <v>3864</v>
      </c>
      <c r="EW308" s="528">
        <f t="shared" si="874"/>
        <v>4.3860728132387672E-2</v>
      </c>
      <c r="EX308" s="528">
        <f t="shared" si="875"/>
        <v>1.3438180534178361</v>
      </c>
      <c r="EY308" s="528">
        <f t="shared" si="876"/>
        <v>1.6990899383038454</v>
      </c>
      <c r="EZ308" s="528"/>
      <c r="FA308" s="528">
        <f t="shared" si="877"/>
        <v>9.1999999999999985E-2</v>
      </c>
      <c r="FB308" s="460">
        <f t="shared" si="878"/>
        <v>3178.7687198540689</v>
      </c>
      <c r="FC308" s="173">
        <f t="shared" si="879"/>
        <v>8.3272243911678139</v>
      </c>
      <c r="FD308" s="5">
        <f t="shared" si="880"/>
        <v>22.080000000000002</v>
      </c>
      <c r="FE308" s="173">
        <f t="shared" si="881"/>
        <v>0.72614322556890243</v>
      </c>
      <c r="FF308" s="5">
        <f t="shared" si="882"/>
        <v>72.614322556890244</v>
      </c>
      <c r="FI308" s="562">
        <f t="shared" si="836"/>
        <v>-50</v>
      </c>
      <c r="FJ308">
        <f t="shared" si="837"/>
        <v>-50</v>
      </c>
      <c r="FL308">
        <f t="shared" si="838"/>
        <v>0.65693430656934315</v>
      </c>
    </row>
    <row r="309" spans="5:168">
      <c r="E309" s="170">
        <v>93</v>
      </c>
      <c r="F309" s="217">
        <f t="shared" si="839"/>
        <v>5.58</v>
      </c>
      <c r="G309" s="217"/>
      <c r="H309" s="217">
        <f t="shared" si="764"/>
        <v>22.32</v>
      </c>
      <c r="I309" s="541">
        <f t="shared" si="765"/>
        <v>35.908403199414352</v>
      </c>
      <c r="J309" s="172">
        <f t="shared" si="766"/>
        <v>19.841859343154265</v>
      </c>
      <c r="K309" s="172">
        <f t="shared" si="767"/>
        <v>55.75026254256862</v>
      </c>
      <c r="L309" s="443"/>
      <c r="M309" s="217">
        <f t="shared" si="768"/>
        <v>0.35564514550298554</v>
      </c>
      <c r="N309" s="172">
        <f t="shared" si="769"/>
        <v>43.143510153080562</v>
      </c>
      <c r="O309" s="172">
        <f t="shared" si="762"/>
        <v>22.32</v>
      </c>
      <c r="P309" s="217">
        <f t="shared" si="770"/>
        <v>10.785877538270141</v>
      </c>
      <c r="Q309" s="217">
        <f t="shared" si="771"/>
        <v>4</v>
      </c>
      <c r="R309" s="217"/>
      <c r="S309" s="172">
        <f t="shared" si="772"/>
        <v>12.934447490769022</v>
      </c>
      <c r="T309" s="172">
        <f t="shared" si="773"/>
        <v>4</v>
      </c>
      <c r="U309" s="217">
        <f t="shared" si="774"/>
        <v>4.329912284400935</v>
      </c>
      <c r="V309" s="217">
        <f t="shared" si="775"/>
        <v>1.4469857410328577</v>
      </c>
      <c r="W309" s="217">
        <f t="shared" si="776"/>
        <v>2.6186531470770569</v>
      </c>
      <c r="X309" s="197">
        <f t="shared" si="777"/>
        <v>350</v>
      </c>
      <c r="Y309" s="443">
        <f t="shared" si="840"/>
        <v>234.43147116541209</v>
      </c>
      <c r="AA309" s="217">
        <f t="shared" si="778"/>
        <v>3.0428619697659647</v>
      </c>
      <c r="AB309" s="173">
        <f t="shared" si="779"/>
        <v>1.8402682432979531</v>
      </c>
      <c r="AC309" s="173">
        <f t="shared" si="780"/>
        <v>3.9197775761895532</v>
      </c>
      <c r="AD309" s="173"/>
      <c r="AE309" s="173">
        <f t="shared" si="781"/>
        <v>0.80637604184611045</v>
      </c>
      <c r="AF309" s="545">
        <f t="shared" si="782"/>
        <v>2594.943167221893</v>
      </c>
      <c r="AG309" s="528">
        <f t="shared" si="783"/>
        <v>0.75261763905636991</v>
      </c>
      <c r="AI309" s="173">
        <f t="shared" si="784"/>
        <v>3.630518379863116</v>
      </c>
      <c r="AJ309" s="173">
        <f t="shared" si="785"/>
        <v>4.329912284400935</v>
      </c>
      <c r="AK309" s="173">
        <f t="shared" si="786"/>
        <v>3.4196881119019267</v>
      </c>
      <c r="AM309" s="545">
        <f t="shared" si="787"/>
        <v>5580</v>
      </c>
      <c r="AN309" s="460">
        <f t="shared" si="788"/>
        <v>234.43147116541209</v>
      </c>
      <c r="AP309">
        <f t="shared" si="789"/>
        <v>5580</v>
      </c>
      <c r="AQ309">
        <f t="shared" si="790"/>
        <v>234.43147116541209</v>
      </c>
      <c r="AS309" s="5">
        <f t="shared" si="763"/>
        <v>4.2656388881099154</v>
      </c>
      <c r="AT309" s="5">
        <f t="shared" si="791"/>
        <v>1.4469857410328577</v>
      </c>
      <c r="AU309" s="5">
        <f t="shared" si="883"/>
        <v>2.8186531470770575</v>
      </c>
      <c r="AV309" s="5"/>
      <c r="AW309" s="173">
        <f t="shared" si="884"/>
        <v>0.33921899602570676</v>
      </c>
      <c r="AX309" s="173">
        <f t="shared" si="792"/>
        <v>26.370924800312864</v>
      </c>
      <c r="AY309" s="173">
        <f t="shared" si="793"/>
        <v>5.7222475728141502</v>
      </c>
      <c r="AZ309" s="173">
        <f t="shared" si="794"/>
        <v>4.6084907136137554</v>
      </c>
      <c r="BA309" s="460">
        <f t="shared" ref="BA309:BA316" si="885">F309*AT309/Vout_ripple*1000</f>
        <v>201.85451087408362</v>
      </c>
      <c r="BB309" s="5">
        <f t="shared" ref="BB309:BB316" si="886">H309/Efficiency/I309*AU309/Vinripple1</f>
        <v>1.4600189332977167</v>
      </c>
      <c r="BD309" s="173">
        <f t="shared" si="841"/>
        <v>1.4559905403367623</v>
      </c>
      <c r="BE309" s="173">
        <f t="shared" si="842"/>
        <v>8.1284406146831429</v>
      </c>
      <c r="BG309" s="528">
        <f t="shared" si="843"/>
        <v>2.586288313331167E-2</v>
      </c>
      <c r="BH309" s="528">
        <f t="shared" si="795"/>
        <v>1.0610679591624681</v>
      </c>
      <c r="BI309" s="528">
        <f t="shared" si="796"/>
        <v>0.21045149473098743</v>
      </c>
      <c r="BJ309" s="528">
        <f t="shared" si="844"/>
        <v>7.2863452699403516E-2</v>
      </c>
      <c r="BK309">
        <f t="shared" si="845"/>
        <v>1.6158781439736456E-2</v>
      </c>
      <c r="BL309" s="460">
        <f t="shared" si="846"/>
        <v>226.61027617072389</v>
      </c>
      <c r="BM309" s="528">
        <f t="shared" si="797"/>
        <v>1.1739914757516172</v>
      </c>
      <c r="BN309" s="460">
        <f t="shared" si="847"/>
        <v>1173.9914757516171</v>
      </c>
      <c r="BO309" s="528">
        <f t="shared" si="798"/>
        <v>3.9059999999999997</v>
      </c>
      <c r="BR309" s="460">
        <f t="shared" si="848"/>
        <v>3905.9999999999995</v>
      </c>
      <c r="BS309" s="528">
        <f t="shared" si="849"/>
        <v>6.3597253606504117E-2</v>
      </c>
      <c r="BT309" s="528">
        <f t="shared" si="850"/>
        <v>1.9821464047929143</v>
      </c>
      <c r="BU309" s="528">
        <f t="shared" si="851"/>
        <v>1.6413739364733633</v>
      </c>
      <c r="BV309" s="528"/>
      <c r="BW309" s="528">
        <f t="shared" si="852"/>
        <v>0.10987885333463696</v>
      </c>
      <c r="BX309" s="460">
        <f t="shared" si="853"/>
        <v>3796.9964482074188</v>
      </c>
      <c r="BY309" s="173">
        <f t="shared" si="854"/>
        <v>9.0894010193733248</v>
      </c>
      <c r="BZ309" s="5">
        <f t="shared" si="855"/>
        <v>22.32</v>
      </c>
      <c r="CA309" s="173">
        <f t="shared" si="856"/>
        <v>0.71061527044826545</v>
      </c>
      <c r="CB309" s="5">
        <f t="shared" si="857"/>
        <v>71.061527044826548</v>
      </c>
      <c r="CE309" s="562">
        <f t="shared" si="799"/>
        <v>-50</v>
      </c>
      <c r="CF309">
        <f t="shared" si="800"/>
        <v>-50</v>
      </c>
      <c r="CG309" s="173">
        <f t="shared" si="801"/>
        <v>0.64269712068115059</v>
      </c>
      <c r="CI309" s="170">
        <v>93</v>
      </c>
      <c r="CJ309" s="217">
        <f t="shared" si="858"/>
        <v>5.58</v>
      </c>
      <c r="CK309" s="217"/>
      <c r="CL309" s="217">
        <f t="shared" si="802"/>
        <v>22.32</v>
      </c>
      <c r="CM309" s="541">
        <f t="shared" si="803"/>
        <v>36</v>
      </c>
      <c r="CN309" s="443">
        <f t="shared" si="804"/>
        <v>18.8</v>
      </c>
      <c r="CO309" s="443">
        <f t="shared" si="805"/>
        <v>54.8</v>
      </c>
      <c r="CP309" s="443"/>
      <c r="CQ309" s="217">
        <f t="shared" si="806"/>
        <v>0.34306569343065696</v>
      </c>
      <c r="CR309" s="172">
        <f t="shared" si="807"/>
        <v>41.723649635036502</v>
      </c>
      <c r="CS309" s="172">
        <f t="shared" si="808"/>
        <v>22.32</v>
      </c>
      <c r="CT309" s="217">
        <f t="shared" si="809"/>
        <v>10.430912408759125</v>
      </c>
      <c r="CU309" s="217">
        <f t="shared" si="810"/>
        <v>4</v>
      </c>
      <c r="CV309" s="217"/>
      <c r="CW309" s="172">
        <f t="shared" si="811"/>
        <v>12.966362222934423</v>
      </c>
      <c r="CX309" s="172">
        <f t="shared" si="812"/>
        <v>4</v>
      </c>
      <c r="CY309" s="217">
        <f t="shared" si="813"/>
        <v>3.6144680851063828</v>
      </c>
      <c r="CZ309" s="217">
        <f t="shared" si="814"/>
        <v>1.204822695035461</v>
      </c>
      <c r="DA309" s="217">
        <f t="shared" si="815"/>
        <v>2.3071072883657759</v>
      </c>
      <c r="DB309" s="197">
        <f t="shared" si="816"/>
        <v>350</v>
      </c>
      <c r="DC309" s="443">
        <f t="shared" si="817"/>
        <v>284.74371776384879</v>
      </c>
      <c r="DE309" s="217">
        <f t="shared" si="818"/>
        <v>2.940563086548488</v>
      </c>
      <c r="DF309" s="173">
        <f t="shared" si="819"/>
        <v>1.8769551616266944</v>
      </c>
      <c r="DG309" s="173">
        <f t="shared" si="820"/>
        <v>3.8635135443702762</v>
      </c>
      <c r="DH309" s="173"/>
      <c r="DI309" s="173">
        <f t="shared" si="821"/>
        <v>0.85106382978723416</v>
      </c>
      <c r="DJ309" s="545">
        <f t="shared" si="822"/>
        <v>2458.6874999999995</v>
      </c>
      <c r="DK309" s="528">
        <f t="shared" si="823"/>
        <v>0.79432624113475192</v>
      </c>
      <c r="DM309" s="173">
        <f t="shared" si="824"/>
        <v>3.5339172922652602</v>
      </c>
      <c r="DN309" s="173">
        <f t="shared" si="825"/>
        <v>3.6144680851063828</v>
      </c>
      <c r="DO309" s="173">
        <f t="shared" si="826"/>
        <v>2.8897294457578142</v>
      </c>
      <c r="DQ309" s="545">
        <f t="shared" si="827"/>
        <v>5580</v>
      </c>
      <c r="DR309" s="460">
        <f t="shared" si="828"/>
        <v>284.74371776384879</v>
      </c>
      <c r="DT309">
        <f t="shared" si="829"/>
        <v>5580</v>
      </c>
      <c r="DU309">
        <f t="shared" si="830"/>
        <v>284.74371776384879</v>
      </c>
      <c r="DW309" s="5">
        <f t="shared" si="859"/>
        <v>3.5119299834012372</v>
      </c>
      <c r="DX309" s="5">
        <f t="shared" si="831"/>
        <v>1.204822695035461</v>
      </c>
      <c r="DY309" s="5">
        <f t="shared" si="832"/>
        <v>2.3071072883657759</v>
      </c>
      <c r="DZ309" s="5"/>
      <c r="EA309" s="173">
        <f t="shared" si="833"/>
        <v>0.34306569343065696</v>
      </c>
      <c r="EB309" s="173">
        <f t="shared" si="860"/>
        <v>22.320000000000004</v>
      </c>
      <c r="EC309" s="173">
        <f t="shared" si="861"/>
        <v>4.7489361702127653</v>
      </c>
      <c r="ED309" s="173">
        <f t="shared" si="862"/>
        <v>4.7000000000000011</v>
      </c>
      <c r="EE309" s="460">
        <f t="shared" si="834"/>
        <v>168.07276595744682</v>
      </c>
      <c r="EF309" s="5">
        <f t="shared" si="835"/>
        <v>1.1920054323223175</v>
      </c>
      <c r="EH309" s="173">
        <f t="shared" si="863"/>
        <v>1.2222848038996359</v>
      </c>
      <c r="EI309" s="173">
        <f t="shared" si="864"/>
        <v>6.7655752601812802</v>
      </c>
      <c r="EK309" s="528">
        <f t="shared" si="865"/>
        <v>1.8226557730496449E-2</v>
      </c>
      <c r="EL309" s="528">
        <f t="shared" si="866"/>
        <v>1.1280000000000001</v>
      </c>
      <c r="EM309" s="528">
        <f t="shared" si="867"/>
        <v>3.5592964720481103E-2</v>
      </c>
      <c r="EN309" s="528">
        <f t="shared" si="868"/>
        <v>8.5509677419354835E-2</v>
      </c>
      <c r="EO309">
        <f t="shared" si="869"/>
        <v>1.6199999999999999E-2</v>
      </c>
      <c r="EP309" s="460">
        <f t="shared" si="870"/>
        <v>51.792964720481102</v>
      </c>
      <c r="EQ309" s="460"/>
      <c r="ER309" s="460">
        <f t="shared" si="871"/>
        <v>1283.5291998703326</v>
      </c>
      <c r="ES309" s="528">
        <f t="shared" si="872"/>
        <v>3.9059999999999997</v>
      </c>
      <c r="EV309" s="460">
        <f t="shared" si="873"/>
        <v>3905.9999999999995</v>
      </c>
      <c r="EW309" s="528">
        <f t="shared" si="874"/>
        <v>4.4819404255319141E-2</v>
      </c>
      <c r="EX309" s="528">
        <f t="shared" si="875"/>
        <v>1.3731902580353099</v>
      </c>
      <c r="EY309" s="528">
        <f t="shared" si="876"/>
        <v>1.6990899383038445</v>
      </c>
      <c r="EZ309" s="528"/>
      <c r="FA309" s="528">
        <f t="shared" si="877"/>
        <v>9.3000000000000027E-2</v>
      </c>
      <c r="FB309" s="460">
        <f t="shared" si="878"/>
        <v>3210.0996005944735</v>
      </c>
      <c r="FC309" s="173">
        <f t="shared" si="879"/>
        <v>8.3996288004648054</v>
      </c>
      <c r="FD309" s="5">
        <f t="shared" si="880"/>
        <v>22.32</v>
      </c>
      <c r="FE309" s="173">
        <f t="shared" si="881"/>
        <v>0.72657127939196609</v>
      </c>
      <c r="FF309" s="5">
        <f t="shared" si="882"/>
        <v>72.657127939196613</v>
      </c>
      <c r="FI309" s="562">
        <f t="shared" si="836"/>
        <v>-50</v>
      </c>
      <c r="FJ309">
        <f t="shared" si="837"/>
        <v>-50</v>
      </c>
      <c r="FL309">
        <f t="shared" si="838"/>
        <v>0.65693430656934304</v>
      </c>
    </row>
    <row r="310" spans="5:168">
      <c r="E310" s="170">
        <v>94</v>
      </c>
      <c r="F310" s="217">
        <f t="shared" si="839"/>
        <v>5.64</v>
      </c>
      <c r="G310" s="217"/>
      <c r="H310" s="217">
        <f t="shared" si="764"/>
        <v>22.56</v>
      </c>
      <c r="I310" s="541">
        <f t="shared" si="765"/>
        <v>35.907440100450657</v>
      </c>
      <c r="J310" s="172">
        <f t="shared" si="766"/>
        <v>19.852814023310025</v>
      </c>
      <c r="K310" s="172">
        <f t="shared" si="767"/>
        <v>55.760254123760681</v>
      </c>
      <c r="L310" s="443"/>
      <c r="M310" s="217">
        <f t="shared" si="768"/>
        <v>0.35577799370662477</v>
      </c>
      <c r="N310" s="172">
        <f t="shared" si="769"/>
        <v>43.158468458510697</v>
      </c>
      <c r="O310" s="172">
        <f t="shared" si="762"/>
        <v>22.56</v>
      </c>
      <c r="P310" s="217">
        <f t="shared" si="770"/>
        <v>10.789617114627674</v>
      </c>
      <c r="Q310" s="217">
        <f t="shared" si="771"/>
        <v>4</v>
      </c>
      <c r="R310" s="217"/>
      <c r="S310" s="172">
        <f t="shared" si="772"/>
        <v>12.713499779467575</v>
      </c>
      <c r="T310" s="172">
        <f t="shared" si="773"/>
        <v>4</v>
      </c>
      <c r="U310" s="217">
        <f t="shared" si="774"/>
        <v>4.3773729746136416</v>
      </c>
      <c r="V310" s="217">
        <f t="shared" si="775"/>
        <v>1.4628855621123613</v>
      </c>
      <c r="W310" s="217">
        <f t="shared" si="776"/>
        <v>2.6458957220718338</v>
      </c>
      <c r="X310" s="197">
        <f t="shared" si="777"/>
        <v>350</v>
      </c>
      <c r="Y310" s="443">
        <f t="shared" si="840"/>
        <v>232.08418669812698</v>
      </c>
      <c r="AA310" s="217">
        <f t="shared" si="778"/>
        <v>3.0439147431890592</v>
      </c>
      <c r="AB310" s="173">
        <f t="shared" si="779"/>
        <v>1.8398891399164294</v>
      </c>
      <c r="AC310" s="173">
        <f t="shared" si="780"/>
        <v>3.9203259751775401</v>
      </c>
      <c r="AD310" s="173"/>
      <c r="AE310" s="173">
        <f t="shared" si="781"/>
        <v>0.80593108771450384</v>
      </c>
      <c r="AF310" s="545">
        <f t="shared" si="782"/>
        <v>2624.2938537062928</v>
      </c>
      <c r="AG310" s="528">
        <f t="shared" si="783"/>
        <v>0.75220234853353696</v>
      </c>
      <c r="AI310" s="173">
        <f t="shared" si="784"/>
        <v>3.650992544296435</v>
      </c>
      <c r="AJ310" s="173">
        <f t="shared" si="785"/>
        <v>4.3773729746136416</v>
      </c>
      <c r="AK310" s="173">
        <f t="shared" si="786"/>
        <v>3.4548441787261543</v>
      </c>
      <c r="AM310" s="545">
        <f t="shared" si="787"/>
        <v>5640</v>
      </c>
      <c r="AN310" s="460">
        <f t="shared" si="788"/>
        <v>232.08418669812698</v>
      </c>
      <c r="AP310">
        <f t="shared" si="789"/>
        <v>5640</v>
      </c>
      <c r="AQ310">
        <f t="shared" si="790"/>
        <v>232.08418669812698</v>
      </c>
      <c r="AS310" s="5">
        <f t="shared" si="763"/>
        <v>4.308781284184195</v>
      </c>
      <c r="AT310" s="5">
        <f t="shared" si="791"/>
        <v>1.4628855621123613</v>
      </c>
      <c r="AU310" s="5">
        <f t="shared" si="883"/>
        <v>2.8458957220718339</v>
      </c>
      <c r="AV310" s="5"/>
      <c r="AW310" s="173">
        <f t="shared" si="884"/>
        <v>0.33951260591527971</v>
      </c>
      <c r="AX310" s="173">
        <f t="shared" si="792"/>
        <v>26.682339476192482</v>
      </c>
      <c r="AY310" s="173">
        <f t="shared" si="793"/>
        <v>5.7823993378788892</v>
      </c>
      <c r="AZ310" s="173">
        <f t="shared" si="794"/>
        <v>4.6144062208578189</v>
      </c>
      <c r="BA310" s="460">
        <f t="shared" si="885"/>
        <v>206.26686425784297</v>
      </c>
      <c r="BB310" s="5">
        <f t="shared" si="886"/>
        <v>1.4900209935678201</v>
      </c>
      <c r="BD310" s="173">
        <f t="shared" si="841"/>
        <v>1.4725867109557531</v>
      </c>
      <c r="BE310" s="173">
        <f t="shared" si="842"/>
        <v>8.2157115480125213</v>
      </c>
      <c r="BG310" s="528">
        <f t="shared" si="843"/>
        <v>2.6455841779658491E-2</v>
      </c>
      <c r="BH310" s="528">
        <f t="shared" si="795"/>
        <v>1.0621482039837651</v>
      </c>
      <c r="BI310" s="528">
        <f t="shared" si="796"/>
        <v>0.20833872580312002</v>
      </c>
      <c r="BJ310" s="528">
        <f t="shared" si="844"/>
        <v>7.2159753184943887E-2</v>
      </c>
      <c r="BK310">
        <f t="shared" si="845"/>
        <v>1.6158348045202796E-2</v>
      </c>
      <c r="BL310" s="460">
        <f t="shared" si="846"/>
        <v>224.49707384832283</v>
      </c>
      <c r="BM310" s="528">
        <f t="shared" si="797"/>
        <v>1.1752946704079972</v>
      </c>
      <c r="BN310" s="460">
        <f t="shared" si="847"/>
        <v>1175.2946704079973</v>
      </c>
      <c r="BO310" s="528">
        <f t="shared" si="798"/>
        <v>3.9479999999999995</v>
      </c>
      <c r="BR310" s="460">
        <f t="shared" si="848"/>
        <v>3947.9999999999995</v>
      </c>
      <c r="BS310" s="528">
        <f t="shared" si="849"/>
        <v>6.5055348638504484E-2</v>
      </c>
      <c r="BT310" s="528">
        <f t="shared" si="850"/>
        <v>2.0249374872043888</v>
      </c>
      <c r="BU310" s="528">
        <f t="shared" si="851"/>
        <v>1.644817662730385</v>
      </c>
      <c r="BV310" s="528"/>
      <c r="BW310" s="528">
        <f t="shared" si="852"/>
        <v>0.11117641448413534</v>
      </c>
      <c r="BX310" s="460">
        <f t="shared" si="853"/>
        <v>3845.9869130574134</v>
      </c>
      <c r="BY310" s="173">
        <f t="shared" si="854"/>
        <v>9.1792477858541019</v>
      </c>
      <c r="BZ310" s="5">
        <f t="shared" si="855"/>
        <v>22.56</v>
      </c>
      <c r="CA310" s="173">
        <f t="shared" si="856"/>
        <v>0.71079189249263774</v>
      </c>
      <c r="CB310" s="5">
        <f t="shared" si="857"/>
        <v>71.079189249263777</v>
      </c>
      <c r="CE310" s="562">
        <f t="shared" si="799"/>
        <v>-50</v>
      </c>
      <c r="CF310">
        <f t="shared" si="800"/>
        <v>-50</v>
      </c>
      <c r="CG310" s="173">
        <f t="shared" si="801"/>
        <v>0.64284858010549306</v>
      </c>
      <c r="CI310" s="170">
        <v>94</v>
      </c>
      <c r="CJ310" s="217">
        <f t="shared" si="858"/>
        <v>5.64</v>
      </c>
      <c r="CK310" s="217"/>
      <c r="CL310" s="217">
        <f t="shared" si="802"/>
        <v>22.56</v>
      </c>
      <c r="CM310" s="541">
        <f t="shared" si="803"/>
        <v>36</v>
      </c>
      <c r="CN310" s="443">
        <f t="shared" si="804"/>
        <v>18.8</v>
      </c>
      <c r="CO310" s="443">
        <f t="shared" si="805"/>
        <v>54.8</v>
      </c>
      <c r="CP310" s="443"/>
      <c r="CQ310" s="217">
        <f t="shared" si="806"/>
        <v>0.34306569343065696</v>
      </c>
      <c r="CR310" s="172">
        <f t="shared" si="807"/>
        <v>41.723649635036502</v>
      </c>
      <c r="CS310" s="172">
        <f t="shared" si="808"/>
        <v>22.56</v>
      </c>
      <c r="CT310" s="217">
        <f t="shared" si="809"/>
        <v>10.430912408759125</v>
      </c>
      <c r="CU310" s="217">
        <f t="shared" si="810"/>
        <v>4</v>
      </c>
      <c r="CV310" s="217"/>
      <c r="CW310" s="172">
        <f t="shared" si="811"/>
        <v>12.745165650314741</v>
      </c>
      <c r="CX310" s="172">
        <f t="shared" si="812"/>
        <v>4</v>
      </c>
      <c r="CY310" s="217">
        <f t="shared" si="813"/>
        <v>3.6533333333333329</v>
      </c>
      <c r="CZ310" s="217">
        <f t="shared" si="814"/>
        <v>1.2177777777777776</v>
      </c>
      <c r="DA310" s="217">
        <f t="shared" si="815"/>
        <v>2.3319148936170211</v>
      </c>
      <c r="DB310" s="197">
        <f t="shared" si="816"/>
        <v>350</v>
      </c>
      <c r="DC310" s="443">
        <f t="shared" si="817"/>
        <v>281.71452927699937</v>
      </c>
      <c r="DE310" s="217">
        <f t="shared" si="818"/>
        <v>2.940563086548488</v>
      </c>
      <c r="DF310" s="173">
        <f t="shared" si="819"/>
        <v>1.8769551616266944</v>
      </c>
      <c r="DG310" s="173">
        <f t="shared" si="820"/>
        <v>3.8635135443702762</v>
      </c>
      <c r="DH310" s="173"/>
      <c r="DI310" s="173">
        <f t="shared" si="821"/>
        <v>0.85106382978723416</v>
      </c>
      <c r="DJ310" s="545">
        <f t="shared" si="822"/>
        <v>2485.1249999999991</v>
      </c>
      <c r="DK310" s="528">
        <f t="shared" si="823"/>
        <v>0.79432624113475192</v>
      </c>
      <c r="DM310" s="173">
        <f t="shared" si="824"/>
        <v>3.5528660462867361</v>
      </c>
      <c r="DN310" s="173">
        <f t="shared" si="825"/>
        <v>3.6533333333333329</v>
      </c>
      <c r="DO310" s="173">
        <f t="shared" si="826"/>
        <v>2.9185185185185181</v>
      </c>
      <c r="DQ310" s="545">
        <f t="shared" si="827"/>
        <v>5640</v>
      </c>
      <c r="DR310" s="460">
        <f t="shared" si="828"/>
        <v>281.71452927699937</v>
      </c>
      <c r="DT310">
        <f t="shared" si="829"/>
        <v>5640</v>
      </c>
      <c r="DU310">
        <f t="shared" si="830"/>
        <v>281.71452927699937</v>
      </c>
      <c r="DW310" s="5">
        <f t="shared" si="859"/>
        <v>3.5496926713947983</v>
      </c>
      <c r="DX310" s="5">
        <f t="shared" si="831"/>
        <v>1.2177777777777776</v>
      </c>
      <c r="DY310" s="5">
        <f t="shared" si="832"/>
        <v>2.3319148936170206</v>
      </c>
      <c r="DZ310" s="5"/>
      <c r="EA310" s="173">
        <f t="shared" si="833"/>
        <v>0.34306569343065696</v>
      </c>
      <c r="EB310" s="173">
        <f t="shared" si="860"/>
        <v>22.56</v>
      </c>
      <c r="EC310" s="173">
        <f t="shared" si="861"/>
        <v>4.7999999999999989</v>
      </c>
      <c r="ED310" s="173">
        <f t="shared" si="862"/>
        <v>4.7000000000000011</v>
      </c>
      <c r="EE310" s="460">
        <f t="shared" si="834"/>
        <v>171.70666666666662</v>
      </c>
      <c r="EF310" s="5">
        <f t="shared" si="835"/>
        <v>1.2177777777777772</v>
      </c>
      <c r="EH310" s="173">
        <f t="shared" si="863"/>
        <v>1.2354276512533953</v>
      </c>
      <c r="EI310" s="173">
        <f t="shared" si="864"/>
        <v>6.8383233812584976</v>
      </c>
      <c r="EK310" s="528">
        <f t="shared" si="865"/>
        <v>1.8620634074074067E-2</v>
      </c>
      <c r="EL310" s="528">
        <f t="shared" si="866"/>
        <v>1.1280000000000001</v>
      </c>
      <c r="EM310" s="528">
        <f t="shared" si="867"/>
        <v>3.521431615962492E-2</v>
      </c>
      <c r="EN310" s="528">
        <f t="shared" si="868"/>
        <v>8.4600000000000009E-2</v>
      </c>
      <c r="EO310">
        <f t="shared" si="869"/>
        <v>1.6199999999999999E-2</v>
      </c>
      <c r="EP310" s="460">
        <f t="shared" si="870"/>
        <v>51.414316159624917</v>
      </c>
      <c r="EQ310" s="460"/>
      <c r="ER310" s="460">
        <f t="shared" si="871"/>
        <v>1282.6349502336991</v>
      </c>
      <c r="ES310" s="528">
        <f t="shared" si="872"/>
        <v>3.9479999999999995</v>
      </c>
      <c r="EV310" s="460">
        <f t="shared" si="873"/>
        <v>3947.9999999999995</v>
      </c>
      <c r="EW310" s="528">
        <f t="shared" si="874"/>
        <v>4.5788444444444423E-2</v>
      </c>
      <c r="EX310" s="528">
        <f t="shared" si="875"/>
        <v>1.4028799999999995</v>
      </c>
      <c r="EY310" s="528">
        <f t="shared" si="876"/>
        <v>1.6990899383038467</v>
      </c>
      <c r="EZ310" s="528"/>
      <c r="FA310" s="528">
        <f t="shared" si="877"/>
        <v>9.4000000000000014E-2</v>
      </c>
      <c r="FB310" s="460">
        <f t="shared" si="878"/>
        <v>3241.7583827482904</v>
      </c>
      <c r="FC310" s="173">
        <f t="shared" si="879"/>
        <v>8.4723933329819889</v>
      </c>
      <c r="FD310" s="5">
        <f t="shared" si="880"/>
        <v>22.56</v>
      </c>
      <c r="FE310" s="173">
        <f t="shared" si="881"/>
        <v>0.72698227809656812</v>
      </c>
      <c r="FF310" s="5">
        <f t="shared" si="882"/>
        <v>72.698227809656814</v>
      </c>
      <c r="FI310" s="562">
        <f t="shared" si="836"/>
        <v>-50</v>
      </c>
      <c r="FJ310">
        <f t="shared" si="837"/>
        <v>-50</v>
      </c>
      <c r="FL310">
        <f t="shared" si="838"/>
        <v>0.65693430656934304</v>
      </c>
    </row>
    <row r="311" spans="5:168">
      <c r="E311" s="170">
        <v>95</v>
      </c>
      <c r="F311" s="217">
        <f t="shared" si="839"/>
        <v>5.6999999999999993</v>
      </c>
      <c r="G311" s="217"/>
      <c r="H311" s="217">
        <f t="shared" si="764"/>
        <v>22.799999999999997</v>
      </c>
      <c r="I311" s="541">
        <f t="shared" si="765"/>
        <v>35.906476991427162</v>
      </c>
      <c r="J311" s="172">
        <f t="shared" si="766"/>
        <v>19.863768817890119</v>
      </c>
      <c r="K311" s="172">
        <f t="shared" si="767"/>
        <v>55.770245809317281</v>
      </c>
      <c r="L311" s="443"/>
      <c r="M311" s="217">
        <f t="shared" si="768"/>
        <v>0.35591079432872452</v>
      </c>
      <c r="N311" s="172">
        <f t="shared" si="769"/>
        <v>43.173420115523463</v>
      </c>
      <c r="O311" s="172">
        <f t="shared" si="762"/>
        <v>22.799999999999997</v>
      </c>
      <c r="P311" s="217">
        <f t="shared" si="770"/>
        <v>10.793355028880866</v>
      </c>
      <c r="Q311" s="217">
        <f t="shared" si="771"/>
        <v>4</v>
      </c>
      <c r="R311" s="217"/>
      <c r="S311" s="172">
        <f t="shared" si="772"/>
        <v>12.497445493357503</v>
      </c>
      <c r="T311" s="172">
        <f t="shared" si="773"/>
        <v>4</v>
      </c>
      <c r="U311" s="217">
        <f t="shared" si="774"/>
        <v>4.4248529161883781</v>
      </c>
      <c r="V311" s="217">
        <f t="shared" si="775"/>
        <v>1.4787926703847327</v>
      </c>
      <c r="W311" s="217">
        <f t="shared" si="776"/>
        <v>2.6731198636604203</v>
      </c>
      <c r="X311" s="197">
        <f t="shared" si="777"/>
        <v>350</v>
      </c>
      <c r="Y311" s="443">
        <f t="shared" si="840"/>
        <v>229.78402993556682</v>
      </c>
      <c r="AA311" s="217">
        <f t="shared" si="778"/>
        <v>3.0449670602954653</v>
      </c>
      <c r="AB311" s="173">
        <f t="shared" si="779"/>
        <v>1.8395101684145925</v>
      </c>
      <c r="AC311" s="173">
        <f t="shared" si="780"/>
        <v>3.9208735089306987</v>
      </c>
      <c r="AD311" s="173"/>
      <c r="AE311" s="173">
        <f t="shared" si="781"/>
        <v>0.80548661971890001</v>
      </c>
      <c r="AF311" s="545">
        <f t="shared" si="782"/>
        <v>2653.6753655150069</v>
      </c>
      <c r="AG311" s="528">
        <f t="shared" si="783"/>
        <v>0.75178751173764014</v>
      </c>
      <c r="AI311" s="173">
        <f t="shared" si="784"/>
        <v>3.6713738550532136</v>
      </c>
      <c r="AJ311" s="173">
        <f t="shared" si="785"/>
        <v>4.4248529161883781</v>
      </c>
      <c r="AK311" s="173">
        <f t="shared" si="786"/>
        <v>3.4900145058185519</v>
      </c>
      <c r="AM311" s="545">
        <f t="shared" si="787"/>
        <v>5699.9999999999991</v>
      </c>
      <c r="AN311" s="460">
        <f t="shared" si="788"/>
        <v>229.78402993556682</v>
      </c>
      <c r="AP311">
        <f t="shared" si="789"/>
        <v>5699.9999999999991</v>
      </c>
      <c r="AQ311">
        <f t="shared" si="790"/>
        <v>229.78402993556682</v>
      </c>
      <c r="AS311" s="5">
        <f t="shared" si="763"/>
        <v>4.3519125340451534</v>
      </c>
      <c r="AT311" s="5">
        <f t="shared" si="791"/>
        <v>1.4787926703847327</v>
      </c>
      <c r="AU311" s="5">
        <f t="shared" si="883"/>
        <v>2.8731198636604205</v>
      </c>
      <c r="AV311" s="5"/>
      <c r="AW311" s="173">
        <f t="shared" si="884"/>
        <v>0.33980293924018223</v>
      </c>
      <c r="AX311" s="173">
        <f t="shared" si="792"/>
        <v>26.994094908936397</v>
      </c>
      <c r="AY311" s="173">
        <f t="shared" si="793"/>
        <v>5.842549779124151</v>
      </c>
      <c r="AZ311" s="173">
        <f t="shared" si="794"/>
        <v>4.6202592925075683</v>
      </c>
      <c r="BA311" s="460">
        <f t="shared" si="885"/>
        <v>210.72795552982441</v>
      </c>
      <c r="BB311" s="5">
        <f t="shared" si="886"/>
        <v>1.5203183933244526</v>
      </c>
      <c r="BD311" s="173">
        <f t="shared" si="841"/>
        <v>1.4891957131098386</v>
      </c>
      <c r="BE311" s="173">
        <f t="shared" si="842"/>
        <v>8.3029992056097033</v>
      </c>
      <c r="BG311" s="528">
        <f t="shared" si="843"/>
        <v>2.7055987237725589E-2</v>
      </c>
      <c r="BH311" s="528">
        <f t="shared" si="795"/>
        <v>1.0632184680673598</v>
      </c>
      <c r="BI311" s="528">
        <f t="shared" si="796"/>
        <v>0.206268374596971</v>
      </c>
      <c r="BJ311" s="528">
        <f t="shared" si="844"/>
        <v>7.1470193697587767E-2</v>
      </c>
      <c r="BK311">
        <f t="shared" si="845"/>
        <v>1.6157914646142222E-2</v>
      </c>
      <c r="BL311" s="460">
        <f t="shared" si="846"/>
        <v>222.42628924311322</v>
      </c>
      <c r="BM311" s="528">
        <f t="shared" si="797"/>
        <v>1.1766136292939466</v>
      </c>
      <c r="BN311" s="460">
        <f t="shared" si="847"/>
        <v>1176.6136292939466</v>
      </c>
      <c r="BO311" s="528">
        <f t="shared" si="798"/>
        <v>3.9899999999999993</v>
      </c>
      <c r="BR311" s="460">
        <f t="shared" si="848"/>
        <v>3989.9999999999995</v>
      </c>
      <c r="BS311" s="528">
        <f t="shared" si="849"/>
        <v>6.6531116158341619E-2</v>
      </c>
      <c r="BT311" s="528">
        <f t="shared" si="850"/>
        <v>2.0681938742506611</v>
      </c>
      <c r="BU311" s="528">
        <f t="shared" si="851"/>
        <v>1.6482257953062736</v>
      </c>
      <c r="BV311" s="528"/>
      <c r="BW311" s="528">
        <f t="shared" si="852"/>
        <v>0.11247539545390166</v>
      </c>
      <c r="BX311" s="460">
        <f t="shared" si="853"/>
        <v>3895.4261811691781</v>
      </c>
      <c r="BY311" s="173">
        <f t="shared" si="854"/>
        <v>9.2695971194149642</v>
      </c>
      <c r="BZ311" s="5">
        <f t="shared" si="855"/>
        <v>22.799999999999997</v>
      </c>
      <c r="CA311" s="173">
        <f t="shared" si="856"/>
        <v>0.71095373961517139</v>
      </c>
      <c r="CB311" s="5">
        <f t="shared" si="857"/>
        <v>71.09537396151714</v>
      </c>
      <c r="CE311" s="562">
        <f t="shared" si="799"/>
        <v>-50</v>
      </c>
      <c r="CF311">
        <f t="shared" si="800"/>
        <v>-50</v>
      </c>
      <c r="CG311" s="173">
        <f t="shared" si="801"/>
        <v>0.64299685091037573</v>
      </c>
      <c r="CI311" s="170">
        <v>95</v>
      </c>
      <c r="CJ311" s="217">
        <f t="shared" si="858"/>
        <v>5.6999999999999993</v>
      </c>
      <c r="CK311" s="217"/>
      <c r="CL311" s="217">
        <f t="shared" si="802"/>
        <v>22.799999999999997</v>
      </c>
      <c r="CM311" s="541">
        <f t="shared" si="803"/>
        <v>36</v>
      </c>
      <c r="CN311" s="443">
        <f t="shared" si="804"/>
        <v>18.8</v>
      </c>
      <c r="CO311" s="443">
        <f t="shared" si="805"/>
        <v>54.8</v>
      </c>
      <c r="CP311" s="443"/>
      <c r="CQ311" s="217">
        <f t="shared" si="806"/>
        <v>0.34306569343065696</v>
      </c>
      <c r="CR311" s="172">
        <f t="shared" si="807"/>
        <v>41.723649635036502</v>
      </c>
      <c r="CS311" s="172">
        <f t="shared" si="808"/>
        <v>22.799999999999997</v>
      </c>
      <c r="CT311" s="217">
        <f t="shared" si="809"/>
        <v>10.430912408759125</v>
      </c>
      <c r="CU311" s="217">
        <f t="shared" si="810"/>
        <v>4</v>
      </c>
      <c r="CV311" s="217"/>
      <c r="CW311" s="172">
        <f t="shared" si="811"/>
        <v>12.528862983553521</v>
      </c>
      <c r="CX311" s="172">
        <f t="shared" si="812"/>
        <v>4</v>
      </c>
      <c r="CY311" s="217">
        <f t="shared" si="813"/>
        <v>3.6921985815602829</v>
      </c>
      <c r="CZ311" s="217">
        <f t="shared" si="814"/>
        <v>1.2307328605200942</v>
      </c>
      <c r="DA311" s="217">
        <f t="shared" si="815"/>
        <v>2.3567224988682653</v>
      </c>
      <c r="DB311" s="197">
        <f t="shared" si="816"/>
        <v>350</v>
      </c>
      <c r="DC311" s="443">
        <f t="shared" si="817"/>
        <v>278.74911317934681</v>
      </c>
      <c r="DE311" s="217">
        <f t="shared" si="818"/>
        <v>2.940563086548488</v>
      </c>
      <c r="DF311" s="173">
        <f t="shared" si="819"/>
        <v>1.8769551616266944</v>
      </c>
      <c r="DG311" s="173">
        <f t="shared" si="820"/>
        <v>3.8635135443702762</v>
      </c>
      <c r="DH311" s="173"/>
      <c r="DI311" s="173">
        <f t="shared" si="821"/>
        <v>0.85106382978723416</v>
      </c>
      <c r="DJ311" s="545">
        <f t="shared" si="822"/>
        <v>2511.5624999999991</v>
      </c>
      <c r="DK311" s="528">
        <f t="shared" si="823"/>
        <v>0.79432624113475192</v>
      </c>
      <c r="DM311" s="173">
        <f t="shared" si="824"/>
        <v>3.5717142742866281</v>
      </c>
      <c r="DN311" s="173">
        <f t="shared" si="825"/>
        <v>3.6921985815602829</v>
      </c>
      <c r="DO311" s="173">
        <f t="shared" si="826"/>
        <v>2.9473075912792219</v>
      </c>
      <c r="DQ311" s="545">
        <f t="shared" si="827"/>
        <v>5699.9999999999991</v>
      </c>
      <c r="DR311" s="460">
        <f t="shared" si="828"/>
        <v>278.74911317934681</v>
      </c>
      <c r="DT311">
        <f t="shared" si="829"/>
        <v>5699.9999999999991</v>
      </c>
      <c r="DU311">
        <f t="shared" si="830"/>
        <v>278.74911317934681</v>
      </c>
      <c r="DW311" s="5">
        <f t="shared" si="859"/>
        <v>3.5874553593883594</v>
      </c>
      <c r="DX311" s="5">
        <f t="shared" si="831"/>
        <v>1.2307328605200942</v>
      </c>
      <c r="DY311" s="5">
        <f t="shared" si="832"/>
        <v>2.3567224988682653</v>
      </c>
      <c r="DZ311" s="5"/>
      <c r="EA311" s="173">
        <f t="shared" si="833"/>
        <v>0.34306569343065696</v>
      </c>
      <c r="EB311" s="173">
        <f t="shared" si="860"/>
        <v>22.799999999999997</v>
      </c>
      <c r="EC311" s="173">
        <f t="shared" si="861"/>
        <v>4.8510638297872326</v>
      </c>
      <c r="ED311" s="173">
        <f t="shared" si="862"/>
        <v>4.7000000000000011</v>
      </c>
      <c r="EE311" s="460">
        <f t="shared" si="834"/>
        <v>175.37943262411341</v>
      </c>
      <c r="EF311" s="5">
        <f t="shared" si="835"/>
        <v>1.2438257632915843</v>
      </c>
      <c r="EH311" s="173">
        <f t="shared" si="863"/>
        <v>1.2485704986071549</v>
      </c>
      <c r="EI311" s="173">
        <f t="shared" si="864"/>
        <v>6.911071502335715</v>
      </c>
      <c r="EK311" s="528">
        <f t="shared" si="865"/>
        <v>1.9018925137903854E-2</v>
      </c>
      <c r="EL311" s="528">
        <f t="shared" si="866"/>
        <v>1.1280000000000001</v>
      </c>
      <c r="EM311" s="528">
        <f t="shared" si="867"/>
        <v>3.4843639147418351E-2</v>
      </c>
      <c r="EN311" s="528">
        <f t="shared" si="868"/>
        <v>8.3709473684210556E-2</v>
      </c>
      <c r="EO311">
        <f t="shared" si="869"/>
        <v>1.6199999999999999E-2</v>
      </c>
      <c r="EP311" s="460">
        <f t="shared" si="870"/>
        <v>51.043639147418347</v>
      </c>
      <c r="EQ311" s="460"/>
      <c r="ER311" s="460">
        <f t="shared" si="871"/>
        <v>1281.7720379695327</v>
      </c>
      <c r="ES311" s="528">
        <f t="shared" si="872"/>
        <v>3.9899999999999993</v>
      </c>
      <c r="EV311" s="460">
        <f t="shared" si="873"/>
        <v>3989.9999999999995</v>
      </c>
      <c r="EW311" s="528">
        <f t="shared" si="874"/>
        <v>4.6767848699763574E-2</v>
      </c>
      <c r="EX311" s="528">
        <f t="shared" si="875"/>
        <v>1.432887279311905</v>
      </c>
      <c r="EY311" s="528">
        <f t="shared" si="876"/>
        <v>1.6990899383038454</v>
      </c>
      <c r="EZ311" s="528"/>
      <c r="FA311" s="528">
        <f t="shared" si="877"/>
        <v>9.5000000000000001E-2</v>
      </c>
      <c r="FB311" s="460">
        <f t="shared" si="878"/>
        <v>3273.7450663155141</v>
      </c>
      <c r="FC311" s="173">
        <f t="shared" si="879"/>
        <v>8.5455171042850466</v>
      </c>
      <c r="FD311" s="5">
        <f t="shared" si="880"/>
        <v>22.799999999999997</v>
      </c>
      <c r="FE311" s="173">
        <f t="shared" si="881"/>
        <v>0.72737673856664997</v>
      </c>
      <c r="FF311" s="5">
        <f t="shared" si="882"/>
        <v>72.737673856664998</v>
      </c>
      <c r="FI311" s="562">
        <f t="shared" si="836"/>
        <v>-50</v>
      </c>
      <c r="FJ311">
        <f t="shared" si="837"/>
        <v>-50</v>
      </c>
      <c r="FL311">
        <f t="shared" si="838"/>
        <v>0.65693430656934304</v>
      </c>
    </row>
    <row r="312" spans="5:168">
      <c r="E312" s="170">
        <v>96</v>
      </c>
      <c r="F312" s="217">
        <f t="shared" si="839"/>
        <v>5.76</v>
      </c>
      <c r="G312" s="217"/>
      <c r="H312" s="217">
        <f>F312*Vout</f>
        <v>23.04</v>
      </c>
      <c r="I312" s="541">
        <f t="shared" si="765"/>
        <v>35.905513872664962</v>
      </c>
      <c r="J312" s="172">
        <f t="shared" si="766"/>
        <v>19.874723723242109</v>
      </c>
      <c r="K312" s="172">
        <f t="shared" si="767"/>
        <v>55.780237595907067</v>
      </c>
      <c r="L312" s="443"/>
      <c r="M312" s="217">
        <f t="shared" si="768"/>
        <v>0.35604354739289912</v>
      </c>
      <c r="N312" s="172">
        <f>M312*I312*(Isw_max+VIN_max/Lmag*ILIM_delay)*0.5*Efficiency</f>
        <v>43.188365127820433</v>
      </c>
      <c r="O312" s="172">
        <f t="shared" si="762"/>
        <v>23.04</v>
      </c>
      <c r="P312" s="217">
        <f>N312/Vout</f>
        <v>10.797091281955108</v>
      </c>
      <c r="Q312" s="217">
        <f t="shared" si="771"/>
        <v>4</v>
      </c>
      <c r="R312" s="217"/>
      <c r="S312" s="172">
        <f t="shared" si="772"/>
        <v>12.286134907531425</v>
      </c>
      <c r="T312" s="172">
        <f>MIN(Vout, S312)</f>
        <v>4</v>
      </c>
      <c r="U312" s="217">
        <f t="shared" si="774"/>
        <v>4.4723521106747617</v>
      </c>
      <c r="V312" s="217">
        <f>L*U312/I312*1000000</f>
        <v>1.4947070669542768</v>
      </c>
      <c r="W312" s="217">
        <f t="shared" si="776"/>
        <v>2.7003256032855378</v>
      </c>
      <c r="X312" s="197">
        <f t="shared" si="777"/>
        <v>350</v>
      </c>
      <c r="Y312" s="443">
        <f t="shared" si="840"/>
        <v>227.52959421014609</v>
      </c>
      <c r="AA312" s="217">
        <f t="shared" si="778"/>
        <v>3.0460189209710484</v>
      </c>
      <c r="AB312" s="173">
        <f>L*AA312/J312*1000000</f>
        <v>1.8391313288499851</v>
      </c>
      <c r="AC312" s="173">
        <f>0.5*AB312*AA312*Nps*X312/1000</f>
        <v>3.9214201780793769</v>
      </c>
      <c r="AD312" s="173"/>
      <c r="AE312" s="173">
        <f t="shared" si="781"/>
        <v>0.80504263721105784</v>
      </c>
      <c r="AF312" s="545">
        <f>MAX(12000,F312/(0.5*AE312/1000000*Isw_min*Nps))/1000</f>
        <v>2683.0877026376834</v>
      </c>
      <c r="AG312" s="528">
        <f t="shared" si="783"/>
        <v>0.75137312806365419</v>
      </c>
      <c r="AI312" s="173">
        <f t="shared" si="784"/>
        <v>3.6916638500345251</v>
      </c>
      <c r="AJ312" s="173">
        <f>MAX(IF(F312&gt;AC312,U312,AI312),Isw_min)</f>
        <v>4.4723521106747617</v>
      </c>
      <c r="AK312" s="173">
        <f>IF(F312&gt;AG312, (AJ312-Isw_min)/1.08*0.8+1.2, AF312*0.2/350+1)</f>
        <v>3.5251990943269842</v>
      </c>
      <c r="AM312" s="545">
        <f t="shared" si="787"/>
        <v>5760</v>
      </c>
      <c r="AN312" s="460">
        <f t="shared" si="788"/>
        <v>227.52959421014609</v>
      </c>
      <c r="AP312">
        <f t="shared" si="789"/>
        <v>5760</v>
      </c>
      <c r="AQ312">
        <f t="shared" si="790"/>
        <v>227.52959421014609</v>
      </c>
      <c r="AS312" s="5">
        <f t="shared" si="763"/>
        <v>4.3950326702398153</v>
      </c>
      <c r="AT312" s="5">
        <f t="shared" si="791"/>
        <v>1.4947070669542768</v>
      </c>
      <c r="AU312" s="5">
        <f t="shared" si="883"/>
        <v>2.9003256032855385</v>
      </c>
      <c r="AV312" s="5"/>
      <c r="AW312" s="173">
        <f t="shared" si="884"/>
        <v>0.34009009240714427</v>
      </c>
      <c r="AX312" s="173">
        <f t="shared" si="792"/>
        <v>27.306190742057332</v>
      </c>
      <c r="AY312" s="173">
        <f t="shared" si="793"/>
        <v>5.9026989361561908</v>
      </c>
      <c r="AZ312" s="173">
        <f t="shared" si="794"/>
        <v>4.6260517497846489</v>
      </c>
      <c r="BA312" s="460">
        <f t="shared" si="885"/>
        <v>215.23781764141586</v>
      </c>
      <c r="BB312" s="5">
        <f t="shared" si="886"/>
        <v>1.5509108651269445</v>
      </c>
      <c r="BD312" s="173">
        <f t="shared" si="841"/>
        <v>1.5058175386324302</v>
      </c>
      <c r="BE312" s="173">
        <f t="shared" si="842"/>
        <v>8.3903036171993701</v>
      </c>
      <c r="BG312" s="528">
        <f t="shared" si="843"/>
        <v>2.7663334807766966E-2</v>
      </c>
      <c r="BH312" s="528">
        <f t="shared" si="795"/>
        <v>1.0642790483471354</v>
      </c>
      <c r="BI312" s="528">
        <f t="shared" si="796"/>
        <v>0.20423917503385572</v>
      </c>
      <c r="BJ312" s="528">
        <f t="shared" si="844"/>
        <v>7.0794352163167637E-2</v>
      </c>
      <c r="BK312">
        <f t="shared" si="845"/>
        <v>1.6157481242699234E-2</v>
      </c>
      <c r="BL312" s="460">
        <f t="shared" si="846"/>
        <v>220.39665627655495</v>
      </c>
      <c r="BM312" s="528">
        <f t="shared" si="797"/>
        <v>1.1779482639013894</v>
      </c>
      <c r="BN312" s="460">
        <f t="shared" si="847"/>
        <v>1177.9482639013895</v>
      </c>
      <c r="BO312" s="528">
        <f t="shared" si="798"/>
        <v>4.032</v>
      </c>
      <c r="BR312" s="460">
        <f t="shared" si="848"/>
        <v>4032</v>
      </c>
      <c r="BS312" s="528">
        <f t="shared" si="849"/>
        <v>6.8024593789590901E-2</v>
      </c>
      <c r="BT312" s="528">
        <f t="shared" si="850"/>
        <v>2.1119158436636649</v>
      </c>
      <c r="BU312" s="528">
        <f t="shared" si="851"/>
        <v>1.651599360992078</v>
      </c>
      <c r="BV312" s="528"/>
      <c r="BW312" s="528">
        <f t="shared" si="852"/>
        <v>0.11377579475857223</v>
      </c>
      <c r="BX312" s="460">
        <f t="shared" si="853"/>
        <v>3945.3155932039058</v>
      </c>
      <c r="BY312" s="173">
        <f t="shared" si="854"/>
        <v>9.3604489847985324</v>
      </c>
      <c r="BZ312" s="5">
        <f t="shared" si="855"/>
        <v>23.04</v>
      </c>
      <c r="CA312" s="173">
        <f t="shared" si="856"/>
        <v>0.71110125698596904</v>
      </c>
      <c r="CB312" s="5">
        <f t="shared" si="857"/>
        <v>71.110125698596903</v>
      </c>
      <c r="CE312" s="562">
        <f t="shared" si="799"/>
        <v>-50</v>
      </c>
      <c r="CF312">
        <f t="shared" si="800"/>
        <v>-50</v>
      </c>
      <c r="CG312" s="173">
        <f t="shared" si="801"/>
        <v>0.64314203274015669</v>
      </c>
      <c r="CI312" s="170">
        <v>96</v>
      </c>
      <c r="CJ312" s="217">
        <f t="shared" si="858"/>
        <v>5.76</v>
      </c>
      <c r="CK312" s="217"/>
      <c r="CL312" s="217">
        <f t="shared" si="802"/>
        <v>23.04</v>
      </c>
      <c r="CM312" s="541">
        <f t="shared" si="803"/>
        <v>36</v>
      </c>
      <c r="CN312" s="443">
        <f t="shared" si="804"/>
        <v>18.8</v>
      </c>
      <c r="CO312" s="443">
        <f t="shared" si="805"/>
        <v>54.8</v>
      </c>
      <c r="CP312" s="443"/>
      <c r="CQ312" s="217">
        <f t="shared" si="806"/>
        <v>0.34306569343065696</v>
      </c>
      <c r="CR312" s="172">
        <f t="shared" si="807"/>
        <v>41.723649635036502</v>
      </c>
      <c r="CS312" s="172">
        <f t="shared" si="808"/>
        <v>23.04</v>
      </c>
      <c r="CT312" s="217">
        <f t="shared" si="809"/>
        <v>10.430912408759125</v>
      </c>
      <c r="CU312" s="217">
        <f t="shared" si="810"/>
        <v>4</v>
      </c>
      <c r="CV312" s="217"/>
      <c r="CW312" s="172">
        <f t="shared" si="811"/>
        <v>12.317304496613637</v>
      </c>
      <c r="CX312" s="172">
        <f t="shared" si="812"/>
        <v>4</v>
      </c>
      <c r="CY312" s="217">
        <f t="shared" si="813"/>
        <v>3.7310638297872334</v>
      </c>
      <c r="CZ312" s="217">
        <f t="shared" si="814"/>
        <v>1.2436879432624111</v>
      </c>
      <c r="DA312" s="217">
        <f t="shared" si="815"/>
        <v>2.3815301041195105</v>
      </c>
      <c r="DB312" s="197">
        <f t="shared" si="816"/>
        <v>350</v>
      </c>
      <c r="DC312" s="443">
        <f t="shared" si="817"/>
        <v>275.84547658372855</v>
      </c>
      <c r="DE312" s="217">
        <f t="shared" si="818"/>
        <v>2.940563086548488</v>
      </c>
      <c r="DF312" s="173">
        <f t="shared" si="819"/>
        <v>1.8769551616266944</v>
      </c>
      <c r="DG312" s="173">
        <f t="shared" si="820"/>
        <v>3.8635135443702762</v>
      </c>
      <c r="DH312" s="173"/>
      <c r="DI312" s="173">
        <f t="shared" si="821"/>
        <v>0.85106382978723416</v>
      </c>
      <c r="DJ312" s="545">
        <f t="shared" si="822"/>
        <v>2537.9999999999995</v>
      </c>
      <c r="DK312" s="528">
        <f t="shared" si="823"/>
        <v>0.79432624113475192</v>
      </c>
      <c r="DM312" s="173">
        <f t="shared" si="824"/>
        <v>3.5904635594068592</v>
      </c>
      <c r="DN312" s="173">
        <f t="shared" si="825"/>
        <v>3.7310638297872334</v>
      </c>
      <c r="DO312" s="173">
        <f t="shared" si="826"/>
        <v>2.9760966640399258</v>
      </c>
      <c r="DQ312" s="545">
        <f t="shared" si="827"/>
        <v>5760</v>
      </c>
      <c r="DR312" s="460">
        <f t="shared" si="828"/>
        <v>275.84547658372855</v>
      </c>
      <c r="DT312">
        <f t="shared" si="829"/>
        <v>5760</v>
      </c>
      <c r="DU312">
        <f t="shared" si="830"/>
        <v>275.84547658372855</v>
      </c>
      <c r="DW312" s="5">
        <f t="shared" si="859"/>
        <v>3.6252180473819218</v>
      </c>
      <c r="DX312" s="5">
        <f t="shared" si="831"/>
        <v>1.2436879432624111</v>
      </c>
      <c r="DY312" s="5">
        <f t="shared" si="832"/>
        <v>2.3815301041195109</v>
      </c>
      <c r="DZ312" s="5"/>
      <c r="EA312" s="173">
        <f t="shared" si="833"/>
        <v>0.3430656934306569</v>
      </c>
      <c r="EB312" s="173">
        <f t="shared" si="860"/>
        <v>23.04</v>
      </c>
      <c r="EC312" s="173">
        <f t="shared" si="861"/>
        <v>4.9021276595744681</v>
      </c>
      <c r="ED312" s="173">
        <f t="shared" si="862"/>
        <v>4.7</v>
      </c>
      <c r="EE312" s="460">
        <f t="shared" si="834"/>
        <v>179.09106382978717</v>
      </c>
      <c r="EF312" s="5">
        <f t="shared" si="835"/>
        <v>1.270149388863739</v>
      </c>
      <c r="EH312" s="173">
        <f t="shared" si="863"/>
        <v>1.2617133459609142</v>
      </c>
      <c r="EI312" s="173">
        <f t="shared" si="864"/>
        <v>6.9838196234129342</v>
      </c>
      <c r="EK312" s="528">
        <f t="shared" si="865"/>
        <v>1.9421430921985804E-2</v>
      </c>
      <c r="EL312" s="528">
        <f t="shared" si="866"/>
        <v>1.1280000000000001</v>
      </c>
      <c r="EM312" s="528">
        <f t="shared" si="867"/>
        <v>3.4480684572966068E-2</v>
      </c>
      <c r="EN312" s="528">
        <f t="shared" si="868"/>
        <v>8.2837500000000008E-2</v>
      </c>
      <c r="EO312">
        <f t="shared" si="869"/>
        <v>1.6199999999999999E-2</v>
      </c>
      <c r="EP312" s="460">
        <f t="shared" si="870"/>
        <v>50.680684572966065</v>
      </c>
      <c r="EQ312" s="460"/>
      <c r="ER312" s="460">
        <f t="shared" si="871"/>
        <v>1280.939615494952</v>
      </c>
      <c r="ES312" s="528">
        <f t="shared" si="872"/>
        <v>4.032</v>
      </c>
      <c r="EV312" s="460">
        <f t="shared" si="873"/>
        <v>4032</v>
      </c>
      <c r="EW312" s="528">
        <f t="shared" si="874"/>
        <v>4.7757617021276566E-2</v>
      </c>
      <c r="EX312" s="528">
        <f t="shared" si="875"/>
        <v>1.4632120959710273</v>
      </c>
      <c r="EY312" s="528">
        <f t="shared" si="876"/>
        <v>1.699089938303846</v>
      </c>
      <c r="EZ312" s="528"/>
      <c r="FA312" s="528">
        <f t="shared" si="877"/>
        <v>9.5999999999999988E-2</v>
      </c>
      <c r="FB312" s="460">
        <f t="shared" si="878"/>
        <v>3306.0596512961497</v>
      </c>
      <c r="FC312" s="173">
        <f t="shared" si="879"/>
        <v>8.6189992667911017</v>
      </c>
      <c r="FD312" s="5">
        <f t="shared" si="880"/>
        <v>23.04</v>
      </c>
      <c r="FE312" s="173">
        <f t="shared" si="881"/>
        <v>0.72775515757277731</v>
      </c>
      <c r="FF312" s="5">
        <f t="shared" si="882"/>
        <v>72.775515757277731</v>
      </c>
      <c r="FI312" s="562">
        <f t="shared" si="836"/>
        <v>-50</v>
      </c>
      <c r="FJ312">
        <f t="shared" si="837"/>
        <v>-50</v>
      </c>
      <c r="FL312">
        <f t="shared" si="838"/>
        <v>0.65693430656934315</v>
      </c>
    </row>
    <row r="313" spans="5:168">
      <c r="E313" s="170">
        <v>97</v>
      </c>
      <c r="F313" s="217">
        <f>IF(PLOT_TYPE=1, E313/100*Iout_max, min_I*EXP(N313*rr/100))</f>
        <v>5.82</v>
      </c>
      <c r="G313" s="217"/>
      <c r="H313" s="217">
        <f>F313*Vout</f>
        <v>23.28</v>
      </c>
      <c r="I313" s="541">
        <f t="shared" si="765"/>
        <v>35.904550744471663</v>
      </c>
      <c r="J313" s="172">
        <f t="shared" si="766"/>
        <v>19.885678735867362</v>
      </c>
      <c r="K313" s="172">
        <f t="shared" si="767"/>
        <v>55.790229480339022</v>
      </c>
      <c r="L313" s="443"/>
      <c r="M313" s="217">
        <f t="shared" si="768"/>
        <v>0.35617625292282917</v>
      </c>
      <c r="N313" s="172">
        <f>M313*I313*(Isw_max+VIN_max/Lmag*ILIM_delay)*0.5*Efficiency</f>
        <v>43.20330349909527</v>
      </c>
      <c r="O313" s="172">
        <f t="shared" si="762"/>
        <v>23.28</v>
      </c>
      <c r="P313" s="217">
        <f>N313/Vout</f>
        <v>10.800825874773818</v>
      </c>
      <c r="Q313" s="217">
        <f t="shared" si="771"/>
        <v>4</v>
      </c>
      <c r="R313" s="217"/>
      <c r="S313" s="172">
        <f t="shared" si="772"/>
        <v>12.079424503666488</v>
      </c>
      <c r="T313" s="172">
        <f>MIN(Vout, S313)</f>
        <v>4</v>
      </c>
      <c r="U313" s="217">
        <f t="shared" si="774"/>
        <v>4.519870559622583</v>
      </c>
      <c r="V313" s="217">
        <f>L*U313/I313*1000000</f>
        <v>1.5106287529254843</v>
      </c>
      <c r="W313" s="217">
        <f t="shared" si="776"/>
        <v>2.7275129723202403</v>
      </c>
      <c r="X313" s="197">
        <f t="shared" si="777"/>
        <v>350</v>
      </c>
      <c r="Y313" s="443">
        <f t="shared" si="840"/>
        <v>225.3195282862747</v>
      </c>
      <c r="AA313" s="217">
        <f t="shared" si="778"/>
        <v>3.0470703251168909</v>
      </c>
      <c r="AB313" s="173">
        <f>L*AA313/J313*1000000</f>
        <v>1.8387526212747012</v>
      </c>
      <c r="AC313" s="173">
        <f>0.5*AB313*AA313*Nps*X313/1000</f>
        <v>3.9219659832619276</v>
      </c>
      <c r="AD313" s="173"/>
      <c r="AE313" s="173">
        <f t="shared" si="781"/>
        <v>0.80459913953759876</v>
      </c>
      <c r="AF313" s="545">
        <f>MAX(12000,F313/(0.5*AE313/1000000*Isw_min*Nps))/1000</f>
        <v>2712.530865064407</v>
      </c>
      <c r="AG313" s="528">
        <f t="shared" si="783"/>
        <v>0.75095919690175894</v>
      </c>
      <c r="AI313" s="173">
        <f t="shared" si="784"/>
        <v>3.7118640266998066</v>
      </c>
      <c r="AJ313" s="173">
        <f>MAX(IF(F313&gt;AC313,U313,AI313),Isw_min)</f>
        <v>4.519870559622583</v>
      </c>
      <c r="AK313" s="173">
        <f>IF(F313&gt;AG313, (AJ313-Isw_min)/1.08*0.8+1.2, AF313*0.2/350+1)</f>
        <v>3.5603979453994441</v>
      </c>
      <c r="AM313" s="545">
        <f t="shared" si="787"/>
        <v>5820</v>
      </c>
      <c r="AN313" s="460">
        <f t="shared" si="788"/>
        <v>225.3195282862747</v>
      </c>
      <c r="AP313">
        <f t="shared" si="789"/>
        <v>5820</v>
      </c>
      <c r="AQ313">
        <f t="shared" si="790"/>
        <v>225.3195282862747</v>
      </c>
      <c r="AS313" s="5">
        <f t="shared" si="763"/>
        <v>4.4381417252457238</v>
      </c>
      <c r="AT313" s="5">
        <f t="shared" si="791"/>
        <v>1.5106287529254843</v>
      </c>
      <c r="AU313" s="5">
        <f t="shared" si="883"/>
        <v>2.9275129723202395</v>
      </c>
      <c r="AV313" s="5"/>
      <c r="AW313" s="173">
        <f t="shared" si="884"/>
        <v>0.34037415802485355</v>
      </c>
      <c r="AX313" s="173">
        <f t="shared" si="792"/>
        <v>27.618626633125647</v>
      </c>
      <c r="AY313" s="173">
        <f t="shared" si="793"/>
        <v>5.9628468470194447</v>
      </c>
      <c r="AZ313" s="173">
        <f t="shared" si="794"/>
        <v>4.6317853437625924</v>
      </c>
      <c r="BA313" s="460">
        <f t="shared" si="885"/>
        <v>219.79648355065797</v>
      </c>
      <c r="BB313" s="5">
        <f t="shared" si="886"/>
        <v>1.5817981421688545</v>
      </c>
      <c r="BD313" s="173">
        <f t="shared" si="841"/>
        <v>1.5224521796597525</v>
      </c>
      <c r="BE313" s="173">
        <f t="shared" si="842"/>
        <v>8.4776248112910384</v>
      </c>
      <c r="BG313" s="528">
        <f t="shared" si="843"/>
        <v>2.8277899800078922E-2</v>
      </c>
      <c r="BH313" s="528">
        <f t="shared" si="795"/>
        <v>1.0653302300559593</v>
      </c>
      <c r="BI313" s="528">
        <f t="shared" si="796"/>
        <v>0.20224991092687422</v>
      </c>
      <c r="BJ313" s="528">
        <f t="shared" si="844"/>
        <v>7.013182314038334E-2</v>
      </c>
      <c r="BK313">
        <f t="shared" si="845"/>
        <v>1.6157047835012248E-2</v>
      </c>
      <c r="BL313" s="460">
        <f t="shared" si="846"/>
        <v>218.40695876188647</v>
      </c>
      <c r="BM313" s="528">
        <f t="shared" si="797"/>
        <v>1.1792984908334649</v>
      </c>
      <c r="BN313" s="460">
        <f t="shared" si="847"/>
        <v>1179.2984908334649</v>
      </c>
      <c r="BO313" s="528">
        <f t="shared" si="798"/>
        <v>4.0739999999999998</v>
      </c>
      <c r="BR313" s="460">
        <f t="shared" si="848"/>
        <v>4074</v>
      </c>
      <c r="BS313" s="528">
        <f t="shared" si="849"/>
        <v>6.9535819180521943E-2</v>
      </c>
      <c r="BT313" s="528">
        <f t="shared" si="850"/>
        <v>2.1561036732305223</v>
      </c>
      <c r="BU313" s="528">
        <f t="shared" si="851"/>
        <v>1.6549393475951184</v>
      </c>
      <c r="BV313" s="528"/>
      <c r="BW313" s="528">
        <f t="shared" si="852"/>
        <v>0.11507761097135688</v>
      </c>
      <c r="BX313" s="460">
        <f t="shared" si="853"/>
        <v>3995.6564509775194</v>
      </c>
      <c r="BY313" s="173">
        <f t="shared" si="854"/>
        <v>9.4518033627358271</v>
      </c>
      <c r="BZ313" s="5">
        <f t="shared" si="855"/>
        <v>23.28</v>
      </c>
      <c r="CA313" s="173">
        <f t="shared" si="856"/>
        <v>0.71123487276303199</v>
      </c>
      <c r="CB313" s="5">
        <f t="shared" si="857"/>
        <v>71.123487276303194</v>
      </c>
      <c r="CE313" s="562">
        <f t="shared" si="799"/>
        <v>-50</v>
      </c>
      <c r="CF313">
        <f t="shared" si="800"/>
        <v>-50</v>
      </c>
      <c r="CG313" s="173">
        <f t="shared" si="801"/>
        <v>0.64328422113014827</v>
      </c>
      <c r="CI313" s="170">
        <v>97</v>
      </c>
      <c r="CJ313" s="217">
        <f t="shared" si="858"/>
        <v>5.82</v>
      </c>
      <c r="CK313" s="217"/>
      <c r="CL313" s="217">
        <f t="shared" si="802"/>
        <v>23.28</v>
      </c>
      <c r="CM313" s="541">
        <f t="shared" si="803"/>
        <v>36</v>
      </c>
      <c r="CN313" s="443">
        <f t="shared" si="804"/>
        <v>18.8</v>
      </c>
      <c r="CO313" s="443">
        <f t="shared" si="805"/>
        <v>54.8</v>
      </c>
      <c r="CP313" s="443"/>
      <c r="CQ313" s="217">
        <f t="shared" si="806"/>
        <v>0.34306569343065696</v>
      </c>
      <c r="CR313" s="172">
        <f t="shared" si="807"/>
        <v>41.723649635036502</v>
      </c>
      <c r="CS313" s="172">
        <f t="shared" si="808"/>
        <v>23.28</v>
      </c>
      <c r="CT313" s="217">
        <f t="shared" si="809"/>
        <v>10.430912408759125</v>
      </c>
      <c r="CU313" s="217">
        <f t="shared" si="810"/>
        <v>4</v>
      </c>
      <c r="CV313" s="217"/>
      <c r="CW313" s="172">
        <f t="shared" si="811"/>
        <v>12.110346670652349</v>
      </c>
      <c r="CX313" s="172">
        <f t="shared" si="812"/>
        <v>4</v>
      </c>
      <c r="CY313" s="217">
        <f t="shared" si="813"/>
        <v>3.7699290780141843</v>
      </c>
      <c r="CZ313" s="217">
        <f t="shared" si="814"/>
        <v>1.2566430260047281</v>
      </c>
      <c r="DA313" s="217">
        <f t="shared" si="815"/>
        <v>2.4063377093707556</v>
      </c>
      <c r="DB313" s="197">
        <f t="shared" si="816"/>
        <v>350</v>
      </c>
      <c r="DC313" s="443">
        <f t="shared" si="817"/>
        <v>273.00170878389628</v>
      </c>
      <c r="DE313" s="217">
        <f t="shared" si="818"/>
        <v>2.940563086548488</v>
      </c>
      <c r="DF313" s="173">
        <f t="shared" si="819"/>
        <v>1.8769551616266944</v>
      </c>
      <c r="DG313" s="173">
        <f t="shared" si="820"/>
        <v>3.8635135443702762</v>
      </c>
      <c r="DH313" s="173"/>
      <c r="DI313" s="173">
        <f t="shared" si="821"/>
        <v>0.85106382978723416</v>
      </c>
      <c r="DJ313" s="545">
        <f t="shared" si="822"/>
        <v>2564.4374999999995</v>
      </c>
      <c r="DK313" s="528">
        <f t="shared" si="823"/>
        <v>0.79432624113475192</v>
      </c>
      <c r="DM313" s="173">
        <f t="shared" si="824"/>
        <v>3.6091154436668118</v>
      </c>
      <c r="DN313" s="173">
        <f t="shared" si="825"/>
        <v>3.7699290780141843</v>
      </c>
      <c r="DO313" s="173">
        <f t="shared" si="826"/>
        <v>3.0048857368006301</v>
      </c>
      <c r="DQ313" s="545">
        <f t="shared" si="827"/>
        <v>5820</v>
      </c>
      <c r="DR313" s="460">
        <f t="shared" si="828"/>
        <v>273.00170878389628</v>
      </c>
      <c r="DT313">
        <f t="shared" si="829"/>
        <v>5820</v>
      </c>
      <c r="DU313">
        <f t="shared" si="830"/>
        <v>273.00170878389628</v>
      </c>
      <c r="DW313" s="5">
        <f t="shared" si="859"/>
        <v>3.6629807353754837</v>
      </c>
      <c r="DX313" s="5">
        <f t="shared" si="831"/>
        <v>1.2566430260047281</v>
      </c>
      <c r="DY313" s="5">
        <f t="shared" si="832"/>
        <v>2.4063377093707556</v>
      </c>
      <c r="DZ313" s="5"/>
      <c r="EA313" s="173">
        <f t="shared" si="833"/>
        <v>0.34306569343065696</v>
      </c>
      <c r="EB313" s="173">
        <f t="shared" si="860"/>
        <v>23.279999999999998</v>
      </c>
      <c r="EC313" s="173">
        <f t="shared" si="861"/>
        <v>4.9531914893617017</v>
      </c>
      <c r="ED313" s="173">
        <f t="shared" si="862"/>
        <v>4.7</v>
      </c>
      <c r="EE313" s="460">
        <f t="shared" si="834"/>
        <v>182.84156028368795</v>
      </c>
      <c r="EF313" s="5">
        <f t="shared" si="835"/>
        <v>1.2967486544942404</v>
      </c>
      <c r="EH313" s="173">
        <f t="shared" si="863"/>
        <v>1.274856193314674</v>
      </c>
      <c r="EI313" s="173">
        <f t="shared" si="864"/>
        <v>7.0565677444901524</v>
      </c>
      <c r="EK313" s="528">
        <f t="shared" si="865"/>
        <v>1.9828151426319933E-2</v>
      </c>
      <c r="EL313" s="528">
        <f t="shared" si="866"/>
        <v>1.1280000000000001</v>
      </c>
      <c r="EM313" s="528">
        <f t="shared" si="867"/>
        <v>3.4125213597987029E-2</v>
      </c>
      <c r="EN313" s="528">
        <f t="shared" si="868"/>
        <v>8.1983505154639175E-2</v>
      </c>
      <c r="EO313">
        <f t="shared" si="869"/>
        <v>1.6199999999999999E-2</v>
      </c>
      <c r="EP313" s="460">
        <f t="shared" si="870"/>
        <v>50.32521359798703</v>
      </c>
      <c r="EQ313" s="460"/>
      <c r="ER313" s="460">
        <f t="shared" si="871"/>
        <v>1280.1368701789461</v>
      </c>
      <c r="ES313" s="528">
        <f t="shared" si="872"/>
        <v>4.0739999999999998</v>
      </c>
      <c r="EV313" s="460">
        <f t="shared" si="873"/>
        <v>4074</v>
      </c>
      <c r="EW313" s="528">
        <f t="shared" si="874"/>
        <v>4.8757749408983447E-2</v>
      </c>
      <c r="EX313" s="528">
        <f t="shared" si="875"/>
        <v>1.4938544499773652</v>
      </c>
      <c r="EY313" s="528">
        <f t="shared" si="876"/>
        <v>1.699089938303846</v>
      </c>
      <c r="EZ313" s="528"/>
      <c r="FA313" s="528">
        <f t="shared" si="877"/>
        <v>9.7000000000000017E-2</v>
      </c>
      <c r="FB313" s="460">
        <f t="shared" si="878"/>
        <v>3338.7021376901944</v>
      </c>
      <c r="FC313" s="173">
        <f t="shared" si="879"/>
        <v>8.6928390078691411</v>
      </c>
      <c r="FD313" s="5">
        <f t="shared" si="880"/>
        <v>23.28</v>
      </c>
      <c r="FE313" s="173">
        <f t="shared" si="881"/>
        <v>0.7281180127379473</v>
      </c>
      <c r="FF313" s="5">
        <f t="shared" si="882"/>
        <v>72.811801273794728</v>
      </c>
      <c r="FI313" s="562">
        <f t="shared" si="836"/>
        <v>-50</v>
      </c>
      <c r="FJ313">
        <f t="shared" si="837"/>
        <v>-50</v>
      </c>
      <c r="FL313">
        <f t="shared" si="838"/>
        <v>0.65693430656934304</v>
      </c>
    </row>
    <row r="314" spans="5:168">
      <c r="E314" s="170">
        <v>98</v>
      </c>
      <c r="F314" s="217">
        <f>IF(PLOT_TYPE=1, E314/100*Iout_max, min_I*EXP(N314*rr/100))</f>
        <v>5.88</v>
      </c>
      <c r="G314" s="217"/>
      <c r="H314" s="217">
        <f>F314*Vout</f>
        <v>23.52</v>
      </c>
      <c r="I314" s="541">
        <f t="shared" si="765"/>
        <v>35.903587607142022</v>
      </c>
      <c r="J314" s="172">
        <f t="shared" si="766"/>
        <v>19.896633852413046</v>
      </c>
      <c r="K314" s="172">
        <f t="shared" si="767"/>
        <v>55.800221459555068</v>
      </c>
      <c r="L314" s="443"/>
      <c r="M314" s="217">
        <f t="shared" si="768"/>
        <v>0.35630891094225736</v>
      </c>
      <c r="N314" s="172">
        <f>M314*I314*(Isw_max+VIN_max/Lmag*ILIM_delay)*0.5*Efficiency</f>
        <v>43.218235233033937</v>
      </c>
      <c r="O314" s="172">
        <f t="shared" si="762"/>
        <v>23.52</v>
      </c>
      <c r="P314" s="217">
        <f>N314/Vout</f>
        <v>10.804558808258484</v>
      </c>
      <c r="Q314" s="217">
        <f t="shared" si="771"/>
        <v>4</v>
      </c>
      <c r="R314" s="217"/>
      <c r="S314" s="172">
        <f t="shared" si="772"/>
        <v>11.877176652951229</v>
      </c>
      <c r="T314" s="172">
        <f>MIN(Vout, S314)</f>
        <v>4</v>
      </c>
      <c r="U314" s="217">
        <f t="shared" si="774"/>
        <v>4.5674082645818102</v>
      </c>
      <c r="V314" s="217">
        <f>L*U314/I314*1000000</f>
        <v>1.5265577294030364</v>
      </c>
      <c r="W314" s="217">
        <f t="shared" si="776"/>
        <v>2.7546820020681309</v>
      </c>
      <c r="X314" s="197">
        <f t="shared" si="777"/>
        <v>350</v>
      </c>
      <c r="Y314" s="443">
        <f t="shared" si="840"/>
        <v>223.15253365650787</v>
      </c>
      <c r="AA314" s="217">
        <f t="shared" si="778"/>
        <v>3.0481212726484896</v>
      </c>
      <c r="AB314" s="173">
        <f>L*AA314/J314*1000000</f>
        <v>1.8383740457356705</v>
      </c>
      <c r="AC314" s="173">
        <f>0.5*AB314*AA314*Nps*X314/1000</f>
        <v>3.9225109251242358</v>
      </c>
      <c r="AD314" s="173"/>
      <c r="AE314" s="173">
        <f t="shared" si="781"/>
        <v>0.80415612604036224</v>
      </c>
      <c r="AF314" s="545">
        <f>MAX(12000,F314/(0.5*AE314/1000000*Isw_min*Nps))/1000</f>
        <v>2742.0048527856716</v>
      </c>
      <c r="AG314" s="528">
        <f t="shared" si="783"/>
        <v>0.75054571763767153</v>
      </c>
      <c r="AI314" s="173">
        <f t="shared" si="784"/>
        <v>3.7319758435296886</v>
      </c>
      <c r="AJ314" s="173">
        <f>MAX(IF(F314&gt;AC314,U314,AI314),Isw_min)</f>
        <v>4.5674082645818102</v>
      </c>
      <c r="AK314" s="173">
        <f>IF(F314&gt;AG314, (AJ314-Isw_min)/1.08*0.8+1.2, AF314*0.2/350+1)</f>
        <v>3.5956110601840567</v>
      </c>
      <c r="AM314" s="545">
        <f t="shared" si="787"/>
        <v>5880</v>
      </c>
      <c r="AN314" s="460">
        <f t="shared" si="788"/>
        <v>223.15253365650787</v>
      </c>
      <c r="AP314">
        <f t="shared" si="789"/>
        <v>5880</v>
      </c>
      <c r="AQ314">
        <f t="shared" si="790"/>
        <v>223.15253365650787</v>
      </c>
      <c r="AS314" s="5">
        <f t="shared" si="763"/>
        <v>4.4812397314711676</v>
      </c>
      <c r="AT314" s="5">
        <f t="shared" si="791"/>
        <v>1.5265577294030364</v>
      </c>
      <c r="AU314" s="5">
        <f t="shared" si="883"/>
        <v>2.9546820020681315</v>
      </c>
      <c r="AV314" s="5"/>
      <c r="AW314" s="173">
        <f t="shared" si="884"/>
        <v>0.34065522508921331</v>
      </c>
      <c r="AX314" s="173">
        <f t="shared" si="792"/>
        <v>27.931402253083558</v>
      </c>
      <c r="AY314" s="173">
        <f t="shared" si="793"/>
        <v>6.022993548272721</v>
      </c>
      <c r="AZ314" s="173">
        <f t="shared" si="794"/>
        <v>4.6374617587119529</v>
      </c>
      <c r="BA314" s="460">
        <f t="shared" si="885"/>
        <v>224.40398622224637</v>
      </c>
      <c r="BB314" s="5">
        <f t="shared" si="886"/>
        <v>1.6129799582762427</v>
      </c>
      <c r="BD314" s="173">
        <f t="shared" si="841"/>
        <v>1.5390996286160672</v>
      </c>
      <c r="BE314" s="173">
        <f t="shared" si="842"/>
        <v>8.5649628152380206</v>
      </c>
      <c r="BG314" s="528">
        <f t="shared" si="843"/>
        <v>2.8899697535034616E-2</v>
      </c>
      <c r="BH314" s="528">
        <f t="shared" si="795"/>
        <v>1.0663722872964208</v>
      </c>
      <c r="BI314" s="528">
        <f t="shared" si="796"/>
        <v>0.20029941354730346</v>
      </c>
      <c r="BJ314" s="528">
        <f t="shared" si="844"/>
        <v>6.9482217009470063E-2</v>
      </c>
      <c r="BK314">
        <f t="shared" si="845"/>
        <v>1.6156614423213908E-2</v>
      </c>
      <c r="BL314" s="460">
        <f t="shared" si="846"/>
        <v>216.4560279705174</v>
      </c>
      <c r="BM314" s="528">
        <f t="shared" si="797"/>
        <v>1.1806642315651865</v>
      </c>
      <c r="BN314" s="460">
        <f t="shared" si="847"/>
        <v>1180.6642315651866</v>
      </c>
      <c r="BO314" s="528">
        <f t="shared" si="798"/>
        <v>4.1159999999999997</v>
      </c>
      <c r="BR314" s="460">
        <f t="shared" si="848"/>
        <v>4116</v>
      </c>
      <c r="BS314" s="528">
        <f t="shared" si="849"/>
        <v>7.1064830004183482E-2</v>
      </c>
      <c r="BT314" s="528">
        <f t="shared" si="850"/>
        <v>2.2007576407923</v>
      </c>
      <c r="BU314" s="528">
        <f t="shared" si="851"/>
        <v>1.6582467057686476</v>
      </c>
      <c r="BV314" s="528"/>
      <c r="BW314" s="528">
        <f t="shared" si="852"/>
        <v>0.1163808427211815</v>
      </c>
      <c r="BX314" s="460">
        <f t="shared" si="853"/>
        <v>4046.450019286312</v>
      </c>
      <c r="BY314" s="173">
        <f t="shared" si="854"/>
        <v>9.5436602490977549</v>
      </c>
      <c r="BZ314" s="5">
        <f t="shared" si="855"/>
        <v>23.52</v>
      </c>
      <c r="CA314" s="173">
        <f t="shared" si="856"/>
        <v>0.71135499889616183</v>
      </c>
      <c r="CB314" s="5">
        <f t="shared" si="857"/>
        <v>71.135499889616185</v>
      </c>
      <c r="CE314" s="562">
        <f t="shared" si="799"/>
        <v>-50</v>
      </c>
      <c r="CF314">
        <f t="shared" si="800"/>
        <v>-50</v>
      </c>
      <c r="CG314" s="173">
        <f t="shared" si="801"/>
        <v>0.64342350771626255</v>
      </c>
      <c r="CI314" s="170">
        <v>98</v>
      </c>
      <c r="CJ314" s="217">
        <f t="shared" si="858"/>
        <v>5.88</v>
      </c>
      <c r="CK314" s="217"/>
      <c r="CL314" s="217">
        <f t="shared" si="802"/>
        <v>23.52</v>
      </c>
      <c r="CM314" s="541">
        <f t="shared" si="803"/>
        <v>36</v>
      </c>
      <c r="CN314" s="443">
        <f t="shared" si="804"/>
        <v>18.8</v>
      </c>
      <c r="CO314" s="443">
        <f t="shared" si="805"/>
        <v>54.8</v>
      </c>
      <c r="CP314" s="443"/>
      <c r="CQ314" s="217">
        <f t="shared" si="806"/>
        <v>0.34306569343065696</v>
      </c>
      <c r="CR314" s="172">
        <f t="shared" si="807"/>
        <v>41.723649635036502</v>
      </c>
      <c r="CS314" s="172">
        <f t="shared" si="808"/>
        <v>23.52</v>
      </c>
      <c r="CT314" s="217">
        <f t="shared" si="809"/>
        <v>10.430912408759125</v>
      </c>
      <c r="CU314" s="217">
        <f t="shared" si="810"/>
        <v>4</v>
      </c>
      <c r="CV314" s="217"/>
      <c r="CW314" s="172">
        <f t="shared" si="811"/>
        <v>11.907851876934377</v>
      </c>
      <c r="CX314" s="172">
        <f t="shared" si="812"/>
        <v>4</v>
      </c>
      <c r="CY314" s="217">
        <f t="shared" si="813"/>
        <v>3.8087943262411343</v>
      </c>
      <c r="CZ314" s="217">
        <f t="shared" si="814"/>
        <v>1.2695981087470447</v>
      </c>
      <c r="DA314" s="217">
        <f t="shared" si="815"/>
        <v>2.4311453146220008</v>
      </c>
      <c r="DB314" s="197">
        <f t="shared" si="816"/>
        <v>350</v>
      </c>
      <c r="DC314" s="443">
        <f t="shared" si="817"/>
        <v>270.21597706161162</v>
      </c>
      <c r="DE314" s="217">
        <f t="shared" si="818"/>
        <v>2.940563086548488</v>
      </c>
      <c r="DF314" s="173">
        <f t="shared" si="819"/>
        <v>1.8769551616266944</v>
      </c>
      <c r="DG314" s="173">
        <f t="shared" si="820"/>
        <v>3.8635135443702762</v>
      </c>
      <c r="DH314" s="173"/>
      <c r="DI314" s="173">
        <f t="shared" si="821"/>
        <v>0.85106382978723416</v>
      </c>
      <c r="DJ314" s="545">
        <f t="shared" si="822"/>
        <v>2590.8749999999995</v>
      </c>
      <c r="DK314" s="528">
        <f t="shared" si="823"/>
        <v>0.79432624113475192</v>
      </c>
      <c r="DM314" s="173">
        <f t="shared" si="824"/>
        <v>3.6276714294434109</v>
      </c>
      <c r="DN314" s="173">
        <f t="shared" si="825"/>
        <v>3.8087943262411343</v>
      </c>
      <c r="DO314" s="173">
        <f t="shared" si="826"/>
        <v>3.033674809561334</v>
      </c>
      <c r="DQ314" s="545">
        <f t="shared" si="827"/>
        <v>5880</v>
      </c>
      <c r="DR314" s="460">
        <f t="shared" si="828"/>
        <v>270.21597706161162</v>
      </c>
      <c r="DT314">
        <f t="shared" si="829"/>
        <v>5880</v>
      </c>
      <c r="DU314">
        <f t="shared" si="830"/>
        <v>270.21597706161162</v>
      </c>
      <c r="DW314" s="5">
        <f t="shared" si="859"/>
        <v>3.7007434233690453</v>
      </c>
      <c r="DX314" s="5">
        <f t="shared" si="831"/>
        <v>1.2695981087470447</v>
      </c>
      <c r="DY314" s="5">
        <f t="shared" si="832"/>
        <v>2.4311453146220003</v>
      </c>
      <c r="DZ314" s="5"/>
      <c r="EA314" s="173">
        <f t="shared" si="833"/>
        <v>0.3430656934306569</v>
      </c>
      <c r="EB314" s="173">
        <f t="shared" si="860"/>
        <v>23.52</v>
      </c>
      <c r="EC314" s="173">
        <f t="shared" si="861"/>
        <v>5.0042553191489363</v>
      </c>
      <c r="ED314" s="173">
        <f t="shared" si="862"/>
        <v>4.7</v>
      </c>
      <c r="EE314" s="460">
        <f t="shared" si="834"/>
        <v>186.63092198581558</v>
      </c>
      <c r="EF314" s="5">
        <f t="shared" si="835"/>
        <v>1.3236235601830888</v>
      </c>
      <c r="EH314" s="173">
        <f t="shared" si="863"/>
        <v>1.2879990406684334</v>
      </c>
      <c r="EI314" s="173">
        <f t="shared" si="864"/>
        <v>7.1293158655673707</v>
      </c>
      <c r="EK314" s="528">
        <f t="shared" si="865"/>
        <v>2.0239086650906218E-2</v>
      </c>
      <c r="EL314" s="528">
        <f t="shared" si="866"/>
        <v>1.1280000000000001</v>
      </c>
      <c r="EM314" s="528">
        <f t="shared" si="867"/>
        <v>3.377699713270145E-2</v>
      </c>
      <c r="EN314" s="528">
        <f t="shared" si="868"/>
        <v>8.1146938775510213E-2</v>
      </c>
      <c r="EO314">
        <f t="shared" si="869"/>
        <v>1.6199999999999999E-2</v>
      </c>
      <c r="EP314" s="460">
        <f t="shared" si="870"/>
        <v>49.976997132701449</v>
      </c>
      <c r="EQ314" s="460"/>
      <c r="ER314" s="460">
        <f t="shared" si="871"/>
        <v>1279.363022559118</v>
      </c>
      <c r="ES314" s="528">
        <f t="shared" si="872"/>
        <v>4.1159999999999997</v>
      </c>
      <c r="EV314" s="460">
        <f t="shared" si="873"/>
        <v>4116</v>
      </c>
      <c r="EW314" s="528">
        <f t="shared" si="874"/>
        <v>4.9768245862884142E-2</v>
      </c>
      <c r="EX314" s="528">
        <f t="shared" si="875"/>
        <v>1.5248143413309188</v>
      </c>
      <c r="EY314" s="528">
        <f t="shared" si="876"/>
        <v>1.6990899383038494</v>
      </c>
      <c r="EZ314" s="528"/>
      <c r="FA314" s="528">
        <f t="shared" si="877"/>
        <v>9.8000000000000004E-2</v>
      </c>
      <c r="FB314" s="460">
        <f t="shared" si="878"/>
        <v>3371.6725254976518</v>
      </c>
      <c r="FC314" s="173">
        <f t="shared" si="879"/>
        <v>8.7670355480567714</v>
      </c>
      <c r="FD314" s="5">
        <f t="shared" si="880"/>
        <v>23.52</v>
      </c>
      <c r="FE314" s="173">
        <f t="shared" si="881"/>
        <v>0.72846576344837499</v>
      </c>
      <c r="FF314" s="5">
        <f t="shared" si="882"/>
        <v>72.846576344837501</v>
      </c>
      <c r="FI314" s="562">
        <f t="shared" si="836"/>
        <v>-50</v>
      </c>
      <c r="FJ314">
        <f t="shared" si="837"/>
        <v>-50</v>
      </c>
      <c r="FL314">
        <f t="shared" si="838"/>
        <v>0.65693430656934315</v>
      </c>
    </row>
    <row r="315" spans="5:168">
      <c r="E315" s="170">
        <v>99</v>
      </c>
      <c r="F315" s="217">
        <f>IF(PLOT_TYPE=1, E315/100*Iout_max, min_I*EXP(N315*rr/100))</f>
        <v>5.9399999999999995</v>
      </c>
      <c r="G315" s="217"/>
      <c r="H315" s="217">
        <f>F315*Vout</f>
        <v>23.759999999999998</v>
      </c>
      <c r="I315" s="541">
        <f t="shared" si="765"/>
        <v>35.902624460958656</v>
      </c>
      <c r="J315" s="172">
        <f t="shared" si="766"/>
        <v>19.907589069664613</v>
      </c>
      <c r="K315" s="172">
        <f t="shared" si="767"/>
        <v>55.810213530623273</v>
      </c>
      <c r="L315" s="443"/>
      <c r="M315" s="217">
        <f t="shared" si="768"/>
        <v>0.35644152147498409</v>
      </c>
      <c r="N315" s="172">
        <f>M315*I315*(Isw_max+VIN_max/Lmag*ILIM_delay)*0.5*Efficiency</f>
        <v>43.233160333315027</v>
      </c>
      <c r="O315" s="172">
        <f t="shared" si="762"/>
        <v>23.759999999999998</v>
      </c>
      <c r="P315" s="217">
        <f>N315/Vout</f>
        <v>10.808290083328757</v>
      </c>
      <c r="Q315" s="217">
        <f t="shared" si="771"/>
        <v>4</v>
      </c>
      <c r="R315" s="217"/>
      <c r="S315" s="172">
        <f t="shared" si="772"/>
        <v>11.679259318185315</v>
      </c>
      <c r="T315" s="172">
        <f>MIN(Vout, S315)</f>
        <v>4</v>
      </c>
      <c r="U315" s="217">
        <f t="shared" si="774"/>
        <v>4.6149652271025934</v>
      </c>
      <c r="V315" s="217">
        <f>L*U315/I315*1000000</f>
        <v>1.5424939974918035</v>
      </c>
      <c r="W315" s="217">
        <f t="shared" si="776"/>
        <v>2.7818327237635763</v>
      </c>
      <c r="X315" s="197">
        <f t="shared" si="777"/>
        <v>350</v>
      </c>
      <c r="Y315" s="443">
        <f t="shared" si="840"/>
        <v>221.02736199443322</v>
      </c>
      <c r="AA315" s="217">
        <f t="shared" si="778"/>
        <v>3.0491717634950044</v>
      </c>
      <c r="AB315" s="173">
        <f>L*AA315/J315*1000000</f>
        <v>1.8379956022749315</v>
      </c>
      <c r="AC315" s="173">
        <f>0.5*AB315*AA315*Nps*X315/1000</f>
        <v>3.9230550043193011</v>
      </c>
      <c r="AD315" s="173"/>
      <c r="AE315" s="173">
        <f t="shared" si="781"/>
        <v>0.8037135960567402</v>
      </c>
      <c r="AF315" s="545">
        <f>MAX(12000,F315/(0.5*AE315/1000000*Isw_min*Nps))/1000</f>
        <v>2771.5096657923691</v>
      </c>
      <c r="AG315" s="528">
        <f t="shared" si="783"/>
        <v>0.75013268965295765</v>
      </c>
      <c r="AI315" s="173">
        <f t="shared" si="784"/>
        <v>3.7520007214216453</v>
      </c>
      <c r="AJ315" s="173">
        <f>MAX(IF(F315&gt;AC315,U315,AI315),Isw_min)</f>
        <v>4.6149652271025934</v>
      </c>
      <c r="AK315" s="173">
        <f>IF(F315&gt;AG315, (AJ315-Isw_min)/1.08*0.8+1.2, AF315*0.2/350+1)</f>
        <v>3.6308384398290814</v>
      </c>
      <c r="AM315" s="545">
        <f t="shared" si="787"/>
        <v>5939.9999999999991</v>
      </c>
      <c r="AN315" s="460">
        <f t="shared" si="788"/>
        <v>221.02736199443322</v>
      </c>
      <c r="AP315">
        <f t="shared" si="789"/>
        <v>5939.9999999999991</v>
      </c>
      <c r="AQ315">
        <f t="shared" si="790"/>
        <v>221.02736199443322</v>
      </c>
      <c r="AS315" s="5">
        <f t="shared" si="763"/>
        <v>4.5243267212553793</v>
      </c>
      <c r="AT315" s="5">
        <f t="shared" si="791"/>
        <v>1.5424939974918035</v>
      </c>
      <c r="AU315" s="5">
        <f t="shared" si="883"/>
        <v>2.981832723763576</v>
      </c>
      <c r="AV315" s="5"/>
      <c r="AW315" s="173">
        <f t="shared" si="884"/>
        <v>0.34093337915786126</v>
      </c>
      <c r="AX315" s="173">
        <f t="shared" si="792"/>
        <v>28.24451728559934</v>
      </c>
      <c r="AY315" s="173">
        <f t="shared" si="793"/>
        <v>6.0831390750609593</v>
      </c>
      <c r="AZ315" s="173">
        <f t="shared" si="794"/>
        <v>4.6430826152558913</v>
      </c>
      <c r="BA315" s="460">
        <f t="shared" si="885"/>
        <v>229.06035862753276</v>
      </c>
      <c r="BB315" s="5">
        <f t="shared" si="886"/>
        <v>1.6444560479059285</v>
      </c>
      <c r="BD315" s="173">
        <f t="shared" si="841"/>
        <v>1.5557598781997617</v>
      </c>
      <c r="BE315" s="173">
        <f t="shared" si="842"/>
        <v>8.6523176552929613</v>
      </c>
      <c r="BG315" s="528">
        <f t="shared" si="843"/>
        <v>2.9528743343116871E-2</v>
      </c>
      <c r="BH315" s="528">
        <f t="shared" si="795"/>
        <v>1.0674054835784925</v>
      </c>
      <c r="BI315" s="528">
        <f t="shared" si="796"/>
        <v>0.19838655933206253</v>
      </c>
      <c r="BJ315" s="528">
        <f t="shared" si="844"/>
        <v>6.8845159207898604E-2</v>
      </c>
      <c r="BK315">
        <f t="shared" si="845"/>
        <v>1.6156181007431394E-2</v>
      </c>
      <c r="BL315" s="460">
        <f t="shared" si="846"/>
        <v>214.54274033949395</v>
      </c>
      <c r="BM315" s="528">
        <f t="shared" si="797"/>
        <v>1.1820454122180672</v>
      </c>
      <c r="BN315" s="460">
        <f t="shared" si="847"/>
        <v>1182.0454122180672</v>
      </c>
      <c r="BO315" s="528">
        <f t="shared" si="798"/>
        <v>4.1579999999999995</v>
      </c>
      <c r="BR315" s="460">
        <f t="shared" si="848"/>
        <v>4157.9999999999991</v>
      </c>
      <c r="BS315" s="528">
        <f t="shared" si="849"/>
        <v>7.2611663958484118E-2</v>
      </c>
      <c r="BT315" s="528">
        <f t="shared" si="850"/>
        <v>2.2458780242428285</v>
      </c>
      <c r="BU315" s="528">
        <f t="shared" si="851"/>
        <v>1.6615223507395025</v>
      </c>
      <c r="BV315" s="528"/>
      <c r="BW315" s="528">
        <f t="shared" si="852"/>
        <v>0.11768548868999724</v>
      </c>
      <c r="BX315" s="460">
        <f t="shared" si="853"/>
        <v>4097.6975276308121</v>
      </c>
      <c r="BY315" s="173">
        <f t="shared" si="854"/>
        <v>9.6360196540998135</v>
      </c>
      <c r="BZ315" s="5">
        <f t="shared" si="855"/>
        <v>23.759999999999998</v>
      </c>
      <c r="CA315" s="173">
        <f t="shared" si="856"/>
        <v>0.71146203188568125</v>
      </c>
      <c r="CB315" s="5">
        <f t="shared" si="857"/>
        <v>71.146203188568123</v>
      </c>
      <c r="CE315" s="562">
        <f t="shared" si="799"/>
        <v>-50</v>
      </c>
      <c r="CF315">
        <f t="shared" si="800"/>
        <v>-50</v>
      </c>
      <c r="CG315" s="173">
        <f t="shared" si="801"/>
        <v>0.64355998043195028</v>
      </c>
      <c r="CI315" s="170">
        <v>99</v>
      </c>
      <c r="CJ315" s="217">
        <f t="shared" si="858"/>
        <v>5.9399999999999995</v>
      </c>
      <c r="CK315" s="217"/>
      <c r="CL315" s="217">
        <f t="shared" si="802"/>
        <v>23.759999999999998</v>
      </c>
      <c r="CM315" s="541">
        <f t="shared" si="803"/>
        <v>36</v>
      </c>
      <c r="CN315" s="443">
        <f t="shared" si="804"/>
        <v>18.8</v>
      </c>
      <c r="CO315" s="443">
        <f t="shared" si="805"/>
        <v>54.8</v>
      </c>
      <c r="CP315" s="443"/>
      <c r="CQ315" s="217">
        <f t="shared" si="806"/>
        <v>0.34306569343065696</v>
      </c>
      <c r="CR315" s="172">
        <f t="shared" si="807"/>
        <v>41.723649635036502</v>
      </c>
      <c r="CS315" s="172">
        <f t="shared" si="808"/>
        <v>23.759999999999998</v>
      </c>
      <c r="CT315" s="217">
        <f t="shared" si="809"/>
        <v>10.430912408759125</v>
      </c>
      <c r="CU315" s="217">
        <f t="shared" si="810"/>
        <v>4</v>
      </c>
      <c r="CV315" s="217"/>
      <c r="CW315" s="172">
        <f t="shared" si="811"/>
        <v>11.709688078918916</v>
      </c>
      <c r="CX315" s="172">
        <f t="shared" si="812"/>
        <v>4</v>
      </c>
      <c r="CY315" s="217">
        <f t="shared" si="813"/>
        <v>3.8476595744680844</v>
      </c>
      <c r="CZ315" s="217">
        <f t="shared" si="814"/>
        <v>1.2825531914893613</v>
      </c>
      <c r="DA315" s="217">
        <f t="shared" si="815"/>
        <v>2.455952919873245</v>
      </c>
      <c r="DB315" s="197">
        <f t="shared" si="816"/>
        <v>350</v>
      </c>
      <c r="DC315" s="443">
        <f t="shared" si="817"/>
        <v>267.48652274785798</v>
      </c>
      <c r="DE315" s="217">
        <f t="shared" si="818"/>
        <v>2.940563086548488</v>
      </c>
      <c r="DF315" s="173">
        <f t="shared" si="819"/>
        <v>1.8769551616266944</v>
      </c>
      <c r="DG315" s="173">
        <f t="shared" si="820"/>
        <v>3.8635135443702762</v>
      </c>
      <c r="DH315" s="173"/>
      <c r="DI315" s="173">
        <f t="shared" si="821"/>
        <v>0.85106382978723416</v>
      </c>
      <c r="DJ315" s="545">
        <f t="shared" si="822"/>
        <v>2617.3124999999991</v>
      </c>
      <c r="DK315" s="528">
        <f t="shared" si="823"/>
        <v>0.79432624113475192</v>
      </c>
      <c r="DM315" s="173">
        <f t="shared" si="824"/>
        <v>3.6461329808834062</v>
      </c>
      <c r="DN315" s="173">
        <f t="shared" si="825"/>
        <v>3.8476595744680844</v>
      </c>
      <c r="DO315" s="173">
        <f t="shared" si="826"/>
        <v>3.0624638823220378</v>
      </c>
      <c r="DQ315" s="545">
        <f t="shared" si="827"/>
        <v>5939.9999999999991</v>
      </c>
      <c r="DR315" s="460">
        <f t="shared" si="828"/>
        <v>267.48652274785798</v>
      </c>
      <c r="DT315">
        <f t="shared" si="829"/>
        <v>5939.9999999999991</v>
      </c>
      <c r="DU315">
        <f t="shared" si="830"/>
        <v>267.48652274785798</v>
      </c>
      <c r="DW315" s="5">
        <f t="shared" si="859"/>
        <v>3.7385061113626068</v>
      </c>
      <c r="DX315" s="5">
        <f t="shared" si="831"/>
        <v>1.2825531914893613</v>
      </c>
      <c r="DY315" s="5">
        <f t="shared" si="832"/>
        <v>2.4559529198732455</v>
      </c>
      <c r="DZ315" s="5"/>
      <c r="EA315" s="173">
        <f t="shared" si="833"/>
        <v>0.3430656934306569</v>
      </c>
      <c r="EB315" s="173">
        <f t="shared" si="860"/>
        <v>23.759999999999998</v>
      </c>
      <c r="EC315" s="173">
        <f t="shared" si="861"/>
        <v>5.05531914893617</v>
      </c>
      <c r="ED315" s="173">
        <f t="shared" si="862"/>
        <v>4.7</v>
      </c>
      <c r="EE315" s="460">
        <f t="shared" si="834"/>
        <v>190.45914893617012</v>
      </c>
      <c r="EF315" s="5">
        <f t="shared" si="835"/>
        <v>1.3507741059302847</v>
      </c>
      <c r="EH315" s="173">
        <f t="shared" si="863"/>
        <v>1.301141888022193</v>
      </c>
      <c r="EI315" s="173">
        <f t="shared" si="864"/>
        <v>7.202063986644589</v>
      </c>
      <c r="EK315" s="528">
        <f t="shared" si="865"/>
        <v>2.0654236595744672E-2</v>
      </c>
      <c r="EL315" s="528">
        <f t="shared" si="866"/>
        <v>1.1279999999999999</v>
      </c>
      <c r="EM315" s="528">
        <f t="shared" si="867"/>
        <v>3.3435815343482243E-2</v>
      </c>
      <c r="EN315" s="528">
        <f t="shared" si="868"/>
        <v>8.0327272727272733E-2</v>
      </c>
      <c r="EO315">
        <f t="shared" si="869"/>
        <v>1.6199999999999999E-2</v>
      </c>
      <c r="EP315" s="460">
        <f t="shared" si="870"/>
        <v>49.635815343482243</v>
      </c>
      <c r="EQ315" s="460"/>
      <c r="ER315" s="460">
        <f t="shared" si="871"/>
        <v>1278.6173246664996</v>
      </c>
      <c r="ES315" s="528">
        <f t="shared" si="872"/>
        <v>4.1579999999999995</v>
      </c>
      <c r="EV315" s="460">
        <f t="shared" si="873"/>
        <v>4157.9999999999991</v>
      </c>
      <c r="EW315" s="528">
        <f t="shared" si="874"/>
        <v>5.0789106382978705E-2</v>
      </c>
      <c r="EX315" s="528">
        <f t="shared" si="875"/>
        <v>1.5560917700316885</v>
      </c>
      <c r="EY315" s="528">
        <f t="shared" si="876"/>
        <v>1.6990899383038456</v>
      </c>
      <c r="EZ315" s="528"/>
      <c r="FA315" s="528">
        <f t="shared" si="877"/>
        <v>9.8999999999999991E-2</v>
      </c>
      <c r="FB315" s="460">
        <f t="shared" si="878"/>
        <v>3404.9708147185129</v>
      </c>
      <c r="FC315" s="173">
        <f t="shared" si="879"/>
        <v>8.8415881393850118</v>
      </c>
      <c r="FD315" s="5">
        <f t="shared" si="880"/>
        <v>23.759999999999998</v>
      </c>
      <c r="FE315" s="173">
        <f t="shared" si="881"/>
        <v>0.72879885171287861</v>
      </c>
      <c r="FF315" s="5">
        <f t="shared" si="882"/>
        <v>72.879885171287867</v>
      </c>
      <c r="FI315" s="562">
        <f t="shared" si="836"/>
        <v>-50</v>
      </c>
      <c r="FJ315">
        <f t="shared" si="837"/>
        <v>-50</v>
      </c>
      <c r="FL315">
        <f t="shared" si="838"/>
        <v>0.65693430656934315</v>
      </c>
    </row>
    <row r="316" spans="5:168">
      <c r="E316" s="170">
        <v>100</v>
      </c>
      <c r="F316" s="217">
        <f>IF(PLOT_TYPE=1, E316/100*Iout_max, min_I*EXP(N316*rr/100))</f>
        <v>6</v>
      </c>
      <c r="G316" s="217"/>
      <c r="H316" s="217">
        <f>F316*Vout</f>
        <v>24</v>
      </c>
      <c r="I316" s="541">
        <f t="shared" si="765"/>
        <v>35.901661306192636</v>
      </c>
      <c r="J316" s="172">
        <f t="shared" si="766"/>
        <v>19.918544384538741</v>
      </c>
      <c r="K316" s="172">
        <f t="shared" si="767"/>
        <v>55.820205690731378</v>
      </c>
      <c r="L316" s="443"/>
      <c r="M316" s="217">
        <f t="shared" si="768"/>
        <v>0.35657408454486367</v>
      </c>
      <c r="N316" s="172">
        <f>M316*I316*(Isw_max+VIN_max/Lmag*ILIM_delay)*0.5*Efficiency</f>
        <v>43.248078803609943</v>
      </c>
      <c r="O316" s="172">
        <f t="shared" si="762"/>
        <v>24</v>
      </c>
      <c r="P316" s="217">
        <f>N316/Vout</f>
        <v>10.812019700902486</v>
      </c>
      <c r="Q316" s="217">
        <f t="shared" si="771"/>
        <v>4</v>
      </c>
      <c r="R316" s="217"/>
      <c r="S316" s="172">
        <f t="shared" si="772"/>
        <v>11.485545773708351</v>
      </c>
      <c r="T316" s="172">
        <f>MIN(Vout, S316)</f>
        <v>4</v>
      </c>
      <c r="U316" s="217">
        <f t="shared" si="774"/>
        <v>4.6625414487352561</v>
      </c>
      <c r="V316" s="217">
        <f>L*U316/I316*1000000</f>
        <v>1.5584375582968424</v>
      </c>
      <c r="W316" s="217">
        <f t="shared" si="776"/>
        <v>2.808965168571917</v>
      </c>
      <c r="X316" s="197">
        <f t="shared" si="777"/>
        <v>350</v>
      </c>
      <c r="Y316" s="443">
        <f t="shared" si="840"/>
        <v>218.94281275379512</v>
      </c>
      <c r="AA316" s="217">
        <f t="shared" si="778"/>
        <v>3.0502217975985522</v>
      </c>
      <c r="AB316" s="173">
        <f>L*AA316/J316*1000000</f>
        <v>1.8376172909298787</v>
      </c>
      <c r="AC316" s="173">
        <f>0.5*AB316*AA316*Nps*X316/1000</f>
        <v>3.923598221506821</v>
      </c>
      <c r="AD316" s="173"/>
      <c r="AE316" s="173">
        <f t="shared" si="781"/>
        <v>0.80327154891998997</v>
      </c>
      <c r="AF316" s="545">
        <f>MAX(12000,F316/(0.5*AE316/1000000*Isw_min*Nps))/1000</f>
        <v>2801.0453040757598</v>
      </c>
      <c r="AG316" s="528">
        <f t="shared" si="783"/>
        <v>0.74972011232532398</v>
      </c>
      <c r="AI316" s="173">
        <f t="shared" si="784"/>
        <v>3.7719400450221841</v>
      </c>
      <c r="AJ316" s="173">
        <f>MAX(IF(F316&gt;AC316,U316,AI316),Isw_min)</f>
        <v>4.6625414487352561</v>
      </c>
      <c r="AK316" s="173">
        <f>IF(F316&gt;AG316, (AJ316-Isw_min)/1.08*0.8+1.2, AF316*0.2/350+1)</f>
        <v>3.6660800854829061</v>
      </c>
      <c r="AM316" s="545">
        <f t="shared" si="787"/>
        <v>6000</v>
      </c>
      <c r="AN316" s="460">
        <f t="shared" si="788"/>
        <v>218.94281275379512</v>
      </c>
      <c r="AP316">
        <f t="shared" si="789"/>
        <v>6000</v>
      </c>
      <c r="AQ316">
        <f t="shared" si="790"/>
        <v>218.94281275379512</v>
      </c>
      <c r="AS316" s="5">
        <f t="shared" si="763"/>
        <v>4.5674027268687594</v>
      </c>
      <c r="AT316" s="5">
        <f t="shared" si="791"/>
        <v>1.5584375582968424</v>
      </c>
      <c r="AU316" s="5">
        <f t="shared" si="883"/>
        <v>3.0089651685719172</v>
      </c>
      <c r="AV316" s="5"/>
      <c r="AW316" s="173">
        <f>AT316/AS316</f>
        <v>0.34120870251466723</v>
      </c>
      <c r="AX316" s="173">
        <f t="shared" si="792"/>
        <v>28.557971426458259</v>
      </c>
      <c r="AY316" s="173">
        <f t="shared" si="793"/>
        <v>6.1432834611828842</v>
      </c>
      <c r="AZ316" s="173">
        <f t="shared" si="794"/>
        <v>4.6486494733484829</v>
      </c>
      <c r="BA316" s="460">
        <f t="shared" si="885"/>
        <v>233.76563374452635</v>
      </c>
      <c r="BB316" s="5">
        <f t="shared" si="886"/>
        <v>1.6762261461437737</v>
      </c>
      <c r="BD316" s="173">
        <f t="shared" si="841"/>
        <v>1.5724329213702319</v>
      </c>
      <c r="BE316" s="173">
        <f t="shared" si="842"/>
        <v>8.7396893566602216</v>
      </c>
      <c r="BG316" s="528">
        <f t="shared" si="843"/>
        <v>3.0165052564948849E-2</v>
      </c>
      <c r="BH316" s="528">
        <f t="shared" si="795"/>
        <v>1.0684300723263156</v>
      </c>
      <c r="BI316" s="528">
        <f t="shared" si="796"/>
        <v>0.19651026772279762</v>
      </c>
      <c r="BJ316" s="528">
        <f t="shared" si="844"/>
        <v>6.8220289509957482E-2</v>
      </c>
      <c r="BK316">
        <f t="shared" si="845"/>
        <v>1.6155747587786685E-2</v>
      </c>
      <c r="BL316" s="460">
        <f t="shared" si="846"/>
        <v>212.6660153105843</v>
      </c>
      <c r="BM316" s="528">
        <f t="shared" si="797"/>
        <v>1.1834419633477498</v>
      </c>
      <c r="BN316" s="460">
        <f t="shared" si="847"/>
        <v>1183.4419633477498</v>
      </c>
      <c r="BO316" s="528">
        <f t="shared" si="798"/>
        <v>4.1999999999999993</v>
      </c>
      <c r="BR316" s="460">
        <f t="shared" si="848"/>
        <v>4199.9999999999991</v>
      </c>
      <c r="BS316" s="528">
        <f t="shared" si="849"/>
        <v>7.4176358766267658E-2</v>
      </c>
      <c r="BT316" s="528">
        <f t="shared" si="850"/>
        <v>2.2914651015275984</v>
      </c>
      <c r="BU316" s="528">
        <f t="shared" si="851"/>
        <v>1.6647671639403885</v>
      </c>
      <c r="BV316" s="528"/>
      <c r="BW316" s="528">
        <f t="shared" si="852"/>
        <v>0.11899154761024275</v>
      </c>
      <c r="BX316" s="460">
        <f t="shared" si="853"/>
        <v>4149.4001718444979</v>
      </c>
      <c r="BY316" s="173">
        <f t="shared" si="854"/>
        <v>9.7288816015563029</v>
      </c>
      <c r="BZ316" s="5">
        <f t="shared" si="855"/>
        <v>24</v>
      </c>
      <c r="CA316" s="173">
        <f t="shared" si="856"/>
        <v>0.71155635349891366</v>
      </c>
      <c r="CB316" s="5">
        <f t="shared" si="857"/>
        <v>71.155635349891369</v>
      </c>
      <c r="CE316" s="562">
        <f t="shared" si="799"/>
        <v>-50</v>
      </c>
      <c r="CF316">
        <f t="shared" si="800"/>
        <v>-50</v>
      </c>
      <c r="CG316" s="173">
        <f t="shared" si="801"/>
        <v>0.64369372369332423</v>
      </c>
      <c r="CI316" s="170">
        <v>100</v>
      </c>
      <c r="CJ316" s="217">
        <f t="shared" si="858"/>
        <v>6</v>
      </c>
      <c r="CK316" s="217"/>
      <c r="CL316" s="217">
        <f t="shared" si="802"/>
        <v>24</v>
      </c>
      <c r="CM316" s="541">
        <f t="shared" si="803"/>
        <v>36</v>
      </c>
      <c r="CN316" s="443">
        <f t="shared" si="804"/>
        <v>18.8</v>
      </c>
      <c r="CO316" s="443">
        <f t="shared" si="805"/>
        <v>54.8</v>
      </c>
      <c r="CP316" s="443"/>
      <c r="CQ316" s="217">
        <f t="shared" si="806"/>
        <v>0.34306569343065696</v>
      </c>
      <c r="CR316" s="172">
        <f t="shared" si="807"/>
        <v>41.723649635036502</v>
      </c>
      <c r="CS316" s="172">
        <f t="shared" si="808"/>
        <v>24</v>
      </c>
      <c r="CT316" s="217">
        <f t="shared" si="809"/>
        <v>10.430912408759125</v>
      </c>
      <c r="CU316" s="217">
        <f t="shared" si="810"/>
        <v>4</v>
      </c>
      <c r="CV316" s="217"/>
      <c r="CW316" s="172">
        <f t="shared" si="811"/>
        <v>11.515728552176883</v>
      </c>
      <c r="CX316" s="172">
        <f t="shared" si="812"/>
        <v>4</v>
      </c>
      <c r="CY316" s="217">
        <f t="shared" si="813"/>
        <v>3.8865248226950349</v>
      </c>
      <c r="CZ316" s="217">
        <f t="shared" si="814"/>
        <v>1.2955082742316781</v>
      </c>
      <c r="DA316" s="217">
        <f t="shared" si="815"/>
        <v>2.4807605251244902</v>
      </c>
      <c r="DB316" s="197">
        <f t="shared" si="816"/>
        <v>350</v>
      </c>
      <c r="DC316" s="443">
        <f t="shared" si="817"/>
        <v>264.81165752037941</v>
      </c>
      <c r="DE316" s="217">
        <f t="shared" si="818"/>
        <v>2.940563086548488</v>
      </c>
      <c r="DF316" s="173">
        <f t="shared" si="819"/>
        <v>1.8769551616266944</v>
      </c>
      <c r="DG316" s="173">
        <f t="shared" si="820"/>
        <v>3.8635135443702762</v>
      </c>
      <c r="DH316" s="173"/>
      <c r="DI316" s="173">
        <f t="shared" si="821"/>
        <v>0.85106382978723416</v>
      </c>
      <c r="DJ316" s="545">
        <f t="shared" si="822"/>
        <v>2643.7499999999995</v>
      </c>
      <c r="DK316" s="528">
        <f t="shared" si="823"/>
        <v>0.79432624113475192</v>
      </c>
      <c r="DM316" s="173">
        <f t="shared" si="824"/>
        <v>3.6645015252516173</v>
      </c>
      <c r="DN316" s="173">
        <f t="shared" si="825"/>
        <v>3.8865248226950349</v>
      </c>
      <c r="DO316" s="173">
        <f t="shared" si="826"/>
        <v>3.0912529550827417</v>
      </c>
      <c r="DQ316" s="545">
        <f t="shared" si="827"/>
        <v>6000</v>
      </c>
      <c r="DR316" s="460">
        <f t="shared" si="828"/>
        <v>264.81165752037941</v>
      </c>
      <c r="DT316">
        <f t="shared" si="829"/>
        <v>6000</v>
      </c>
      <c r="DU316">
        <f t="shared" si="830"/>
        <v>264.81165752037941</v>
      </c>
      <c r="DW316" s="5">
        <f t="shared" si="859"/>
        <v>3.7762687993561683</v>
      </c>
      <c r="DX316" s="5">
        <f t="shared" si="831"/>
        <v>1.2955082742316781</v>
      </c>
      <c r="DY316" s="5">
        <f t="shared" si="832"/>
        <v>2.4807605251244902</v>
      </c>
      <c r="DZ316" s="5"/>
      <c r="EA316" s="173">
        <f t="shared" si="833"/>
        <v>0.3430656934306569</v>
      </c>
      <c r="EB316" s="173">
        <f t="shared" si="860"/>
        <v>23.999999999999996</v>
      </c>
      <c r="EC316" s="173">
        <f t="shared" si="861"/>
        <v>5.1063829787234045</v>
      </c>
      <c r="ED316" s="173">
        <f t="shared" si="862"/>
        <v>4.6999999999999993</v>
      </c>
      <c r="EE316" s="460">
        <f t="shared" si="834"/>
        <v>194.32624113475171</v>
      </c>
      <c r="EF316" s="5">
        <f t="shared" si="835"/>
        <v>1.3782002917358276</v>
      </c>
      <c r="EH316" s="173">
        <f t="shared" si="863"/>
        <v>1.3142847353759524</v>
      </c>
      <c r="EI316" s="173">
        <f t="shared" si="864"/>
        <v>7.2748121077218073</v>
      </c>
      <c r="EK316" s="528">
        <f t="shared" si="865"/>
        <v>2.1073601260835292E-2</v>
      </c>
      <c r="EL316" s="528">
        <f t="shared" si="866"/>
        <v>1.1280000000000001</v>
      </c>
      <c r="EM316" s="528">
        <f t="shared" si="867"/>
        <v>3.3101457190047423E-2</v>
      </c>
      <c r="EN316" s="528">
        <f t="shared" si="868"/>
        <v>7.9524000000000011E-2</v>
      </c>
      <c r="EO316">
        <f t="shared" si="869"/>
        <v>1.6199999999999999E-2</v>
      </c>
      <c r="EP316" s="460">
        <f t="shared" si="870"/>
        <v>49.301457190047422</v>
      </c>
      <c r="EQ316" s="460"/>
      <c r="ER316" s="460">
        <f t="shared" si="871"/>
        <v>1277.8990584508826</v>
      </c>
      <c r="ES316" s="528">
        <f t="shared" si="872"/>
        <v>4.1999999999999993</v>
      </c>
      <c r="EV316" s="460">
        <f t="shared" si="873"/>
        <v>4199.9999999999991</v>
      </c>
      <c r="EW316" s="528">
        <f t="shared" si="874"/>
        <v>5.1820330969267116E-2</v>
      </c>
      <c r="EX316" s="528">
        <f t="shared" si="875"/>
        <v>1.587686736079674</v>
      </c>
      <c r="EY316" s="528">
        <f t="shared" si="876"/>
        <v>1.6990899383038491</v>
      </c>
      <c r="EZ316" s="528"/>
      <c r="FA316" s="528">
        <f t="shared" si="877"/>
        <v>9.9999999999999992E-2</v>
      </c>
      <c r="FB316" s="460">
        <f t="shared" si="878"/>
        <v>3438.5970053527903</v>
      </c>
      <c r="FC316" s="173">
        <f t="shared" si="879"/>
        <v>8.9164960638036721</v>
      </c>
      <c r="FD316" s="5">
        <f t="shared" si="880"/>
        <v>24</v>
      </c>
      <c r="FE316" s="173">
        <f t="shared" si="881"/>
        <v>0.7291177029742052</v>
      </c>
      <c r="FF316" s="5">
        <f t="shared" si="882"/>
        <v>72.911770297420517</v>
      </c>
      <c r="FI316" s="562">
        <f t="shared" si="836"/>
        <v>-50</v>
      </c>
      <c r="FJ316">
        <f t="shared" si="837"/>
        <v>-50</v>
      </c>
      <c r="FL316">
        <f t="shared" si="838"/>
        <v>0.65693430656934315</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0.1</v>
      </c>
      <c r="G322" s="884">
        <f>F322*Vout</f>
        <v>0.4</v>
      </c>
    </row>
    <row r="323" spans="5:165">
      <c r="E323" t="s">
        <v>907</v>
      </c>
    </row>
    <row r="324" spans="5:165">
      <c r="F324" t="s">
        <v>908</v>
      </c>
      <c r="G324" t="s">
        <v>909</v>
      </c>
      <c r="H324" t="s">
        <v>910</v>
      </c>
      <c r="I324" s="76" t="s">
        <v>660</v>
      </c>
    </row>
    <row r="325" spans="5:165">
      <c r="F325" s="885">
        <v>1.9999999999999999E-7</v>
      </c>
      <c r="G325">
        <f>VIN_max</f>
        <v>36</v>
      </c>
      <c r="H325">
        <f>15000</f>
        <v>15000</v>
      </c>
      <c r="I325">
        <f>L*0.9</f>
        <v>1.08E-5</v>
      </c>
    </row>
    <row r="326" spans="5:165">
      <c r="G326" s="76" t="s">
        <v>911</v>
      </c>
    </row>
    <row r="327" spans="5:165">
      <c r="G327" s="884">
        <f>0.5*(G325/I325*F325)^2*H325*I325</f>
        <v>3.5999999999999997E-2</v>
      </c>
    </row>
    <row r="328" spans="5:165">
      <c r="E328" s="76" t="s">
        <v>912</v>
      </c>
    </row>
    <row r="329" spans="5:165">
      <c r="G329" t="str">
        <f>IF(G327&gt;G322, "Yes", "No")</f>
        <v>No</v>
      </c>
      <c r="H329">
        <f>(Vout*1.05)^2/(G327-G322)</f>
        <v>-48.46153846153846</v>
      </c>
    </row>
  </sheetData>
  <sheetProtection algorithmName="SHA-512" hashValue="VK9QLheCludiINuQfxcfr4LD7XKmIutxyBhDX9CBej4SI+A2YK/orixBMJ17m2Jn48eh8hMMGdtnWNAzP5Gq+g==" saltValue="O7wVceKtoOG+YSWrHwWkj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6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40</v>
      </c>
      <c r="EA2">
        <f>Vout_ripple</f>
        <v>40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4.0000000000000002E-9</v>
      </c>
      <c r="I5" s="217">
        <f>G5*Vout2</f>
        <v>1.8000000000000002E-8</v>
      </c>
      <c r="J5" s="541">
        <f t="shared" ref="J5:J36" si="1">Vin-(F5/CG5/Nps+G5/CH5/(Nps/Nsec1sec2))*(Rdcr_pri+RON/1000)</f>
        <v>23.999982378152794</v>
      </c>
      <c r="K5" s="443">
        <f t="shared" ref="K5:K36" si="2">MAX((S5+Vfwd2+Rdcr_sec*F5/CG5)*Nps,(Vout2+Vfwd22+Rdcr_sec2*G5/CH5)*Nps/Nsec1sec2)</f>
        <v>18.800067171422494</v>
      </c>
      <c r="L5" s="172">
        <f t="shared" ref="L5:L36" si="3">MAX((Vout+Vfwd2+F5/CG5*Rdcr_sec)*Nps+J5, (Vout2+Vfwd22+G5/CH5*Rdcr_sec2)*Nps/Nsec1sec2+J5)</f>
        <v>42.800049549575292</v>
      </c>
      <c r="M5" s="443"/>
      <c r="N5" s="217">
        <f t="shared" ref="N5:N36" si="4">MAX((Vout+Vfwd2+F5/CG5*Rdcr_sec)*Nps/((Vout+Vfwd2+F5/CG5*Rdcr_sec)*Nps+J5), (Vout2+Vfwd22+G5/CH5*Rdcr_sec2)*Nps/Nsec1sec2/((Vout2+Vfwd22+G5/CH5*Rdcr_sec2)*Nps/Nsec1sec2+J5))</f>
        <v>0.43925339735054231</v>
      </c>
      <c r="O5" s="172">
        <f>N5*J5*Isw_max*0.5*Efficiency*(Pout/Pout_total)</f>
        <v>35.140245986522544</v>
      </c>
      <c r="P5" s="172">
        <f t="shared" ref="P5:P36" si="5">N5*J5*Isw_max*0.5*Efficiency*(Pout2/Pout_total)</f>
        <v>2.6355184489891905</v>
      </c>
      <c r="Q5" s="217">
        <f t="shared" ref="Q5:Q68" si="6">O5/Vout</f>
        <v>8.785061496630636</v>
      </c>
      <c r="R5" s="217">
        <f t="shared" ref="R5:R36" si="7">O5/Vout2</f>
        <v>1.9522358881401414</v>
      </c>
      <c r="S5" s="443">
        <f t="shared" ref="S5:S36" si="8">MIN(Vout,O5/F5)</f>
        <v>4</v>
      </c>
      <c r="T5" s="217">
        <f t="shared" ref="T5:T36" si="9">MIN(2*(Vout*F5+Vout2*G5)/(Efficiency*J5*N5), Isw_max)</f>
        <v>4.1737518491736864E-9</v>
      </c>
      <c r="U5" s="217">
        <f t="shared" ref="U5:U68" si="10">L*T5/J5*1000000</f>
        <v>2.0868774568633299E-9</v>
      </c>
      <c r="V5" s="217">
        <f t="shared" ref="V5:V68" si="11">L*T5/K5*1000000</f>
        <v>2.6640874063586971E-9</v>
      </c>
      <c r="W5" s="197">
        <f t="shared" ref="W5:W68" si="12">IF(1/((350000*L)*(1/J5+1/K5))&gt;Isw_min, 350, 0.001/((Isw_min*L)*(1/J5+1/K5)))</f>
        <v>350</v>
      </c>
      <c r="X5" s="443">
        <f>MIN(1/(U5+V5+0.2)*1000, 350)</f>
        <v>350</v>
      </c>
      <c r="Z5" s="217">
        <f t="shared" ref="Z5:Z68" si="13">1/((W5*1000*L)*(1/J5+1/K5))</f>
        <v>2.5100175704658958</v>
      </c>
      <c r="AA5" s="173">
        <f t="shared" ref="AA5:AA68" si="14">L*Z5/K5*1000000</f>
        <v>1.6021331504270218</v>
      </c>
      <c r="AB5" s="173">
        <f t="shared" ref="AB5:AB36" si="15">0.5*AA5*Z5*Nps*W5/1000*(Pout/Pout_total)</f>
        <v>2.8149676504583931</v>
      </c>
      <c r="AC5" s="173"/>
      <c r="AD5" s="173">
        <f t="shared" ref="AD5:AD68" si="16">L*Isw_min/K5*1000000</f>
        <v>0.85106078899128601</v>
      </c>
      <c r="AE5" s="545">
        <f t="shared" ref="AE5:AE36" si="17">MAX(10, F5/(0.5*AD5/1000000*Isw_min*Nps)/1000*Pout_total/Pout)</f>
        <v>10</v>
      </c>
      <c r="AF5" s="528">
        <f t="shared" ref="AF5:AF36" si="18">0.5*AD5/1000000*Isw_min*Nps*W5*1000*(Pout/Pout_total)</f>
        <v>0.79432340305853355</v>
      </c>
      <c r="AH5" s="173">
        <f t="shared" ref="AH5:AH36" si="19">SQRT((H5+I5)/(0.5*L*Fsw_DCM))</f>
        <v>1.023532631438318E-4</v>
      </c>
      <c r="AI5" s="173">
        <f t="shared" ref="AI5:AI36" si="20">MAX(IF(F5&gt;AB5,T5,AH5),Isw_min)</f>
        <v>1.3333333333333335</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0.66666715616278194</v>
      </c>
      <c r="AT5" s="5">
        <f>AR5-AS5</f>
        <v>99.333332843837212</v>
      </c>
      <c r="AU5" s="173">
        <f>AS5/AR5</f>
        <v>6.6666715616278197E-3</v>
      </c>
      <c r="AW5" s="5">
        <f t="shared" ref="AW5:AW36" si="26">F5*AS5/Vout_ripple*1000</f>
        <v>1.6666678904069548E-8</v>
      </c>
      <c r="AX5" s="5">
        <f t="shared" ref="AX5:AX36" si="27">G5*AS5/Vout_ripple2*1000</f>
        <v>3.7037064231265665E-9</v>
      </c>
      <c r="AY5" s="5">
        <f t="shared" ref="AY5:AY68" si="28">H5/Efficiency/J5*AT5/Vinripple1</f>
        <v>1.3796306358160832E-8</v>
      </c>
      <c r="AZ5" s="5"/>
      <c r="BA5" s="173">
        <f>AI5*SQRT(AU5/3)</f>
        <v>6.2853959180534824E-2</v>
      </c>
      <c r="BB5" s="173">
        <f t="shared" ref="BB5:BB36" si="29">AI5*Npri_sec1*SQRT((1-AU5)/3)*(Pout/Pout_total)</f>
        <v>3.0689202593952793</v>
      </c>
      <c r="BC5" s="173">
        <f t="shared" ref="BC5:BC36" si="30">AI5*Npri_sec2*SQRT((1-AU5)/3)*(Pout2/Pout_total)</f>
        <v>5.8475372510099238E-2</v>
      </c>
      <c r="BD5" s="173"/>
      <c r="BE5" s="528">
        <f t="shared" ref="BE5:BE68" si="31">Rdson*BA5^2</f>
        <v>4.8197566252953719E-5</v>
      </c>
      <c r="BF5" s="528">
        <f t="shared" ref="BF5:BF36" si="32">0.5*L5*AI5*AM5*1000*Tfall</f>
        <v>1.0700012387393824E-2</v>
      </c>
      <c r="BG5" s="528">
        <f t="shared" ref="BG5:BG36" si="33">Qg*Vdd*AM5*1000*0+Qg*J5*AM5*1000</f>
        <v>5.9999955945381983E-3</v>
      </c>
      <c r="BH5" s="528">
        <f t="shared" ref="BH5:BH68" si="34">0.5*(Coss+Csw)*L5^2*AM5*1000</f>
        <v>1.8318442414461003E-3</v>
      </c>
      <c r="BI5">
        <f t="shared" ref="BI5:BI68" si="35">J5*IQ</f>
        <v>1.0799992070168758E-2</v>
      </c>
      <c r="BJ5" s="460">
        <f>(BG5+BI5)*1000</f>
        <v>16.799987664706954</v>
      </c>
      <c r="BK5">
        <f t="shared" ref="BK5:BK36" si="36">(BF5+BG5*0+BH5+BI5*0+BE5*(1+RdsonTC*(Ta-25)))/(1-BE5*RdsonTC*ThetaJA)</f>
        <v>1.2593211752189859E-2</v>
      </c>
      <c r="BL5" s="460">
        <f>BK5*1000</f>
        <v>12.593211752189859</v>
      </c>
      <c r="BM5" s="173">
        <f t="shared" ref="BM5:BM36" si="37">Vfwd2*F5*(1+Diode_TC/1000*(Ta-25))</f>
        <v>6.212499999999999E-10</v>
      </c>
      <c r="BN5" s="173">
        <f t="shared" ref="BN5:BN36" si="38">Vfwd22*G5*(1+Diode_TC/1000*(Ta-25))</f>
        <v>4.4374999999999999E-10</v>
      </c>
      <c r="BO5" s="528"/>
      <c r="BQ5" s="460">
        <f>SUM(BM5:BP5)*1000</f>
        <v>1.065E-6</v>
      </c>
      <c r="BR5" s="528">
        <f t="shared" ref="BR5:BR68" si="39">Rdcr_pri*BA5^2</f>
        <v>1.1851860554005014E-4</v>
      </c>
      <c r="BS5" s="528">
        <f>Rdcr_sec*BB5^2</f>
        <v>0.28254814675580364</v>
      </c>
      <c r="BT5" s="528">
        <f t="shared" ref="BT5:BT36" si="40">Rdcr_sec2*BC5^2</f>
        <v>1.7096845950974347E-5</v>
      </c>
      <c r="BU5" s="528">
        <f t="shared" ref="BU5:BU68" si="41">AI5^2.5*AM5^2.5*k_core</f>
        <v>3.2457633037343212E-5</v>
      </c>
      <c r="BV5" s="528">
        <f t="shared" ref="BV5:BV36" si="42">(BU5+(BR5+BS5+BT5)*(1+Ltc*(Ta-25)))/(1-(BR5+BS5+BT5)*Ltc*ThetaCa)</f>
        <v>0.35867157314557069</v>
      </c>
      <c r="BW5" s="625">
        <f t="shared" ref="BW5:BW36" si="43">0.5*Lleak*0.000000001*AI5^2*AM5*1000</f>
        <v>4.4444444444444452E-4</v>
      </c>
      <c r="BX5" s="460">
        <f>(BV5+BW5)*1000</f>
        <v>359.11601759001513</v>
      </c>
      <c r="BY5" s="173">
        <f>SUM(BK5,BM5:BP5,BV5:BW5)</f>
        <v>0.37170923040720499</v>
      </c>
      <c r="BZ5" s="5">
        <f>MIN(H5+I5,O5+P5)</f>
        <v>2.2000000000000002E-8</v>
      </c>
      <c r="CA5" s="173">
        <f>BZ5/(BZ5+BY5)</f>
        <v>5.9186043547549766E-8</v>
      </c>
      <c r="CB5" s="5">
        <f>CA5*100</f>
        <v>5.9186043547549764E-6</v>
      </c>
      <c r="CC5">
        <v>0</v>
      </c>
      <c r="CE5" s="562">
        <f t="shared" ref="CE5:CE36" si="44">IF(ABS(F5-Ioutmax_Vinnom)&lt;Iout/200, AM5, -50)</f>
        <v>-50</v>
      </c>
      <c r="CF5">
        <f t="shared" ref="CF5:CF36" si="45">IF(ABS(F5-Ioutmax_Vinnom)&lt;Iout/200, (O5+P5)*CA5, -50)</f>
        <v>-50</v>
      </c>
      <c r="CG5" s="173">
        <f t="shared" ref="CG5:CG36" si="46">MIN(SQRT(2*DT5*1000*Ls1_*(CL5+CJ5*Vfwd1))/(CW5+Vfwd1), 1-DY5)</f>
        <v>1.7864740025262411E-6</v>
      </c>
      <c r="CH5" s="173">
        <f t="shared" ref="CH5:CH36" si="47">MIN(SQRT(2*DT5*1000*Ls2_*(CM5+CK5*Vfwd22))/(Vout2+Vfwd22), 1-DY5)</f>
        <v>3.5443257976505713E-6</v>
      </c>
      <c r="CI5" s="170">
        <v>0.1</v>
      </c>
      <c r="CJ5" s="217">
        <v>1.0000000000000001E-9</v>
      </c>
      <c r="CK5" s="217">
        <v>1.0000000000000001E-9</v>
      </c>
      <c r="CL5" s="217">
        <f t="shared" ref="CL5:CL68" si="48">CJ5*Vout</f>
        <v>4.0000000000000002E-9</v>
      </c>
      <c r="CM5" s="217">
        <f>CK5*Vout2</f>
        <v>1.8000000000000002E-8</v>
      </c>
      <c r="CN5" s="541">
        <f>Vin</f>
        <v>24</v>
      </c>
      <c r="CO5" s="443">
        <f t="shared" ref="CO5:CO36" si="49">(CW5+Vfwd2)*Nps</f>
        <v>18.8</v>
      </c>
      <c r="CP5" s="443">
        <f t="shared" ref="CP5:CP36" si="50">(Vout+Vfwd2)*Nps+CN5</f>
        <v>42.8</v>
      </c>
      <c r="CQ5" s="443"/>
      <c r="CR5" s="217">
        <f>(Vout+Vfwd2)*Nps/((Vout+Vfwd2)*Nps+CN5)</f>
        <v>0.43925233644859818</v>
      </c>
      <c r="CS5" s="172">
        <f>CR5*CN5*Isw_max*0.5*Efficiency*(Pout/Pout_total)</f>
        <v>35.14018691588786</v>
      </c>
      <c r="CT5" s="172">
        <f t="shared" ref="CT5:CT68" si="51">CR5*CN5*Isw_max*0.5*Efficiency*(Pout2/Pout_total)</f>
        <v>2.6355140186915893</v>
      </c>
      <c r="CU5" s="217">
        <f t="shared" ref="CU5:CU68" si="52">CS5/Vout</f>
        <v>8.7850467289719649</v>
      </c>
      <c r="CV5" s="217">
        <f t="shared" ref="CV5:CV68" si="53">CS5/Vout2</f>
        <v>1.9522326064382145</v>
      </c>
      <c r="CW5" s="443">
        <f t="shared" ref="CW5:CW68" si="54">MIN(Vout,CS5/CJ5)</f>
        <v>4</v>
      </c>
      <c r="CX5" s="217">
        <f t="shared" ref="CX5:CX68" si="55">MIN(2*(Vout*CJ5+Vout2*CK5)/(Efficiency*CN5*CR5), Isw_max)</f>
        <v>4.1737588652482266E-9</v>
      </c>
      <c r="CY5" s="217">
        <f t="shared" ref="CY5:CY68" si="56">L*CX5/CN5*1000000</f>
        <v>2.0868794326241133E-9</v>
      </c>
      <c r="CZ5" s="217">
        <f t="shared" ref="CZ5:CZ68" si="57">L*CX5/CO5*1000000</f>
        <v>2.6641014033499317E-9</v>
      </c>
      <c r="DA5" s="197">
        <f t="shared" ref="DA5:DA68" si="58">IF(1/((350000*L)*(1/CN5+1/CO5))&gt;Isw_min, 350, 0.001/((Isw_min*L)*(1/CN5+1/CO5)))</f>
        <v>350</v>
      </c>
      <c r="DB5" s="443">
        <f>MIN(1/(CY5+CZ5)*1000, 350)</f>
        <v>350</v>
      </c>
      <c r="DD5" s="217">
        <f t="shared" ref="DD5:DD68" si="59">1/((DA5*1000*L)*(1/CN5+1/CO5))</f>
        <v>2.5100133511348464</v>
      </c>
      <c r="DE5" s="173">
        <f t="shared" ref="DE5:DE68" si="60">L*DD5/CO5*1000000</f>
        <v>1.6021361815754336</v>
      </c>
      <c r="DF5" s="173">
        <f t="shared" ref="DF5:DF68" si="61">0.5*DE5*DD5*Nps*DA5/1000*(Pout/Pout_total)</f>
        <v>2.8149682442633783</v>
      </c>
      <c r="DG5" s="173"/>
      <c r="DH5" s="173">
        <f t="shared" ref="DH5:DH68" si="62">L*Isw_min/CO5*1000000</f>
        <v>0.85106382978723416</v>
      </c>
      <c r="DI5" s="545">
        <f t="shared" ref="DI5:DI68" si="63">MAX(10, CJ5/(0.5*DH5/1000000*Isw_min*Nps)/1000*Pout_total/Pout)</f>
        <v>10</v>
      </c>
      <c r="DJ5" s="528">
        <f t="shared" ref="DJ5:DJ68" si="64">0.5*DH5/1000000*Isw_min*Nps*DA5*1000*(Pout/Pout_total)</f>
        <v>0.79432624113475192</v>
      </c>
      <c r="DL5" s="173">
        <f t="shared" ref="DL5:DL68" si="65">SQRT((CL5+CM5)/(0.5*L*Fsw_DCM))</f>
        <v>1.023532631438318E-4</v>
      </c>
      <c r="DM5" s="173">
        <f t="shared" ref="DM5:DM68" si="66">MAX(IF(CJ5&gt;DF5,CX5,DL5),Isw_min)</f>
        <v>1.3333333333333335</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0.66666666666666685</v>
      </c>
      <c r="DX5" s="5">
        <f>DV5-DW5</f>
        <v>99.333333333333329</v>
      </c>
      <c r="DY5" s="173">
        <f>DW5/DV5</f>
        <v>6.6666666666666688E-3</v>
      </c>
      <c r="EA5" s="5">
        <f t="shared" ref="EA5:EA68" si="72">CJ5*DW5/Vout_ripple*1000</f>
        <v>1.666666666666667E-8</v>
      </c>
      <c r="EB5" s="5">
        <f t="shared" ref="EB5:EB68" si="73">CK5*DW5/Vout_ripple2*1000</f>
        <v>3.7037037037037052E-9</v>
      </c>
      <c r="EC5" s="5">
        <f t="shared" ref="EC5:EC68" si="74">CL5/Efficiency/CN5*DX5/Vinripple1</f>
        <v>1.3796296296296294E-8</v>
      </c>
      <c r="ED5" s="5"/>
      <c r="EE5" s="173">
        <f>DM5*SQRT(DY5/3)</f>
        <v>6.2853936105470909E-2</v>
      </c>
      <c r="EF5" s="173">
        <f t="shared" ref="EF5:EF68" si="75">DM5*Npri_sec1*SQRT((1-DY5)/3)*(Pout/Pout_total)</f>
        <v>3.0689202669568121</v>
      </c>
      <c r="EG5" s="173">
        <f t="shared" ref="EG5:EG68" si="76">DM5*Npri_sec2*SQRT((1-DY5)/3)*(Pout2/Pout_total)</f>
        <v>5.8475372654177092E-2</v>
      </c>
      <c r="EH5" s="173"/>
      <c r="EI5" s="528">
        <f t="shared" ref="EI5:EI68" si="77">Rdson*EE5^2</f>
        <v>4.8197530864197551E-5</v>
      </c>
      <c r="EJ5" s="528">
        <f t="shared" ref="EJ5:EJ68" si="78">0.5*CP5*DM5*DQ5*1000*Trise</f>
        <v>1.1413333333333334E-2</v>
      </c>
      <c r="EK5" s="528">
        <f t="shared" ref="EK5:EK68" si="79">Qg*Vdd*DQ5*1000</f>
        <v>1.2499999999999998E-3</v>
      </c>
      <c r="EL5" s="528">
        <f t="shared" ref="EL5:EL68" si="80">0.5*(Coss+Csw)*CP5^2*DQ5*1000</f>
        <v>1.8318399999999997E-3</v>
      </c>
      <c r="EM5">
        <f t="shared" ref="EM5:EM68" si="81">CN5*IQ</f>
        <v>1.0800000000000001E-2</v>
      </c>
      <c r="EN5" s="460">
        <f>(EK5+EM5)*1000</f>
        <v>12.05</v>
      </c>
      <c r="EO5">
        <f t="shared" ref="EO5:EO68" si="82">(EJ5+EK5+EL5+EM5+EI5*(1+RdsonTC*(Ta-25)))/(1-EI5*RdsonTC*ThetaJA)</f>
        <v>2.5356674575406322E-2</v>
      </c>
      <c r="EP5" s="460">
        <f>EO5*1000</f>
        <v>25.356674575406323</v>
      </c>
      <c r="EQ5" s="173">
        <f t="shared" ref="EQ5:EQ68" si="83">Vfwd2*CJ5*(1+Diode_TC/1000*(Ta-25))</f>
        <v>6.212499999999999E-10</v>
      </c>
      <c r="ER5" s="173">
        <f t="shared" ref="ER5:ER36" si="84">Vfwd22*CK5*(1+Diode_TC/1000*(Ta-25))</f>
        <v>4.4374999999999999E-10</v>
      </c>
      <c r="ES5" s="528"/>
      <c r="EU5" s="460">
        <f>SUM(EQ5:ET5)*1000</f>
        <v>1.065E-6</v>
      </c>
      <c r="EV5" s="528">
        <f t="shared" ref="EV5:EV68" si="85">Rdcr_pri*EE5^2</f>
        <v>1.1851851851851857E-4</v>
      </c>
      <c r="EW5" s="528">
        <f>Rdcr_sec*EF5^2</f>
        <v>0.2825481481481481</v>
      </c>
      <c r="EX5" s="528">
        <f t="shared" ref="EX5:EX68" si="86">Rdcr_sec2*EG5^2</f>
        <v>1.7096846035224408E-5</v>
      </c>
      <c r="EY5" s="528">
        <f t="shared" ref="EY5:EY68" si="87">DM5^2.5*DQ5^2.5*k_core</f>
        <v>3.2457633037343212E-5</v>
      </c>
      <c r="EZ5" s="528">
        <f t="shared" ref="EZ5:EZ68" si="88">(EY5+(EV5+EW5+EX5)*(1+Ltc*(Ta-25)))/(1-(EV5+EW5+EX5)*Ltc*ThetaCa)</f>
        <v>0.35867157484005274</v>
      </c>
      <c r="FA5" s="625">
        <f t="shared" ref="FA5:FA68" si="89">0.5*Lleak*0.000000001*DM5^2*DQ5*1000</f>
        <v>4.4444444444444452E-4</v>
      </c>
      <c r="FB5" s="460">
        <f>(EZ5+FA5)*1000</f>
        <v>359.11601928449721</v>
      </c>
      <c r="FC5" s="173">
        <f>SUM(EO5,EQ5:ET5,EZ5:FA5)</f>
        <v>0.38447269492490355</v>
      </c>
      <c r="FD5" s="5">
        <f>MIN(CL5+CM5,CS5+CT5)</f>
        <v>2.2000000000000002E-8</v>
      </c>
      <c r="FE5" s="173">
        <f>FD5/(FD5+FC5)</f>
        <v>5.7221225412197747E-8</v>
      </c>
      <c r="FF5" s="5">
        <f>FE5*100</f>
        <v>5.7221225412197747E-6</v>
      </c>
      <c r="FG5">
        <v>0</v>
      </c>
      <c r="FI5" s="562">
        <f t="shared" ref="FI5:FI68" si="90">IF(ABS(CJ5-Ioutmax_Vinnom)&lt;Iout/200, DQ5, -50)</f>
        <v>-50</v>
      </c>
      <c r="FJ5">
        <f t="shared" ref="FJ5:FJ68" si="91">IF(ABS(CJ5-Ioutmax_Vinnom)&lt;Iout/200, (CS5+CT5)*FE5, -50)</f>
        <v>-50</v>
      </c>
      <c r="FL5">
        <f t="shared" ref="FL5:FL68" si="92">MIN(SQRT(2*DQ5*1000*L*CJ5*(Vout+Vfwd1))/(Nps*(Vout+Vfwd1)),1-DY5)</f>
        <v>1.7864740025262411E-6</v>
      </c>
      <c r="FM5">
        <f>MIN(,)</f>
        <v>0</v>
      </c>
    </row>
    <row r="6" spans="2:169">
      <c r="E6" s="170">
        <v>1</v>
      </c>
      <c r="F6" s="217">
        <f>IF(PLOT_TYPE=1, E6/100*Iout, min_I*EXP(O6*rr/100))</f>
        <v>0.06</v>
      </c>
      <c r="G6" s="217">
        <f t="shared" ref="G6:G37" si="93">IF(PLOT_TYPE=1, E6/100*Iout2, min_I*EXP(Q6*rr/100))</f>
        <v>1E-3</v>
      </c>
      <c r="H6" s="217">
        <f t="shared" si="0"/>
        <v>0.24</v>
      </c>
      <c r="I6" s="217">
        <f>G6*Vout2</f>
        <v>1.8000000000000002E-2</v>
      </c>
      <c r="J6" s="541">
        <f t="shared" si="1"/>
        <v>23.964660861721935</v>
      </c>
      <c r="K6" s="443">
        <f t="shared" si="2"/>
        <v>19.12</v>
      </c>
      <c r="L6" s="172">
        <f t="shared" si="3"/>
        <v>43.084660861721936</v>
      </c>
      <c r="M6" s="443"/>
      <c r="N6" s="217">
        <f t="shared" si="4"/>
        <v>0.44377742838372769</v>
      </c>
      <c r="O6" s="172">
        <f t="shared" ref="O6:O37" si="94">N6*J6*Isw_max*0.5*Efficiency*Pout/(Pout+Pout2)</f>
        <v>32.976668431947687</v>
      </c>
      <c r="P6" s="172">
        <f t="shared" si="5"/>
        <v>2.658743892325782</v>
      </c>
      <c r="Q6" s="217">
        <f t="shared" si="6"/>
        <v>8.2441671079869216</v>
      </c>
      <c r="R6" s="217">
        <f t="shared" si="7"/>
        <v>1.8320371351082048</v>
      </c>
      <c r="S6" s="443">
        <f t="shared" si="8"/>
        <v>4</v>
      </c>
      <c r="T6" s="217">
        <f t="shared" si="9"/>
        <v>4.8519152360761993E-2</v>
      </c>
      <c r="U6" s="217">
        <f t="shared" si="10"/>
        <v>2.4295350211240539E-2</v>
      </c>
      <c r="V6" s="217">
        <f t="shared" si="11"/>
        <v>3.045135085403472E-2</v>
      </c>
      <c r="W6" s="197">
        <f t="shared" si="12"/>
        <v>350</v>
      </c>
      <c r="X6" s="443">
        <f t="shared" ref="X6:X69" si="95">MIN(1/(U6+V6+0.2)*1000, 350)</f>
        <v>350</v>
      </c>
      <c r="Z6" s="217">
        <f t="shared" si="13"/>
        <v>2.5321370403102681</v>
      </c>
      <c r="AA6" s="173">
        <f t="shared" si="14"/>
        <v>1.5892073474750639</v>
      </c>
      <c r="AB6" s="173">
        <f t="shared" si="15"/>
        <v>2.8168635524923884</v>
      </c>
      <c r="AC6" s="173"/>
      <c r="AD6" s="173">
        <f t="shared" si="16"/>
        <v>0.83682008368200844</v>
      </c>
      <c r="AE6" s="545">
        <f t="shared" si="17"/>
        <v>26.887499999999992</v>
      </c>
      <c r="AF6" s="528">
        <f t="shared" si="18"/>
        <v>0.78103207810320796</v>
      </c>
      <c r="AH6" s="173">
        <f t="shared" si="19"/>
        <v>0.35050983275386566</v>
      </c>
      <c r="AI6" s="173">
        <f t="shared" si="20"/>
        <v>1.3333333333333335</v>
      </c>
      <c r="AJ6" s="173">
        <f t="shared" si="21"/>
        <v>1.0153642857142857</v>
      </c>
      <c r="AL6" s="545">
        <f t="shared" si="22"/>
        <v>60</v>
      </c>
      <c r="AM6" s="460">
        <f t="shared" si="23"/>
        <v>26.887499999999992</v>
      </c>
      <c r="AO6">
        <f t="shared" ref="AO6:AO69" si="96">IF(H6&gt;O6, "",AL6)</f>
        <v>60</v>
      </c>
      <c r="AP6" s="460">
        <f t="shared" si="24"/>
        <v>26.887499999999992</v>
      </c>
      <c r="AQ6" s="460"/>
      <c r="AR6" s="5">
        <f t="shared" ref="AR6:AR69" si="97">1/AM6*1000</f>
        <v>37.192003719200379</v>
      </c>
      <c r="AS6" s="5">
        <f t="shared" si="25"/>
        <v>0.66764975696177464</v>
      </c>
      <c r="AT6" s="5">
        <f t="shared" ref="AT6:AT69" si="98">AR6-AS6</f>
        <v>36.524353962238607</v>
      </c>
      <c r="AU6" s="173">
        <f t="shared" ref="AU6:AU69" si="99">AS6/AR6</f>
        <v>1.7951432840309714E-2</v>
      </c>
      <c r="AW6" s="5">
        <f t="shared" si="26"/>
        <v>1.001474635442662</v>
      </c>
      <c r="AX6" s="5">
        <f t="shared" si="27"/>
        <v>3.7091653164543041E-3</v>
      </c>
      <c r="AY6" s="5">
        <f t="shared" si="28"/>
        <v>0.30481845057593038</v>
      </c>
      <c r="AZ6" s="5"/>
      <c r="BA6" s="173">
        <f t="shared" ref="BA6:BA69" si="100">AI6*SQRT(AU6/3)</f>
        <v>0.10314012859983715</v>
      </c>
      <c r="BB6" s="173">
        <f t="shared" si="29"/>
        <v>3.0514382352326956</v>
      </c>
      <c r="BC6" s="173">
        <f t="shared" si="30"/>
        <v>5.814226907673109E-2</v>
      </c>
      <c r="BD6" s="173"/>
      <c r="BE6" s="528">
        <f t="shared" si="31"/>
        <v>1.2978221075660954E-4</v>
      </c>
      <c r="BF6" s="528">
        <f t="shared" si="32"/>
        <v>2.8960970472988706E-2</v>
      </c>
      <c r="BG6" s="528">
        <f t="shared" si="33"/>
        <v>1.6108745472988711E-2</v>
      </c>
      <c r="BH6" s="528">
        <f t="shared" si="34"/>
        <v>4.9910943642202448E-3</v>
      </c>
      <c r="BI6">
        <f t="shared" si="35"/>
        <v>1.0784097387774871E-2</v>
      </c>
      <c r="BJ6" s="460">
        <f t="shared" ref="BJ6:BJ69" si="101">(BG6+BI6)*1000</f>
        <v>26.892842860763583</v>
      </c>
      <c r="BK6">
        <f t="shared" si="36"/>
        <v>3.4117940314318626E-2</v>
      </c>
      <c r="BL6" s="460">
        <f t="shared" ref="BL6:BL69" si="102">BK6*1000</f>
        <v>34.117940314318624</v>
      </c>
      <c r="BM6" s="173">
        <f t="shared" si="37"/>
        <v>3.7274999999999996E-2</v>
      </c>
      <c r="BN6" s="173">
        <f t="shared" si="38"/>
        <v>4.4374999999999997E-4</v>
      </c>
      <c r="BO6" s="528"/>
      <c r="BQ6" s="460">
        <f t="shared" ref="BQ6:BQ69" si="103">SUM(BM6:BP6)*1000</f>
        <v>37.718749999999993</v>
      </c>
      <c r="BR6" s="528">
        <f t="shared" si="39"/>
        <v>3.1913658382772838E-4</v>
      </c>
      <c r="BS6" s="528">
        <f t="shared" ref="BS6:BS68" si="104">Rdcr_sec*BB6^2</f>
        <v>0.27933825910320087</v>
      </c>
      <c r="BT6" s="528">
        <f t="shared" si="40"/>
        <v>1.6902617266955003E-5</v>
      </c>
      <c r="BU6" s="528">
        <f t="shared" si="41"/>
        <v>3.8476264745635342E-4</v>
      </c>
      <c r="BV6" s="528">
        <f t="shared" si="42"/>
        <v>0.35512647230078292</v>
      </c>
      <c r="BW6" s="625">
        <f t="shared" si="43"/>
        <v>1.1950000000000001E-3</v>
      </c>
      <c r="BX6" s="460">
        <f t="shared" ref="BX6:BX69" si="105">(BV6+BW6)*1000</f>
        <v>356.32147230078294</v>
      </c>
      <c r="BY6" s="173">
        <f t="shared" ref="BY6:BY69" si="106">SUM(BK6,BM6:BP6,BV6:BW6)</f>
        <v>0.42815816261510153</v>
      </c>
      <c r="BZ6" s="5">
        <f t="shared" ref="BZ6:BZ69" si="107">MIN(H6+I6,O6+P6)</f>
        <v>0.25800000000000001</v>
      </c>
      <c r="CA6" s="173">
        <f t="shared" ref="CA6:CA69" si="108">BZ6/(BZ6+BY6)</f>
        <v>0.37600660322498325</v>
      </c>
      <c r="CB6" s="5">
        <f t="shared" ref="CB6:CB69" si="109">CA6*100</f>
        <v>37.600660322498328</v>
      </c>
      <c r="CC6">
        <f t="shared" ref="CC6:CC37" si="110">F6/Iout*100</f>
        <v>1</v>
      </c>
      <c r="CE6" s="562">
        <f t="shared" si="44"/>
        <v>-50</v>
      </c>
      <c r="CF6">
        <f t="shared" si="45"/>
        <v>-50</v>
      </c>
      <c r="CG6" s="173">
        <f t="shared" si="46"/>
        <v>2.2499999999999992E-2</v>
      </c>
      <c r="CH6" s="173">
        <f t="shared" si="47"/>
        <v>5.7629364190673448E-3</v>
      </c>
      <c r="CI6" s="170">
        <v>1</v>
      </c>
      <c r="CJ6" s="217">
        <f>IF(PLOT_TYPE=1, CI6/100*Iout, min_I*EXP(CS6*rr/100))</f>
        <v>0.06</v>
      </c>
      <c r="CK6" s="217">
        <f t="shared" ref="CK6:CK69" si="111">IF(PLOT_TYPE=1, CI6/100*Iout2, min_I*EXP(CU6*rr/100))</f>
        <v>1E-3</v>
      </c>
      <c r="CL6" s="217">
        <f t="shared" si="48"/>
        <v>0.24</v>
      </c>
      <c r="CM6" s="217">
        <f>CK6*Vout2</f>
        <v>1.8000000000000002E-2</v>
      </c>
      <c r="CN6" s="541">
        <f t="shared" ref="CN6:CN69" si="112">Vin</f>
        <v>24</v>
      </c>
      <c r="CO6" s="443">
        <f t="shared" si="49"/>
        <v>18.8</v>
      </c>
      <c r="CP6" s="443">
        <f t="shared" si="50"/>
        <v>42.8</v>
      </c>
      <c r="CQ6" s="443"/>
      <c r="CR6" s="217">
        <f t="shared" ref="CR6:CR68" si="113">(Vout+Vfwd1)*Nps/((Vout+Vfwd1)*Nps+CN6)</f>
        <v>0.43925233644859818</v>
      </c>
      <c r="CS6" s="172">
        <f t="shared" ref="CS6:CS69" si="114">CR6*CN6*Isw_max*0.5*Efficiency*Pout/(Pout+Pout2)</f>
        <v>32.688545968267775</v>
      </c>
      <c r="CT6" s="172">
        <f t="shared" si="51"/>
        <v>2.6355140186915893</v>
      </c>
      <c r="CU6" s="217">
        <f t="shared" si="52"/>
        <v>8.1721364920669437</v>
      </c>
      <c r="CV6" s="217">
        <f t="shared" si="53"/>
        <v>1.816030331570432</v>
      </c>
      <c r="CW6" s="443">
        <f t="shared" si="54"/>
        <v>4</v>
      </c>
      <c r="CX6" s="217">
        <f t="shared" si="55"/>
        <v>4.894680851063829E-2</v>
      </c>
      <c r="CY6" s="217">
        <f t="shared" si="56"/>
        <v>2.4473404255319145E-2</v>
      </c>
      <c r="CZ6" s="217">
        <f t="shared" si="57"/>
        <v>3.1242643730194652E-2</v>
      </c>
      <c r="DA6" s="197">
        <f t="shared" si="58"/>
        <v>350</v>
      </c>
      <c r="DB6" s="443">
        <f t="shared" ref="DB6:DB69" si="115">MIN(1/(CY6+CZ6)*1000, 350)</f>
        <v>350</v>
      </c>
      <c r="DD6" s="217">
        <f t="shared" si="59"/>
        <v>2.5100133511348464</v>
      </c>
      <c r="DE6" s="173">
        <f t="shared" si="60"/>
        <v>1.6021361815754336</v>
      </c>
      <c r="DF6" s="173">
        <f t="shared" si="61"/>
        <v>2.8149682442633783</v>
      </c>
      <c r="DG6" s="173"/>
      <c r="DH6" s="173">
        <f t="shared" si="62"/>
        <v>0.85106382978723416</v>
      </c>
      <c r="DI6" s="545">
        <f t="shared" si="63"/>
        <v>26.437499999999989</v>
      </c>
      <c r="DJ6" s="528">
        <f t="shared" si="64"/>
        <v>0.79432624113475192</v>
      </c>
      <c r="DL6" s="173">
        <f t="shared" si="65"/>
        <v>0.35050983275386566</v>
      </c>
      <c r="DM6" s="173">
        <f t="shared" si="66"/>
        <v>1.3333333333333335</v>
      </c>
      <c r="DN6" s="173">
        <f t="shared" si="67"/>
        <v>1.0151071428571428</v>
      </c>
      <c r="DP6" s="545">
        <f t="shared" si="68"/>
        <v>60</v>
      </c>
      <c r="DQ6" s="460">
        <f t="shared" si="69"/>
        <v>26.437499999999989</v>
      </c>
      <c r="DS6">
        <f t="shared" ref="DS6:DS69" si="116">IF(CL6&gt;CS6, "",DP6)</f>
        <v>60</v>
      </c>
      <c r="DT6" s="460">
        <f t="shared" si="70"/>
        <v>26.437499999999989</v>
      </c>
      <c r="DU6" s="460"/>
      <c r="DV6" s="5">
        <f t="shared" ref="DV6:DV69" si="117">1/DQ6*1000</f>
        <v>37.825059101654858</v>
      </c>
      <c r="DW6" s="5">
        <f t="shared" si="71"/>
        <v>0.66666666666666685</v>
      </c>
      <c r="DX6" s="5">
        <f t="shared" ref="DX6:DX69" si="118">DV6-DW6</f>
        <v>37.158392434988194</v>
      </c>
      <c r="DY6" s="173">
        <f t="shared" ref="DY6:DY69" si="119">DW6/DV6</f>
        <v>1.7624999999999998E-2</v>
      </c>
      <c r="EA6" s="5">
        <f t="shared" si="72"/>
        <v>1.0000000000000002</v>
      </c>
      <c r="EB6" s="5">
        <f t="shared" si="73"/>
        <v>3.7037037037037047E-3</v>
      </c>
      <c r="EC6" s="5">
        <f t="shared" si="74"/>
        <v>0.30965327029156825</v>
      </c>
      <c r="ED6" s="5"/>
      <c r="EE6" s="173">
        <f t="shared" ref="EE6:EE69" si="120">DM6*SQRT(DY6/3)</f>
        <v>0.10219806477837261</v>
      </c>
      <c r="EF6" s="173">
        <f t="shared" si="75"/>
        <v>3.0519453419696712</v>
      </c>
      <c r="EG6" s="173">
        <f t="shared" si="76"/>
        <v>5.8151931515908598E-2</v>
      </c>
      <c r="EH6" s="173"/>
      <c r="EI6" s="528">
        <f t="shared" si="77"/>
        <v>1.2742222222222221E-4</v>
      </c>
      <c r="EJ6" s="528">
        <f t="shared" si="78"/>
        <v>3.0173999999999992E-2</v>
      </c>
      <c r="EK6" s="528">
        <f t="shared" si="79"/>
        <v>3.3046874999999986E-3</v>
      </c>
      <c r="EL6" s="528">
        <f t="shared" si="80"/>
        <v>4.8429269999999977E-3</v>
      </c>
      <c r="EM6">
        <f t="shared" si="81"/>
        <v>1.0800000000000001E-2</v>
      </c>
      <c r="EN6" s="460">
        <f t="shared" ref="EN6:EN69" si="121">(EK6+EM6)*1000</f>
        <v>14.104687499999999</v>
      </c>
      <c r="EO6">
        <f t="shared" si="82"/>
        <v>4.9284932849192394E-2</v>
      </c>
      <c r="EP6" s="460">
        <f t="shared" ref="EP6:EP69" si="122">EO6*1000</f>
        <v>49.284932849192394</v>
      </c>
      <c r="EQ6" s="173">
        <f t="shared" si="83"/>
        <v>3.7274999999999996E-2</v>
      </c>
      <c r="ER6" s="173">
        <f t="shared" si="84"/>
        <v>4.4374999999999997E-4</v>
      </c>
      <c r="ES6" s="528"/>
      <c r="EU6" s="460">
        <f t="shared" ref="EU6:EU69" si="123">SUM(EQ6:ET6)*1000</f>
        <v>37.718749999999993</v>
      </c>
      <c r="EV6" s="528">
        <f t="shared" si="85"/>
        <v>3.1333333333333332E-4</v>
      </c>
      <c r="EW6" s="528">
        <f t="shared" ref="EW6:EW69" si="124">Rdcr_sec*EF6^2</f>
        <v>0.27943111111111119</v>
      </c>
      <c r="EX6" s="528">
        <f t="shared" si="86"/>
        <v>1.6908235695154618E-5</v>
      </c>
      <c r="EY6" s="528">
        <f t="shared" si="87"/>
        <v>3.6886530473812629E-4</v>
      </c>
      <c r="EZ6" s="528">
        <f t="shared" si="88"/>
        <v>0.35522315955780775</v>
      </c>
      <c r="FA6" s="625">
        <f t="shared" si="89"/>
        <v>1.1749999999999998E-3</v>
      </c>
      <c r="FB6" s="460">
        <f t="shared" ref="FB6:FB69" si="125">(EZ6+FA6)*1000</f>
        <v>356.39815955780773</v>
      </c>
      <c r="FC6" s="173">
        <f t="shared" ref="FC6:FC69" si="126">SUM(EO6,EQ6:ET6,EZ6:FA6)</f>
        <v>0.44340184240700015</v>
      </c>
      <c r="FD6" s="5">
        <f t="shared" ref="FD6:FD69" si="127">MIN(CL6+CM6,CS6+CT6)</f>
        <v>0.25800000000000001</v>
      </c>
      <c r="FE6" s="173">
        <f t="shared" ref="FE6:FE69" si="128">FD6/(FD6+FC6)</f>
        <v>0.3678347908448909</v>
      </c>
      <c r="FF6" s="5">
        <f t="shared" ref="FF6:FF69" si="129">FE6*100</f>
        <v>36.783479084489088</v>
      </c>
      <c r="FG6">
        <f t="shared" ref="FG6:FG69" si="130">CJ6/Iout*100</f>
        <v>1</v>
      </c>
      <c r="FI6" s="562">
        <f t="shared" si="90"/>
        <v>-50</v>
      </c>
      <c r="FJ6">
        <f t="shared" si="91"/>
        <v>-50</v>
      </c>
      <c r="FL6">
        <f t="shared" si="92"/>
        <v>2.2499999999999996E-2</v>
      </c>
    </row>
    <row r="7" spans="2:169">
      <c r="E7" s="170">
        <v>2</v>
      </c>
      <c r="F7" s="217">
        <f>IF(PLOT_TYPE=1, E7/100*Iout, min_I*EXP(O7*rr/100))</f>
        <v>0.12</v>
      </c>
      <c r="G7" s="217">
        <f t="shared" si="93"/>
        <v>2E-3</v>
      </c>
      <c r="H7" s="217">
        <f t="shared" si="0"/>
        <v>0.48</v>
      </c>
      <c r="I7" s="217">
        <f>G7*Vout2</f>
        <v>3.6000000000000004E-2</v>
      </c>
      <c r="J7" s="541">
        <f t="shared" si="1"/>
        <v>23.964660861721935</v>
      </c>
      <c r="K7" s="443">
        <f t="shared" si="2"/>
        <v>19.12</v>
      </c>
      <c r="L7" s="172">
        <f t="shared" si="3"/>
        <v>43.084660861721936</v>
      </c>
      <c r="M7" s="443"/>
      <c r="N7" s="217">
        <f t="shared" si="4"/>
        <v>0.44377742838372769</v>
      </c>
      <c r="O7" s="172">
        <f t="shared" si="94"/>
        <v>32.976668431947687</v>
      </c>
      <c r="P7" s="172">
        <f t="shared" si="5"/>
        <v>2.658743892325782</v>
      </c>
      <c r="Q7" s="217">
        <f t="shared" si="6"/>
        <v>8.2441671079869216</v>
      </c>
      <c r="R7" s="217">
        <f t="shared" si="7"/>
        <v>1.8320371351082048</v>
      </c>
      <c r="S7" s="443">
        <f t="shared" si="8"/>
        <v>4</v>
      </c>
      <c r="T7" s="217">
        <f t="shared" si="9"/>
        <v>9.7038304721523985E-2</v>
      </c>
      <c r="U7" s="217">
        <f t="shared" si="10"/>
        <v>4.8590700422481078E-2</v>
      </c>
      <c r="V7" s="217">
        <f t="shared" si="11"/>
        <v>6.090270170806944E-2</v>
      </c>
      <c r="W7" s="197">
        <f t="shared" si="12"/>
        <v>350</v>
      </c>
      <c r="X7" s="443">
        <f t="shared" si="95"/>
        <v>350</v>
      </c>
      <c r="Z7" s="217">
        <f t="shared" si="13"/>
        <v>2.5321370403102681</v>
      </c>
      <c r="AA7" s="173">
        <f t="shared" si="14"/>
        <v>1.5892073474750639</v>
      </c>
      <c r="AB7" s="173">
        <f t="shared" si="15"/>
        <v>2.8168635524923884</v>
      </c>
      <c r="AC7" s="173"/>
      <c r="AD7" s="173">
        <f t="shared" si="16"/>
        <v>0.83682008368200844</v>
      </c>
      <c r="AE7" s="545">
        <f t="shared" si="17"/>
        <v>53.774999999999984</v>
      </c>
      <c r="AF7" s="528">
        <f t="shared" si="18"/>
        <v>0.78103207810320796</v>
      </c>
      <c r="AH7" s="173">
        <f t="shared" si="19"/>
        <v>0.49569575922564207</v>
      </c>
      <c r="AI7" s="173">
        <f t="shared" si="20"/>
        <v>1.3333333333333335</v>
      </c>
      <c r="AJ7" s="173">
        <f t="shared" si="21"/>
        <v>1.0307285714285714</v>
      </c>
      <c r="AL7" s="545">
        <f t="shared" si="22"/>
        <v>120</v>
      </c>
      <c r="AM7" s="460">
        <f t="shared" si="23"/>
        <v>53.774999999999984</v>
      </c>
      <c r="AO7">
        <f t="shared" si="96"/>
        <v>120</v>
      </c>
      <c r="AP7" s="460">
        <f t="shared" si="24"/>
        <v>53.774999999999984</v>
      </c>
      <c r="AQ7" s="460"/>
      <c r="AR7" s="5">
        <f t="shared" si="97"/>
        <v>18.596001859600189</v>
      </c>
      <c r="AS7" s="5">
        <f t="shared" si="25"/>
        <v>0.66764975696177464</v>
      </c>
      <c r="AT7" s="5">
        <f t="shared" si="98"/>
        <v>17.928352102638414</v>
      </c>
      <c r="AU7" s="173">
        <f t="shared" si="99"/>
        <v>3.5902865680619428E-2</v>
      </c>
      <c r="AW7" s="5">
        <f t="shared" si="26"/>
        <v>2.002949270885324</v>
      </c>
      <c r="AX7" s="5">
        <f t="shared" si="27"/>
        <v>7.4183306329086082E-3</v>
      </c>
      <c r="AY7" s="5">
        <f t="shared" si="28"/>
        <v>0.29924649810129139</v>
      </c>
      <c r="AZ7" s="5"/>
      <c r="BA7" s="173">
        <f t="shared" si="100"/>
        <v>0.14586216869079482</v>
      </c>
      <c r="BB7" s="173">
        <f t="shared" si="29"/>
        <v>3.023420104021036</v>
      </c>
      <c r="BC7" s="173">
        <f t="shared" si="30"/>
        <v>5.7608410090130548E-2</v>
      </c>
      <c r="BD7" s="173"/>
      <c r="BE7" s="528">
        <f t="shared" si="31"/>
        <v>2.5956442151321897E-4</v>
      </c>
      <c r="BF7" s="528">
        <f t="shared" si="32"/>
        <v>5.7921940945977413E-2</v>
      </c>
      <c r="BG7" s="528">
        <f t="shared" si="33"/>
        <v>3.2217490945977423E-2</v>
      </c>
      <c r="BH7" s="528">
        <f t="shared" si="34"/>
        <v>9.9821887284404897E-3</v>
      </c>
      <c r="BI7">
        <f t="shared" si="35"/>
        <v>1.0784097387774871E-2</v>
      </c>
      <c r="BJ7" s="460">
        <f t="shared" si="101"/>
        <v>43.001588333752295</v>
      </c>
      <c r="BK7">
        <f t="shared" si="36"/>
        <v>6.8237984897310339E-2</v>
      </c>
      <c r="BL7" s="460">
        <f t="shared" si="102"/>
        <v>68.237984897310341</v>
      </c>
      <c r="BM7" s="173">
        <f t="shared" si="37"/>
        <v>7.4549999999999991E-2</v>
      </c>
      <c r="BN7" s="173">
        <f t="shared" si="38"/>
        <v>8.8749999999999994E-4</v>
      </c>
      <c r="BO7" s="528"/>
      <c r="BQ7" s="460">
        <f t="shared" si="103"/>
        <v>75.437499999999986</v>
      </c>
      <c r="BR7" s="528">
        <f t="shared" si="39"/>
        <v>6.3827316765545654E-4</v>
      </c>
      <c r="BS7" s="528">
        <f t="shared" si="104"/>
        <v>0.27423207376195713</v>
      </c>
      <c r="BT7" s="528">
        <f t="shared" si="40"/>
        <v>1.6593644565563276E-5</v>
      </c>
      <c r="BU7" s="528">
        <f t="shared" si="41"/>
        <v>2.1765462173094141E-3</v>
      </c>
      <c r="BV7" s="528">
        <f t="shared" si="42"/>
        <v>0.35074967288830311</v>
      </c>
      <c r="BW7" s="625">
        <f t="shared" si="43"/>
        <v>2.3900000000000002E-3</v>
      </c>
      <c r="BX7" s="460">
        <f t="shared" si="105"/>
        <v>353.1396728883031</v>
      </c>
      <c r="BY7" s="173">
        <f t="shared" si="106"/>
        <v>0.49681515778561347</v>
      </c>
      <c r="BZ7" s="5">
        <f t="shared" si="107"/>
        <v>0.51600000000000001</v>
      </c>
      <c r="CA7" s="173">
        <f t="shared" si="108"/>
        <v>0.50947104813099942</v>
      </c>
      <c r="CB7" s="5">
        <f t="shared" si="109"/>
        <v>50.947104813099941</v>
      </c>
      <c r="CC7">
        <f t="shared" si="110"/>
        <v>2</v>
      </c>
      <c r="CE7" s="562">
        <f t="shared" si="44"/>
        <v>-50</v>
      </c>
      <c r="CF7">
        <f t="shared" si="45"/>
        <v>-50</v>
      </c>
      <c r="CG7" s="173">
        <f t="shared" si="46"/>
        <v>4.4999999999999984E-2</v>
      </c>
      <c r="CH7" s="173">
        <f t="shared" si="47"/>
        <v>1.152587283813469E-2</v>
      </c>
      <c r="CI7" s="170">
        <v>2</v>
      </c>
      <c r="CJ7" s="217">
        <f>IF(PLOT_TYPE=1, CI7/100*Iout, min_I*EXP(CS7*rr/100))</f>
        <v>0.12</v>
      </c>
      <c r="CK7" s="217">
        <f t="shared" si="111"/>
        <v>2E-3</v>
      </c>
      <c r="CL7" s="217">
        <f t="shared" si="48"/>
        <v>0.48</v>
      </c>
      <c r="CM7" s="217">
        <f>CK7*Vout2</f>
        <v>3.6000000000000004E-2</v>
      </c>
      <c r="CN7" s="541">
        <f t="shared" si="112"/>
        <v>24</v>
      </c>
      <c r="CO7" s="443">
        <f t="shared" si="49"/>
        <v>18.8</v>
      </c>
      <c r="CP7" s="443">
        <f t="shared" si="50"/>
        <v>42.8</v>
      </c>
      <c r="CQ7" s="443"/>
      <c r="CR7" s="217">
        <f t="shared" si="113"/>
        <v>0.43925233644859818</v>
      </c>
      <c r="CS7" s="172">
        <f t="shared" si="114"/>
        <v>32.688545968267775</v>
      </c>
      <c r="CT7" s="172">
        <f t="shared" si="51"/>
        <v>2.6355140186915893</v>
      </c>
      <c r="CU7" s="217">
        <f t="shared" si="52"/>
        <v>8.1721364920669437</v>
      </c>
      <c r="CV7" s="217">
        <f t="shared" si="53"/>
        <v>1.816030331570432</v>
      </c>
      <c r="CW7" s="443">
        <f t="shared" si="54"/>
        <v>4</v>
      </c>
      <c r="CX7" s="217">
        <f t="shared" si="55"/>
        <v>9.789361702127658E-2</v>
      </c>
      <c r="CY7" s="217">
        <f t="shared" si="56"/>
        <v>4.894680851063829E-2</v>
      </c>
      <c r="CZ7" s="217">
        <f t="shared" si="57"/>
        <v>6.2485287460389304E-2</v>
      </c>
      <c r="DA7" s="197">
        <f t="shared" si="58"/>
        <v>350</v>
      </c>
      <c r="DB7" s="443">
        <f t="shared" si="115"/>
        <v>350</v>
      </c>
      <c r="DD7" s="217">
        <f t="shared" si="59"/>
        <v>2.5100133511348464</v>
      </c>
      <c r="DE7" s="173">
        <f t="shared" si="60"/>
        <v>1.6021361815754336</v>
      </c>
      <c r="DF7" s="173">
        <f t="shared" si="61"/>
        <v>2.8149682442633783</v>
      </c>
      <c r="DG7" s="173"/>
      <c r="DH7" s="173">
        <f t="shared" si="62"/>
        <v>0.85106382978723416</v>
      </c>
      <c r="DI7" s="545">
        <f t="shared" si="63"/>
        <v>52.874999999999979</v>
      </c>
      <c r="DJ7" s="528">
        <f t="shared" si="64"/>
        <v>0.79432624113475192</v>
      </c>
      <c r="DL7" s="173">
        <f t="shared" si="65"/>
        <v>0.49569575922564207</v>
      </c>
      <c r="DM7" s="173">
        <f t="shared" si="66"/>
        <v>1.3333333333333335</v>
      </c>
      <c r="DN7" s="173">
        <f t="shared" si="67"/>
        <v>1.0302142857142857</v>
      </c>
      <c r="DP7" s="545">
        <f t="shared" si="68"/>
        <v>120</v>
      </c>
      <c r="DQ7" s="460">
        <f t="shared" si="69"/>
        <v>52.874999999999979</v>
      </c>
      <c r="DS7">
        <f t="shared" si="116"/>
        <v>120</v>
      </c>
      <c r="DT7" s="460">
        <f t="shared" si="70"/>
        <v>52.874999999999979</v>
      </c>
      <c r="DU7" s="460"/>
      <c r="DV7" s="5">
        <f t="shared" si="117"/>
        <v>18.912529550827429</v>
      </c>
      <c r="DW7" s="5">
        <f t="shared" si="71"/>
        <v>0.66666666666666685</v>
      </c>
      <c r="DX7" s="5">
        <f t="shared" si="118"/>
        <v>18.245862884160761</v>
      </c>
      <c r="DY7" s="173">
        <f t="shared" si="119"/>
        <v>3.5249999999999997E-2</v>
      </c>
      <c r="EA7" s="5">
        <f t="shared" si="72"/>
        <v>2.0000000000000004</v>
      </c>
      <c r="EB7" s="5">
        <f t="shared" si="73"/>
        <v>7.4074074074074094E-3</v>
      </c>
      <c r="EC7" s="5">
        <f t="shared" si="74"/>
        <v>0.30409771473601266</v>
      </c>
      <c r="ED7" s="5"/>
      <c r="EE7" s="173">
        <f t="shared" si="120"/>
        <v>0.14452988925785867</v>
      </c>
      <c r="EF7" s="173">
        <f t="shared" si="75"/>
        <v>3.0244436280511597</v>
      </c>
      <c r="EG7" s="173">
        <f t="shared" si="76"/>
        <v>5.7627912372326145E-2</v>
      </c>
      <c r="EH7" s="173"/>
      <c r="EI7" s="528">
        <f t="shared" si="77"/>
        <v>2.5484444444444447E-4</v>
      </c>
      <c r="EJ7" s="528">
        <f t="shared" si="78"/>
        <v>6.0347999999999985E-2</v>
      </c>
      <c r="EK7" s="528">
        <f t="shared" si="79"/>
        <v>6.6093749999999972E-3</v>
      </c>
      <c r="EL7" s="528">
        <f t="shared" si="80"/>
        <v>9.6858539999999955E-3</v>
      </c>
      <c r="EM7">
        <f t="shared" si="81"/>
        <v>1.0800000000000001E-2</v>
      </c>
      <c r="EN7" s="460">
        <f t="shared" si="121"/>
        <v>17.409374999999997</v>
      </c>
      <c r="EO7">
        <f t="shared" si="82"/>
        <v>8.7772196142203926E-2</v>
      </c>
      <c r="EP7" s="460">
        <f t="shared" si="122"/>
        <v>87.772196142203924</v>
      </c>
      <c r="EQ7" s="173">
        <f t="shared" si="83"/>
        <v>7.4549999999999991E-2</v>
      </c>
      <c r="ER7" s="173">
        <f t="shared" si="84"/>
        <v>8.8749999999999994E-4</v>
      </c>
      <c r="ES7" s="528"/>
      <c r="EU7" s="460">
        <f t="shared" si="123"/>
        <v>75.437499999999986</v>
      </c>
      <c r="EV7" s="528">
        <f t="shared" si="85"/>
        <v>6.2666666666666676E-4</v>
      </c>
      <c r="EW7" s="528">
        <f t="shared" si="124"/>
        <v>0.27441777777777782</v>
      </c>
      <c r="EX7" s="528">
        <f t="shared" si="86"/>
        <v>1.6604881421962502E-5</v>
      </c>
      <c r="EY7" s="528">
        <f t="shared" si="87"/>
        <v>2.08661726659817E-3</v>
      </c>
      <c r="EZ7" s="528">
        <f t="shared" si="88"/>
        <v>0.35088346843211554</v>
      </c>
      <c r="FA7" s="625">
        <f t="shared" si="89"/>
        <v>2.3499999999999997E-3</v>
      </c>
      <c r="FB7" s="460">
        <f t="shared" si="125"/>
        <v>353.23346843211556</v>
      </c>
      <c r="FC7" s="173">
        <f t="shared" si="126"/>
        <v>0.51644316457431938</v>
      </c>
      <c r="FD7" s="5">
        <f t="shared" si="127"/>
        <v>0.51600000000000001</v>
      </c>
      <c r="FE7" s="173">
        <f t="shared" si="128"/>
        <v>0.49978538064393019</v>
      </c>
      <c r="FF7" s="5">
        <f t="shared" si="129"/>
        <v>49.978538064393021</v>
      </c>
      <c r="FG7">
        <f t="shared" si="130"/>
        <v>2</v>
      </c>
      <c r="FI7" s="562">
        <f t="shared" si="90"/>
        <v>-50</v>
      </c>
      <c r="FJ7">
        <f t="shared" si="91"/>
        <v>-50</v>
      </c>
      <c r="FL7">
        <f t="shared" si="92"/>
        <v>4.4999999999999991E-2</v>
      </c>
    </row>
    <row r="8" spans="2:169">
      <c r="E8" s="170">
        <v>3</v>
      </c>
      <c r="F8" s="217">
        <f t="shared" ref="F8:F39" si="131">IF(PLOT_TYPE=1, E8/100*Iout_max, min_I*EXP(O8*rr/100))</f>
        <v>0.18</v>
      </c>
      <c r="G8" s="217">
        <f t="shared" si="93"/>
        <v>3.0000000000000001E-3</v>
      </c>
      <c r="H8" s="217">
        <f t="shared" si="0"/>
        <v>0.72</v>
      </c>
      <c r="I8" s="217">
        <f t="shared" ref="I8:I39" si="132">Vout2*G8</f>
        <v>5.3999999999999999E-2</v>
      </c>
      <c r="J8" s="541">
        <f t="shared" si="1"/>
        <v>23.964660861721935</v>
      </c>
      <c r="K8" s="443">
        <f t="shared" si="2"/>
        <v>19.12</v>
      </c>
      <c r="L8" s="172">
        <f t="shared" si="3"/>
        <v>43.084660861721936</v>
      </c>
      <c r="M8" s="443"/>
      <c r="N8" s="217">
        <f t="shared" si="4"/>
        <v>0.44377742838372769</v>
      </c>
      <c r="O8" s="172">
        <f t="shared" si="94"/>
        <v>32.976668431947687</v>
      </c>
      <c r="P8" s="172">
        <f t="shared" si="5"/>
        <v>2.658743892325782</v>
      </c>
      <c r="Q8" s="217">
        <f t="shared" si="6"/>
        <v>8.2441671079869216</v>
      </c>
      <c r="R8" s="217">
        <f t="shared" si="7"/>
        <v>1.8320371351082048</v>
      </c>
      <c r="S8" s="443">
        <f t="shared" si="8"/>
        <v>4</v>
      </c>
      <c r="T8" s="217">
        <f t="shared" si="9"/>
        <v>0.14555745708228598</v>
      </c>
      <c r="U8" s="217">
        <f t="shared" si="10"/>
        <v>7.2886050633721625E-2</v>
      </c>
      <c r="V8" s="217">
        <f t="shared" si="11"/>
        <v>9.1354052562104188E-2</v>
      </c>
      <c r="W8" s="197">
        <f t="shared" si="12"/>
        <v>350</v>
      </c>
      <c r="X8" s="443">
        <f t="shared" si="95"/>
        <v>350</v>
      </c>
      <c r="Z8" s="217">
        <f t="shared" si="13"/>
        <v>2.5321370403102681</v>
      </c>
      <c r="AA8" s="173">
        <f t="shared" si="14"/>
        <v>1.5892073474750639</v>
      </c>
      <c r="AB8" s="173">
        <f t="shared" si="15"/>
        <v>2.8168635524923884</v>
      </c>
      <c r="AC8" s="173"/>
      <c r="AD8" s="173">
        <f t="shared" si="16"/>
        <v>0.83682008368200844</v>
      </c>
      <c r="AE8" s="545">
        <f t="shared" si="17"/>
        <v>80.662499999999966</v>
      </c>
      <c r="AF8" s="528">
        <f t="shared" si="18"/>
        <v>0.78103207810320796</v>
      </c>
      <c r="AH8" s="173">
        <f t="shared" si="19"/>
        <v>0.60710083888216504</v>
      </c>
      <c r="AI8" s="173">
        <f t="shared" si="20"/>
        <v>1.3333333333333335</v>
      </c>
      <c r="AJ8" s="173">
        <f t="shared" si="21"/>
        <v>1.0460928571428572</v>
      </c>
      <c r="AL8" s="545">
        <f t="shared" si="22"/>
        <v>180</v>
      </c>
      <c r="AM8" s="460">
        <f t="shared" si="23"/>
        <v>80.662499999999966</v>
      </c>
      <c r="AO8">
        <f t="shared" si="96"/>
        <v>180</v>
      </c>
      <c r="AP8" s="460">
        <f t="shared" si="24"/>
        <v>80.662499999999966</v>
      </c>
      <c r="AQ8" s="460"/>
      <c r="AR8" s="5">
        <f t="shared" si="97"/>
        <v>12.397334573066797</v>
      </c>
      <c r="AS8" s="5">
        <f t="shared" si="25"/>
        <v>0.66764975696177464</v>
      </c>
      <c r="AT8" s="5">
        <f t="shared" si="98"/>
        <v>11.729684816105022</v>
      </c>
      <c r="AU8" s="173">
        <f t="shared" si="99"/>
        <v>5.3854298520929121E-2</v>
      </c>
      <c r="AW8" s="5">
        <f t="shared" si="26"/>
        <v>3.0044239063279856</v>
      </c>
      <c r="AX8" s="5">
        <f t="shared" si="27"/>
        <v>1.1127495949362912E-2</v>
      </c>
      <c r="AY8" s="5">
        <f t="shared" si="28"/>
        <v>0.29367454562665252</v>
      </c>
      <c r="AZ8" s="5"/>
      <c r="BA8" s="173">
        <f t="shared" si="100"/>
        <v>0.17864394303410575</v>
      </c>
      <c r="BB8" s="173">
        <f t="shared" si="29"/>
        <v>2.9951398877777176</v>
      </c>
      <c r="BC8" s="173">
        <f t="shared" si="30"/>
        <v>5.7069557321170021E-2</v>
      </c>
      <c r="BD8" s="173"/>
      <c r="BE8" s="528">
        <f t="shared" si="31"/>
        <v>3.8934663226982834E-4</v>
      </c>
      <c r="BF8" s="528">
        <f t="shared" si="32"/>
        <v>8.6882911418966105E-2</v>
      </c>
      <c r="BG8" s="528">
        <f t="shared" si="33"/>
        <v>4.832623641896612E-2</v>
      </c>
      <c r="BH8" s="528">
        <f t="shared" si="34"/>
        <v>1.4973283092660732E-2</v>
      </c>
      <c r="BI8">
        <f t="shared" si="35"/>
        <v>1.0784097387774871E-2</v>
      </c>
      <c r="BJ8" s="460">
        <f t="shared" si="101"/>
        <v>59.110333806740996</v>
      </c>
      <c r="BK8">
        <f t="shared" si="36"/>
        <v>0.10236013394365641</v>
      </c>
      <c r="BL8" s="460">
        <f t="shared" si="102"/>
        <v>102.36013394365641</v>
      </c>
      <c r="BM8" s="173">
        <f t="shared" si="37"/>
        <v>0.11182499999999999</v>
      </c>
      <c r="BN8" s="173">
        <f t="shared" si="38"/>
        <v>1.33125E-3</v>
      </c>
      <c r="BO8" s="528"/>
      <c r="BQ8" s="460">
        <f t="shared" si="103"/>
        <v>113.15625</v>
      </c>
      <c r="BR8" s="528">
        <f t="shared" si="39"/>
        <v>9.5740975148318449E-4</v>
      </c>
      <c r="BS8" s="528">
        <f t="shared" si="104"/>
        <v>0.26912588842071355</v>
      </c>
      <c r="BT8" s="528">
        <f t="shared" si="40"/>
        <v>1.6284671864171555E-5</v>
      </c>
      <c r="BU8" s="528">
        <f t="shared" si="41"/>
        <v>5.9978560882420527E-3</v>
      </c>
      <c r="BV8" s="528">
        <f t="shared" si="42"/>
        <v>0.3484506488056085</v>
      </c>
      <c r="BW8" s="625">
        <f t="shared" si="43"/>
        <v>3.5849999999999992E-3</v>
      </c>
      <c r="BX8" s="460">
        <f t="shared" si="105"/>
        <v>352.0356488056085</v>
      </c>
      <c r="BY8" s="173">
        <f t="shared" si="106"/>
        <v>0.56755203274926491</v>
      </c>
      <c r="BZ8" s="5">
        <f t="shared" si="107"/>
        <v>0.77400000000000002</v>
      </c>
      <c r="CA8" s="173">
        <f t="shared" si="108"/>
        <v>0.57694370483255053</v>
      </c>
      <c r="CB8" s="5">
        <f t="shared" si="109"/>
        <v>57.694370483255057</v>
      </c>
      <c r="CC8">
        <f t="shared" si="110"/>
        <v>3</v>
      </c>
      <c r="CE8" s="562">
        <f t="shared" si="44"/>
        <v>-50</v>
      </c>
      <c r="CF8">
        <f t="shared" si="45"/>
        <v>-50</v>
      </c>
      <c r="CG8" s="173">
        <f t="shared" si="46"/>
        <v>6.7499999999999991E-2</v>
      </c>
      <c r="CH8" s="173">
        <f t="shared" si="47"/>
        <v>1.7288809257202036E-2</v>
      </c>
      <c r="CI8" s="170">
        <v>3</v>
      </c>
      <c r="CJ8" s="217">
        <f t="shared" ref="CJ8:CJ71" si="133">IF(PLOT_TYPE=1, CI8/100*Iout_max, min_I*EXP(CS8*rr/100))</f>
        <v>0.18</v>
      </c>
      <c r="CK8" s="217">
        <f t="shared" si="111"/>
        <v>3.0000000000000001E-3</v>
      </c>
      <c r="CL8" s="217">
        <f t="shared" si="48"/>
        <v>0.72</v>
      </c>
      <c r="CM8" s="217">
        <f t="shared" ref="CM8:CM71" si="134">Vout2*CK8</f>
        <v>5.3999999999999999E-2</v>
      </c>
      <c r="CN8" s="541">
        <f t="shared" si="112"/>
        <v>24</v>
      </c>
      <c r="CO8" s="443">
        <f t="shared" si="49"/>
        <v>18.8</v>
      </c>
      <c r="CP8" s="443">
        <f t="shared" si="50"/>
        <v>42.8</v>
      </c>
      <c r="CQ8" s="443"/>
      <c r="CR8" s="217">
        <f t="shared" si="113"/>
        <v>0.43925233644859818</v>
      </c>
      <c r="CS8" s="172">
        <f t="shared" si="114"/>
        <v>32.688545968267775</v>
      </c>
      <c r="CT8" s="172">
        <f t="shared" si="51"/>
        <v>2.6355140186915893</v>
      </c>
      <c r="CU8" s="217">
        <f t="shared" si="52"/>
        <v>8.1721364920669437</v>
      </c>
      <c r="CV8" s="217">
        <f t="shared" si="53"/>
        <v>1.816030331570432</v>
      </c>
      <c r="CW8" s="443">
        <f t="shared" si="54"/>
        <v>4</v>
      </c>
      <c r="CX8" s="217">
        <f t="shared" si="55"/>
        <v>0.14684042553191487</v>
      </c>
      <c r="CY8" s="217">
        <f t="shared" si="56"/>
        <v>7.3420212765957435E-2</v>
      </c>
      <c r="CZ8" s="217">
        <f t="shared" si="57"/>
        <v>9.3727931190583966E-2</v>
      </c>
      <c r="DA8" s="197">
        <f t="shared" si="58"/>
        <v>350</v>
      </c>
      <c r="DB8" s="443">
        <f t="shared" si="115"/>
        <v>350</v>
      </c>
      <c r="DD8" s="217">
        <f t="shared" si="59"/>
        <v>2.5100133511348464</v>
      </c>
      <c r="DE8" s="173">
        <f t="shared" si="60"/>
        <v>1.6021361815754336</v>
      </c>
      <c r="DF8" s="173">
        <f t="shared" si="61"/>
        <v>2.8149682442633783</v>
      </c>
      <c r="DG8" s="173"/>
      <c r="DH8" s="173">
        <f t="shared" si="62"/>
        <v>0.85106382978723416</v>
      </c>
      <c r="DI8" s="545">
        <f t="shared" si="63"/>
        <v>79.312499999999986</v>
      </c>
      <c r="DJ8" s="528">
        <f t="shared" si="64"/>
        <v>0.79432624113475192</v>
      </c>
      <c r="DL8" s="173">
        <f t="shared" si="65"/>
        <v>0.60710083888216504</v>
      </c>
      <c r="DM8" s="173">
        <f t="shared" si="66"/>
        <v>1.3333333333333335</v>
      </c>
      <c r="DN8" s="173">
        <f t="shared" si="67"/>
        <v>1.0453214285714285</v>
      </c>
      <c r="DP8" s="545">
        <f t="shared" si="68"/>
        <v>180</v>
      </c>
      <c r="DQ8" s="460">
        <f t="shared" si="69"/>
        <v>79.312499999999986</v>
      </c>
      <c r="DS8">
        <f t="shared" si="116"/>
        <v>180</v>
      </c>
      <c r="DT8" s="460">
        <f t="shared" si="70"/>
        <v>79.312499999999986</v>
      </c>
      <c r="DU8" s="460"/>
      <c r="DV8" s="5">
        <f t="shared" si="117"/>
        <v>12.608353033884951</v>
      </c>
      <c r="DW8" s="5">
        <f t="shared" si="71"/>
        <v>0.66666666666666685</v>
      </c>
      <c r="DX8" s="5">
        <f t="shared" si="118"/>
        <v>11.941686367218285</v>
      </c>
      <c r="DY8" s="173">
        <f t="shared" si="119"/>
        <v>5.2875000000000005E-2</v>
      </c>
      <c r="EA8" s="5">
        <f t="shared" si="72"/>
        <v>3.0000000000000004</v>
      </c>
      <c r="EB8" s="5">
        <f t="shared" si="73"/>
        <v>1.1111111111111113E-2</v>
      </c>
      <c r="EC8" s="5">
        <f t="shared" si="74"/>
        <v>0.29854215918045707</v>
      </c>
      <c r="ED8" s="5"/>
      <c r="EE8" s="173">
        <f t="shared" si="120"/>
        <v>0.17701224063135673</v>
      </c>
      <c r="EF8" s="173">
        <f t="shared" si="75"/>
        <v>2.9966895314910666</v>
      </c>
      <c r="EG8" s="173">
        <f t="shared" si="76"/>
        <v>5.7099084316248695E-2</v>
      </c>
      <c r="EH8" s="173"/>
      <c r="EI8" s="528">
        <f t="shared" si="77"/>
        <v>3.8226666666666667E-4</v>
      </c>
      <c r="EJ8" s="528">
        <f t="shared" si="78"/>
        <v>9.0521999999999977E-2</v>
      </c>
      <c r="EK8" s="528">
        <f t="shared" si="79"/>
        <v>9.9140624999999975E-3</v>
      </c>
      <c r="EL8" s="528">
        <f t="shared" si="80"/>
        <v>1.4528780999999996E-2</v>
      </c>
      <c r="EM8">
        <f t="shared" si="81"/>
        <v>1.0800000000000001E-2</v>
      </c>
      <c r="EN8" s="460">
        <f t="shared" si="121"/>
        <v>20.714062499999997</v>
      </c>
      <c r="EO8">
        <f t="shared" si="82"/>
        <v>0.12626179009072003</v>
      </c>
      <c r="EP8" s="460">
        <f t="shared" si="122"/>
        <v>126.26179009072003</v>
      </c>
      <c r="EQ8" s="173">
        <f t="shared" si="83"/>
        <v>0.11182499999999999</v>
      </c>
      <c r="ER8" s="173">
        <f t="shared" si="84"/>
        <v>1.33125E-3</v>
      </c>
      <c r="ES8" s="528"/>
      <c r="EU8" s="460">
        <f t="shared" si="123"/>
        <v>113.15625</v>
      </c>
      <c r="EV8" s="528">
        <f t="shared" si="85"/>
        <v>9.4000000000000008E-4</v>
      </c>
      <c r="EW8" s="528">
        <f t="shared" si="124"/>
        <v>0.26940444444444445</v>
      </c>
      <c r="EX8" s="528">
        <f t="shared" si="86"/>
        <v>1.6301527148770387E-5</v>
      </c>
      <c r="EY8" s="528">
        <f t="shared" si="87"/>
        <v>5.750041040602301E-3</v>
      </c>
      <c r="EZ8" s="528">
        <f t="shared" si="88"/>
        <v>0.34853579791106093</v>
      </c>
      <c r="FA8" s="625">
        <f t="shared" si="89"/>
        <v>3.5249999999999999E-3</v>
      </c>
      <c r="FB8" s="460">
        <f t="shared" si="125"/>
        <v>352.06079791106094</v>
      </c>
      <c r="FC8" s="173">
        <f t="shared" si="126"/>
        <v>0.59147883800178103</v>
      </c>
      <c r="FD8" s="5">
        <f t="shared" si="127"/>
        <v>0.77400000000000002</v>
      </c>
      <c r="FE8" s="173">
        <f t="shared" si="128"/>
        <v>0.56683412328283223</v>
      </c>
      <c r="FF8" s="5">
        <f t="shared" si="129"/>
        <v>56.683412328283225</v>
      </c>
      <c r="FG8">
        <f t="shared" si="130"/>
        <v>3</v>
      </c>
      <c r="FI8" s="562">
        <f t="shared" si="90"/>
        <v>-50</v>
      </c>
      <c r="FJ8">
        <f t="shared" si="91"/>
        <v>-50</v>
      </c>
      <c r="FL8">
        <f t="shared" si="92"/>
        <v>6.7499999999999991E-2</v>
      </c>
    </row>
    <row r="9" spans="2:169">
      <c r="E9" s="170">
        <v>4</v>
      </c>
      <c r="F9" s="217">
        <f t="shared" si="131"/>
        <v>0.24</v>
      </c>
      <c r="G9" s="217">
        <f t="shared" si="93"/>
        <v>4.0000000000000001E-3</v>
      </c>
      <c r="H9" s="217">
        <f t="shared" si="0"/>
        <v>0.96</v>
      </c>
      <c r="I9" s="217">
        <f t="shared" si="132"/>
        <v>7.2000000000000008E-2</v>
      </c>
      <c r="J9" s="541">
        <f t="shared" si="1"/>
        <v>23.964660861721935</v>
      </c>
      <c r="K9" s="443">
        <f t="shared" si="2"/>
        <v>19.12</v>
      </c>
      <c r="L9" s="172">
        <f t="shared" si="3"/>
        <v>43.084660861721936</v>
      </c>
      <c r="M9" s="443"/>
      <c r="N9" s="217">
        <f t="shared" si="4"/>
        <v>0.44377742838372769</v>
      </c>
      <c r="O9" s="172">
        <f t="shared" si="94"/>
        <v>32.976668431947687</v>
      </c>
      <c r="P9" s="172">
        <f t="shared" si="5"/>
        <v>2.658743892325782</v>
      </c>
      <c r="Q9" s="217">
        <f t="shared" si="6"/>
        <v>8.2441671079869216</v>
      </c>
      <c r="R9" s="217">
        <f t="shared" si="7"/>
        <v>1.8320371351082048</v>
      </c>
      <c r="S9" s="443">
        <f t="shared" si="8"/>
        <v>4</v>
      </c>
      <c r="T9" s="217">
        <f t="shared" si="9"/>
        <v>0.19407660944304797</v>
      </c>
      <c r="U9" s="217">
        <f t="shared" si="10"/>
        <v>9.7181400844962157E-2</v>
      </c>
      <c r="V9" s="217">
        <f t="shared" si="11"/>
        <v>0.12180540341613888</v>
      </c>
      <c r="W9" s="197">
        <f t="shared" si="12"/>
        <v>350</v>
      </c>
      <c r="X9" s="443">
        <f t="shared" si="95"/>
        <v>350</v>
      </c>
      <c r="Z9" s="217">
        <f t="shared" si="13"/>
        <v>2.5321370403102681</v>
      </c>
      <c r="AA9" s="173">
        <f t="shared" si="14"/>
        <v>1.5892073474750639</v>
      </c>
      <c r="AB9" s="173">
        <f t="shared" si="15"/>
        <v>2.8168635524923884</v>
      </c>
      <c r="AC9" s="173"/>
      <c r="AD9" s="173">
        <f t="shared" si="16"/>
        <v>0.83682008368200844</v>
      </c>
      <c r="AE9" s="545">
        <f t="shared" si="17"/>
        <v>107.54999999999997</v>
      </c>
      <c r="AF9" s="528">
        <f t="shared" si="18"/>
        <v>0.78103207810320796</v>
      </c>
      <c r="AH9" s="173">
        <f t="shared" si="19"/>
        <v>0.70101966550773132</v>
      </c>
      <c r="AI9" s="173">
        <f t="shared" si="20"/>
        <v>1.3333333333333335</v>
      </c>
      <c r="AJ9" s="173">
        <f t="shared" si="21"/>
        <v>1.0614571428571429</v>
      </c>
      <c r="AL9" s="545">
        <f t="shared" si="22"/>
        <v>240</v>
      </c>
      <c r="AM9" s="460">
        <f t="shared" si="23"/>
        <v>107.54999999999997</v>
      </c>
      <c r="AO9">
        <f t="shared" si="96"/>
        <v>240</v>
      </c>
      <c r="AP9" s="460">
        <f t="shared" si="24"/>
        <v>107.54999999999997</v>
      </c>
      <c r="AQ9" s="460"/>
      <c r="AR9" s="5">
        <f t="shared" si="97"/>
        <v>9.2980009298000947</v>
      </c>
      <c r="AS9" s="5">
        <f t="shared" si="25"/>
        <v>0.66764975696177464</v>
      </c>
      <c r="AT9" s="5">
        <f t="shared" si="98"/>
        <v>8.6303511728383207</v>
      </c>
      <c r="AU9" s="173">
        <f t="shared" si="99"/>
        <v>7.1805731361238856E-2</v>
      </c>
      <c r="AW9" s="5">
        <f t="shared" si="26"/>
        <v>4.0058985417706481</v>
      </c>
      <c r="AX9" s="5">
        <f t="shared" si="27"/>
        <v>1.4836661265817216E-2</v>
      </c>
      <c r="AY9" s="5">
        <f t="shared" si="28"/>
        <v>0.28810259315201348</v>
      </c>
      <c r="AZ9" s="5"/>
      <c r="BA9" s="173">
        <f t="shared" si="100"/>
        <v>0.2062802571996743</v>
      </c>
      <c r="BB9" s="173">
        <f t="shared" si="29"/>
        <v>2.9665900912184791</v>
      </c>
      <c r="BC9" s="173">
        <f t="shared" si="30"/>
        <v>5.6525567954298042E-2</v>
      </c>
      <c r="BD9" s="173"/>
      <c r="BE9" s="528">
        <f t="shared" si="31"/>
        <v>5.1912884302643815E-4</v>
      </c>
      <c r="BF9" s="528">
        <f t="shared" si="32"/>
        <v>0.11584388189195483</v>
      </c>
      <c r="BG9" s="528">
        <f t="shared" si="33"/>
        <v>6.4434981891954846E-2</v>
      </c>
      <c r="BH9" s="528">
        <f t="shared" si="34"/>
        <v>1.9964377456880979E-2</v>
      </c>
      <c r="BI9">
        <f t="shared" si="35"/>
        <v>1.0784097387774871E-2</v>
      </c>
      <c r="BJ9" s="460">
        <f t="shared" si="101"/>
        <v>75.219079279729726</v>
      </c>
      <c r="BK9">
        <f t="shared" si="36"/>
        <v>0.1364843876480622</v>
      </c>
      <c r="BL9" s="460">
        <f t="shared" si="102"/>
        <v>136.48438764806221</v>
      </c>
      <c r="BM9" s="173">
        <f t="shared" si="37"/>
        <v>0.14909999999999998</v>
      </c>
      <c r="BN9" s="173">
        <f t="shared" si="38"/>
        <v>1.7749999999999999E-3</v>
      </c>
      <c r="BO9" s="528"/>
      <c r="BQ9" s="460">
        <f t="shared" si="103"/>
        <v>150.87499999999997</v>
      </c>
      <c r="BR9" s="528">
        <f t="shared" si="39"/>
        <v>1.2765463353109135E-3</v>
      </c>
      <c r="BS9" s="528">
        <f t="shared" si="104"/>
        <v>0.26401970307946993</v>
      </c>
      <c r="BT9" s="528">
        <f t="shared" si="40"/>
        <v>1.5975699162779828E-5</v>
      </c>
      <c r="BU9" s="528">
        <f t="shared" si="41"/>
        <v>1.2312404718603337E-2</v>
      </c>
      <c r="BV9" s="528">
        <f t="shared" si="42"/>
        <v>0.34870072916825218</v>
      </c>
      <c r="BW9" s="625">
        <f t="shared" si="43"/>
        <v>4.7800000000000004E-3</v>
      </c>
      <c r="BX9" s="460">
        <f t="shared" si="105"/>
        <v>353.4807291682522</v>
      </c>
      <c r="BY9" s="173">
        <f t="shared" si="106"/>
        <v>0.64084011681631436</v>
      </c>
      <c r="BZ9" s="5">
        <f t="shared" si="107"/>
        <v>1.032</v>
      </c>
      <c r="CA9" s="173">
        <f t="shared" si="108"/>
        <v>0.61691490395631066</v>
      </c>
      <c r="CB9" s="5">
        <f t="shared" si="109"/>
        <v>61.691490395631064</v>
      </c>
      <c r="CC9">
        <f t="shared" si="110"/>
        <v>4</v>
      </c>
      <c r="CE9" s="562">
        <f t="shared" si="44"/>
        <v>-50</v>
      </c>
      <c r="CF9">
        <f t="shared" si="45"/>
        <v>-50</v>
      </c>
      <c r="CG9" s="173">
        <f t="shared" si="46"/>
        <v>8.9999999999999969E-2</v>
      </c>
      <c r="CH9" s="173">
        <f t="shared" si="47"/>
        <v>2.3051745676269379E-2</v>
      </c>
      <c r="CI9" s="170">
        <v>4</v>
      </c>
      <c r="CJ9" s="217">
        <f t="shared" si="133"/>
        <v>0.24</v>
      </c>
      <c r="CK9" s="217">
        <f t="shared" si="111"/>
        <v>4.0000000000000001E-3</v>
      </c>
      <c r="CL9" s="217">
        <f t="shared" si="48"/>
        <v>0.96</v>
      </c>
      <c r="CM9" s="217">
        <f t="shared" si="134"/>
        <v>7.2000000000000008E-2</v>
      </c>
      <c r="CN9" s="541">
        <f t="shared" si="112"/>
        <v>24</v>
      </c>
      <c r="CO9" s="443">
        <f t="shared" si="49"/>
        <v>18.8</v>
      </c>
      <c r="CP9" s="443">
        <f t="shared" si="50"/>
        <v>42.8</v>
      </c>
      <c r="CQ9" s="443"/>
      <c r="CR9" s="217">
        <f t="shared" si="113"/>
        <v>0.43925233644859818</v>
      </c>
      <c r="CS9" s="172">
        <f t="shared" si="114"/>
        <v>32.688545968267775</v>
      </c>
      <c r="CT9" s="172">
        <f t="shared" si="51"/>
        <v>2.6355140186915893</v>
      </c>
      <c r="CU9" s="217">
        <f t="shared" si="52"/>
        <v>8.1721364920669437</v>
      </c>
      <c r="CV9" s="217">
        <f t="shared" si="53"/>
        <v>1.816030331570432</v>
      </c>
      <c r="CW9" s="443">
        <f t="shared" si="54"/>
        <v>4</v>
      </c>
      <c r="CX9" s="217">
        <f t="shared" si="55"/>
        <v>0.19578723404255316</v>
      </c>
      <c r="CY9" s="217">
        <f t="shared" si="56"/>
        <v>9.789361702127658E-2</v>
      </c>
      <c r="CZ9" s="217">
        <f t="shared" si="57"/>
        <v>0.12497057492077861</v>
      </c>
      <c r="DA9" s="197">
        <f t="shared" si="58"/>
        <v>350</v>
      </c>
      <c r="DB9" s="443">
        <f t="shared" si="115"/>
        <v>350</v>
      </c>
      <c r="DD9" s="217">
        <f t="shared" si="59"/>
        <v>2.5100133511348464</v>
      </c>
      <c r="DE9" s="173">
        <f t="shared" si="60"/>
        <v>1.6021361815754336</v>
      </c>
      <c r="DF9" s="173">
        <f t="shared" si="61"/>
        <v>2.8149682442633783</v>
      </c>
      <c r="DG9" s="173"/>
      <c r="DH9" s="173">
        <f t="shared" si="62"/>
        <v>0.85106382978723416</v>
      </c>
      <c r="DI9" s="545">
        <f t="shared" si="63"/>
        <v>105.74999999999996</v>
      </c>
      <c r="DJ9" s="528">
        <f t="shared" si="64"/>
        <v>0.79432624113475192</v>
      </c>
      <c r="DL9" s="173">
        <f t="shared" si="65"/>
        <v>0.70101966550773132</v>
      </c>
      <c r="DM9" s="173">
        <f t="shared" si="66"/>
        <v>1.3333333333333335</v>
      </c>
      <c r="DN9" s="173">
        <f t="shared" si="67"/>
        <v>1.0604285714285715</v>
      </c>
      <c r="DP9" s="545">
        <f t="shared" si="68"/>
        <v>240</v>
      </c>
      <c r="DQ9" s="460">
        <f t="shared" si="69"/>
        <v>105.74999999999996</v>
      </c>
      <c r="DS9">
        <f t="shared" si="116"/>
        <v>240</v>
      </c>
      <c r="DT9" s="460">
        <f t="shared" si="70"/>
        <v>105.74999999999996</v>
      </c>
      <c r="DU9" s="460"/>
      <c r="DV9" s="5">
        <f t="shared" si="117"/>
        <v>9.4562647754137146</v>
      </c>
      <c r="DW9" s="5">
        <f t="shared" si="71"/>
        <v>0.66666666666666685</v>
      </c>
      <c r="DX9" s="5">
        <f t="shared" si="118"/>
        <v>8.7895981087470485</v>
      </c>
      <c r="DY9" s="173">
        <f t="shared" si="119"/>
        <v>7.0499999999999993E-2</v>
      </c>
      <c r="EA9" s="5">
        <f t="shared" si="72"/>
        <v>4.0000000000000009</v>
      </c>
      <c r="EB9" s="5">
        <f t="shared" si="73"/>
        <v>1.4814814814814819E-2</v>
      </c>
      <c r="EC9" s="5">
        <f t="shared" si="74"/>
        <v>0.29298660362490159</v>
      </c>
      <c r="ED9" s="5"/>
      <c r="EE9" s="173">
        <f t="shared" si="120"/>
        <v>0.20439612955674522</v>
      </c>
      <c r="EF9" s="173">
        <f t="shared" si="75"/>
        <v>2.9686759737359414</v>
      </c>
      <c r="EG9" s="173">
        <f t="shared" si="76"/>
        <v>5.6565312472536176E-2</v>
      </c>
      <c r="EH9" s="173"/>
      <c r="EI9" s="528">
        <f t="shared" si="77"/>
        <v>5.0968888888888882E-4</v>
      </c>
      <c r="EJ9" s="528">
        <f t="shared" si="78"/>
        <v>0.12069599999999997</v>
      </c>
      <c r="EK9" s="528">
        <f t="shared" si="79"/>
        <v>1.3218749999999994E-2</v>
      </c>
      <c r="EL9" s="528">
        <f t="shared" si="80"/>
        <v>1.9371707999999991E-2</v>
      </c>
      <c r="EM9">
        <f t="shared" si="81"/>
        <v>1.0800000000000001E-2</v>
      </c>
      <c r="EN9" s="460">
        <f t="shared" si="121"/>
        <v>24.018749999999994</v>
      </c>
      <c r="EO9">
        <f t="shared" si="82"/>
        <v>0.16475371490645177</v>
      </c>
      <c r="EP9" s="460">
        <f t="shared" si="122"/>
        <v>164.75371490645176</v>
      </c>
      <c r="EQ9" s="173">
        <f t="shared" si="83"/>
        <v>0.14909999999999998</v>
      </c>
      <c r="ER9" s="173">
        <f t="shared" si="84"/>
        <v>1.7749999999999999E-3</v>
      </c>
      <c r="ES9" s="528"/>
      <c r="EU9" s="460">
        <f t="shared" si="123"/>
        <v>150.87499999999997</v>
      </c>
      <c r="EV9" s="528">
        <f t="shared" si="85"/>
        <v>1.2533333333333333E-3</v>
      </c>
      <c r="EW9" s="528">
        <f t="shared" si="124"/>
        <v>0.26439111111111119</v>
      </c>
      <c r="EX9" s="528">
        <f t="shared" si="86"/>
        <v>1.5998172875578285E-5</v>
      </c>
      <c r="EY9" s="528">
        <f t="shared" si="87"/>
        <v>1.1803689751620026E-2</v>
      </c>
      <c r="EZ9" s="528">
        <f t="shared" si="88"/>
        <v>0.34863205835168054</v>
      </c>
      <c r="FA9" s="625">
        <f t="shared" si="89"/>
        <v>4.6999999999999993E-3</v>
      </c>
      <c r="FB9" s="460">
        <f t="shared" si="125"/>
        <v>353.33205835168053</v>
      </c>
      <c r="FC9" s="173">
        <f t="shared" si="126"/>
        <v>0.6689607732581323</v>
      </c>
      <c r="FD9" s="5">
        <f t="shared" si="127"/>
        <v>1.032</v>
      </c>
      <c r="FE9" s="173">
        <f t="shared" si="128"/>
        <v>0.60671593150454561</v>
      </c>
      <c r="FF9" s="5">
        <f t="shared" si="129"/>
        <v>60.671593150454562</v>
      </c>
      <c r="FG9">
        <f t="shared" si="130"/>
        <v>4</v>
      </c>
      <c r="FI9" s="562">
        <f t="shared" si="90"/>
        <v>-50</v>
      </c>
      <c r="FJ9">
        <f t="shared" si="91"/>
        <v>-50</v>
      </c>
      <c r="FL9">
        <f t="shared" si="92"/>
        <v>8.9999999999999983E-2</v>
      </c>
    </row>
    <row r="10" spans="2:169">
      <c r="E10" s="170">
        <v>5</v>
      </c>
      <c r="F10" s="217">
        <f t="shared" si="131"/>
        <v>0.30000000000000004</v>
      </c>
      <c r="G10" s="217">
        <f t="shared" si="93"/>
        <v>5.000000000000001E-3</v>
      </c>
      <c r="H10" s="217">
        <f t="shared" si="0"/>
        <v>1.2000000000000002</v>
      </c>
      <c r="I10" s="217">
        <f t="shared" si="132"/>
        <v>9.0000000000000024E-2</v>
      </c>
      <c r="J10" s="541">
        <f t="shared" si="1"/>
        <v>23.964660861721935</v>
      </c>
      <c r="K10" s="443">
        <f t="shared" si="2"/>
        <v>19.12</v>
      </c>
      <c r="L10" s="172">
        <f t="shared" si="3"/>
        <v>43.084660861721936</v>
      </c>
      <c r="M10" s="443"/>
      <c r="N10" s="217">
        <f t="shared" si="4"/>
        <v>0.44377742838372769</v>
      </c>
      <c r="O10" s="172">
        <f t="shared" si="94"/>
        <v>32.976668431947687</v>
      </c>
      <c r="P10" s="172">
        <f t="shared" si="5"/>
        <v>2.658743892325782</v>
      </c>
      <c r="Q10" s="217">
        <f t="shared" si="6"/>
        <v>8.2441671079869216</v>
      </c>
      <c r="R10" s="217">
        <f t="shared" si="7"/>
        <v>1.8320371351082048</v>
      </c>
      <c r="S10" s="443">
        <f t="shared" si="8"/>
        <v>4</v>
      </c>
      <c r="T10" s="217">
        <f t="shared" si="9"/>
        <v>0.24259576180381001</v>
      </c>
      <c r="U10" s="217">
        <f t="shared" si="10"/>
        <v>0.12147675105620272</v>
      </c>
      <c r="V10" s="217">
        <f t="shared" si="11"/>
        <v>0.15225675427017366</v>
      </c>
      <c r="W10" s="197">
        <f t="shared" si="12"/>
        <v>350</v>
      </c>
      <c r="X10" s="443">
        <f t="shared" si="95"/>
        <v>350</v>
      </c>
      <c r="Z10" s="217">
        <f t="shared" si="13"/>
        <v>2.5321370403102681</v>
      </c>
      <c r="AA10" s="173">
        <f t="shared" si="14"/>
        <v>1.5892073474750639</v>
      </c>
      <c r="AB10" s="173">
        <f t="shared" si="15"/>
        <v>2.8168635524923884</v>
      </c>
      <c r="AC10" s="173"/>
      <c r="AD10" s="173">
        <f t="shared" si="16"/>
        <v>0.83682008368200844</v>
      </c>
      <c r="AE10" s="545">
        <f t="shared" si="17"/>
        <v>134.4375</v>
      </c>
      <c r="AF10" s="528">
        <f t="shared" si="18"/>
        <v>0.78103207810320796</v>
      </c>
      <c r="AH10" s="173">
        <f t="shared" si="19"/>
        <v>0.78376381281972596</v>
      </c>
      <c r="AI10" s="173">
        <f t="shared" si="20"/>
        <v>1.3333333333333335</v>
      </c>
      <c r="AJ10" s="173">
        <f t="shared" si="21"/>
        <v>1.0768214285714286</v>
      </c>
      <c r="AL10" s="545">
        <f t="shared" si="22"/>
        <v>300.00000000000006</v>
      </c>
      <c r="AM10" s="460">
        <f t="shared" si="23"/>
        <v>134.4375</v>
      </c>
      <c r="AO10">
        <f t="shared" si="96"/>
        <v>300.00000000000006</v>
      </c>
      <c r="AP10" s="460">
        <f t="shared" si="24"/>
        <v>134.4375</v>
      </c>
      <c r="AQ10" s="460"/>
      <c r="AR10" s="5">
        <f t="shared" si="97"/>
        <v>7.4384007438400745</v>
      </c>
      <c r="AS10" s="5">
        <f t="shared" si="25"/>
        <v>0.66764975696177464</v>
      </c>
      <c r="AT10" s="5">
        <f t="shared" si="98"/>
        <v>6.7707509868782996</v>
      </c>
      <c r="AU10" s="173">
        <f t="shared" si="99"/>
        <v>8.975716420154857E-2</v>
      </c>
      <c r="AW10" s="5">
        <f t="shared" si="26"/>
        <v>5.007373177213311</v>
      </c>
      <c r="AX10" s="5">
        <f t="shared" si="27"/>
        <v>1.8545826582271521E-2</v>
      </c>
      <c r="AY10" s="5">
        <f t="shared" si="28"/>
        <v>0.28253064067737449</v>
      </c>
      <c r="AZ10" s="5"/>
      <c r="BA10" s="173">
        <f t="shared" si="100"/>
        <v>0.23062833875730607</v>
      </c>
      <c r="BB10" s="173">
        <f t="shared" si="29"/>
        <v>2.9377628548394115</v>
      </c>
      <c r="BC10" s="173">
        <f t="shared" si="30"/>
        <v>5.5976292234102297E-2</v>
      </c>
      <c r="BD10" s="173"/>
      <c r="BE10" s="528">
        <f t="shared" si="31"/>
        <v>6.4891105378304763E-4</v>
      </c>
      <c r="BF10" s="528">
        <f t="shared" si="32"/>
        <v>0.14480485236494359</v>
      </c>
      <c r="BG10" s="528">
        <f t="shared" si="33"/>
        <v>8.0543727364943571E-2</v>
      </c>
      <c r="BH10" s="528">
        <f t="shared" si="34"/>
        <v>2.4955471821101229E-2</v>
      </c>
      <c r="BI10">
        <f t="shared" si="35"/>
        <v>1.0784097387774871E-2</v>
      </c>
      <c r="BJ10" s="460">
        <f t="shared" si="101"/>
        <v>91.327824752718442</v>
      </c>
      <c r="BK10">
        <f t="shared" si="36"/>
        <v>0.17061074620525707</v>
      </c>
      <c r="BL10" s="460">
        <f t="shared" si="102"/>
        <v>170.61074620525707</v>
      </c>
      <c r="BM10" s="173">
        <f t="shared" si="37"/>
        <v>0.18637500000000001</v>
      </c>
      <c r="BN10" s="173">
        <f t="shared" si="38"/>
        <v>2.2187500000000002E-3</v>
      </c>
      <c r="BO10" s="528"/>
      <c r="BQ10" s="460">
        <f t="shared" si="103"/>
        <v>188.59375</v>
      </c>
      <c r="BR10" s="528">
        <f t="shared" si="39"/>
        <v>1.5956829191386417E-3</v>
      </c>
      <c r="BS10" s="528">
        <f t="shared" si="104"/>
        <v>0.2589135177382263</v>
      </c>
      <c r="BT10" s="528">
        <f t="shared" si="40"/>
        <v>1.5666726461388104E-5</v>
      </c>
      <c r="BU10" s="528">
        <f t="shared" si="41"/>
        <v>2.1508885872879857E-2</v>
      </c>
      <c r="BV10" s="528">
        <f t="shared" si="42"/>
        <v>0.35189389015406991</v>
      </c>
      <c r="BW10" s="625">
        <f t="shared" si="43"/>
        <v>5.9750000000000011E-3</v>
      </c>
      <c r="BX10" s="460">
        <f t="shared" si="105"/>
        <v>357.8688901540699</v>
      </c>
      <c r="BY10" s="173">
        <f t="shared" si="106"/>
        <v>0.71707338635932694</v>
      </c>
      <c r="BZ10" s="5">
        <f t="shared" si="107"/>
        <v>1.2900000000000003</v>
      </c>
      <c r="CA10" s="173">
        <f t="shared" si="108"/>
        <v>0.64272687225451108</v>
      </c>
      <c r="CB10" s="5">
        <f t="shared" si="109"/>
        <v>64.272687225451108</v>
      </c>
      <c r="CC10">
        <f t="shared" si="110"/>
        <v>5.0000000000000009</v>
      </c>
      <c r="CE10" s="562">
        <f t="shared" si="44"/>
        <v>-50</v>
      </c>
      <c r="CF10">
        <f t="shared" si="45"/>
        <v>-50</v>
      </c>
      <c r="CG10" s="173">
        <f t="shared" si="46"/>
        <v>0.1125</v>
      </c>
      <c r="CH10" s="173">
        <f t="shared" si="47"/>
        <v>2.8814682095336733E-2</v>
      </c>
      <c r="CI10" s="170">
        <v>5</v>
      </c>
      <c r="CJ10" s="217">
        <f t="shared" si="133"/>
        <v>0.30000000000000004</v>
      </c>
      <c r="CK10" s="217">
        <f t="shared" si="111"/>
        <v>5.000000000000001E-3</v>
      </c>
      <c r="CL10" s="217">
        <f t="shared" si="48"/>
        <v>1.2000000000000002</v>
      </c>
      <c r="CM10" s="217">
        <f t="shared" si="134"/>
        <v>9.0000000000000024E-2</v>
      </c>
      <c r="CN10" s="541">
        <f t="shared" si="112"/>
        <v>24</v>
      </c>
      <c r="CO10" s="443">
        <f t="shared" si="49"/>
        <v>18.8</v>
      </c>
      <c r="CP10" s="443">
        <f t="shared" si="50"/>
        <v>42.8</v>
      </c>
      <c r="CQ10" s="443"/>
      <c r="CR10" s="217">
        <f t="shared" si="113"/>
        <v>0.43925233644859818</v>
      </c>
      <c r="CS10" s="172">
        <f t="shared" si="114"/>
        <v>32.688545968267775</v>
      </c>
      <c r="CT10" s="172">
        <f t="shared" si="51"/>
        <v>2.6355140186915893</v>
      </c>
      <c r="CU10" s="217">
        <f t="shared" si="52"/>
        <v>8.1721364920669437</v>
      </c>
      <c r="CV10" s="217">
        <f t="shared" si="53"/>
        <v>1.816030331570432</v>
      </c>
      <c r="CW10" s="443">
        <f t="shared" si="54"/>
        <v>4</v>
      </c>
      <c r="CX10" s="217">
        <f t="shared" si="55"/>
        <v>0.24473404255319148</v>
      </c>
      <c r="CY10" s="217">
        <f t="shared" si="56"/>
        <v>0.12236702127659575</v>
      </c>
      <c r="CZ10" s="217">
        <f t="shared" si="57"/>
        <v>0.15621321865097329</v>
      </c>
      <c r="DA10" s="197">
        <f t="shared" si="58"/>
        <v>350</v>
      </c>
      <c r="DB10" s="443">
        <f t="shared" si="115"/>
        <v>350</v>
      </c>
      <c r="DD10" s="217">
        <f t="shared" si="59"/>
        <v>2.5100133511348464</v>
      </c>
      <c r="DE10" s="173">
        <f t="shared" si="60"/>
        <v>1.6021361815754336</v>
      </c>
      <c r="DF10" s="173">
        <f t="shared" si="61"/>
        <v>2.8149682442633783</v>
      </c>
      <c r="DG10" s="173"/>
      <c r="DH10" s="173">
        <f t="shared" si="62"/>
        <v>0.85106382978723416</v>
      </c>
      <c r="DI10" s="545">
        <f t="shared" si="63"/>
        <v>132.1875</v>
      </c>
      <c r="DJ10" s="528">
        <f t="shared" si="64"/>
        <v>0.79432624113475192</v>
      </c>
      <c r="DL10" s="173">
        <f t="shared" si="65"/>
        <v>0.78376381281972596</v>
      </c>
      <c r="DM10" s="173">
        <f t="shared" si="66"/>
        <v>1.3333333333333335</v>
      </c>
      <c r="DN10" s="173">
        <f t="shared" si="67"/>
        <v>1.0755357142857143</v>
      </c>
      <c r="DP10" s="545">
        <f t="shared" si="68"/>
        <v>300.00000000000006</v>
      </c>
      <c r="DQ10" s="460">
        <f t="shared" si="69"/>
        <v>132.1875</v>
      </c>
      <c r="DS10">
        <f t="shared" si="116"/>
        <v>300.00000000000006</v>
      </c>
      <c r="DT10" s="460">
        <f t="shared" si="70"/>
        <v>132.1875</v>
      </c>
      <c r="DU10" s="460"/>
      <c r="DV10" s="5">
        <f t="shared" si="117"/>
        <v>7.5650118203309686</v>
      </c>
      <c r="DW10" s="5">
        <f t="shared" si="71"/>
        <v>0.66666666666666685</v>
      </c>
      <c r="DX10" s="5">
        <f t="shared" si="118"/>
        <v>6.8983451536643017</v>
      </c>
      <c r="DY10" s="173">
        <f t="shared" si="119"/>
        <v>8.8125000000000037E-2</v>
      </c>
      <c r="EA10" s="5">
        <f t="shared" si="72"/>
        <v>5.0000000000000027</v>
      </c>
      <c r="EB10" s="5">
        <f t="shared" si="73"/>
        <v>1.8518518518518528E-2</v>
      </c>
      <c r="EC10" s="5">
        <f t="shared" si="74"/>
        <v>0.28743104806934588</v>
      </c>
      <c r="ED10" s="5"/>
      <c r="EE10" s="173">
        <f t="shared" si="120"/>
        <v>0.22852182001336821</v>
      </c>
      <c r="EF10" s="173">
        <f t="shared" si="75"/>
        <v>2.9403955390263277</v>
      </c>
      <c r="EG10" s="173">
        <f t="shared" si="76"/>
        <v>5.6026455540907058E-2</v>
      </c>
      <c r="EH10" s="173"/>
      <c r="EI10" s="528">
        <f t="shared" si="77"/>
        <v>6.3711111111111141E-4</v>
      </c>
      <c r="EJ10" s="528">
        <f t="shared" si="78"/>
        <v>0.15087</v>
      </c>
      <c r="EK10" s="528">
        <f t="shared" si="79"/>
        <v>1.6523437499999998E-2</v>
      </c>
      <c r="EL10" s="528">
        <f t="shared" si="80"/>
        <v>2.4214634999999995E-2</v>
      </c>
      <c r="EM10">
        <f t="shared" si="81"/>
        <v>1.0800000000000001E-2</v>
      </c>
      <c r="EN10" s="460">
        <f t="shared" si="121"/>
        <v>27.323437499999997</v>
      </c>
      <c r="EO10">
        <f t="shared" si="82"/>
        <v>0.20324797080113582</v>
      </c>
      <c r="EP10" s="460">
        <f t="shared" si="122"/>
        <v>203.24797080113584</v>
      </c>
      <c r="EQ10" s="173">
        <f t="shared" si="83"/>
        <v>0.18637500000000001</v>
      </c>
      <c r="ER10" s="173">
        <f t="shared" si="84"/>
        <v>2.2187500000000002E-3</v>
      </c>
      <c r="ES10" s="528"/>
      <c r="EU10" s="460">
        <f t="shared" si="123"/>
        <v>188.59375</v>
      </c>
      <c r="EV10" s="528">
        <f t="shared" si="85"/>
        <v>1.5666666666666676E-3</v>
      </c>
      <c r="EW10" s="528">
        <f t="shared" si="124"/>
        <v>0.25937777777777782</v>
      </c>
      <c r="EX10" s="528">
        <f t="shared" si="86"/>
        <v>1.5694818602386176E-5</v>
      </c>
      <c r="EY10" s="528">
        <f t="shared" si="87"/>
        <v>2.0620197398390674E-2</v>
      </c>
      <c r="EZ10" s="528">
        <f t="shared" si="88"/>
        <v>0.3515500133192665</v>
      </c>
      <c r="FA10" s="625">
        <f t="shared" si="89"/>
        <v>5.8750000000000017E-3</v>
      </c>
      <c r="FB10" s="460">
        <f t="shared" si="125"/>
        <v>357.4250133192665</v>
      </c>
      <c r="FC10" s="173">
        <f t="shared" si="126"/>
        <v>0.74926673412040234</v>
      </c>
      <c r="FD10" s="5">
        <f t="shared" si="127"/>
        <v>1.2900000000000003</v>
      </c>
      <c r="FE10" s="173">
        <f t="shared" si="128"/>
        <v>0.63258031841352824</v>
      </c>
      <c r="FF10" s="5">
        <f t="shared" si="129"/>
        <v>63.258031841352825</v>
      </c>
      <c r="FG10">
        <f t="shared" si="130"/>
        <v>5.0000000000000009</v>
      </c>
      <c r="FI10" s="562">
        <f t="shared" si="90"/>
        <v>-50</v>
      </c>
      <c r="FJ10">
        <f t="shared" si="91"/>
        <v>-50</v>
      </c>
      <c r="FL10">
        <f t="shared" si="92"/>
        <v>0.1125</v>
      </c>
    </row>
    <row r="11" spans="2:169">
      <c r="E11" s="170">
        <v>6</v>
      </c>
      <c r="F11" s="217">
        <f t="shared" si="131"/>
        <v>0.36</v>
      </c>
      <c r="G11" s="217">
        <f t="shared" si="93"/>
        <v>6.0000000000000001E-3</v>
      </c>
      <c r="H11" s="217">
        <f t="shared" si="0"/>
        <v>1.44</v>
      </c>
      <c r="I11" s="217">
        <f t="shared" si="132"/>
        <v>0.108</v>
      </c>
      <c r="J11" s="541">
        <f t="shared" si="1"/>
        <v>23.964660861721935</v>
      </c>
      <c r="K11" s="443">
        <f t="shared" si="2"/>
        <v>19.12</v>
      </c>
      <c r="L11" s="172">
        <f t="shared" si="3"/>
        <v>43.084660861721936</v>
      </c>
      <c r="M11" s="443"/>
      <c r="N11" s="217">
        <f t="shared" si="4"/>
        <v>0.44377742838372769</v>
      </c>
      <c r="O11" s="172">
        <f t="shared" si="94"/>
        <v>32.976668431947687</v>
      </c>
      <c r="P11" s="172">
        <f t="shared" si="5"/>
        <v>2.658743892325782</v>
      </c>
      <c r="Q11" s="217">
        <f t="shared" si="6"/>
        <v>8.2441671079869216</v>
      </c>
      <c r="R11" s="217">
        <f t="shared" si="7"/>
        <v>1.8320371351082048</v>
      </c>
      <c r="S11" s="443">
        <f t="shared" si="8"/>
        <v>4</v>
      </c>
      <c r="T11" s="217">
        <f t="shared" si="9"/>
        <v>0.29111491416457197</v>
      </c>
      <c r="U11" s="217">
        <f t="shared" si="10"/>
        <v>0.14577210126744325</v>
      </c>
      <c r="V11" s="217">
        <f t="shared" si="11"/>
        <v>0.18270810512420838</v>
      </c>
      <c r="W11" s="197">
        <f t="shared" si="12"/>
        <v>350</v>
      </c>
      <c r="X11" s="443">
        <f t="shared" si="95"/>
        <v>350</v>
      </c>
      <c r="Z11" s="217">
        <f t="shared" si="13"/>
        <v>2.5321370403102681</v>
      </c>
      <c r="AA11" s="173">
        <f t="shared" si="14"/>
        <v>1.5892073474750639</v>
      </c>
      <c r="AB11" s="173">
        <f t="shared" si="15"/>
        <v>2.8168635524923884</v>
      </c>
      <c r="AC11" s="173"/>
      <c r="AD11" s="173">
        <f t="shared" si="16"/>
        <v>0.83682008368200844</v>
      </c>
      <c r="AE11" s="545">
        <f t="shared" si="17"/>
        <v>161.32499999999993</v>
      </c>
      <c r="AF11" s="528">
        <f t="shared" si="18"/>
        <v>0.78103207810320796</v>
      </c>
      <c r="AH11" s="173">
        <f t="shared" si="19"/>
        <v>0.85857024007524108</v>
      </c>
      <c r="AI11" s="173">
        <f t="shared" si="20"/>
        <v>1.3333333333333335</v>
      </c>
      <c r="AJ11" s="173">
        <f t="shared" si="21"/>
        <v>1.0921857142857143</v>
      </c>
      <c r="AL11" s="545">
        <f t="shared" si="22"/>
        <v>360</v>
      </c>
      <c r="AM11" s="460">
        <f t="shared" si="23"/>
        <v>161.32499999999993</v>
      </c>
      <c r="AO11">
        <f t="shared" si="96"/>
        <v>360</v>
      </c>
      <c r="AP11" s="460">
        <f t="shared" si="24"/>
        <v>161.32499999999993</v>
      </c>
      <c r="AQ11" s="460"/>
      <c r="AR11" s="5">
        <f t="shared" si="97"/>
        <v>6.1986672865333983</v>
      </c>
      <c r="AS11" s="5">
        <f t="shared" si="25"/>
        <v>0.66764975696177464</v>
      </c>
      <c r="AT11" s="5">
        <f t="shared" si="98"/>
        <v>5.5310175295716233</v>
      </c>
      <c r="AU11" s="173">
        <f t="shared" si="99"/>
        <v>0.10770859704185824</v>
      </c>
      <c r="AW11" s="5">
        <f t="shared" si="26"/>
        <v>6.0088478126559712</v>
      </c>
      <c r="AX11" s="5">
        <f t="shared" si="27"/>
        <v>2.2254991898725825E-2</v>
      </c>
      <c r="AY11" s="5">
        <f t="shared" si="28"/>
        <v>0.27695868820273561</v>
      </c>
      <c r="AZ11" s="5"/>
      <c r="BA11" s="173">
        <f t="shared" si="100"/>
        <v>0.25264068707463899</v>
      </c>
      <c r="BB11" s="173">
        <f t="shared" si="29"/>
        <v>2.9086499296465282</v>
      </c>
      <c r="BC11" s="173">
        <f t="shared" si="30"/>
        <v>5.5421572983805463E-2</v>
      </c>
      <c r="BD11" s="173"/>
      <c r="BE11" s="528">
        <f t="shared" si="31"/>
        <v>7.7869326453965701E-4</v>
      </c>
      <c r="BF11" s="528">
        <f t="shared" si="32"/>
        <v>0.17376582283793221</v>
      </c>
      <c r="BG11" s="528">
        <f t="shared" si="33"/>
        <v>9.6652472837932241E-2</v>
      </c>
      <c r="BH11" s="528">
        <f t="shared" si="34"/>
        <v>2.9946566185321464E-2</v>
      </c>
      <c r="BI11">
        <f t="shared" si="35"/>
        <v>1.0784097387774871E-2</v>
      </c>
      <c r="BJ11" s="460">
        <f t="shared" si="101"/>
        <v>107.43657022570711</v>
      </c>
      <c r="BK11">
        <f t="shared" si="36"/>
        <v>0.20473920980999413</v>
      </c>
      <c r="BL11" s="460">
        <f t="shared" si="102"/>
        <v>204.73920980999412</v>
      </c>
      <c r="BM11" s="173">
        <f t="shared" si="37"/>
        <v>0.22364999999999999</v>
      </c>
      <c r="BN11" s="173">
        <f t="shared" si="38"/>
        <v>2.6624999999999999E-3</v>
      </c>
      <c r="BO11" s="528"/>
      <c r="BQ11" s="460">
        <f t="shared" si="103"/>
        <v>226.3125</v>
      </c>
      <c r="BR11" s="528">
        <f t="shared" si="39"/>
        <v>1.9148195029663698E-3</v>
      </c>
      <c r="BS11" s="528">
        <f t="shared" si="104"/>
        <v>0.25380733239698261</v>
      </c>
      <c r="BT11" s="528">
        <f t="shared" si="40"/>
        <v>1.5357753759996377E-5</v>
      </c>
      <c r="BU11" s="528">
        <f t="shared" si="41"/>
        <v>3.3928997700615846E-2</v>
      </c>
      <c r="BV11" s="528">
        <f t="shared" si="42"/>
        <v>0.35837551460121342</v>
      </c>
      <c r="BW11" s="625">
        <f t="shared" si="43"/>
        <v>7.1699999999999984E-3</v>
      </c>
      <c r="BX11" s="460">
        <f t="shared" si="105"/>
        <v>365.54551460121343</v>
      </c>
      <c r="BY11" s="173">
        <f t="shared" si="106"/>
        <v>0.79659722441120751</v>
      </c>
      <c r="BZ11" s="5">
        <f t="shared" si="107"/>
        <v>1.548</v>
      </c>
      <c r="CA11" s="173">
        <f t="shared" si="108"/>
        <v>0.66024133436767374</v>
      </c>
      <c r="CB11" s="5">
        <f t="shared" si="109"/>
        <v>66.024133436767372</v>
      </c>
      <c r="CC11">
        <f t="shared" si="110"/>
        <v>6</v>
      </c>
      <c r="CE11" s="562">
        <f t="shared" si="44"/>
        <v>-50</v>
      </c>
      <c r="CF11">
        <f t="shared" si="45"/>
        <v>-50</v>
      </c>
      <c r="CG11" s="173">
        <f t="shared" si="46"/>
        <v>0.13499999999999998</v>
      </c>
      <c r="CH11" s="173">
        <f t="shared" si="47"/>
        <v>3.4577618514404072E-2</v>
      </c>
      <c r="CI11" s="170">
        <v>6</v>
      </c>
      <c r="CJ11" s="217">
        <f t="shared" si="133"/>
        <v>0.36</v>
      </c>
      <c r="CK11" s="217">
        <f t="shared" si="111"/>
        <v>6.0000000000000001E-3</v>
      </c>
      <c r="CL11" s="217">
        <f t="shared" si="48"/>
        <v>1.44</v>
      </c>
      <c r="CM11" s="217">
        <f t="shared" si="134"/>
        <v>0.108</v>
      </c>
      <c r="CN11" s="541">
        <f t="shared" si="112"/>
        <v>24</v>
      </c>
      <c r="CO11" s="443">
        <f t="shared" si="49"/>
        <v>18.8</v>
      </c>
      <c r="CP11" s="443">
        <f t="shared" si="50"/>
        <v>42.8</v>
      </c>
      <c r="CQ11" s="443"/>
      <c r="CR11" s="217">
        <f t="shared" si="113"/>
        <v>0.43925233644859818</v>
      </c>
      <c r="CS11" s="172">
        <f t="shared" si="114"/>
        <v>32.688545968267775</v>
      </c>
      <c r="CT11" s="172">
        <f t="shared" si="51"/>
        <v>2.6355140186915893</v>
      </c>
      <c r="CU11" s="217">
        <f t="shared" si="52"/>
        <v>8.1721364920669437</v>
      </c>
      <c r="CV11" s="217">
        <f t="shared" si="53"/>
        <v>1.816030331570432</v>
      </c>
      <c r="CW11" s="443">
        <f t="shared" si="54"/>
        <v>4</v>
      </c>
      <c r="CX11" s="217">
        <f t="shared" si="55"/>
        <v>0.29368085106382974</v>
      </c>
      <c r="CY11" s="217">
        <f t="shared" si="56"/>
        <v>0.14684042553191487</v>
      </c>
      <c r="CZ11" s="217">
        <f t="shared" si="57"/>
        <v>0.18745586238116793</v>
      </c>
      <c r="DA11" s="197">
        <f t="shared" si="58"/>
        <v>350</v>
      </c>
      <c r="DB11" s="443">
        <f t="shared" si="115"/>
        <v>350</v>
      </c>
      <c r="DD11" s="217">
        <f t="shared" si="59"/>
        <v>2.5100133511348464</v>
      </c>
      <c r="DE11" s="173">
        <f t="shared" si="60"/>
        <v>1.6021361815754336</v>
      </c>
      <c r="DF11" s="173">
        <f t="shared" si="61"/>
        <v>2.8149682442633783</v>
      </c>
      <c r="DG11" s="173"/>
      <c r="DH11" s="173">
        <f t="shared" si="62"/>
        <v>0.85106382978723416</v>
      </c>
      <c r="DI11" s="545">
        <f t="shared" si="63"/>
        <v>158.62499999999997</v>
      </c>
      <c r="DJ11" s="528">
        <f t="shared" si="64"/>
        <v>0.79432624113475192</v>
      </c>
      <c r="DL11" s="173">
        <f t="shared" si="65"/>
        <v>0.85857024007524108</v>
      </c>
      <c r="DM11" s="173">
        <f t="shared" si="66"/>
        <v>1.3333333333333335</v>
      </c>
      <c r="DN11" s="173">
        <f t="shared" si="67"/>
        <v>1.090642857142857</v>
      </c>
      <c r="DP11" s="545">
        <f t="shared" si="68"/>
        <v>360</v>
      </c>
      <c r="DQ11" s="460">
        <f t="shared" si="69"/>
        <v>158.62499999999997</v>
      </c>
      <c r="DS11">
        <f t="shared" si="116"/>
        <v>360</v>
      </c>
      <c r="DT11" s="460">
        <f t="shared" si="70"/>
        <v>158.62499999999997</v>
      </c>
      <c r="DU11" s="460"/>
      <c r="DV11" s="5">
        <f t="shared" si="117"/>
        <v>6.3041765169424755</v>
      </c>
      <c r="DW11" s="5">
        <f t="shared" si="71"/>
        <v>0.66666666666666685</v>
      </c>
      <c r="DX11" s="5">
        <f t="shared" si="118"/>
        <v>5.6375098502758085</v>
      </c>
      <c r="DY11" s="173">
        <f t="shared" si="119"/>
        <v>0.10575000000000001</v>
      </c>
      <c r="EA11" s="5">
        <f t="shared" si="72"/>
        <v>6.0000000000000009</v>
      </c>
      <c r="EB11" s="5">
        <f t="shared" si="73"/>
        <v>2.2222222222222227E-2</v>
      </c>
      <c r="EC11" s="5">
        <f t="shared" si="74"/>
        <v>0.28187549251379035</v>
      </c>
      <c r="ED11" s="5"/>
      <c r="EE11" s="173">
        <f t="shared" si="120"/>
        <v>0.25033311140691455</v>
      </c>
      <c r="EF11" s="173">
        <f t="shared" si="75"/>
        <v>2.9118404514696228</v>
      </c>
      <c r="EG11" s="173">
        <f t="shared" si="76"/>
        <v>5.5482365359083352E-2</v>
      </c>
      <c r="EH11" s="173"/>
      <c r="EI11" s="528">
        <f t="shared" si="77"/>
        <v>7.6453333333333356E-4</v>
      </c>
      <c r="EJ11" s="528">
        <f t="shared" si="78"/>
        <v>0.18104399999999995</v>
      </c>
      <c r="EK11" s="528">
        <f t="shared" si="79"/>
        <v>1.9828124999999995E-2</v>
      </c>
      <c r="EL11" s="528">
        <f t="shared" si="80"/>
        <v>2.9057561999999992E-2</v>
      </c>
      <c r="EM11">
        <f t="shared" si="81"/>
        <v>1.0800000000000001E-2</v>
      </c>
      <c r="EN11" s="460">
        <f t="shared" si="121"/>
        <v>30.628124999999997</v>
      </c>
      <c r="EO11">
        <f t="shared" si="82"/>
        <v>0.24174455798653455</v>
      </c>
      <c r="EP11" s="460">
        <f t="shared" si="122"/>
        <v>241.74455798653455</v>
      </c>
      <c r="EQ11" s="173">
        <f t="shared" si="83"/>
        <v>0.22364999999999999</v>
      </c>
      <c r="ER11" s="173">
        <f t="shared" si="84"/>
        <v>2.6624999999999999E-3</v>
      </c>
      <c r="ES11" s="528"/>
      <c r="EU11" s="460">
        <f t="shared" si="123"/>
        <v>226.3125</v>
      </c>
      <c r="EV11" s="528">
        <f t="shared" si="85"/>
        <v>1.8800000000000006E-3</v>
      </c>
      <c r="EW11" s="528">
        <f t="shared" si="124"/>
        <v>0.2543644444444445</v>
      </c>
      <c r="EX11" s="528">
        <f t="shared" si="86"/>
        <v>1.5391464329194061E-5</v>
      </c>
      <c r="EY11" s="528">
        <f t="shared" si="87"/>
        <v>3.2527144095286696E-2</v>
      </c>
      <c r="EZ11" s="528">
        <f t="shared" si="88"/>
        <v>0.35762084943772349</v>
      </c>
      <c r="FA11" s="625">
        <f t="shared" si="89"/>
        <v>7.0499999999999998E-3</v>
      </c>
      <c r="FB11" s="460">
        <f t="shared" si="125"/>
        <v>364.67084943772346</v>
      </c>
      <c r="FC11" s="173">
        <f t="shared" si="126"/>
        <v>0.83272790742425795</v>
      </c>
      <c r="FD11" s="5">
        <f t="shared" si="127"/>
        <v>1.548</v>
      </c>
      <c r="FE11" s="173">
        <f t="shared" si="128"/>
        <v>0.65022130213729568</v>
      </c>
      <c r="FF11" s="5">
        <f t="shared" si="129"/>
        <v>65.022130213729568</v>
      </c>
      <c r="FG11">
        <f t="shared" si="130"/>
        <v>6</v>
      </c>
      <c r="FI11" s="562">
        <f t="shared" si="90"/>
        <v>-50</v>
      </c>
      <c r="FJ11">
        <f t="shared" si="91"/>
        <v>-50</v>
      </c>
      <c r="FL11">
        <f t="shared" si="92"/>
        <v>0.13499999999999998</v>
      </c>
    </row>
    <row r="12" spans="2:169">
      <c r="E12" s="170">
        <v>7</v>
      </c>
      <c r="F12" s="217">
        <f t="shared" si="131"/>
        <v>0.42000000000000004</v>
      </c>
      <c r="G12" s="217">
        <f t="shared" si="93"/>
        <v>7.000000000000001E-3</v>
      </c>
      <c r="H12" s="217">
        <f t="shared" si="0"/>
        <v>1.6800000000000002</v>
      </c>
      <c r="I12" s="217">
        <f t="shared" si="132"/>
        <v>0.12600000000000003</v>
      </c>
      <c r="J12" s="541">
        <f t="shared" si="1"/>
        <v>23.964660861721935</v>
      </c>
      <c r="K12" s="443">
        <f t="shared" si="2"/>
        <v>19.12</v>
      </c>
      <c r="L12" s="172">
        <f t="shared" si="3"/>
        <v>43.084660861721936</v>
      </c>
      <c r="M12" s="443"/>
      <c r="N12" s="217">
        <f t="shared" si="4"/>
        <v>0.44377742838372769</v>
      </c>
      <c r="O12" s="172">
        <f t="shared" si="94"/>
        <v>32.976668431947687</v>
      </c>
      <c r="P12" s="172">
        <f t="shared" si="5"/>
        <v>2.658743892325782</v>
      </c>
      <c r="Q12" s="217">
        <f t="shared" si="6"/>
        <v>8.2441671079869216</v>
      </c>
      <c r="R12" s="217">
        <f t="shared" si="7"/>
        <v>1.8320371351082048</v>
      </c>
      <c r="S12" s="443">
        <f t="shared" si="8"/>
        <v>4</v>
      </c>
      <c r="T12" s="217">
        <f t="shared" si="9"/>
        <v>0.33963406652533401</v>
      </c>
      <c r="U12" s="217">
        <f t="shared" si="10"/>
        <v>0.17006745147868382</v>
      </c>
      <c r="V12" s="217">
        <f t="shared" si="11"/>
        <v>0.2131594559782431</v>
      </c>
      <c r="W12" s="197">
        <f t="shared" si="12"/>
        <v>350</v>
      </c>
      <c r="X12" s="443">
        <f t="shared" si="95"/>
        <v>350</v>
      </c>
      <c r="Z12" s="217">
        <f t="shared" si="13"/>
        <v>2.5321370403102681</v>
      </c>
      <c r="AA12" s="173">
        <f t="shared" si="14"/>
        <v>1.5892073474750639</v>
      </c>
      <c r="AB12" s="173">
        <f t="shared" si="15"/>
        <v>2.8168635524923884</v>
      </c>
      <c r="AC12" s="173"/>
      <c r="AD12" s="173">
        <f t="shared" si="16"/>
        <v>0.83682008368200844</v>
      </c>
      <c r="AE12" s="545">
        <f t="shared" si="17"/>
        <v>188.21249999999998</v>
      </c>
      <c r="AF12" s="528">
        <f t="shared" si="18"/>
        <v>0.78103207810320796</v>
      </c>
      <c r="AH12" s="173">
        <f t="shared" si="19"/>
        <v>0.92736184954957046</v>
      </c>
      <c r="AI12" s="173">
        <f t="shared" si="20"/>
        <v>1.3333333333333335</v>
      </c>
      <c r="AJ12" s="173">
        <f t="shared" si="21"/>
        <v>1.10755</v>
      </c>
      <c r="AL12" s="545">
        <f t="shared" si="22"/>
        <v>420.00000000000006</v>
      </c>
      <c r="AM12" s="460">
        <f t="shared" si="23"/>
        <v>188.21249999999998</v>
      </c>
      <c r="AO12">
        <f t="shared" si="96"/>
        <v>420.00000000000006</v>
      </c>
      <c r="AP12" s="460">
        <f t="shared" si="24"/>
        <v>188.21249999999998</v>
      </c>
      <c r="AQ12" s="460"/>
      <c r="AR12" s="5">
        <f t="shared" si="97"/>
        <v>5.3131433884571964</v>
      </c>
      <c r="AS12" s="5">
        <f t="shared" si="25"/>
        <v>0.66764975696177464</v>
      </c>
      <c r="AT12" s="5">
        <f t="shared" si="98"/>
        <v>4.6454936314954214</v>
      </c>
      <c r="AU12" s="173">
        <f t="shared" si="99"/>
        <v>0.12566002988216801</v>
      </c>
      <c r="AW12" s="5">
        <f t="shared" si="26"/>
        <v>7.0103224480986341</v>
      </c>
      <c r="AX12" s="5">
        <f t="shared" si="27"/>
        <v>2.5964157215180129E-2</v>
      </c>
      <c r="AY12" s="5">
        <f t="shared" si="28"/>
        <v>0.27138673572809652</v>
      </c>
      <c r="AZ12" s="5"/>
      <c r="BA12" s="173">
        <f t="shared" si="100"/>
        <v>0.27288313046638962</v>
      </c>
      <c r="BB12" s="173">
        <f t="shared" si="29"/>
        <v>2.8792426495853554</v>
      </c>
      <c r="BC12" s="173">
        <f t="shared" si="30"/>
        <v>5.4861245079937178E-2</v>
      </c>
      <c r="BD12" s="173"/>
      <c r="BE12" s="528">
        <f t="shared" si="31"/>
        <v>9.084754752962666E-4</v>
      </c>
      <c r="BF12" s="528">
        <f t="shared" si="32"/>
        <v>0.202726793310921</v>
      </c>
      <c r="BG12" s="528">
        <f t="shared" si="33"/>
        <v>0.11276121831092099</v>
      </c>
      <c r="BH12" s="528">
        <f t="shared" si="34"/>
        <v>3.4937660549541713E-2</v>
      </c>
      <c r="BI12">
        <f t="shared" si="35"/>
        <v>1.0784097387774871E-2</v>
      </c>
      <c r="BJ12" s="460">
        <f t="shared" si="101"/>
        <v>123.54531569869587</v>
      </c>
      <c r="BK12">
        <f t="shared" si="36"/>
        <v>0.23886977865705114</v>
      </c>
      <c r="BL12" s="460">
        <f t="shared" si="102"/>
        <v>238.86977865705114</v>
      </c>
      <c r="BM12" s="173">
        <f t="shared" si="37"/>
        <v>0.26092499999999996</v>
      </c>
      <c r="BN12" s="173">
        <f t="shared" si="38"/>
        <v>3.1062500000000005E-3</v>
      </c>
      <c r="BO12" s="528"/>
      <c r="BQ12" s="460">
        <f t="shared" si="103"/>
        <v>264.03124999999994</v>
      </c>
      <c r="BR12" s="528">
        <f t="shared" si="39"/>
        <v>2.2339560867940984E-3</v>
      </c>
      <c r="BS12" s="528">
        <f t="shared" si="104"/>
        <v>0.2487011470557389</v>
      </c>
      <c r="BT12" s="528">
        <f t="shared" si="40"/>
        <v>1.5048781058604657E-5</v>
      </c>
      <c r="BU12" s="528">
        <f t="shared" si="41"/>
        <v>4.9881327668860234E-2</v>
      </c>
      <c r="BV12" s="528">
        <f t="shared" si="42"/>
        <v>0.36845665636548802</v>
      </c>
      <c r="BW12" s="625">
        <f t="shared" si="43"/>
        <v>8.3650000000000009E-3</v>
      </c>
      <c r="BX12" s="460">
        <f t="shared" si="105"/>
        <v>376.82165636548802</v>
      </c>
      <c r="BY12" s="173">
        <f t="shared" si="106"/>
        <v>0.87972268502253903</v>
      </c>
      <c r="BZ12" s="5">
        <f t="shared" si="107"/>
        <v>1.8060000000000003</v>
      </c>
      <c r="CA12" s="173">
        <f t="shared" si="108"/>
        <v>0.67244470550571522</v>
      </c>
      <c r="CB12" s="5">
        <f t="shared" si="109"/>
        <v>67.244470550571521</v>
      </c>
      <c r="CC12">
        <f t="shared" si="110"/>
        <v>7.0000000000000009</v>
      </c>
      <c r="CE12" s="562">
        <f t="shared" si="44"/>
        <v>-50</v>
      </c>
      <c r="CF12">
        <f t="shared" si="45"/>
        <v>-50</v>
      </c>
      <c r="CG12" s="173">
        <f t="shared" si="46"/>
        <v>0.15749999999999997</v>
      </c>
      <c r="CH12" s="173">
        <f t="shared" si="47"/>
        <v>4.0340554933471419E-2</v>
      </c>
      <c r="CI12" s="170">
        <v>7</v>
      </c>
      <c r="CJ12" s="217">
        <f t="shared" si="133"/>
        <v>0.42000000000000004</v>
      </c>
      <c r="CK12" s="217">
        <f t="shared" si="111"/>
        <v>7.000000000000001E-3</v>
      </c>
      <c r="CL12" s="217">
        <f t="shared" si="48"/>
        <v>1.6800000000000002</v>
      </c>
      <c r="CM12" s="217">
        <f t="shared" si="134"/>
        <v>0.12600000000000003</v>
      </c>
      <c r="CN12" s="541">
        <f t="shared" si="112"/>
        <v>24</v>
      </c>
      <c r="CO12" s="443">
        <f t="shared" si="49"/>
        <v>18.8</v>
      </c>
      <c r="CP12" s="443">
        <f t="shared" si="50"/>
        <v>42.8</v>
      </c>
      <c r="CQ12" s="443"/>
      <c r="CR12" s="217">
        <f t="shared" si="113"/>
        <v>0.43925233644859818</v>
      </c>
      <c r="CS12" s="172">
        <f t="shared" si="114"/>
        <v>32.688545968267775</v>
      </c>
      <c r="CT12" s="172">
        <f t="shared" si="51"/>
        <v>2.6355140186915893</v>
      </c>
      <c r="CU12" s="217">
        <f t="shared" si="52"/>
        <v>8.1721364920669437</v>
      </c>
      <c r="CV12" s="217">
        <f t="shared" si="53"/>
        <v>1.816030331570432</v>
      </c>
      <c r="CW12" s="443">
        <f t="shared" si="54"/>
        <v>4</v>
      </c>
      <c r="CX12" s="217">
        <f t="shared" si="55"/>
        <v>0.34262765957446806</v>
      </c>
      <c r="CY12" s="217">
        <f t="shared" si="56"/>
        <v>0.17131382978723406</v>
      </c>
      <c r="CZ12" s="217">
        <f t="shared" si="57"/>
        <v>0.2186985061113626</v>
      </c>
      <c r="DA12" s="197">
        <f t="shared" si="58"/>
        <v>350</v>
      </c>
      <c r="DB12" s="443">
        <f t="shared" si="115"/>
        <v>350</v>
      </c>
      <c r="DD12" s="217">
        <f t="shared" si="59"/>
        <v>2.5100133511348464</v>
      </c>
      <c r="DE12" s="173">
        <f t="shared" si="60"/>
        <v>1.6021361815754336</v>
      </c>
      <c r="DF12" s="173">
        <f t="shared" si="61"/>
        <v>2.8149682442633783</v>
      </c>
      <c r="DG12" s="173"/>
      <c r="DH12" s="173">
        <f t="shared" si="62"/>
        <v>0.85106382978723416</v>
      </c>
      <c r="DI12" s="545">
        <f t="shared" si="63"/>
        <v>185.06249999999997</v>
      </c>
      <c r="DJ12" s="528">
        <f t="shared" si="64"/>
        <v>0.79432624113475192</v>
      </c>
      <c r="DL12" s="173">
        <f t="shared" si="65"/>
        <v>0.92736184954957046</v>
      </c>
      <c r="DM12" s="173">
        <f t="shared" si="66"/>
        <v>1.3333333333333335</v>
      </c>
      <c r="DN12" s="173">
        <f t="shared" si="67"/>
        <v>1.10575</v>
      </c>
      <c r="DP12" s="545">
        <f t="shared" si="68"/>
        <v>420.00000000000006</v>
      </c>
      <c r="DQ12" s="460">
        <f t="shared" si="69"/>
        <v>185.06249999999997</v>
      </c>
      <c r="DS12">
        <f t="shared" si="116"/>
        <v>420.00000000000006</v>
      </c>
      <c r="DT12" s="460">
        <f t="shared" si="70"/>
        <v>185.06249999999997</v>
      </c>
      <c r="DU12" s="460"/>
      <c r="DV12" s="5">
        <f t="shared" si="117"/>
        <v>5.403579871664979</v>
      </c>
      <c r="DW12" s="5">
        <f t="shared" si="71"/>
        <v>0.66666666666666685</v>
      </c>
      <c r="DX12" s="5">
        <f t="shared" si="118"/>
        <v>4.736913204998312</v>
      </c>
      <c r="DY12" s="173">
        <f t="shared" si="119"/>
        <v>0.12337500000000001</v>
      </c>
      <c r="EA12" s="5">
        <f t="shared" si="72"/>
        <v>7.0000000000000018</v>
      </c>
      <c r="EB12" s="5">
        <f t="shared" si="73"/>
        <v>2.5925925925925939E-2</v>
      </c>
      <c r="EC12" s="5">
        <f t="shared" si="74"/>
        <v>0.27631993695823487</v>
      </c>
      <c r="ED12" s="5"/>
      <c r="EE12" s="173">
        <f t="shared" si="120"/>
        <v>0.27039066387564331</v>
      </c>
      <c r="EF12" s="173">
        <f t="shared" si="75"/>
        <v>2.8830025500688872</v>
      </c>
      <c r="EG12" s="173">
        <f t="shared" si="76"/>
        <v>5.4932886426988257E-2</v>
      </c>
      <c r="EH12" s="173"/>
      <c r="EI12" s="528">
        <f t="shared" si="77"/>
        <v>8.9195555555555571E-4</v>
      </c>
      <c r="EJ12" s="528">
        <f t="shared" si="78"/>
        <v>0.21121800000000002</v>
      </c>
      <c r="EK12" s="528">
        <f t="shared" si="79"/>
        <v>2.3132812499999995E-2</v>
      </c>
      <c r="EL12" s="528">
        <f t="shared" si="80"/>
        <v>3.3900488999999985E-2</v>
      </c>
      <c r="EM12">
        <f t="shared" si="81"/>
        <v>1.0800000000000001E-2</v>
      </c>
      <c r="EN12" s="460">
        <f t="shared" si="121"/>
        <v>33.93281249999999</v>
      </c>
      <c r="EO12">
        <f t="shared" si="82"/>
        <v>0.280243476674436</v>
      </c>
      <c r="EP12" s="460">
        <f t="shared" si="122"/>
        <v>280.24347667443601</v>
      </c>
      <c r="EQ12" s="173">
        <f t="shared" si="83"/>
        <v>0.26092499999999996</v>
      </c>
      <c r="ER12" s="173">
        <f t="shared" si="84"/>
        <v>3.1062500000000005E-3</v>
      </c>
      <c r="ES12" s="528"/>
      <c r="EU12" s="460">
        <f t="shared" si="123"/>
        <v>264.03124999999994</v>
      </c>
      <c r="EV12" s="528">
        <f t="shared" si="85"/>
        <v>2.1933333333333336E-3</v>
      </c>
      <c r="EW12" s="528">
        <f t="shared" si="124"/>
        <v>0.24935111111111119</v>
      </c>
      <c r="EX12" s="528">
        <f t="shared" si="86"/>
        <v>1.5088110056001954E-5</v>
      </c>
      <c r="EY12" s="528">
        <f t="shared" si="87"/>
        <v>4.7820367317239786E-2</v>
      </c>
      <c r="EZ12" s="528">
        <f t="shared" si="88"/>
        <v>0.36714285039082384</v>
      </c>
      <c r="FA12" s="625">
        <f t="shared" si="89"/>
        <v>8.2249999999999997E-3</v>
      </c>
      <c r="FB12" s="460">
        <f t="shared" si="125"/>
        <v>375.36785039082383</v>
      </c>
      <c r="FC12" s="173">
        <f t="shared" si="126"/>
        <v>0.91964257706525987</v>
      </c>
      <c r="FD12" s="5">
        <f t="shared" si="127"/>
        <v>1.8060000000000003</v>
      </c>
      <c r="FE12" s="173">
        <f t="shared" si="128"/>
        <v>0.6625960480645805</v>
      </c>
      <c r="FF12" s="5">
        <f t="shared" si="129"/>
        <v>66.259604806458043</v>
      </c>
      <c r="FG12">
        <f t="shared" si="130"/>
        <v>7.0000000000000009</v>
      </c>
      <c r="FI12" s="562">
        <f t="shared" si="90"/>
        <v>-50</v>
      </c>
      <c r="FJ12">
        <f t="shared" si="91"/>
        <v>-50</v>
      </c>
      <c r="FL12">
        <f t="shared" si="92"/>
        <v>0.15749999999999997</v>
      </c>
    </row>
    <row r="13" spans="2:169" s="76" customFormat="1">
      <c r="E13" s="189">
        <v>8</v>
      </c>
      <c r="F13" s="217">
        <f t="shared" si="131"/>
        <v>0.48</v>
      </c>
      <c r="G13" s="217">
        <f t="shared" si="93"/>
        <v>8.0000000000000002E-3</v>
      </c>
      <c r="H13" s="217">
        <f t="shared" si="0"/>
        <v>1.92</v>
      </c>
      <c r="I13" s="217">
        <f t="shared" si="132"/>
        <v>0.14400000000000002</v>
      </c>
      <c r="J13" s="541">
        <f t="shared" si="1"/>
        <v>23.964660861721935</v>
      </c>
      <c r="K13" s="443">
        <f t="shared" si="2"/>
        <v>19.12</v>
      </c>
      <c r="L13" s="172">
        <f t="shared" si="3"/>
        <v>43.084660861721936</v>
      </c>
      <c r="M13" s="443"/>
      <c r="N13" s="217">
        <f t="shared" si="4"/>
        <v>0.44377742838372769</v>
      </c>
      <c r="O13" s="172">
        <f t="shared" si="94"/>
        <v>32.976668431947687</v>
      </c>
      <c r="P13" s="172">
        <f t="shared" si="5"/>
        <v>2.658743892325782</v>
      </c>
      <c r="Q13" s="329">
        <f t="shared" si="6"/>
        <v>8.2441671079869216</v>
      </c>
      <c r="R13" s="217">
        <f t="shared" si="7"/>
        <v>1.8320371351082048</v>
      </c>
      <c r="S13" s="443">
        <f t="shared" si="8"/>
        <v>4</v>
      </c>
      <c r="T13" s="217">
        <f t="shared" si="9"/>
        <v>0.38815321888609594</v>
      </c>
      <c r="U13" s="329">
        <f t="shared" si="10"/>
        <v>0.19436280168992431</v>
      </c>
      <c r="V13" s="217">
        <f t="shared" si="11"/>
        <v>0.24361080683227776</v>
      </c>
      <c r="W13" s="537">
        <f t="shared" si="12"/>
        <v>350</v>
      </c>
      <c r="X13" s="443">
        <f t="shared" si="95"/>
        <v>350</v>
      </c>
      <c r="Z13" s="329">
        <f t="shared" si="13"/>
        <v>2.5321370403102681</v>
      </c>
      <c r="AA13" s="173">
        <f t="shared" si="14"/>
        <v>1.5892073474750639</v>
      </c>
      <c r="AB13" s="173">
        <f t="shared" si="15"/>
        <v>2.8168635524923884</v>
      </c>
      <c r="AC13" s="538"/>
      <c r="AD13" s="173">
        <f t="shared" si="16"/>
        <v>0.83682008368200844</v>
      </c>
      <c r="AE13" s="545">
        <f t="shared" si="17"/>
        <v>215.09999999999994</v>
      </c>
      <c r="AF13" s="528">
        <f t="shared" si="18"/>
        <v>0.78103207810320796</v>
      </c>
      <c r="AG13"/>
      <c r="AH13" s="173">
        <f t="shared" si="19"/>
        <v>0.99139151845128415</v>
      </c>
      <c r="AI13" s="173">
        <f t="shared" si="20"/>
        <v>1.3333333333333335</v>
      </c>
      <c r="AJ13" s="173">
        <f t="shared" si="21"/>
        <v>1.1229142857142858</v>
      </c>
      <c r="AL13" s="545">
        <f t="shared" si="22"/>
        <v>480</v>
      </c>
      <c r="AM13" s="460">
        <f t="shared" si="23"/>
        <v>215.09999999999994</v>
      </c>
      <c r="AO13">
        <f t="shared" si="96"/>
        <v>480</v>
      </c>
      <c r="AP13" s="460">
        <f t="shared" si="24"/>
        <v>215.09999999999994</v>
      </c>
      <c r="AQ13" s="460"/>
      <c r="AR13" s="5">
        <f t="shared" si="97"/>
        <v>4.6490004649000474</v>
      </c>
      <c r="AS13" s="5">
        <f t="shared" si="25"/>
        <v>0.66764975696177464</v>
      </c>
      <c r="AT13" s="5">
        <f t="shared" si="98"/>
        <v>3.9813507079382728</v>
      </c>
      <c r="AU13" s="173">
        <f t="shared" si="99"/>
        <v>0.14361146272247771</v>
      </c>
      <c r="AW13" s="5">
        <f t="shared" si="26"/>
        <v>8.0117970835412962</v>
      </c>
      <c r="AX13" s="5">
        <f t="shared" si="27"/>
        <v>2.9673322531634433E-2</v>
      </c>
      <c r="AY13" s="5">
        <f t="shared" si="28"/>
        <v>0.26581478325345764</v>
      </c>
      <c r="AZ13" s="5"/>
      <c r="BA13" s="173">
        <f t="shared" si="100"/>
        <v>0.29172433738158965</v>
      </c>
      <c r="BB13" s="173">
        <f t="shared" si="29"/>
        <v>2.8495319014093949</v>
      </c>
      <c r="BC13" s="173">
        <f t="shared" si="30"/>
        <v>5.4295134878206038E-2</v>
      </c>
      <c r="BD13" s="173"/>
      <c r="BE13" s="528">
        <f t="shared" si="31"/>
        <v>1.0382576860528759E-3</v>
      </c>
      <c r="BF13" s="528">
        <f t="shared" si="32"/>
        <v>0.23168776378390965</v>
      </c>
      <c r="BG13" s="528">
        <f t="shared" si="33"/>
        <v>0.12886996378390969</v>
      </c>
      <c r="BH13" s="528">
        <f t="shared" si="34"/>
        <v>3.9928754913761959E-2</v>
      </c>
      <c r="BI13">
        <f t="shared" si="35"/>
        <v>1.0784097387774871E-2</v>
      </c>
      <c r="BJ13" s="460">
        <f t="shared" si="101"/>
        <v>139.65406117168456</v>
      </c>
      <c r="BK13">
        <f t="shared" si="36"/>
        <v>0.27300245294122916</v>
      </c>
      <c r="BL13" s="460">
        <f t="shared" si="102"/>
        <v>273.00245294122914</v>
      </c>
      <c r="BM13" s="173">
        <f t="shared" si="37"/>
        <v>0.29819999999999997</v>
      </c>
      <c r="BN13" s="173">
        <f t="shared" si="38"/>
        <v>3.5499999999999998E-3</v>
      </c>
      <c r="BO13" s="528"/>
      <c r="BQ13" s="460">
        <f t="shared" si="103"/>
        <v>301.74999999999994</v>
      </c>
      <c r="BR13" s="528">
        <f t="shared" si="39"/>
        <v>2.5530926706218262E-3</v>
      </c>
      <c r="BS13" s="528">
        <f t="shared" si="104"/>
        <v>0.24359496171449521</v>
      </c>
      <c r="BT13" s="528">
        <f t="shared" si="40"/>
        <v>1.4739808357212929E-5</v>
      </c>
      <c r="BU13" s="528">
        <f t="shared" si="41"/>
        <v>6.9649478953901264E-2</v>
      </c>
      <c r="BV13" s="528">
        <f t="shared" si="42"/>
        <v>0.38242239701879438</v>
      </c>
      <c r="BW13" s="625">
        <f t="shared" si="43"/>
        <v>9.5600000000000008E-3</v>
      </c>
      <c r="BX13" s="460">
        <f t="shared" si="105"/>
        <v>391.98239701879442</v>
      </c>
      <c r="BY13" s="173">
        <f t="shared" si="106"/>
        <v>0.96673484996002368</v>
      </c>
      <c r="BZ13" s="5">
        <f t="shared" si="107"/>
        <v>2.0640000000000001</v>
      </c>
      <c r="CA13" s="173">
        <f t="shared" si="108"/>
        <v>0.6810229538975423</v>
      </c>
      <c r="CB13" s="5">
        <f t="shared" si="109"/>
        <v>68.102295389754232</v>
      </c>
      <c r="CC13">
        <f t="shared" si="110"/>
        <v>8</v>
      </c>
      <c r="CE13" s="562">
        <f t="shared" si="44"/>
        <v>-50</v>
      </c>
      <c r="CF13">
        <f t="shared" si="45"/>
        <v>-50</v>
      </c>
      <c r="CG13" s="173">
        <f t="shared" si="46"/>
        <v>0.17999999999999994</v>
      </c>
      <c r="CH13" s="173">
        <f t="shared" si="47"/>
        <v>4.6103491352538759E-2</v>
      </c>
      <c r="CI13" s="189">
        <v>8</v>
      </c>
      <c r="CJ13" s="217">
        <f t="shared" si="133"/>
        <v>0.48</v>
      </c>
      <c r="CK13" s="217">
        <f t="shared" si="111"/>
        <v>8.0000000000000002E-3</v>
      </c>
      <c r="CL13" s="217">
        <f t="shared" si="48"/>
        <v>1.92</v>
      </c>
      <c r="CM13" s="217">
        <f t="shared" si="134"/>
        <v>0.14400000000000002</v>
      </c>
      <c r="CN13" s="541">
        <f t="shared" si="112"/>
        <v>24</v>
      </c>
      <c r="CO13" s="443">
        <f t="shared" si="49"/>
        <v>18.8</v>
      </c>
      <c r="CP13" s="443">
        <f t="shared" si="50"/>
        <v>42.8</v>
      </c>
      <c r="CQ13" s="535"/>
      <c r="CR13" s="329">
        <f t="shared" si="113"/>
        <v>0.43925233644859818</v>
      </c>
      <c r="CS13" s="172">
        <f t="shared" si="114"/>
        <v>32.688545968267775</v>
      </c>
      <c r="CT13" s="172">
        <f t="shared" si="51"/>
        <v>2.6355140186915893</v>
      </c>
      <c r="CU13" s="329">
        <f t="shared" si="52"/>
        <v>8.1721364920669437</v>
      </c>
      <c r="CV13" s="217">
        <f t="shared" si="53"/>
        <v>1.816030331570432</v>
      </c>
      <c r="CW13" s="443">
        <f t="shared" si="54"/>
        <v>4</v>
      </c>
      <c r="CX13" s="217">
        <f t="shared" si="55"/>
        <v>0.39157446808510632</v>
      </c>
      <c r="CY13" s="329">
        <f t="shared" si="56"/>
        <v>0.19578723404255316</v>
      </c>
      <c r="CZ13" s="217">
        <f t="shared" si="57"/>
        <v>0.24994114984155721</v>
      </c>
      <c r="DA13" s="537">
        <f t="shared" si="58"/>
        <v>350</v>
      </c>
      <c r="DB13" s="535">
        <f t="shared" si="115"/>
        <v>350</v>
      </c>
      <c r="DD13" s="329">
        <f t="shared" si="59"/>
        <v>2.5100133511348464</v>
      </c>
      <c r="DE13" s="173">
        <f t="shared" si="60"/>
        <v>1.6021361815754336</v>
      </c>
      <c r="DF13" s="173">
        <f t="shared" si="61"/>
        <v>2.8149682442633783</v>
      </c>
      <c r="DG13" s="538"/>
      <c r="DH13" s="173">
        <f t="shared" si="62"/>
        <v>0.85106382978723416</v>
      </c>
      <c r="DI13" s="545">
        <f t="shared" si="63"/>
        <v>211.49999999999991</v>
      </c>
      <c r="DJ13" s="528">
        <f t="shared" si="64"/>
        <v>0.79432624113475192</v>
      </c>
      <c r="DK13"/>
      <c r="DL13" s="173">
        <f t="shared" si="65"/>
        <v>0.99139151845128415</v>
      </c>
      <c r="DM13" s="173">
        <f t="shared" si="66"/>
        <v>1.3333333333333335</v>
      </c>
      <c r="DN13" s="173">
        <f t="shared" si="67"/>
        <v>1.1208571428571428</v>
      </c>
      <c r="DP13" s="545">
        <f t="shared" si="68"/>
        <v>480</v>
      </c>
      <c r="DQ13" s="460">
        <f t="shared" si="69"/>
        <v>211.49999999999991</v>
      </c>
      <c r="DS13">
        <f t="shared" si="116"/>
        <v>480</v>
      </c>
      <c r="DT13" s="460">
        <f t="shared" si="70"/>
        <v>211.49999999999991</v>
      </c>
      <c r="DU13" s="460"/>
      <c r="DV13" s="5">
        <f t="shared" si="117"/>
        <v>4.7281323877068573</v>
      </c>
      <c r="DW13" s="5">
        <f t="shared" si="71"/>
        <v>0.66666666666666685</v>
      </c>
      <c r="DX13" s="5">
        <f t="shared" si="118"/>
        <v>4.0614657210401903</v>
      </c>
      <c r="DY13" s="173">
        <f t="shared" si="119"/>
        <v>0.14099999999999999</v>
      </c>
      <c r="EA13" s="5">
        <f t="shared" si="72"/>
        <v>8.0000000000000018</v>
      </c>
      <c r="EB13" s="5">
        <f t="shared" si="73"/>
        <v>2.9629629629629638E-2</v>
      </c>
      <c r="EC13" s="5">
        <f t="shared" si="74"/>
        <v>0.27076438140267933</v>
      </c>
      <c r="ED13" s="5"/>
      <c r="EE13" s="173">
        <f t="shared" si="120"/>
        <v>0.28905977851571735</v>
      </c>
      <c r="EF13" s="173">
        <f t="shared" si="75"/>
        <v>2.8538732614803686</v>
      </c>
      <c r="EG13" s="173">
        <f t="shared" si="76"/>
        <v>5.4377855387666478E-2</v>
      </c>
      <c r="EH13" s="173"/>
      <c r="EI13" s="528">
        <f t="shared" si="77"/>
        <v>1.0193777777777779E-3</v>
      </c>
      <c r="EJ13" s="528">
        <f t="shared" si="78"/>
        <v>0.24139199999999994</v>
      </c>
      <c r="EK13" s="528">
        <f t="shared" si="79"/>
        <v>2.6437499999999989E-2</v>
      </c>
      <c r="EL13" s="528">
        <f t="shared" si="80"/>
        <v>3.8743415999999982E-2</v>
      </c>
      <c r="EM13">
        <f t="shared" si="81"/>
        <v>1.0800000000000001E-2</v>
      </c>
      <c r="EN13" s="460">
        <f t="shared" si="121"/>
        <v>37.23749999999999</v>
      </c>
      <c r="EO13">
        <f t="shared" si="82"/>
        <v>0.31874472707665369</v>
      </c>
      <c r="EP13" s="460">
        <f t="shared" si="122"/>
        <v>318.7447270766537</v>
      </c>
      <c r="EQ13" s="173">
        <f t="shared" si="83"/>
        <v>0.29819999999999997</v>
      </c>
      <c r="ER13" s="173">
        <f t="shared" si="84"/>
        <v>3.5499999999999998E-3</v>
      </c>
      <c r="ES13" s="528"/>
      <c r="EU13" s="460">
        <f t="shared" si="123"/>
        <v>301.74999999999994</v>
      </c>
      <c r="EV13" s="528">
        <f t="shared" si="85"/>
        <v>2.506666666666667E-3</v>
      </c>
      <c r="EW13" s="528">
        <f t="shared" si="124"/>
        <v>0.24433777777777788</v>
      </c>
      <c r="EX13" s="528">
        <f t="shared" si="86"/>
        <v>1.478475578280984E-5</v>
      </c>
      <c r="EY13" s="528">
        <f t="shared" si="87"/>
        <v>6.6771752531141357E-2</v>
      </c>
      <c r="EZ13" s="528">
        <f t="shared" si="88"/>
        <v>0.38038940761622914</v>
      </c>
      <c r="FA13" s="625">
        <f t="shared" si="89"/>
        <v>9.3999999999999986E-3</v>
      </c>
      <c r="FB13" s="460">
        <f t="shared" si="125"/>
        <v>389.78940761622914</v>
      </c>
      <c r="FC13" s="173">
        <f t="shared" si="126"/>
        <v>1.010284134692883</v>
      </c>
      <c r="FD13" s="5">
        <f t="shared" si="127"/>
        <v>2.0640000000000001</v>
      </c>
      <c r="FE13" s="173">
        <f t="shared" si="128"/>
        <v>0.67137580964232868</v>
      </c>
      <c r="FF13" s="5">
        <f t="shared" si="129"/>
        <v>67.137580964232868</v>
      </c>
      <c r="FG13">
        <f t="shared" si="130"/>
        <v>8</v>
      </c>
      <c r="FI13" s="562">
        <f t="shared" si="90"/>
        <v>-50</v>
      </c>
      <c r="FJ13">
        <f t="shared" si="91"/>
        <v>-50</v>
      </c>
      <c r="FL13">
        <f t="shared" si="92"/>
        <v>0.17999999999999997</v>
      </c>
    </row>
    <row r="14" spans="2:169">
      <c r="E14" s="170">
        <v>9</v>
      </c>
      <c r="F14" s="217">
        <f t="shared" si="131"/>
        <v>0.54</v>
      </c>
      <c r="G14" s="217">
        <f t="shared" si="93"/>
        <v>8.9999999999999993E-3</v>
      </c>
      <c r="H14" s="217">
        <f t="shared" si="0"/>
        <v>2.16</v>
      </c>
      <c r="I14" s="217">
        <f t="shared" si="132"/>
        <v>0.16199999999999998</v>
      </c>
      <c r="J14" s="541">
        <f t="shared" si="1"/>
        <v>23.964660861721935</v>
      </c>
      <c r="K14" s="443">
        <f t="shared" si="2"/>
        <v>19.12</v>
      </c>
      <c r="L14" s="172">
        <f t="shared" si="3"/>
        <v>43.084660861721936</v>
      </c>
      <c r="M14" s="443"/>
      <c r="N14" s="217">
        <f t="shared" si="4"/>
        <v>0.44377742838372769</v>
      </c>
      <c r="O14" s="172">
        <f t="shared" si="94"/>
        <v>32.976668431947687</v>
      </c>
      <c r="P14" s="172">
        <f t="shared" si="5"/>
        <v>2.658743892325782</v>
      </c>
      <c r="Q14" s="217">
        <f t="shared" si="6"/>
        <v>8.2441671079869216</v>
      </c>
      <c r="R14" s="217">
        <f t="shared" si="7"/>
        <v>1.8320371351082048</v>
      </c>
      <c r="S14" s="443">
        <f t="shared" si="8"/>
        <v>4</v>
      </c>
      <c r="T14" s="217">
        <f t="shared" si="9"/>
        <v>0.43667237124685798</v>
      </c>
      <c r="U14" s="217">
        <f t="shared" si="10"/>
        <v>0.21865815190116489</v>
      </c>
      <c r="V14" s="217">
        <f t="shared" si="11"/>
        <v>0.27406215768631254</v>
      </c>
      <c r="W14" s="197">
        <f t="shared" si="12"/>
        <v>350</v>
      </c>
      <c r="X14" s="443">
        <f t="shared" si="95"/>
        <v>350</v>
      </c>
      <c r="Z14" s="217">
        <f t="shared" si="13"/>
        <v>2.5321370403102681</v>
      </c>
      <c r="AA14" s="173">
        <f t="shared" si="14"/>
        <v>1.5892073474750639</v>
      </c>
      <c r="AB14" s="173">
        <f t="shared" si="15"/>
        <v>2.8168635524923884</v>
      </c>
      <c r="AC14" s="173"/>
      <c r="AD14" s="173">
        <f t="shared" si="16"/>
        <v>0.83682008368200844</v>
      </c>
      <c r="AE14" s="545">
        <f t="shared" si="17"/>
        <v>241.98749999999998</v>
      </c>
      <c r="AF14" s="528">
        <f t="shared" si="18"/>
        <v>0.78103207810320796</v>
      </c>
      <c r="AH14" s="173">
        <f t="shared" si="19"/>
        <v>1.0515294982615968</v>
      </c>
      <c r="AI14" s="173">
        <f t="shared" si="20"/>
        <v>1.3333333333333335</v>
      </c>
      <c r="AJ14" s="173">
        <f t="shared" si="21"/>
        <v>1.1382785714285715</v>
      </c>
      <c r="AL14" s="545">
        <f t="shared" si="22"/>
        <v>540</v>
      </c>
      <c r="AM14" s="460">
        <f t="shared" si="23"/>
        <v>241.98749999999998</v>
      </c>
      <c r="AO14">
        <f t="shared" si="96"/>
        <v>540</v>
      </c>
      <c r="AP14" s="460">
        <f t="shared" si="24"/>
        <v>241.98749999999998</v>
      </c>
      <c r="AQ14" s="460"/>
      <c r="AR14" s="5">
        <f t="shared" si="97"/>
        <v>4.1324448576889301</v>
      </c>
      <c r="AS14" s="5">
        <f t="shared" si="25"/>
        <v>0.66764975696177464</v>
      </c>
      <c r="AT14" s="5">
        <f t="shared" si="98"/>
        <v>3.4647951007271556</v>
      </c>
      <c r="AU14" s="173">
        <f t="shared" si="99"/>
        <v>0.16156289556278744</v>
      </c>
      <c r="AW14" s="5">
        <f t="shared" si="26"/>
        <v>9.0132717189839582</v>
      </c>
      <c r="AX14" s="5">
        <f t="shared" si="27"/>
        <v>3.3382487848088727E-2</v>
      </c>
      <c r="AY14" s="5">
        <f t="shared" si="28"/>
        <v>0.26024283077881866</v>
      </c>
      <c r="AZ14" s="5"/>
      <c r="BA14" s="173">
        <f t="shared" si="100"/>
        <v>0.30942038579951142</v>
      </c>
      <c r="BB14" s="173">
        <f t="shared" si="29"/>
        <v>2.8195080916905324</v>
      </c>
      <c r="BC14" s="173">
        <f t="shared" si="30"/>
        <v>5.3723059584914197E-2</v>
      </c>
      <c r="BD14" s="173"/>
      <c r="BE14" s="528">
        <f t="shared" si="31"/>
        <v>1.1680398968094855E-3</v>
      </c>
      <c r="BF14" s="528">
        <f t="shared" si="32"/>
        <v>0.26064873425689844</v>
      </c>
      <c r="BG14" s="528">
        <f t="shared" si="33"/>
        <v>0.14497870925689843</v>
      </c>
      <c r="BH14" s="528">
        <f t="shared" si="34"/>
        <v>4.4919849277982211E-2</v>
      </c>
      <c r="BI14">
        <f t="shared" si="35"/>
        <v>1.0784097387774871E-2</v>
      </c>
      <c r="BJ14" s="460">
        <f t="shared" si="101"/>
        <v>155.7628066446733</v>
      </c>
      <c r="BK14">
        <f t="shared" si="36"/>
        <v>0.30713723285735395</v>
      </c>
      <c r="BL14" s="460">
        <f t="shared" si="102"/>
        <v>307.13723285735392</v>
      </c>
      <c r="BM14" s="173">
        <f t="shared" si="37"/>
        <v>0.33547499999999997</v>
      </c>
      <c r="BN14" s="173">
        <f t="shared" si="38"/>
        <v>3.9937499999999999E-3</v>
      </c>
      <c r="BO14" s="528"/>
      <c r="BQ14" s="460">
        <f t="shared" si="103"/>
        <v>339.46875</v>
      </c>
      <c r="BR14" s="528">
        <f t="shared" si="39"/>
        <v>2.8722292544495548E-3</v>
      </c>
      <c r="BS14" s="528">
        <f t="shared" si="104"/>
        <v>0.23848877637325164</v>
      </c>
      <c r="BT14" s="528">
        <f t="shared" si="40"/>
        <v>1.4430835655821205E-5</v>
      </c>
      <c r="BU14" s="528">
        <f t="shared" si="41"/>
        <v>9.3497323331894117E-2</v>
      </c>
      <c r="BV14" s="528">
        <f t="shared" si="42"/>
        <v>0.40053725288525788</v>
      </c>
      <c r="BW14" s="625">
        <f t="shared" si="43"/>
        <v>1.0755000000000001E-2</v>
      </c>
      <c r="BX14" s="460">
        <f t="shared" si="105"/>
        <v>411.29225288525788</v>
      </c>
      <c r="BY14" s="173">
        <f t="shared" si="106"/>
        <v>1.0578982357426119</v>
      </c>
      <c r="BZ14" s="5">
        <f t="shared" si="107"/>
        <v>2.3220000000000001</v>
      </c>
      <c r="CA14" s="173">
        <f t="shared" si="108"/>
        <v>0.68700293264593615</v>
      </c>
      <c r="CB14" s="5">
        <f t="shared" si="109"/>
        <v>68.700293264593611</v>
      </c>
      <c r="CC14">
        <f t="shared" si="110"/>
        <v>9.0000000000000018</v>
      </c>
      <c r="CE14" s="562">
        <f t="shared" si="44"/>
        <v>-50</v>
      </c>
      <c r="CF14">
        <f t="shared" si="45"/>
        <v>-50</v>
      </c>
      <c r="CG14" s="173">
        <f t="shared" si="46"/>
        <v>0.20249999999999999</v>
      </c>
      <c r="CH14" s="173">
        <f t="shared" si="47"/>
        <v>5.1866427771606105E-2</v>
      </c>
      <c r="CI14" s="170">
        <v>9</v>
      </c>
      <c r="CJ14" s="217">
        <f t="shared" si="133"/>
        <v>0.54</v>
      </c>
      <c r="CK14" s="217">
        <f t="shared" si="111"/>
        <v>8.9999999999999993E-3</v>
      </c>
      <c r="CL14" s="217">
        <f t="shared" si="48"/>
        <v>2.16</v>
      </c>
      <c r="CM14" s="217">
        <f t="shared" si="134"/>
        <v>0.16199999999999998</v>
      </c>
      <c r="CN14" s="541">
        <f t="shared" si="112"/>
        <v>24</v>
      </c>
      <c r="CO14" s="443">
        <f t="shared" si="49"/>
        <v>18.8</v>
      </c>
      <c r="CP14" s="443">
        <f t="shared" si="50"/>
        <v>42.8</v>
      </c>
      <c r="CQ14" s="443"/>
      <c r="CR14" s="217">
        <f t="shared" si="113"/>
        <v>0.43925233644859818</v>
      </c>
      <c r="CS14" s="172">
        <f t="shared" si="114"/>
        <v>32.688545968267775</v>
      </c>
      <c r="CT14" s="172">
        <f t="shared" si="51"/>
        <v>2.6355140186915893</v>
      </c>
      <c r="CU14" s="217">
        <f t="shared" si="52"/>
        <v>8.1721364920669437</v>
      </c>
      <c r="CV14" s="217">
        <f t="shared" si="53"/>
        <v>1.816030331570432</v>
      </c>
      <c r="CW14" s="443">
        <f t="shared" si="54"/>
        <v>4</v>
      </c>
      <c r="CX14" s="217">
        <f t="shared" si="55"/>
        <v>0.44052127659574458</v>
      </c>
      <c r="CY14" s="217">
        <f t="shared" si="56"/>
        <v>0.22026063829787232</v>
      </c>
      <c r="CZ14" s="217">
        <f t="shared" si="57"/>
        <v>0.28118379357175188</v>
      </c>
      <c r="DA14" s="197">
        <f t="shared" si="58"/>
        <v>350</v>
      </c>
      <c r="DB14" s="443">
        <f t="shared" si="115"/>
        <v>350</v>
      </c>
      <c r="DD14" s="217">
        <f t="shared" si="59"/>
        <v>2.5100133511348464</v>
      </c>
      <c r="DE14" s="173">
        <f t="shared" si="60"/>
        <v>1.6021361815754336</v>
      </c>
      <c r="DF14" s="173">
        <f t="shared" si="61"/>
        <v>2.8149682442633783</v>
      </c>
      <c r="DG14" s="173"/>
      <c r="DH14" s="173">
        <f t="shared" si="62"/>
        <v>0.85106382978723416</v>
      </c>
      <c r="DI14" s="545">
        <f t="shared" si="63"/>
        <v>237.93749999999997</v>
      </c>
      <c r="DJ14" s="528">
        <f t="shared" si="64"/>
        <v>0.79432624113475192</v>
      </c>
      <c r="DL14" s="173">
        <f t="shared" si="65"/>
        <v>1.0515294982615968</v>
      </c>
      <c r="DM14" s="173">
        <f t="shared" si="66"/>
        <v>1.3333333333333335</v>
      </c>
      <c r="DN14" s="173">
        <f t="shared" si="67"/>
        <v>1.1359642857142858</v>
      </c>
      <c r="DP14" s="545">
        <f t="shared" si="68"/>
        <v>540</v>
      </c>
      <c r="DQ14" s="460">
        <f t="shared" si="69"/>
        <v>237.93749999999997</v>
      </c>
      <c r="DS14">
        <f t="shared" si="116"/>
        <v>540</v>
      </c>
      <c r="DT14" s="460">
        <f t="shared" si="70"/>
        <v>237.93749999999997</v>
      </c>
      <c r="DU14" s="460"/>
      <c r="DV14" s="5">
        <f t="shared" si="117"/>
        <v>4.2027843446283164</v>
      </c>
      <c r="DW14" s="5">
        <f t="shared" si="71"/>
        <v>0.66666666666666685</v>
      </c>
      <c r="DX14" s="5">
        <f t="shared" si="118"/>
        <v>3.5361176779616494</v>
      </c>
      <c r="DY14" s="173">
        <f t="shared" si="119"/>
        <v>0.15862500000000004</v>
      </c>
      <c r="EA14" s="5">
        <f t="shared" si="72"/>
        <v>9.0000000000000036</v>
      </c>
      <c r="EB14" s="5">
        <f t="shared" si="73"/>
        <v>3.333333333333334E-2</v>
      </c>
      <c r="EC14" s="5">
        <f t="shared" si="74"/>
        <v>0.26520882584712374</v>
      </c>
      <c r="ED14" s="5"/>
      <c r="EE14" s="173">
        <f t="shared" si="120"/>
        <v>0.30659419433511792</v>
      </c>
      <c r="EF14" s="173">
        <f t="shared" si="75"/>
        <v>2.824443570242019</v>
      </c>
      <c r="EG14" s="173">
        <f t="shared" si="76"/>
        <v>5.3817100460016851E-2</v>
      </c>
      <c r="EH14" s="173"/>
      <c r="EI14" s="528">
        <f t="shared" si="77"/>
        <v>1.1468000000000006E-3</v>
      </c>
      <c r="EJ14" s="528">
        <f t="shared" si="78"/>
        <v>0.27156600000000003</v>
      </c>
      <c r="EK14" s="528">
        <f t="shared" si="79"/>
        <v>2.9742187499999993E-2</v>
      </c>
      <c r="EL14" s="528">
        <f t="shared" si="80"/>
        <v>4.3586342999999993E-2</v>
      </c>
      <c r="EM14">
        <f t="shared" si="81"/>
        <v>1.0800000000000001E-2</v>
      </c>
      <c r="EN14" s="460">
        <f t="shared" si="121"/>
        <v>40.54218749999999</v>
      </c>
      <c r="EO14">
        <f t="shared" si="82"/>
        <v>0.35724830940502722</v>
      </c>
      <c r="EP14" s="460">
        <f t="shared" si="122"/>
        <v>357.24830940502721</v>
      </c>
      <c r="EQ14" s="173">
        <f t="shared" si="83"/>
        <v>0.33547499999999997</v>
      </c>
      <c r="ER14" s="173">
        <f t="shared" si="84"/>
        <v>3.9937499999999999E-3</v>
      </c>
      <c r="ES14" s="528"/>
      <c r="EU14" s="460">
        <f t="shared" si="123"/>
        <v>339.46875</v>
      </c>
      <c r="EV14" s="528">
        <f t="shared" si="85"/>
        <v>2.8200000000000018E-3</v>
      </c>
      <c r="EW14" s="528">
        <f t="shared" si="124"/>
        <v>0.23932444444444448</v>
      </c>
      <c r="EX14" s="528">
        <f t="shared" si="86"/>
        <v>1.448140150961773E-5</v>
      </c>
      <c r="EY14" s="528">
        <f t="shared" si="87"/>
        <v>8.9634269051364748E-2</v>
      </c>
      <c r="EZ14" s="528">
        <f t="shared" si="88"/>
        <v>0.39761420337151104</v>
      </c>
      <c r="FA14" s="625">
        <f t="shared" si="89"/>
        <v>1.0575000000000001E-2</v>
      </c>
      <c r="FB14" s="460">
        <f t="shared" si="125"/>
        <v>408.18920337151104</v>
      </c>
      <c r="FC14" s="173">
        <f t="shared" si="126"/>
        <v>1.1049062627765383</v>
      </c>
      <c r="FD14" s="5">
        <f t="shared" si="127"/>
        <v>2.3220000000000001</v>
      </c>
      <c r="FE14" s="173">
        <f t="shared" si="128"/>
        <v>0.67757908210733375</v>
      </c>
      <c r="FF14" s="5">
        <f t="shared" si="129"/>
        <v>67.757908210733376</v>
      </c>
      <c r="FG14">
        <f t="shared" si="130"/>
        <v>9.0000000000000018</v>
      </c>
      <c r="FI14" s="562">
        <f t="shared" si="90"/>
        <v>-50</v>
      </c>
      <c r="FJ14">
        <f t="shared" si="91"/>
        <v>-50</v>
      </c>
      <c r="FL14">
        <f t="shared" si="92"/>
        <v>0.20249999999999999</v>
      </c>
    </row>
    <row r="15" spans="2:169">
      <c r="E15" s="170">
        <v>10</v>
      </c>
      <c r="F15" s="217">
        <f t="shared" si="131"/>
        <v>0.60000000000000009</v>
      </c>
      <c r="G15" s="217">
        <f t="shared" si="93"/>
        <v>1.0000000000000002E-2</v>
      </c>
      <c r="H15" s="217">
        <f t="shared" si="0"/>
        <v>2.4000000000000004</v>
      </c>
      <c r="I15" s="217">
        <f t="shared" si="132"/>
        <v>0.18000000000000005</v>
      </c>
      <c r="J15" s="541">
        <f t="shared" si="1"/>
        <v>23.964660861721935</v>
      </c>
      <c r="K15" s="443">
        <f t="shared" si="2"/>
        <v>19.12</v>
      </c>
      <c r="L15" s="172">
        <f t="shared" si="3"/>
        <v>43.084660861721936</v>
      </c>
      <c r="M15" s="443"/>
      <c r="N15" s="217">
        <f t="shared" si="4"/>
        <v>0.44377742838372769</v>
      </c>
      <c r="O15" s="172">
        <f t="shared" si="94"/>
        <v>32.976668431947687</v>
      </c>
      <c r="P15" s="172">
        <f t="shared" si="5"/>
        <v>2.658743892325782</v>
      </c>
      <c r="Q15" s="217">
        <f t="shared" si="6"/>
        <v>8.2441671079869216</v>
      </c>
      <c r="R15" s="217">
        <f t="shared" si="7"/>
        <v>1.8320371351082048</v>
      </c>
      <c r="S15" s="443">
        <f t="shared" si="8"/>
        <v>4</v>
      </c>
      <c r="T15" s="217">
        <f t="shared" si="9"/>
        <v>0.48519152360762002</v>
      </c>
      <c r="U15" s="217">
        <f t="shared" si="10"/>
        <v>0.24295350211240543</v>
      </c>
      <c r="V15" s="217">
        <f t="shared" si="11"/>
        <v>0.30451350854034731</v>
      </c>
      <c r="W15" s="197">
        <f t="shared" si="12"/>
        <v>350</v>
      </c>
      <c r="X15" s="443">
        <f t="shared" si="95"/>
        <v>350</v>
      </c>
      <c r="Z15" s="217">
        <f t="shared" si="13"/>
        <v>2.5321370403102681</v>
      </c>
      <c r="AA15" s="173">
        <f t="shared" si="14"/>
        <v>1.5892073474750639</v>
      </c>
      <c r="AB15" s="173">
        <f t="shared" si="15"/>
        <v>2.8168635524923884</v>
      </c>
      <c r="AC15" s="173"/>
      <c r="AD15" s="173">
        <f t="shared" si="16"/>
        <v>0.83682008368200844</v>
      </c>
      <c r="AE15" s="545">
        <f t="shared" si="17"/>
        <v>268.875</v>
      </c>
      <c r="AF15" s="528">
        <f t="shared" si="18"/>
        <v>0.78103207810320796</v>
      </c>
      <c r="AH15" s="173">
        <f t="shared" si="19"/>
        <v>1.1084094137869043</v>
      </c>
      <c r="AI15" s="173">
        <f t="shared" si="20"/>
        <v>1.3333333333333335</v>
      </c>
      <c r="AJ15" s="173">
        <f t="shared" si="21"/>
        <v>1.1536428571428572</v>
      </c>
      <c r="AL15" s="545">
        <f t="shared" si="22"/>
        <v>600.00000000000011</v>
      </c>
      <c r="AM15" s="460">
        <f t="shared" si="23"/>
        <v>268.875</v>
      </c>
      <c r="AO15">
        <f t="shared" si="96"/>
        <v>600.00000000000011</v>
      </c>
      <c r="AP15" s="460">
        <f t="shared" si="24"/>
        <v>268.875</v>
      </c>
      <c r="AQ15" s="460"/>
      <c r="AR15" s="5">
        <f t="shared" si="97"/>
        <v>3.7192003719200373</v>
      </c>
      <c r="AS15" s="5">
        <f t="shared" si="25"/>
        <v>0.66764975696177464</v>
      </c>
      <c r="AT15" s="5">
        <f t="shared" si="98"/>
        <v>3.0515506149582627</v>
      </c>
      <c r="AU15" s="173">
        <f t="shared" si="99"/>
        <v>0.17951432840309714</v>
      </c>
      <c r="AW15" s="5">
        <f t="shared" si="26"/>
        <v>10.014746354426622</v>
      </c>
      <c r="AX15" s="5">
        <f t="shared" si="27"/>
        <v>3.7091653164543041E-2</v>
      </c>
      <c r="AY15" s="5">
        <f t="shared" si="28"/>
        <v>0.25467087830417973</v>
      </c>
      <c r="AZ15" s="5"/>
      <c r="BA15" s="173">
        <f t="shared" si="100"/>
        <v>0.32615772453815878</v>
      </c>
      <c r="BB15" s="173">
        <f t="shared" si="29"/>
        <v>2.7891611106328962</v>
      </c>
      <c r="BC15" s="173">
        <f t="shared" si="30"/>
        <v>5.3144826567464644E-2</v>
      </c>
      <c r="BD15" s="173"/>
      <c r="BE15" s="528">
        <f t="shared" si="31"/>
        <v>1.2978221075660955E-3</v>
      </c>
      <c r="BF15" s="528">
        <f t="shared" si="32"/>
        <v>0.28960970472988717</v>
      </c>
      <c r="BG15" s="528">
        <f t="shared" si="33"/>
        <v>0.16108745472988714</v>
      </c>
      <c r="BH15" s="528">
        <f t="shared" si="34"/>
        <v>4.9910943642202457E-2</v>
      </c>
      <c r="BI15">
        <f t="shared" si="35"/>
        <v>1.0784097387774871E-2</v>
      </c>
      <c r="BJ15" s="460">
        <f t="shared" si="101"/>
        <v>171.87155211766199</v>
      </c>
      <c r="BK15">
        <f t="shared" si="36"/>
        <v>0.34127411860027479</v>
      </c>
      <c r="BL15" s="460">
        <f t="shared" si="102"/>
        <v>341.27411860027479</v>
      </c>
      <c r="BM15" s="173">
        <f t="shared" si="37"/>
        <v>0.37275000000000003</v>
      </c>
      <c r="BN15" s="173">
        <f t="shared" si="38"/>
        <v>4.4375000000000005E-3</v>
      </c>
      <c r="BO15" s="528"/>
      <c r="BQ15" s="460">
        <f t="shared" si="103"/>
        <v>377.1875</v>
      </c>
      <c r="BR15" s="528">
        <f t="shared" si="39"/>
        <v>3.1913658382772838E-3</v>
      </c>
      <c r="BS15" s="528">
        <f t="shared" si="104"/>
        <v>0.2333825910320079</v>
      </c>
      <c r="BT15" s="528">
        <f t="shared" si="40"/>
        <v>1.4121862954429478E-5</v>
      </c>
      <c r="BU15" s="528">
        <f t="shared" si="41"/>
        <v>0.12167263245184695</v>
      </c>
      <c r="BV15" s="528">
        <f t="shared" si="42"/>
        <v>0.42304891651045506</v>
      </c>
      <c r="BW15" s="625">
        <f t="shared" si="43"/>
        <v>1.1950000000000002E-2</v>
      </c>
      <c r="BX15" s="460">
        <f t="shared" si="105"/>
        <v>434.9989165104551</v>
      </c>
      <c r="BY15" s="173">
        <f t="shared" si="106"/>
        <v>1.1534605351107297</v>
      </c>
      <c r="BZ15" s="5">
        <f t="shared" si="107"/>
        <v>2.5800000000000005</v>
      </c>
      <c r="CA15" s="173">
        <f t="shared" si="108"/>
        <v>0.69104788325383515</v>
      </c>
      <c r="CB15" s="5">
        <f t="shared" si="109"/>
        <v>69.10478832538351</v>
      </c>
      <c r="CC15">
        <f t="shared" si="110"/>
        <v>10.000000000000002</v>
      </c>
      <c r="CE15" s="562">
        <f t="shared" si="44"/>
        <v>-50</v>
      </c>
      <c r="CF15">
        <f t="shared" si="45"/>
        <v>-50</v>
      </c>
      <c r="CG15" s="173">
        <f t="shared" si="46"/>
        <v>0.22500000000000001</v>
      </c>
      <c r="CH15" s="173">
        <f t="shared" si="47"/>
        <v>5.7629364190673465E-2</v>
      </c>
      <c r="CI15" s="170">
        <v>10</v>
      </c>
      <c r="CJ15" s="217">
        <f t="shared" si="133"/>
        <v>0.60000000000000009</v>
      </c>
      <c r="CK15" s="217">
        <f t="shared" si="111"/>
        <v>1.0000000000000002E-2</v>
      </c>
      <c r="CL15" s="217">
        <f t="shared" si="48"/>
        <v>2.4000000000000004</v>
      </c>
      <c r="CM15" s="217">
        <f t="shared" si="134"/>
        <v>0.18000000000000005</v>
      </c>
      <c r="CN15" s="541">
        <f t="shared" si="112"/>
        <v>24</v>
      </c>
      <c r="CO15" s="443">
        <f t="shared" si="49"/>
        <v>18.8</v>
      </c>
      <c r="CP15" s="443">
        <f t="shared" si="50"/>
        <v>42.8</v>
      </c>
      <c r="CQ15" s="443"/>
      <c r="CR15" s="217">
        <f t="shared" si="113"/>
        <v>0.43925233644859818</v>
      </c>
      <c r="CS15" s="172">
        <f t="shared" si="114"/>
        <v>32.688545968267775</v>
      </c>
      <c r="CT15" s="172">
        <f t="shared" si="51"/>
        <v>2.6355140186915893</v>
      </c>
      <c r="CU15" s="217">
        <f t="shared" si="52"/>
        <v>8.1721364920669437</v>
      </c>
      <c r="CV15" s="217">
        <f t="shared" si="53"/>
        <v>1.816030331570432</v>
      </c>
      <c r="CW15" s="443">
        <f t="shared" si="54"/>
        <v>4</v>
      </c>
      <c r="CX15" s="217">
        <f t="shared" si="55"/>
        <v>0.48946808510638296</v>
      </c>
      <c r="CY15" s="217">
        <f t="shared" si="56"/>
        <v>0.24473404255319151</v>
      </c>
      <c r="CZ15" s="217">
        <f t="shared" si="57"/>
        <v>0.31242643730194658</v>
      </c>
      <c r="DA15" s="197">
        <f t="shared" si="58"/>
        <v>350</v>
      </c>
      <c r="DB15" s="443">
        <f t="shared" si="115"/>
        <v>350</v>
      </c>
      <c r="DD15" s="217">
        <f t="shared" si="59"/>
        <v>2.5100133511348464</v>
      </c>
      <c r="DE15" s="173">
        <f t="shared" si="60"/>
        <v>1.6021361815754336</v>
      </c>
      <c r="DF15" s="173">
        <f t="shared" si="61"/>
        <v>2.8149682442633783</v>
      </c>
      <c r="DG15" s="173"/>
      <c r="DH15" s="173">
        <f t="shared" si="62"/>
        <v>0.85106382978723416</v>
      </c>
      <c r="DI15" s="545">
        <f t="shared" si="63"/>
        <v>264.375</v>
      </c>
      <c r="DJ15" s="528">
        <f t="shared" si="64"/>
        <v>0.79432624113475192</v>
      </c>
      <c r="DL15" s="173">
        <f t="shared" si="65"/>
        <v>1.1084094137869043</v>
      </c>
      <c r="DM15" s="173">
        <f t="shared" si="66"/>
        <v>1.3333333333333335</v>
      </c>
      <c r="DN15" s="173">
        <f t="shared" si="67"/>
        <v>1.1510714285714285</v>
      </c>
      <c r="DP15" s="545">
        <f t="shared" si="68"/>
        <v>600.00000000000011</v>
      </c>
      <c r="DQ15" s="460">
        <f t="shared" si="69"/>
        <v>264.375</v>
      </c>
      <c r="DS15">
        <f t="shared" si="116"/>
        <v>600.00000000000011</v>
      </c>
      <c r="DT15" s="460">
        <f t="shared" si="70"/>
        <v>264.375</v>
      </c>
      <c r="DU15" s="460"/>
      <c r="DV15" s="5">
        <f t="shared" si="117"/>
        <v>3.7825059101654843</v>
      </c>
      <c r="DW15" s="5">
        <f t="shared" si="71"/>
        <v>0.66666666666666685</v>
      </c>
      <c r="DX15" s="5">
        <f t="shared" si="118"/>
        <v>3.1158392434988174</v>
      </c>
      <c r="DY15" s="173">
        <f t="shared" si="119"/>
        <v>0.17625000000000007</v>
      </c>
      <c r="EA15" s="5">
        <f t="shared" si="72"/>
        <v>10.000000000000005</v>
      </c>
      <c r="EB15" s="5">
        <f t="shared" si="73"/>
        <v>3.7037037037037056E-2</v>
      </c>
      <c r="EC15" s="5">
        <f t="shared" si="74"/>
        <v>0.25965327029156815</v>
      </c>
      <c r="ED15" s="5"/>
      <c r="EE15" s="173">
        <f t="shared" si="120"/>
        <v>0.32317865716108868</v>
      </c>
      <c r="EF15" s="173">
        <f t="shared" si="75"/>
        <v>2.7947039861799987</v>
      </c>
      <c r="EG15" s="173">
        <f t="shared" si="76"/>
        <v>5.3250440817754027E-2</v>
      </c>
      <c r="EH15" s="173"/>
      <c r="EI15" s="528">
        <f t="shared" si="77"/>
        <v>1.2742222222222228E-3</v>
      </c>
      <c r="EJ15" s="528">
        <f t="shared" si="78"/>
        <v>0.30174000000000001</v>
      </c>
      <c r="EK15" s="528">
        <f t="shared" si="79"/>
        <v>3.3046874999999996E-2</v>
      </c>
      <c r="EL15" s="528">
        <f t="shared" si="80"/>
        <v>4.842926999999999E-2</v>
      </c>
      <c r="EM15">
        <f t="shared" si="81"/>
        <v>1.0800000000000001E-2</v>
      </c>
      <c r="EN15" s="460">
        <f t="shared" si="121"/>
        <v>43.84687499999999</v>
      </c>
      <c r="EO15">
        <f t="shared" si="82"/>
        <v>0.39575422387142117</v>
      </c>
      <c r="EP15" s="460">
        <f t="shared" si="122"/>
        <v>395.75422387142117</v>
      </c>
      <c r="EQ15" s="173">
        <f t="shared" si="83"/>
        <v>0.37275000000000003</v>
      </c>
      <c r="ER15" s="173">
        <f t="shared" si="84"/>
        <v>4.4375000000000005E-3</v>
      </c>
      <c r="ES15" s="528"/>
      <c r="EU15" s="460">
        <f t="shared" si="123"/>
        <v>377.1875</v>
      </c>
      <c r="EV15" s="528">
        <f t="shared" si="85"/>
        <v>3.1333333333333348E-3</v>
      </c>
      <c r="EW15" s="528">
        <f t="shared" si="124"/>
        <v>0.23431111111111122</v>
      </c>
      <c r="EX15" s="528">
        <f t="shared" si="86"/>
        <v>1.4178047236425621E-5</v>
      </c>
      <c r="EY15" s="528">
        <f t="shared" si="87"/>
        <v>0.11664545127845792</v>
      </c>
      <c r="EZ15" s="528">
        <f t="shared" si="88"/>
        <v>0.41905479715868893</v>
      </c>
      <c r="FA15" s="625">
        <f t="shared" si="89"/>
        <v>1.1750000000000003E-2</v>
      </c>
      <c r="FB15" s="460">
        <f t="shared" si="125"/>
        <v>430.80479715868893</v>
      </c>
      <c r="FC15" s="173">
        <f t="shared" si="126"/>
        <v>1.2037465210301102</v>
      </c>
      <c r="FD15" s="5">
        <f t="shared" si="127"/>
        <v>2.5800000000000005</v>
      </c>
      <c r="FE15" s="173">
        <f t="shared" si="128"/>
        <v>0.68186385786160042</v>
      </c>
      <c r="FF15" s="5">
        <f t="shared" si="129"/>
        <v>68.186385786160045</v>
      </c>
      <c r="FG15">
        <f t="shared" si="130"/>
        <v>10.000000000000002</v>
      </c>
      <c r="FI15" s="562">
        <f t="shared" si="90"/>
        <v>-50</v>
      </c>
      <c r="FJ15">
        <f t="shared" si="91"/>
        <v>-50</v>
      </c>
      <c r="FL15">
        <f t="shared" si="92"/>
        <v>0.22500000000000001</v>
      </c>
    </row>
    <row r="16" spans="2:169">
      <c r="E16" s="170">
        <v>11</v>
      </c>
      <c r="F16" s="217">
        <f t="shared" si="131"/>
        <v>0.66</v>
      </c>
      <c r="G16" s="217">
        <f t="shared" si="93"/>
        <v>1.1000000000000001E-2</v>
      </c>
      <c r="H16" s="217">
        <f t="shared" si="0"/>
        <v>2.64</v>
      </c>
      <c r="I16" s="217">
        <f t="shared" si="132"/>
        <v>0.19800000000000001</v>
      </c>
      <c r="J16" s="541">
        <f t="shared" si="1"/>
        <v>23.964660861721935</v>
      </c>
      <c r="K16" s="443">
        <f t="shared" si="2"/>
        <v>19.12</v>
      </c>
      <c r="L16" s="172">
        <f t="shared" si="3"/>
        <v>43.084660861721936</v>
      </c>
      <c r="M16" s="443"/>
      <c r="N16" s="217">
        <f t="shared" si="4"/>
        <v>0.44377742838372769</v>
      </c>
      <c r="O16" s="172">
        <f t="shared" si="94"/>
        <v>32.976668431947687</v>
      </c>
      <c r="P16" s="172">
        <f t="shared" si="5"/>
        <v>2.658743892325782</v>
      </c>
      <c r="Q16" s="217">
        <f t="shared" si="6"/>
        <v>8.2441671079869216</v>
      </c>
      <c r="R16" s="217">
        <f t="shared" si="7"/>
        <v>1.8320371351082048</v>
      </c>
      <c r="S16" s="443">
        <f t="shared" si="8"/>
        <v>4</v>
      </c>
      <c r="T16" s="217">
        <f t="shared" si="9"/>
        <v>0.53371067596838195</v>
      </c>
      <c r="U16" s="217">
        <f t="shared" si="10"/>
        <v>0.26724885232364592</v>
      </c>
      <c r="V16" s="217">
        <f t="shared" si="11"/>
        <v>0.33496485939438198</v>
      </c>
      <c r="W16" s="197">
        <f t="shared" si="12"/>
        <v>350</v>
      </c>
      <c r="X16" s="443">
        <f t="shared" si="95"/>
        <v>350</v>
      </c>
      <c r="Z16" s="217">
        <f t="shared" si="13"/>
        <v>2.5321370403102681</v>
      </c>
      <c r="AA16" s="173">
        <f t="shared" si="14"/>
        <v>1.5892073474750639</v>
      </c>
      <c r="AB16" s="173">
        <f t="shared" si="15"/>
        <v>2.8168635524923884</v>
      </c>
      <c r="AC16" s="173"/>
      <c r="AD16" s="173">
        <f t="shared" si="16"/>
        <v>0.83682008368200844</v>
      </c>
      <c r="AE16" s="545">
        <f t="shared" si="17"/>
        <v>295.76249999999993</v>
      </c>
      <c r="AF16" s="528">
        <f t="shared" si="18"/>
        <v>0.78103207810320796</v>
      </c>
      <c r="AH16" s="173">
        <f t="shared" si="19"/>
        <v>1.1625096005747959</v>
      </c>
      <c r="AI16" s="173">
        <f t="shared" si="20"/>
        <v>1.3333333333333335</v>
      </c>
      <c r="AJ16" s="173">
        <f t="shared" si="21"/>
        <v>1.1690071428571429</v>
      </c>
      <c r="AL16" s="545">
        <f t="shared" si="22"/>
        <v>660</v>
      </c>
      <c r="AM16" s="460">
        <f t="shared" si="23"/>
        <v>295.76249999999993</v>
      </c>
      <c r="AO16">
        <f t="shared" si="96"/>
        <v>660</v>
      </c>
      <c r="AP16" s="460">
        <f t="shared" si="24"/>
        <v>295.76249999999993</v>
      </c>
      <c r="AQ16" s="460"/>
      <c r="AR16" s="5">
        <f t="shared" si="97"/>
        <v>3.3810912472000343</v>
      </c>
      <c r="AS16" s="5">
        <f t="shared" si="25"/>
        <v>0.66764975696177464</v>
      </c>
      <c r="AT16" s="5">
        <f t="shared" si="98"/>
        <v>2.7134414902382598</v>
      </c>
      <c r="AU16" s="173">
        <f t="shared" si="99"/>
        <v>0.19746576124340684</v>
      </c>
      <c r="AW16" s="5">
        <f t="shared" si="26"/>
        <v>11.016220989869282</v>
      </c>
      <c r="AX16" s="5">
        <f t="shared" si="27"/>
        <v>4.0800818480997342E-2</v>
      </c>
      <c r="AY16" s="5">
        <f t="shared" si="28"/>
        <v>0.24909892582954077</v>
      </c>
      <c r="AZ16" s="5"/>
      <c r="BA16" s="173">
        <f t="shared" si="100"/>
        <v>0.34207710739466385</v>
      </c>
      <c r="BB16" s="173">
        <f t="shared" si="29"/>
        <v>2.7584802923032599</v>
      </c>
      <c r="BC16" s="173">
        <f t="shared" si="30"/>
        <v>5.2560232596589138E-2</v>
      </c>
      <c r="BD16" s="173"/>
      <c r="BE16" s="528">
        <f t="shared" si="31"/>
        <v>1.4276043183227046E-3</v>
      </c>
      <c r="BF16" s="528">
        <f t="shared" si="32"/>
        <v>0.31857067520287585</v>
      </c>
      <c r="BG16" s="528">
        <f t="shared" si="33"/>
        <v>0.1771962002028758</v>
      </c>
      <c r="BH16" s="528">
        <f t="shared" si="34"/>
        <v>5.4902038006422696E-2</v>
      </c>
      <c r="BI16">
        <f t="shared" si="35"/>
        <v>1.0784097387774871E-2</v>
      </c>
      <c r="BJ16" s="460">
        <f t="shared" si="101"/>
        <v>187.98029759065065</v>
      </c>
      <c r="BK16">
        <f t="shared" si="36"/>
        <v>0.37541311036486519</v>
      </c>
      <c r="BL16" s="460">
        <f t="shared" si="102"/>
        <v>375.41311036486519</v>
      </c>
      <c r="BM16" s="173">
        <f t="shared" si="37"/>
        <v>0.41002499999999997</v>
      </c>
      <c r="BN16" s="173">
        <f t="shared" si="38"/>
        <v>4.8812500000000002E-3</v>
      </c>
      <c r="BO16" s="528"/>
      <c r="BQ16" s="460">
        <f t="shared" si="103"/>
        <v>414.90625</v>
      </c>
      <c r="BR16" s="528">
        <f t="shared" si="39"/>
        <v>3.5105024221050115E-3</v>
      </c>
      <c r="BS16" s="528">
        <f t="shared" si="104"/>
        <v>0.22827640569076432</v>
      </c>
      <c r="BT16" s="528">
        <f t="shared" si="40"/>
        <v>1.3812890253037758E-5</v>
      </c>
      <c r="BU16" s="528">
        <f t="shared" si="41"/>
        <v>0.15440971352973873</v>
      </c>
      <c r="BV16" s="528">
        <f t="shared" si="42"/>
        <v>0.45019097498078203</v>
      </c>
      <c r="BW16" s="625">
        <f t="shared" si="43"/>
        <v>1.3145E-2</v>
      </c>
      <c r="BX16" s="460">
        <f t="shared" si="105"/>
        <v>463.33597498078205</v>
      </c>
      <c r="BY16" s="173">
        <f t="shared" si="106"/>
        <v>1.253655335345647</v>
      </c>
      <c r="BZ16" s="5">
        <f t="shared" si="107"/>
        <v>2.8380000000000001</v>
      </c>
      <c r="CA16" s="173">
        <f t="shared" si="108"/>
        <v>0.69360680883456094</v>
      </c>
      <c r="CB16" s="5">
        <f t="shared" si="109"/>
        <v>69.360680883456098</v>
      </c>
      <c r="CC16">
        <f t="shared" si="110"/>
        <v>11</v>
      </c>
      <c r="CE16" s="562">
        <f t="shared" si="44"/>
        <v>-50</v>
      </c>
      <c r="CF16">
        <f t="shared" si="45"/>
        <v>-50</v>
      </c>
      <c r="CG16" s="173">
        <f t="shared" si="46"/>
        <v>0.24749999999999997</v>
      </c>
      <c r="CH16" s="173">
        <f t="shared" si="47"/>
        <v>6.3392300609740798E-2</v>
      </c>
      <c r="CI16" s="170">
        <v>11</v>
      </c>
      <c r="CJ16" s="217">
        <f t="shared" si="133"/>
        <v>0.66</v>
      </c>
      <c r="CK16" s="217">
        <f t="shared" si="111"/>
        <v>1.1000000000000001E-2</v>
      </c>
      <c r="CL16" s="217">
        <f t="shared" si="48"/>
        <v>2.64</v>
      </c>
      <c r="CM16" s="217">
        <f t="shared" si="134"/>
        <v>0.19800000000000001</v>
      </c>
      <c r="CN16" s="541">
        <f t="shared" si="112"/>
        <v>24</v>
      </c>
      <c r="CO16" s="443">
        <f t="shared" si="49"/>
        <v>18.8</v>
      </c>
      <c r="CP16" s="443">
        <f t="shared" si="50"/>
        <v>42.8</v>
      </c>
      <c r="CQ16" s="443"/>
      <c r="CR16" s="217">
        <f t="shared" si="113"/>
        <v>0.43925233644859818</v>
      </c>
      <c r="CS16" s="172">
        <f t="shared" si="114"/>
        <v>32.688545968267775</v>
      </c>
      <c r="CT16" s="172">
        <f t="shared" si="51"/>
        <v>2.6355140186915893</v>
      </c>
      <c r="CU16" s="217">
        <f t="shared" si="52"/>
        <v>8.1721364920669437</v>
      </c>
      <c r="CV16" s="217">
        <f t="shared" si="53"/>
        <v>1.816030331570432</v>
      </c>
      <c r="CW16" s="443">
        <f t="shared" si="54"/>
        <v>4</v>
      </c>
      <c r="CX16" s="217">
        <f t="shared" si="55"/>
        <v>0.53841489361702122</v>
      </c>
      <c r="CY16" s="217">
        <f t="shared" si="56"/>
        <v>0.26920744680851061</v>
      </c>
      <c r="CZ16" s="217">
        <f t="shared" si="57"/>
        <v>0.34366908103214122</v>
      </c>
      <c r="DA16" s="197">
        <f t="shared" si="58"/>
        <v>350</v>
      </c>
      <c r="DB16" s="443">
        <f t="shared" si="115"/>
        <v>350</v>
      </c>
      <c r="DD16" s="217">
        <f t="shared" si="59"/>
        <v>2.5100133511348464</v>
      </c>
      <c r="DE16" s="173">
        <f t="shared" si="60"/>
        <v>1.6021361815754336</v>
      </c>
      <c r="DF16" s="173">
        <f t="shared" si="61"/>
        <v>2.8149682442633783</v>
      </c>
      <c r="DG16" s="173"/>
      <c r="DH16" s="173">
        <f t="shared" si="62"/>
        <v>0.85106382978723416</v>
      </c>
      <c r="DI16" s="545">
        <f t="shared" si="63"/>
        <v>290.81249999999994</v>
      </c>
      <c r="DJ16" s="528">
        <f t="shared" si="64"/>
        <v>0.79432624113475192</v>
      </c>
      <c r="DL16" s="173">
        <f t="shared" si="65"/>
        <v>1.1625096005747959</v>
      </c>
      <c r="DM16" s="173">
        <f t="shared" si="66"/>
        <v>1.3333333333333335</v>
      </c>
      <c r="DN16" s="173">
        <f t="shared" si="67"/>
        <v>1.1661785714285715</v>
      </c>
      <c r="DP16" s="545">
        <f t="shared" si="68"/>
        <v>660</v>
      </c>
      <c r="DQ16" s="460">
        <f t="shared" si="69"/>
        <v>290.81249999999994</v>
      </c>
      <c r="DS16">
        <f t="shared" si="116"/>
        <v>660</v>
      </c>
      <c r="DT16" s="460">
        <f t="shared" si="70"/>
        <v>290.81249999999994</v>
      </c>
      <c r="DU16" s="460"/>
      <c r="DV16" s="5">
        <f t="shared" si="117"/>
        <v>3.4386417365140778</v>
      </c>
      <c r="DW16" s="5">
        <f t="shared" si="71"/>
        <v>0.66666666666666685</v>
      </c>
      <c r="DX16" s="5">
        <f t="shared" si="118"/>
        <v>2.7719750698474108</v>
      </c>
      <c r="DY16" s="173">
        <f t="shared" si="119"/>
        <v>0.19387500000000002</v>
      </c>
      <c r="EA16" s="5">
        <f t="shared" si="72"/>
        <v>11.000000000000005</v>
      </c>
      <c r="EB16" s="5">
        <f t="shared" si="73"/>
        <v>4.0740740740740751E-2</v>
      </c>
      <c r="EC16" s="5">
        <f t="shared" si="74"/>
        <v>0.25409771473601261</v>
      </c>
      <c r="ED16" s="5"/>
      <c r="EE16" s="173">
        <f t="shared" si="120"/>
        <v>0.33895263517029767</v>
      </c>
      <c r="EF16" s="173">
        <f t="shared" si="75"/>
        <v>2.7646445086591624</v>
      </c>
      <c r="EG16" s="173">
        <f t="shared" si="76"/>
        <v>5.2677685908235392E-2</v>
      </c>
      <c r="EH16" s="173"/>
      <c r="EI16" s="528">
        <f t="shared" si="77"/>
        <v>1.4016444444444446E-3</v>
      </c>
      <c r="EJ16" s="528">
        <f t="shared" si="78"/>
        <v>0.33191399999999993</v>
      </c>
      <c r="EK16" s="528">
        <f t="shared" si="79"/>
        <v>3.6351562499999997E-2</v>
      </c>
      <c r="EL16" s="528">
        <f t="shared" si="80"/>
        <v>5.3272196999999986E-2</v>
      </c>
      <c r="EM16">
        <f t="shared" si="81"/>
        <v>1.0800000000000001E-2</v>
      </c>
      <c r="EN16" s="460">
        <f t="shared" si="121"/>
        <v>47.151562499999997</v>
      </c>
      <c r="EO16">
        <f t="shared" si="82"/>
        <v>0.43426247068772644</v>
      </c>
      <c r="EP16" s="460">
        <f t="shared" si="122"/>
        <v>434.26247068772642</v>
      </c>
      <c r="EQ16" s="173">
        <f t="shared" si="83"/>
        <v>0.41002499999999997</v>
      </c>
      <c r="ER16" s="173">
        <f t="shared" si="84"/>
        <v>4.8812500000000002E-3</v>
      </c>
      <c r="ES16" s="528"/>
      <c r="EU16" s="460">
        <f t="shared" si="123"/>
        <v>414.90625</v>
      </c>
      <c r="EV16" s="528">
        <f t="shared" si="85"/>
        <v>3.4466666666666673E-3</v>
      </c>
      <c r="EW16" s="528">
        <f t="shared" si="124"/>
        <v>0.22929777777777785</v>
      </c>
      <c r="EX16" s="528">
        <f t="shared" si="86"/>
        <v>1.3874692963233507E-5</v>
      </c>
      <c r="EY16" s="528">
        <f t="shared" si="87"/>
        <v>0.14802992549357291</v>
      </c>
      <c r="EZ16" s="528">
        <f t="shared" si="88"/>
        <v>0.4449352313498795</v>
      </c>
      <c r="FA16" s="625">
        <f t="shared" si="89"/>
        <v>1.2925000000000001E-2</v>
      </c>
      <c r="FB16" s="460">
        <f t="shared" si="125"/>
        <v>457.86023134987954</v>
      </c>
      <c r="FC16" s="173">
        <f t="shared" si="126"/>
        <v>1.3070289520376059</v>
      </c>
      <c r="FD16" s="5">
        <f t="shared" si="127"/>
        <v>2.8380000000000001</v>
      </c>
      <c r="FE16" s="173">
        <f t="shared" si="128"/>
        <v>0.68467555542764091</v>
      </c>
      <c r="FF16" s="5">
        <f t="shared" si="129"/>
        <v>68.467555542764089</v>
      </c>
      <c r="FG16">
        <f t="shared" si="130"/>
        <v>11</v>
      </c>
      <c r="FI16" s="562">
        <f t="shared" si="90"/>
        <v>-50</v>
      </c>
      <c r="FJ16">
        <f t="shared" si="91"/>
        <v>-50</v>
      </c>
      <c r="FL16">
        <f t="shared" si="92"/>
        <v>0.24749999999999997</v>
      </c>
    </row>
    <row r="17" spans="5:168">
      <c r="E17" s="170">
        <v>12</v>
      </c>
      <c r="F17" s="217">
        <f t="shared" si="131"/>
        <v>0.72</v>
      </c>
      <c r="G17" s="217">
        <f t="shared" si="93"/>
        <v>1.2E-2</v>
      </c>
      <c r="H17" s="217">
        <f t="shared" si="0"/>
        <v>2.88</v>
      </c>
      <c r="I17" s="217">
        <f t="shared" si="132"/>
        <v>0.216</v>
      </c>
      <c r="J17" s="541">
        <f t="shared" si="1"/>
        <v>23.964660861721935</v>
      </c>
      <c r="K17" s="443">
        <f t="shared" si="2"/>
        <v>19.12</v>
      </c>
      <c r="L17" s="172">
        <f t="shared" si="3"/>
        <v>43.084660861721936</v>
      </c>
      <c r="M17" s="443"/>
      <c r="N17" s="217">
        <f t="shared" si="4"/>
        <v>0.44377742838372769</v>
      </c>
      <c r="O17" s="172">
        <f t="shared" si="94"/>
        <v>32.976668431947687</v>
      </c>
      <c r="P17" s="172">
        <f t="shared" si="5"/>
        <v>2.658743892325782</v>
      </c>
      <c r="Q17" s="217">
        <f t="shared" si="6"/>
        <v>8.2441671079869216</v>
      </c>
      <c r="R17" s="217">
        <f t="shared" si="7"/>
        <v>1.8320371351082048</v>
      </c>
      <c r="S17" s="443">
        <f t="shared" si="8"/>
        <v>4</v>
      </c>
      <c r="T17" s="217">
        <f t="shared" si="9"/>
        <v>0.58222982832914394</v>
      </c>
      <c r="U17" s="217">
        <f t="shared" si="10"/>
        <v>0.2915442025348865</v>
      </c>
      <c r="V17" s="217">
        <f t="shared" si="11"/>
        <v>0.36541621024841675</v>
      </c>
      <c r="W17" s="197">
        <f t="shared" si="12"/>
        <v>350</v>
      </c>
      <c r="X17" s="443">
        <f t="shared" si="95"/>
        <v>350</v>
      </c>
      <c r="Z17" s="217">
        <f t="shared" si="13"/>
        <v>2.5321370403102681</v>
      </c>
      <c r="AA17" s="173">
        <f t="shared" si="14"/>
        <v>1.5892073474750639</v>
      </c>
      <c r="AB17" s="173">
        <f t="shared" si="15"/>
        <v>2.8168635524923884</v>
      </c>
      <c r="AC17" s="173"/>
      <c r="AD17" s="173">
        <f t="shared" si="16"/>
        <v>0.83682008368200844</v>
      </c>
      <c r="AE17" s="545">
        <f t="shared" si="17"/>
        <v>322.64999999999986</v>
      </c>
      <c r="AF17" s="528">
        <f t="shared" si="18"/>
        <v>0.78103207810320796</v>
      </c>
      <c r="AH17" s="173">
        <f t="shared" si="19"/>
        <v>1.2142016777643301</v>
      </c>
      <c r="AI17" s="173">
        <f t="shared" si="20"/>
        <v>1.3333333333333335</v>
      </c>
      <c r="AJ17" s="173">
        <f t="shared" si="21"/>
        <v>1.1843714285714284</v>
      </c>
      <c r="AL17" s="545">
        <f t="shared" si="22"/>
        <v>720</v>
      </c>
      <c r="AM17" s="460">
        <f t="shared" si="23"/>
        <v>322.64999999999986</v>
      </c>
      <c r="AO17">
        <f t="shared" si="96"/>
        <v>720</v>
      </c>
      <c r="AP17" s="460">
        <f t="shared" si="24"/>
        <v>322.64999999999986</v>
      </c>
      <c r="AQ17" s="460"/>
      <c r="AR17" s="5">
        <f t="shared" si="97"/>
        <v>3.0993336432666991</v>
      </c>
      <c r="AS17" s="5">
        <f t="shared" si="25"/>
        <v>0.66764975696177464</v>
      </c>
      <c r="AT17" s="5">
        <f t="shared" si="98"/>
        <v>2.4316838863049246</v>
      </c>
      <c r="AU17" s="173">
        <f t="shared" si="99"/>
        <v>0.21541719408371648</v>
      </c>
      <c r="AW17" s="5">
        <f t="shared" si="26"/>
        <v>12.017695625311942</v>
      </c>
      <c r="AX17" s="5">
        <f t="shared" si="27"/>
        <v>4.4509983797451649E-2</v>
      </c>
      <c r="AY17" s="5">
        <f t="shared" si="28"/>
        <v>0.24352697335490189</v>
      </c>
      <c r="AZ17" s="5"/>
      <c r="BA17" s="173">
        <f t="shared" si="100"/>
        <v>0.35728788606821149</v>
      </c>
      <c r="BB17" s="173">
        <f t="shared" si="29"/>
        <v>2.7274543708344643</v>
      </c>
      <c r="BC17" s="173">
        <f t="shared" si="30"/>
        <v>5.1969063011845874E-2</v>
      </c>
      <c r="BD17" s="173"/>
      <c r="BE17" s="528">
        <f t="shared" si="31"/>
        <v>1.5573865290793134E-3</v>
      </c>
      <c r="BF17" s="528">
        <f t="shared" si="32"/>
        <v>0.34753164567586442</v>
      </c>
      <c r="BG17" s="528">
        <f t="shared" si="33"/>
        <v>0.19330494567586448</v>
      </c>
      <c r="BH17" s="528">
        <f t="shared" si="34"/>
        <v>5.9893132370642928E-2</v>
      </c>
      <c r="BI17">
        <f t="shared" si="35"/>
        <v>1.0784097387774871E-2</v>
      </c>
      <c r="BJ17" s="460">
        <f t="shared" si="101"/>
        <v>204.08904306363934</v>
      </c>
      <c r="BK17">
        <f t="shared" si="36"/>
        <v>0.40955420834602263</v>
      </c>
      <c r="BL17" s="460">
        <f t="shared" si="102"/>
        <v>409.55420834602262</v>
      </c>
      <c r="BM17" s="173">
        <f t="shared" si="37"/>
        <v>0.44729999999999998</v>
      </c>
      <c r="BN17" s="173">
        <f t="shared" si="38"/>
        <v>5.3249999999999999E-3</v>
      </c>
      <c r="BO17" s="528"/>
      <c r="BQ17" s="460">
        <f t="shared" si="103"/>
        <v>452.625</v>
      </c>
      <c r="BR17" s="528">
        <f t="shared" si="39"/>
        <v>3.8296390059327379E-3</v>
      </c>
      <c r="BS17" s="528">
        <f t="shared" si="104"/>
        <v>0.22317022034952069</v>
      </c>
      <c r="BT17" s="528">
        <f t="shared" si="40"/>
        <v>1.3503917551646034E-5</v>
      </c>
      <c r="BU17" s="528">
        <f t="shared" si="41"/>
        <v>0.19193139482374544</v>
      </c>
      <c r="BV17" s="528">
        <f t="shared" si="42"/>
        <v>0.48218495963477975</v>
      </c>
      <c r="BW17" s="625">
        <f t="shared" si="43"/>
        <v>1.4339999999999997E-2</v>
      </c>
      <c r="BX17" s="460">
        <f t="shared" si="105"/>
        <v>496.52495963477975</v>
      </c>
      <c r="BY17" s="173">
        <f t="shared" si="106"/>
        <v>1.3587041679808025</v>
      </c>
      <c r="BZ17" s="5">
        <f t="shared" si="107"/>
        <v>3.0960000000000001</v>
      </c>
      <c r="CA17" s="173">
        <f t="shared" si="108"/>
        <v>0.6949956457834402</v>
      </c>
      <c r="CB17" s="5">
        <f t="shared" si="109"/>
        <v>69.499564578344021</v>
      </c>
      <c r="CC17">
        <f t="shared" si="110"/>
        <v>12</v>
      </c>
      <c r="CE17" s="562">
        <f t="shared" si="44"/>
        <v>-50</v>
      </c>
      <c r="CF17">
        <f t="shared" si="45"/>
        <v>-50</v>
      </c>
      <c r="CG17" s="173">
        <f t="shared" si="46"/>
        <v>0.26999999999999996</v>
      </c>
      <c r="CH17" s="173">
        <f t="shared" si="47"/>
        <v>6.9155237028808145E-2</v>
      </c>
      <c r="CI17" s="170">
        <v>12</v>
      </c>
      <c r="CJ17" s="217">
        <f t="shared" si="133"/>
        <v>0.72</v>
      </c>
      <c r="CK17" s="217">
        <f t="shared" si="111"/>
        <v>1.2E-2</v>
      </c>
      <c r="CL17" s="217">
        <f t="shared" si="48"/>
        <v>2.88</v>
      </c>
      <c r="CM17" s="217">
        <f t="shared" si="134"/>
        <v>0.216</v>
      </c>
      <c r="CN17" s="541">
        <f t="shared" si="112"/>
        <v>24</v>
      </c>
      <c r="CO17" s="443">
        <f t="shared" si="49"/>
        <v>18.8</v>
      </c>
      <c r="CP17" s="443">
        <f t="shared" si="50"/>
        <v>42.8</v>
      </c>
      <c r="CQ17" s="443"/>
      <c r="CR17" s="217">
        <f t="shared" si="113"/>
        <v>0.43925233644859818</v>
      </c>
      <c r="CS17" s="172">
        <f t="shared" si="114"/>
        <v>32.688545968267775</v>
      </c>
      <c r="CT17" s="172">
        <f t="shared" si="51"/>
        <v>2.6355140186915893</v>
      </c>
      <c r="CU17" s="217">
        <f t="shared" si="52"/>
        <v>8.1721364920669437</v>
      </c>
      <c r="CV17" s="217">
        <f t="shared" si="53"/>
        <v>1.816030331570432</v>
      </c>
      <c r="CW17" s="443">
        <f t="shared" si="54"/>
        <v>4</v>
      </c>
      <c r="CX17" s="217">
        <f t="shared" si="55"/>
        <v>0.58736170212765948</v>
      </c>
      <c r="CY17" s="217">
        <f t="shared" si="56"/>
        <v>0.29368085106382974</v>
      </c>
      <c r="CZ17" s="217">
        <f t="shared" si="57"/>
        <v>0.37491172476233586</v>
      </c>
      <c r="DA17" s="197">
        <f t="shared" si="58"/>
        <v>350</v>
      </c>
      <c r="DB17" s="443">
        <f t="shared" si="115"/>
        <v>350</v>
      </c>
      <c r="DD17" s="217">
        <f t="shared" si="59"/>
        <v>2.5100133511348464</v>
      </c>
      <c r="DE17" s="173">
        <f t="shared" si="60"/>
        <v>1.6021361815754336</v>
      </c>
      <c r="DF17" s="173">
        <f t="shared" si="61"/>
        <v>2.8149682442633783</v>
      </c>
      <c r="DG17" s="173"/>
      <c r="DH17" s="173">
        <f t="shared" si="62"/>
        <v>0.85106382978723416</v>
      </c>
      <c r="DI17" s="545">
        <f t="shared" si="63"/>
        <v>317.24999999999994</v>
      </c>
      <c r="DJ17" s="528">
        <f t="shared" si="64"/>
        <v>0.79432624113475192</v>
      </c>
      <c r="DL17" s="173">
        <f t="shared" si="65"/>
        <v>1.2142016777643301</v>
      </c>
      <c r="DM17" s="173">
        <f t="shared" si="66"/>
        <v>1.3333333333333335</v>
      </c>
      <c r="DN17" s="173">
        <f t="shared" si="67"/>
        <v>1.1812857142857143</v>
      </c>
      <c r="DP17" s="545">
        <f t="shared" si="68"/>
        <v>720</v>
      </c>
      <c r="DQ17" s="460">
        <f t="shared" si="69"/>
        <v>317.24999999999994</v>
      </c>
      <c r="DS17">
        <f t="shared" si="116"/>
        <v>720</v>
      </c>
      <c r="DT17" s="460">
        <f t="shared" si="70"/>
        <v>317.24999999999994</v>
      </c>
      <c r="DU17" s="460"/>
      <c r="DV17" s="5">
        <f t="shared" si="117"/>
        <v>3.1520882584712377</v>
      </c>
      <c r="DW17" s="5">
        <f t="shared" si="71"/>
        <v>0.66666666666666685</v>
      </c>
      <c r="DX17" s="5">
        <f t="shared" si="118"/>
        <v>2.4854215918045708</v>
      </c>
      <c r="DY17" s="173">
        <f t="shared" si="119"/>
        <v>0.21150000000000002</v>
      </c>
      <c r="EA17" s="5">
        <f t="shared" si="72"/>
        <v>12.000000000000002</v>
      </c>
      <c r="EB17" s="5">
        <f t="shared" si="73"/>
        <v>4.4444444444444453E-2</v>
      </c>
      <c r="EC17" s="5">
        <f t="shared" si="74"/>
        <v>0.24854215918045705</v>
      </c>
      <c r="ED17" s="5"/>
      <c r="EE17" s="173">
        <f t="shared" si="120"/>
        <v>0.35402448126271346</v>
      </c>
      <c r="EF17" s="173">
        <f t="shared" si="75"/>
        <v>2.7342545872958044</v>
      </c>
      <c r="EG17" s="173">
        <f t="shared" si="76"/>
        <v>5.2098634703879515E-2</v>
      </c>
      <c r="EH17" s="173"/>
      <c r="EI17" s="528">
        <f t="shared" si="77"/>
        <v>1.5290666666666667E-3</v>
      </c>
      <c r="EJ17" s="528">
        <f t="shared" si="78"/>
        <v>0.36208799999999991</v>
      </c>
      <c r="EK17" s="528">
        <f t="shared" si="79"/>
        <v>3.965624999999999E-2</v>
      </c>
      <c r="EL17" s="528">
        <f t="shared" si="80"/>
        <v>5.8115123999999983E-2</v>
      </c>
      <c r="EM17">
        <f t="shared" si="81"/>
        <v>1.0800000000000001E-2</v>
      </c>
      <c r="EN17" s="460">
        <f t="shared" si="121"/>
        <v>50.456249999999997</v>
      </c>
      <c r="EO17">
        <f t="shared" si="82"/>
        <v>0.47277305006585929</v>
      </c>
      <c r="EP17" s="460">
        <f t="shared" si="122"/>
        <v>472.77305006585931</v>
      </c>
      <c r="EQ17" s="173">
        <f t="shared" si="83"/>
        <v>0.44729999999999998</v>
      </c>
      <c r="ER17" s="173">
        <f t="shared" si="84"/>
        <v>5.3249999999999999E-3</v>
      </c>
      <c r="ES17" s="528"/>
      <c r="EU17" s="460">
        <f t="shared" si="123"/>
        <v>452.625</v>
      </c>
      <c r="EV17" s="528">
        <f t="shared" si="85"/>
        <v>3.7600000000000003E-3</v>
      </c>
      <c r="EW17" s="528">
        <f t="shared" si="124"/>
        <v>0.22428444444444448</v>
      </c>
      <c r="EX17" s="528">
        <f t="shared" si="86"/>
        <v>1.3571338690041395E-5</v>
      </c>
      <c r="EY17" s="528">
        <f t="shared" si="87"/>
        <v>0.18400131329927374</v>
      </c>
      <c r="EZ17" s="528">
        <f t="shared" si="88"/>
        <v>0.47546799588719391</v>
      </c>
      <c r="FA17" s="625">
        <f t="shared" si="89"/>
        <v>1.41E-2</v>
      </c>
      <c r="FB17" s="460">
        <f t="shared" si="125"/>
        <v>489.56799588719389</v>
      </c>
      <c r="FC17" s="173">
        <f t="shared" si="126"/>
        <v>1.4149660459530531</v>
      </c>
      <c r="FD17" s="5">
        <f t="shared" si="127"/>
        <v>3.0960000000000001</v>
      </c>
      <c r="FE17" s="173">
        <f t="shared" si="128"/>
        <v>0.68632748915889785</v>
      </c>
      <c r="FF17" s="5">
        <f t="shared" si="129"/>
        <v>68.632748915889792</v>
      </c>
      <c r="FG17">
        <f t="shared" si="130"/>
        <v>12</v>
      </c>
      <c r="FI17" s="562">
        <f t="shared" si="90"/>
        <v>-50</v>
      </c>
      <c r="FJ17">
        <f t="shared" si="91"/>
        <v>-50</v>
      </c>
      <c r="FL17">
        <f t="shared" si="92"/>
        <v>0.26999999999999996</v>
      </c>
    </row>
    <row r="18" spans="5:168">
      <c r="E18" s="170">
        <v>13</v>
      </c>
      <c r="F18" s="217">
        <f t="shared" si="131"/>
        <v>0.78</v>
      </c>
      <c r="G18" s="217">
        <f t="shared" si="93"/>
        <v>1.3000000000000001E-2</v>
      </c>
      <c r="H18" s="217">
        <f t="shared" si="0"/>
        <v>3.12</v>
      </c>
      <c r="I18" s="217">
        <f t="shared" si="132"/>
        <v>0.23400000000000001</v>
      </c>
      <c r="J18" s="541">
        <f t="shared" si="1"/>
        <v>23.964660861721935</v>
      </c>
      <c r="K18" s="443">
        <f t="shared" si="2"/>
        <v>19.12</v>
      </c>
      <c r="L18" s="172">
        <f t="shared" si="3"/>
        <v>43.084660861721936</v>
      </c>
      <c r="M18" s="443"/>
      <c r="N18" s="217">
        <f t="shared" si="4"/>
        <v>0.44377742838372769</v>
      </c>
      <c r="O18" s="172">
        <f t="shared" si="94"/>
        <v>32.976668431947687</v>
      </c>
      <c r="P18" s="172">
        <f t="shared" si="5"/>
        <v>2.658743892325782</v>
      </c>
      <c r="Q18" s="217">
        <f t="shared" si="6"/>
        <v>8.2441671079869216</v>
      </c>
      <c r="R18" s="217">
        <f t="shared" si="7"/>
        <v>1.8320371351082048</v>
      </c>
      <c r="S18" s="443">
        <f t="shared" si="8"/>
        <v>4</v>
      </c>
      <c r="T18" s="217">
        <f t="shared" si="9"/>
        <v>0.63074898068990592</v>
      </c>
      <c r="U18" s="217">
        <f t="shared" si="10"/>
        <v>0.31583955274612702</v>
      </c>
      <c r="V18" s="217">
        <f t="shared" si="11"/>
        <v>0.39586756110245147</v>
      </c>
      <c r="W18" s="197">
        <f t="shared" si="12"/>
        <v>350</v>
      </c>
      <c r="X18" s="443">
        <f t="shared" si="95"/>
        <v>350</v>
      </c>
      <c r="Z18" s="217">
        <f t="shared" si="13"/>
        <v>2.5321370403102681</v>
      </c>
      <c r="AA18" s="173">
        <f t="shared" si="14"/>
        <v>1.5892073474750639</v>
      </c>
      <c r="AB18" s="173">
        <f t="shared" si="15"/>
        <v>2.8168635524923884</v>
      </c>
      <c r="AC18" s="173"/>
      <c r="AD18" s="173">
        <f t="shared" si="16"/>
        <v>0.83682008368200844</v>
      </c>
      <c r="AE18" s="545">
        <f t="shared" si="17"/>
        <v>349.53749999999997</v>
      </c>
      <c r="AF18" s="528">
        <f t="shared" si="18"/>
        <v>0.78103207810320796</v>
      </c>
      <c r="AH18" s="173">
        <f t="shared" si="19"/>
        <v>1.2637811745483698</v>
      </c>
      <c r="AI18" s="173">
        <f t="shared" si="20"/>
        <v>1.3333333333333335</v>
      </c>
      <c r="AJ18" s="173">
        <f t="shared" si="21"/>
        <v>1.1997357142857143</v>
      </c>
      <c r="AL18" s="545">
        <f t="shared" si="22"/>
        <v>780</v>
      </c>
      <c r="AM18" s="460">
        <f t="shared" si="23"/>
        <v>349.53749999999997</v>
      </c>
      <c r="AO18">
        <f t="shared" si="96"/>
        <v>780</v>
      </c>
      <c r="AP18" s="460">
        <f t="shared" si="24"/>
        <v>349.53749999999997</v>
      </c>
      <c r="AQ18" s="460"/>
      <c r="AR18" s="5">
        <f t="shared" si="97"/>
        <v>2.8609233630154134</v>
      </c>
      <c r="AS18" s="5">
        <f t="shared" si="25"/>
        <v>0.66764975696177464</v>
      </c>
      <c r="AT18" s="5">
        <f t="shared" si="98"/>
        <v>2.1932736060536389</v>
      </c>
      <c r="AU18" s="173">
        <f t="shared" si="99"/>
        <v>0.2333686269240263</v>
      </c>
      <c r="AW18" s="5">
        <f t="shared" si="26"/>
        <v>13.019170260754606</v>
      </c>
      <c r="AX18" s="5">
        <f t="shared" si="27"/>
        <v>4.821914911390595E-2</v>
      </c>
      <c r="AY18" s="5">
        <f t="shared" si="28"/>
        <v>0.23795502088026282</v>
      </c>
      <c r="AZ18" s="5"/>
      <c r="BA18" s="173">
        <f t="shared" si="100"/>
        <v>0.37187702222466268</v>
      </c>
      <c r="BB18" s="173">
        <f t="shared" si="29"/>
        <v>2.6960714320919927</v>
      </c>
      <c r="BC18" s="173">
        <f t="shared" si="30"/>
        <v>5.1371090800671752E-2</v>
      </c>
      <c r="BD18" s="173"/>
      <c r="BE18" s="528">
        <f t="shared" si="31"/>
        <v>1.6871687398359234E-3</v>
      </c>
      <c r="BF18" s="528">
        <f t="shared" si="32"/>
        <v>0.37649261614885327</v>
      </c>
      <c r="BG18" s="528">
        <f t="shared" si="33"/>
        <v>0.20941369114885328</v>
      </c>
      <c r="BH18" s="528">
        <f t="shared" si="34"/>
        <v>6.4884226734863201E-2</v>
      </c>
      <c r="BI18">
        <f t="shared" si="35"/>
        <v>1.0784097387774871E-2</v>
      </c>
      <c r="BJ18" s="460">
        <f t="shared" si="101"/>
        <v>220.19778853662814</v>
      </c>
      <c r="BK18">
        <f t="shared" si="36"/>
        <v>0.44369741273866931</v>
      </c>
      <c r="BL18" s="460">
        <f t="shared" si="102"/>
        <v>443.6974127386693</v>
      </c>
      <c r="BM18" s="173">
        <f t="shared" si="37"/>
        <v>0.48457499999999992</v>
      </c>
      <c r="BN18" s="173">
        <f t="shared" si="38"/>
        <v>5.7687500000000004E-3</v>
      </c>
      <c r="BO18" s="528"/>
      <c r="BQ18" s="460">
        <f t="shared" si="103"/>
        <v>490.34374999999989</v>
      </c>
      <c r="BR18" s="528">
        <f t="shared" si="39"/>
        <v>4.1487755897604674E-3</v>
      </c>
      <c r="BS18" s="528">
        <f t="shared" si="104"/>
        <v>0.21806403500827706</v>
      </c>
      <c r="BT18" s="528">
        <f t="shared" si="40"/>
        <v>1.3194944850254308E-5</v>
      </c>
      <c r="BU18" s="528">
        <f t="shared" si="41"/>
        <v>0.23445056577453002</v>
      </c>
      <c r="BV18" s="528">
        <f t="shared" si="42"/>
        <v>0.51924193758367643</v>
      </c>
      <c r="BW18" s="625">
        <f t="shared" si="43"/>
        <v>1.5535000000000004E-2</v>
      </c>
      <c r="BX18" s="460">
        <f t="shared" si="105"/>
        <v>534.77693758367639</v>
      </c>
      <c r="BY18" s="173">
        <f t="shared" si="106"/>
        <v>1.4688181003223457</v>
      </c>
      <c r="BZ18" s="5">
        <f t="shared" si="107"/>
        <v>3.3540000000000001</v>
      </c>
      <c r="CA18" s="173">
        <f t="shared" si="108"/>
        <v>0.6954440184621159</v>
      </c>
      <c r="CB18" s="5">
        <f t="shared" si="109"/>
        <v>69.544401846211585</v>
      </c>
      <c r="CC18">
        <f t="shared" si="110"/>
        <v>13</v>
      </c>
      <c r="CE18" s="562">
        <f t="shared" si="44"/>
        <v>-50</v>
      </c>
      <c r="CF18">
        <f t="shared" si="45"/>
        <v>-50</v>
      </c>
      <c r="CG18" s="173">
        <f t="shared" si="46"/>
        <v>0.29249999999999993</v>
      </c>
      <c r="CH18" s="173">
        <f t="shared" si="47"/>
        <v>7.4918173447875491E-2</v>
      </c>
      <c r="CI18" s="170">
        <v>13</v>
      </c>
      <c r="CJ18" s="217">
        <f t="shared" si="133"/>
        <v>0.78</v>
      </c>
      <c r="CK18" s="217">
        <f t="shared" si="111"/>
        <v>1.3000000000000001E-2</v>
      </c>
      <c r="CL18" s="217">
        <f t="shared" si="48"/>
        <v>3.12</v>
      </c>
      <c r="CM18" s="217">
        <f t="shared" si="134"/>
        <v>0.23400000000000001</v>
      </c>
      <c r="CN18" s="541">
        <f t="shared" si="112"/>
        <v>24</v>
      </c>
      <c r="CO18" s="443">
        <f t="shared" si="49"/>
        <v>18.8</v>
      </c>
      <c r="CP18" s="443">
        <f t="shared" si="50"/>
        <v>42.8</v>
      </c>
      <c r="CQ18" s="443"/>
      <c r="CR18" s="217">
        <f t="shared" si="113"/>
        <v>0.43925233644859818</v>
      </c>
      <c r="CS18" s="172">
        <f t="shared" si="114"/>
        <v>32.688545968267775</v>
      </c>
      <c r="CT18" s="172">
        <f t="shared" si="51"/>
        <v>2.6355140186915893</v>
      </c>
      <c r="CU18" s="217">
        <f t="shared" si="52"/>
        <v>8.1721364920669437</v>
      </c>
      <c r="CV18" s="217">
        <f t="shared" si="53"/>
        <v>1.816030331570432</v>
      </c>
      <c r="CW18" s="443">
        <f t="shared" si="54"/>
        <v>4</v>
      </c>
      <c r="CX18" s="217">
        <f t="shared" si="55"/>
        <v>0.63630851063829774</v>
      </c>
      <c r="CY18" s="217">
        <f t="shared" si="56"/>
        <v>0.31815425531914887</v>
      </c>
      <c r="CZ18" s="217">
        <f t="shared" si="57"/>
        <v>0.4061543684925305</v>
      </c>
      <c r="DA18" s="197">
        <f t="shared" si="58"/>
        <v>350</v>
      </c>
      <c r="DB18" s="443">
        <f t="shared" si="115"/>
        <v>350</v>
      </c>
      <c r="DD18" s="217">
        <f t="shared" si="59"/>
        <v>2.5100133511348464</v>
      </c>
      <c r="DE18" s="173">
        <f t="shared" si="60"/>
        <v>1.6021361815754336</v>
      </c>
      <c r="DF18" s="173">
        <f t="shared" si="61"/>
        <v>2.8149682442633783</v>
      </c>
      <c r="DG18" s="173"/>
      <c r="DH18" s="173">
        <f t="shared" si="62"/>
        <v>0.85106382978723416</v>
      </c>
      <c r="DI18" s="545">
        <f t="shared" si="63"/>
        <v>343.68749999999994</v>
      </c>
      <c r="DJ18" s="528">
        <f t="shared" si="64"/>
        <v>0.79432624113475192</v>
      </c>
      <c r="DL18" s="173">
        <f t="shared" si="65"/>
        <v>1.2637811745483698</v>
      </c>
      <c r="DM18" s="173">
        <f t="shared" si="66"/>
        <v>1.3333333333333335</v>
      </c>
      <c r="DN18" s="173">
        <f t="shared" si="67"/>
        <v>1.196392857142857</v>
      </c>
      <c r="DP18" s="545">
        <f t="shared" si="68"/>
        <v>780</v>
      </c>
      <c r="DQ18" s="460">
        <f t="shared" si="69"/>
        <v>343.68749999999994</v>
      </c>
      <c r="DS18">
        <f t="shared" si="116"/>
        <v>780</v>
      </c>
      <c r="DT18" s="460">
        <f t="shared" si="70"/>
        <v>343.68749999999994</v>
      </c>
      <c r="DU18" s="460"/>
      <c r="DV18" s="5">
        <f t="shared" si="117"/>
        <v>2.9096199308965272</v>
      </c>
      <c r="DW18" s="5">
        <f t="shared" si="71"/>
        <v>0.66666666666666685</v>
      </c>
      <c r="DX18" s="5">
        <f t="shared" si="118"/>
        <v>2.2429532642298602</v>
      </c>
      <c r="DY18" s="173">
        <f t="shared" si="119"/>
        <v>0.22912500000000002</v>
      </c>
      <c r="EA18" s="5">
        <f t="shared" si="72"/>
        <v>13.000000000000004</v>
      </c>
      <c r="EB18" s="5">
        <f t="shared" si="73"/>
        <v>4.8148148148148169E-2</v>
      </c>
      <c r="EC18" s="5">
        <f t="shared" si="74"/>
        <v>0.24298660362490149</v>
      </c>
      <c r="ED18" s="5"/>
      <c r="EE18" s="173">
        <f t="shared" si="120"/>
        <v>0.36848036281161284</v>
      </c>
      <c r="EF18" s="173">
        <f t="shared" si="75"/>
        <v>2.7035230786951012</v>
      </c>
      <c r="EG18" s="173">
        <f t="shared" si="76"/>
        <v>5.1513074877839085E-2</v>
      </c>
      <c r="EH18" s="173"/>
      <c r="EI18" s="528">
        <f t="shared" si="77"/>
        <v>1.6564888888888894E-3</v>
      </c>
      <c r="EJ18" s="528">
        <f t="shared" si="78"/>
        <v>0.392262</v>
      </c>
      <c r="EK18" s="528">
        <f t="shared" si="79"/>
        <v>4.296093749999999E-2</v>
      </c>
      <c r="EL18" s="528">
        <f t="shared" si="80"/>
        <v>6.2958050999999987E-2</v>
      </c>
      <c r="EM18">
        <f t="shared" si="81"/>
        <v>1.0800000000000001E-2</v>
      </c>
      <c r="EN18" s="460">
        <f t="shared" si="121"/>
        <v>53.760937499999997</v>
      </c>
      <c r="EO18">
        <f t="shared" si="82"/>
        <v>0.51128596221776179</v>
      </c>
      <c r="EP18" s="460">
        <f t="shared" si="122"/>
        <v>511.28596221776178</v>
      </c>
      <c r="EQ18" s="173">
        <f t="shared" si="83"/>
        <v>0.48457499999999992</v>
      </c>
      <c r="ER18" s="173">
        <f t="shared" si="84"/>
        <v>5.7687500000000004E-3</v>
      </c>
      <c r="ES18" s="528"/>
      <c r="EU18" s="460">
        <f t="shared" si="123"/>
        <v>490.34374999999989</v>
      </c>
      <c r="EV18" s="528">
        <f t="shared" si="85"/>
        <v>4.0733333333333351E-3</v>
      </c>
      <c r="EW18" s="528">
        <f t="shared" si="124"/>
        <v>0.21927111111111114</v>
      </c>
      <c r="EX18" s="528">
        <f t="shared" si="86"/>
        <v>1.3267984416849281E-5</v>
      </c>
      <c r="EY18" s="528">
        <f t="shared" si="87"/>
        <v>0.2247637081254307</v>
      </c>
      <c r="EZ18" s="528">
        <f t="shared" si="88"/>
        <v>0.51085555376689495</v>
      </c>
      <c r="FA18" s="625">
        <f t="shared" si="89"/>
        <v>1.5275000000000002E-2</v>
      </c>
      <c r="FB18" s="460">
        <f t="shared" si="125"/>
        <v>526.13055376689499</v>
      </c>
      <c r="FC18" s="173">
        <f t="shared" si="126"/>
        <v>1.5277602659846568</v>
      </c>
      <c r="FD18" s="5">
        <f t="shared" si="127"/>
        <v>3.3540000000000001</v>
      </c>
      <c r="FE18" s="173">
        <f t="shared" si="128"/>
        <v>0.68704725698436042</v>
      </c>
      <c r="FF18" s="5">
        <f t="shared" si="129"/>
        <v>68.704725698436036</v>
      </c>
      <c r="FG18">
        <f t="shared" si="130"/>
        <v>13</v>
      </c>
      <c r="FI18" s="562">
        <f t="shared" si="90"/>
        <v>-50</v>
      </c>
      <c r="FJ18">
        <f t="shared" si="91"/>
        <v>-50</v>
      </c>
      <c r="FL18">
        <f t="shared" si="92"/>
        <v>0.29249999999999998</v>
      </c>
    </row>
    <row r="19" spans="5:168">
      <c r="E19" s="170">
        <v>14</v>
      </c>
      <c r="F19" s="217">
        <f t="shared" si="131"/>
        <v>0.84000000000000008</v>
      </c>
      <c r="G19" s="217">
        <f t="shared" si="93"/>
        <v>1.4000000000000002E-2</v>
      </c>
      <c r="H19" s="217">
        <f t="shared" si="0"/>
        <v>3.3600000000000003</v>
      </c>
      <c r="I19" s="217">
        <f t="shared" si="132"/>
        <v>0.25200000000000006</v>
      </c>
      <c r="J19" s="541">
        <f t="shared" si="1"/>
        <v>23.963659061113468</v>
      </c>
      <c r="K19" s="443">
        <f t="shared" si="2"/>
        <v>19.129071420819251</v>
      </c>
      <c r="L19" s="172">
        <f t="shared" si="3"/>
        <v>43.092730481932719</v>
      </c>
      <c r="M19" s="443"/>
      <c r="N19" s="217">
        <f t="shared" si="4"/>
        <v>0.44390483515170626</v>
      </c>
      <c r="O19" s="172">
        <f t="shared" si="94"/>
        <v>32.984756977225636</v>
      </c>
      <c r="P19" s="172">
        <f t="shared" si="5"/>
        <v>2.6593960312888165</v>
      </c>
      <c r="Q19" s="217">
        <f t="shared" si="6"/>
        <v>8.2461892443064091</v>
      </c>
      <c r="R19" s="217">
        <f t="shared" si="7"/>
        <v>1.8324864987347576</v>
      </c>
      <c r="S19" s="443">
        <f t="shared" si="8"/>
        <v>4</v>
      </c>
      <c r="T19" s="217">
        <f t="shared" si="9"/>
        <v>0.67910156244189135</v>
      </c>
      <c r="U19" s="217">
        <f t="shared" si="10"/>
        <v>0.34006571068800889</v>
      </c>
      <c r="V19" s="217">
        <f t="shared" si="11"/>
        <v>0.42601224962929674</v>
      </c>
      <c r="W19" s="197">
        <f t="shared" si="12"/>
        <v>350</v>
      </c>
      <c r="X19" s="443">
        <f t="shared" si="95"/>
        <v>350</v>
      </c>
      <c r="Z19" s="217">
        <f t="shared" si="13"/>
        <v>2.5327581250369682</v>
      </c>
      <c r="AA19" s="173">
        <f t="shared" si="14"/>
        <v>1.5888433281379823</v>
      </c>
      <c r="AB19" s="173">
        <f t="shared" si="15"/>
        <v>2.8169090941265771</v>
      </c>
      <c r="AC19" s="173"/>
      <c r="AD19" s="173">
        <f t="shared" si="16"/>
        <v>0.83642324543711499</v>
      </c>
      <c r="AE19" s="545">
        <f t="shared" si="17"/>
        <v>376.60359359737885</v>
      </c>
      <c r="AF19" s="528">
        <f t="shared" si="18"/>
        <v>0.7806616957413075</v>
      </c>
      <c r="AH19" s="173">
        <f t="shared" si="19"/>
        <v>1.3114877048604001</v>
      </c>
      <c r="AI19" s="173">
        <f t="shared" si="20"/>
        <v>1.3333333333333335</v>
      </c>
      <c r="AJ19" s="173">
        <f t="shared" si="21"/>
        <v>1.2</v>
      </c>
      <c r="AL19" s="545">
        <f t="shared" si="22"/>
        <v>840.00000000000011</v>
      </c>
      <c r="AM19" s="460">
        <f t="shared" si="23"/>
        <v>350</v>
      </c>
      <c r="AO19">
        <f t="shared" si="96"/>
        <v>840.00000000000011</v>
      </c>
      <c r="AP19" s="460">
        <f t="shared" si="24"/>
        <v>350</v>
      </c>
      <c r="AQ19" s="460"/>
      <c r="AR19" s="5">
        <f t="shared" si="97"/>
        <v>2.8571428571428572</v>
      </c>
      <c r="AS19" s="5">
        <f t="shared" si="25"/>
        <v>0.66767766805544626</v>
      </c>
      <c r="AT19" s="5">
        <f t="shared" si="98"/>
        <v>2.1894651890874108</v>
      </c>
      <c r="AU19" s="173">
        <f t="shared" si="99"/>
        <v>0.23368718381940617</v>
      </c>
      <c r="AW19" s="5">
        <f t="shared" si="26"/>
        <v>14.021231029164371</v>
      </c>
      <c r="AX19" s="5">
        <f t="shared" si="27"/>
        <v>5.1930485293201385E-2</v>
      </c>
      <c r="AY19" s="5">
        <f t="shared" si="28"/>
        <v>0.25582497705423024</v>
      </c>
      <c r="AZ19" s="5"/>
      <c r="BA19" s="173">
        <f t="shared" si="100"/>
        <v>0.3721307486827764</v>
      </c>
      <c r="BB19" s="173">
        <f t="shared" si="29"/>
        <v>2.6955112271400812</v>
      </c>
      <c r="BC19" s="173">
        <f t="shared" si="30"/>
        <v>5.1360416625236681E-2</v>
      </c>
      <c r="BD19" s="173"/>
      <c r="BE19" s="528">
        <f t="shared" si="31"/>
        <v>1.6894717882054847E-3</v>
      </c>
      <c r="BF19" s="528">
        <f t="shared" si="32"/>
        <v>0.37706139171691139</v>
      </c>
      <c r="BG19" s="528">
        <f t="shared" si="33"/>
        <v>0.20968201678474283</v>
      </c>
      <c r="BH19" s="528">
        <f t="shared" si="34"/>
        <v>6.4994419713597276E-2</v>
      </c>
      <c r="BI19">
        <f t="shared" si="35"/>
        <v>1.078364657750106E-2</v>
      </c>
      <c r="BJ19" s="460">
        <f t="shared" si="101"/>
        <v>220.46566336224387</v>
      </c>
      <c r="BK19">
        <f t="shared" si="36"/>
        <v>0.44437982288207367</v>
      </c>
      <c r="BL19" s="460">
        <f t="shared" si="102"/>
        <v>444.37982288207365</v>
      </c>
      <c r="BM19" s="173">
        <f t="shared" si="37"/>
        <v>0.52184999999999993</v>
      </c>
      <c r="BN19" s="173">
        <f t="shared" si="38"/>
        <v>6.212500000000001E-3</v>
      </c>
      <c r="BO19" s="528"/>
      <c r="BQ19" s="460">
        <f t="shared" si="103"/>
        <v>528.06249999999989</v>
      </c>
      <c r="BR19" s="528">
        <f t="shared" si="39"/>
        <v>4.1544388234561105E-3</v>
      </c>
      <c r="BS19" s="528">
        <f t="shared" si="104"/>
        <v>0.21797342326914676</v>
      </c>
      <c r="BT19" s="528">
        <f t="shared" si="40"/>
        <v>1.3189461979589443E-5</v>
      </c>
      <c r="BU19" s="528">
        <f t="shared" si="41"/>
        <v>0.23522688460887753</v>
      </c>
      <c r="BV19" s="528">
        <f t="shared" si="42"/>
        <v>0.51992146053406629</v>
      </c>
      <c r="BW19" s="625">
        <f t="shared" si="43"/>
        <v>1.5555555555555559E-2</v>
      </c>
      <c r="BX19" s="460">
        <f t="shared" si="105"/>
        <v>535.47701608962188</v>
      </c>
      <c r="BY19" s="173">
        <f t="shared" si="106"/>
        <v>1.5079193389716954</v>
      </c>
      <c r="BZ19" s="5">
        <f t="shared" si="107"/>
        <v>3.6120000000000005</v>
      </c>
      <c r="CA19" s="173">
        <f t="shared" si="108"/>
        <v>0.70547986420533104</v>
      </c>
      <c r="CB19" s="5">
        <f t="shared" si="109"/>
        <v>70.547986420533107</v>
      </c>
      <c r="CC19">
        <f t="shared" si="110"/>
        <v>14.000000000000002</v>
      </c>
      <c r="CE19" s="562">
        <f t="shared" si="44"/>
        <v>-50</v>
      </c>
      <c r="CF19">
        <f t="shared" si="45"/>
        <v>-50</v>
      </c>
      <c r="CG19" s="173">
        <f t="shared" si="46"/>
        <v>0.30631648214557861</v>
      </c>
      <c r="CH19" s="173">
        <f t="shared" si="47"/>
        <v>7.8456996031882095E-2</v>
      </c>
      <c r="CI19" s="170">
        <v>14</v>
      </c>
      <c r="CJ19" s="217">
        <f t="shared" si="133"/>
        <v>0.84000000000000008</v>
      </c>
      <c r="CK19" s="217">
        <f t="shared" si="111"/>
        <v>1.4000000000000002E-2</v>
      </c>
      <c r="CL19" s="217">
        <f t="shared" si="48"/>
        <v>3.3600000000000003</v>
      </c>
      <c r="CM19" s="217">
        <f t="shared" si="134"/>
        <v>0.25200000000000006</v>
      </c>
      <c r="CN19" s="541">
        <f t="shared" si="112"/>
        <v>24</v>
      </c>
      <c r="CO19" s="443">
        <f t="shared" si="49"/>
        <v>18.8</v>
      </c>
      <c r="CP19" s="443">
        <f t="shared" si="50"/>
        <v>42.8</v>
      </c>
      <c r="CQ19" s="443"/>
      <c r="CR19" s="217">
        <f t="shared" si="113"/>
        <v>0.43925233644859818</v>
      </c>
      <c r="CS19" s="172">
        <f t="shared" si="114"/>
        <v>32.688545968267775</v>
      </c>
      <c r="CT19" s="172">
        <f t="shared" si="51"/>
        <v>2.6355140186915893</v>
      </c>
      <c r="CU19" s="217">
        <f t="shared" si="52"/>
        <v>8.1721364920669437</v>
      </c>
      <c r="CV19" s="217">
        <f t="shared" si="53"/>
        <v>1.816030331570432</v>
      </c>
      <c r="CW19" s="443">
        <f t="shared" si="54"/>
        <v>4</v>
      </c>
      <c r="CX19" s="217">
        <f t="shared" si="55"/>
        <v>0.68525531914893612</v>
      </c>
      <c r="CY19" s="217">
        <f t="shared" si="56"/>
        <v>0.34262765957446811</v>
      </c>
      <c r="CZ19" s="217">
        <f t="shared" si="57"/>
        <v>0.4373970122227252</v>
      </c>
      <c r="DA19" s="197">
        <f t="shared" si="58"/>
        <v>350</v>
      </c>
      <c r="DB19" s="443">
        <f t="shared" si="115"/>
        <v>350</v>
      </c>
      <c r="DD19" s="217">
        <f t="shared" si="59"/>
        <v>2.5100133511348464</v>
      </c>
      <c r="DE19" s="173">
        <f t="shared" si="60"/>
        <v>1.6021361815754336</v>
      </c>
      <c r="DF19" s="173">
        <f t="shared" si="61"/>
        <v>2.8149682442633783</v>
      </c>
      <c r="DG19" s="173"/>
      <c r="DH19" s="173">
        <f t="shared" si="62"/>
        <v>0.85106382978723416</v>
      </c>
      <c r="DI19" s="545">
        <f t="shared" si="63"/>
        <v>370.12499999999994</v>
      </c>
      <c r="DJ19" s="528">
        <f t="shared" si="64"/>
        <v>0.79432624113475192</v>
      </c>
      <c r="DL19" s="173">
        <f t="shared" si="65"/>
        <v>1.3114877048604001</v>
      </c>
      <c r="DM19" s="173">
        <f t="shared" si="66"/>
        <v>1.3333333333333335</v>
      </c>
      <c r="DN19" s="173">
        <f t="shared" si="67"/>
        <v>1.2</v>
      </c>
      <c r="DP19" s="545">
        <f t="shared" si="68"/>
        <v>840.00000000000011</v>
      </c>
      <c r="DQ19" s="460">
        <f t="shared" si="69"/>
        <v>350</v>
      </c>
      <c r="DS19">
        <f t="shared" si="116"/>
        <v>840.00000000000011</v>
      </c>
      <c r="DT19" s="460">
        <f t="shared" si="70"/>
        <v>350</v>
      </c>
      <c r="DU19" s="460"/>
      <c r="DV19" s="5">
        <f t="shared" si="117"/>
        <v>2.8571428571428572</v>
      </c>
      <c r="DW19" s="5">
        <f t="shared" si="71"/>
        <v>0.66666666666666685</v>
      </c>
      <c r="DX19" s="5">
        <f t="shared" si="118"/>
        <v>2.1904761904761902</v>
      </c>
      <c r="DY19" s="173">
        <f t="shared" si="119"/>
        <v>0.23333333333333339</v>
      </c>
      <c r="EA19" s="5">
        <f t="shared" si="72"/>
        <v>14.000000000000004</v>
      </c>
      <c r="EB19" s="5">
        <f t="shared" si="73"/>
        <v>5.1851851851851878E-2</v>
      </c>
      <c r="EC19" s="5">
        <f t="shared" si="74"/>
        <v>0.25555555555555548</v>
      </c>
      <c r="ED19" s="5"/>
      <c r="EE19" s="173">
        <f t="shared" si="120"/>
        <v>0.37184890068181142</v>
      </c>
      <c r="EF19" s="173">
        <f t="shared" si="75"/>
        <v>2.6961334912183292</v>
      </c>
      <c r="EG19" s="173">
        <f t="shared" si="76"/>
        <v>5.1372273278619519E-2</v>
      </c>
      <c r="EH19" s="173"/>
      <c r="EI19" s="528">
        <f t="shared" si="77"/>
        <v>1.6869135802469141E-3</v>
      </c>
      <c r="EJ19" s="528">
        <f t="shared" si="78"/>
        <v>0.39946666666666675</v>
      </c>
      <c r="EK19" s="528">
        <f t="shared" si="79"/>
        <v>4.3749999999999997E-2</v>
      </c>
      <c r="EL19" s="528">
        <f t="shared" si="80"/>
        <v>6.4114399999999988E-2</v>
      </c>
      <c r="EM19">
        <f t="shared" si="81"/>
        <v>1.0800000000000001E-2</v>
      </c>
      <c r="EN19" s="460">
        <f t="shared" si="121"/>
        <v>54.550000000000004</v>
      </c>
      <c r="EO19">
        <f t="shared" si="82"/>
        <v>0.52048206167570865</v>
      </c>
      <c r="EP19" s="460">
        <f t="shared" si="122"/>
        <v>520.48206167570868</v>
      </c>
      <c r="EQ19" s="173">
        <f t="shared" si="83"/>
        <v>0.52184999999999993</v>
      </c>
      <c r="ER19" s="173">
        <f t="shared" si="84"/>
        <v>6.212500000000001E-3</v>
      </c>
      <c r="ES19" s="528"/>
      <c r="EU19" s="460">
        <f t="shared" si="123"/>
        <v>528.06249999999989</v>
      </c>
      <c r="EV19" s="528">
        <f t="shared" si="85"/>
        <v>4.1481481481481491E-3</v>
      </c>
      <c r="EW19" s="528">
        <f t="shared" si="124"/>
        <v>0.21807407407407409</v>
      </c>
      <c r="EX19" s="528">
        <f t="shared" si="86"/>
        <v>1.3195552309065826E-5</v>
      </c>
      <c r="EY19" s="528">
        <f t="shared" si="87"/>
        <v>0.23522688460887753</v>
      </c>
      <c r="EZ19" s="528">
        <f t="shared" si="88"/>
        <v>0.5200445887649412</v>
      </c>
      <c r="FA19" s="625">
        <f t="shared" si="89"/>
        <v>1.5555555555555559E-2</v>
      </c>
      <c r="FB19" s="460">
        <f t="shared" si="125"/>
        <v>535.60014432049672</v>
      </c>
      <c r="FC19" s="173">
        <f t="shared" si="126"/>
        <v>1.5841447059962053</v>
      </c>
      <c r="FD19" s="5">
        <f t="shared" si="127"/>
        <v>3.6120000000000005</v>
      </c>
      <c r="FE19" s="173">
        <f t="shared" si="128"/>
        <v>0.69513075643021516</v>
      </c>
      <c r="FF19" s="5">
        <f t="shared" si="129"/>
        <v>69.513075643021523</v>
      </c>
      <c r="FG19">
        <f t="shared" si="130"/>
        <v>14.000000000000002</v>
      </c>
      <c r="FI19" s="562">
        <f t="shared" si="90"/>
        <v>-50</v>
      </c>
      <c r="FJ19">
        <f t="shared" si="91"/>
        <v>-50</v>
      </c>
      <c r="FL19">
        <f t="shared" si="92"/>
        <v>0.30631648214557861</v>
      </c>
    </row>
    <row r="20" spans="5:168">
      <c r="E20" s="170">
        <v>15</v>
      </c>
      <c r="F20" s="217">
        <f t="shared" si="131"/>
        <v>0.89999999999999991</v>
      </c>
      <c r="G20" s="217">
        <f t="shared" si="93"/>
        <v>1.4999999999999999E-2</v>
      </c>
      <c r="H20" s="217">
        <f t="shared" si="0"/>
        <v>3.5999999999999996</v>
      </c>
      <c r="I20" s="217">
        <f t="shared" si="132"/>
        <v>0.27</v>
      </c>
      <c r="J20" s="541">
        <f t="shared" si="1"/>
        <v>23.962383554520358</v>
      </c>
      <c r="K20" s="443">
        <f t="shared" si="2"/>
        <v>19.140621281106828</v>
      </c>
      <c r="L20" s="172">
        <f t="shared" si="3"/>
        <v>43.103004835627189</v>
      </c>
      <c r="M20" s="443"/>
      <c r="N20" s="217">
        <f t="shared" si="4"/>
        <v>0.44406698219995022</v>
      </c>
      <c r="O20" s="172">
        <f t="shared" si="94"/>
        <v>32.995049151545956</v>
      </c>
      <c r="P20" s="172">
        <f t="shared" si="5"/>
        <v>2.6602258378433929</v>
      </c>
      <c r="Q20" s="217">
        <f t="shared" si="6"/>
        <v>8.248762287886489</v>
      </c>
      <c r="R20" s="217">
        <f t="shared" si="7"/>
        <v>1.8330582861969975</v>
      </c>
      <c r="S20" s="443">
        <f t="shared" si="8"/>
        <v>4</v>
      </c>
      <c r="T20" s="217">
        <f t="shared" si="9"/>
        <v>0.72738185325223237</v>
      </c>
      <c r="U20" s="217">
        <f t="shared" si="10"/>
        <v>0.36426185313189324</v>
      </c>
      <c r="V20" s="217">
        <f t="shared" si="11"/>
        <v>0.45602397700865271</v>
      </c>
      <c r="W20" s="197">
        <f t="shared" si="12"/>
        <v>350</v>
      </c>
      <c r="X20" s="443">
        <f t="shared" si="95"/>
        <v>350</v>
      </c>
      <c r="Z20" s="217">
        <f t="shared" si="13"/>
        <v>2.5335484169937077</v>
      </c>
      <c r="AA20" s="173">
        <f t="shared" si="14"/>
        <v>1.588380050857285</v>
      </c>
      <c r="AB20" s="173">
        <f t="shared" si="15"/>
        <v>2.8169664344037018</v>
      </c>
      <c r="AC20" s="173"/>
      <c r="AD20" s="173">
        <f t="shared" si="16"/>
        <v>0.83591852976022019</v>
      </c>
      <c r="AE20" s="545">
        <f t="shared" si="17"/>
        <v>403.74748014834705</v>
      </c>
      <c r="AF20" s="528">
        <f t="shared" si="18"/>
        <v>0.78019062777620563</v>
      </c>
      <c r="AH20" s="173">
        <f t="shared" si="19"/>
        <v>1.3575187449376684</v>
      </c>
      <c r="AI20" s="173">
        <f t="shared" si="20"/>
        <v>1.3575187449376684</v>
      </c>
      <c r="AJ20" s="173">
        <f t="shared" si="21"/>
        <v>1.2179151197069147</v>
      </c>
      <c r="AL20" s="545">
        <f t="shared" si="22"/>
        <v>899.99999999999989</v>
      </c>
      <c r="AM20" s="460">
        <f t="shared" si="23"/>
        <v>350</v>
      </c>
      <c r="AO20">
        <f t="shared" si="96"/>
        <v>899.99999999999989</v>
      </c>
      <c r="AP20" s="460">
        <f t="shared" si="24"/>
        <v>350</v>
      </c>
      <c r="AQ20" s="460"/>
      <c r="AR20" s="5">
        <f t="shared" si="97"/>
        <v>2.8571428571428572</v>
      </c>
      <c r="AS20" s="5">
        <f t="shared" si="25"/>
        <v>0.67982489730989082</v>
      </c>
      <c r="AT20" s="5">
        <f t="shared" si="98"/>
        <v>2.1773179598329664</v>
      </c>
      <c r="AU20" s="173">
        <f t="shared" si="99"/>
        <v>0.23793871405846179</v>
      </c>
      <c r="AW20" s="5">
        <f t="shared" si="26"/>
        <v>15.29606018947254</v>
      </c>
      <c r="AX20" s="5">
        <f t="shared" si="27"/>
        <v>5.6652074775824228E-2</v>
      </c>
      <c r="AY20" s="5">
        <f t="shared" si="28"/>
        <v>0.27259199255520988</v>
      </c>
      <c r="AZ20" s="5"/>
      <c r="BA20" s="173">
        <f t="shared" si="100"/>
        <v>0.38231185297035519</v>
      </c>
      <c r="BB20" s="173">
        <f t="shared" si="29"/>
        <v>2.7367816467203596</v>
      </c>
      <c r="BC20" s="173">
        <f t="shared" si="30"/>
        <v>5.2146785430752803E-2</v>
      </c>
      <c r="BD20" s="173"/>
      <c r="BE20" s="528">
        <f t="shared" si="31"/>
        <v>1.7831807056438431E-3</v>
      </c>
      <c r="BF20" s="528">
        <f t="shared" si="32"/>
        <v>0.38399246174298762</v>
      </c>
      <c r="BG20" s="528">
        <f t="shared" si="33"/>
        <v>0.2096708561020531</v>
      </c>
      <c r="BH20" s="528">
        <f t="shared" si="34"/>
        <v>6.5025415905103537E-2</v>
      </c>
      <c r="BI20">
        <f t="shared" si="35"/>
        <v>1.0783072599534161E-2</v>
      </c>
      <c r="BJ20" s="460">
        <f t="shared" si="101"/>
        <v>220.45392870158724</v>
      </c>
      <c r="BK20">
        <f t="shared" si="36"/>
        <v>0.45147379925007813</v>
      </c>
      <c r="BL20" s="460">
        <f t="shared" si="102"/>
        <v>451.47379925007812</v>
      </c>
      <c r="BM20" s="173">
        <f t="shared" si="37"/>
        <v>0.55912499999999987</v>
      </c>
      <c r="BN20" s="173">
        <f t="shared" si="38"/>
        <v>6.6562499999999998E-3</v>
      </c>
      <c r="BO20" s="528"/>
      <c r="BQ20" s="460">
        <f t="shared" si="103"/>
        <v>565.78124999999989</v>
      </c>
      <c r="BR20" s="528">
        <f t="shared" si="39"/>
        <v>4.384870587648795E-3</v>
      </c>
      <c r="BS20" s="528">
        <f t="shared" si="104"/>
        <v>0.2246992134547621</v>
      </c>
      <c r="BT20" s="528">
        <f t="shared" si="40"/>
        <v>1.3596436153804864E-5</v>
      </c>
      <c r="BU20" s="528">
        <f t="shared" si="41"/>
        <v>0.24603942481395588</v>
      </c>
      <c r="BV20" s="528">
        <f t="shared" si="42"/>
        <v>0.54001789640605946</v>
      </c>
      <c r="BW20" s="625">
        <f t="shared" si="43"/>
        <v>1.6125E-2</v>
      </c>
      <c r="BX20" s="460">
        <f t="shared" si="105"/>
        <v>556.14289640605955</v>
      </c>
      <c r="BY20" s="173">
        <f t="shared" si="106"/>
        <v>1.5733979456561376</v>
      </c>
      <c r="BZ20" s="5">
        <f t="shared" si="107"/>
        <v>3.8699999999999997</v>
      </c>
      <c r="CA20" s="173">
        <f t="shared" si="108"/>
        <v>0.71095298169193777</v>
      </c>
      <c r="CB20" s="5">
        <f t="shared" si="109"/>
        <v>71.095298169193782</v>
      </c>
      <c r="CC20">
        <f t="shared" si="110"/>
        <v>15</v>
      </c>
      <c r="CE20" s="562">
        <f t="shared" si="44"/>
        <v>-50</v>
      </c>
      <c r="CF20">
        <f t="shared" si="45"/>
        <v>-50</v>
      </c>
      <c r="CG20" s="173">
        <f t="shared" si="46"/>
        <v>0.31706768188135637</v>
      </c>
      <c r="CH20" s="173">
        <f t="shared" si="47"/>
        <v>8.1210706276592368E-2</v>
      </c>
      <c r="CI20" s="170">
        <v>15</v>
      </c>
      <c r="CJ20" s="217">
        <f t="shared" si="133"/>
        <v>0.89999999999999991</v>
      </c>
      <c r="CK20" s="217">
        <f t="shared" si="111"/>
        <v>1.4999999999999999E-2</v>
      </c>
      <c r="CL20" s="217">
        <f t="shared" si="48"/>
        <v>3.5999999999999996</v>
      </c>
      <c r="CM20" s="217">
        <f t="shared" si="134"/>
        <v>0.27</v>
      </c>
      <c r="CN20" s="541">
        <f t="shared" si="112"/>
        <v>24</v>
      </c>
      <c r="CO20" s="443">
        <f t="shared" si="49"/>
        <v>18.8</v>
      </c>
      <c r="CP20" s="443">
        <f t="shared" si="50"/>
        <v>42.8</v>
      </c>
      <c r="CQ20" s="443"/>
      <c r="CR20" s="217">
        <f t="shared" si="113"/>
        <v>0.43925233644859818</v>
      </c>
      <c r="CS20" s="172">
        <f t="shared" si="114"/>
        <v>32.688545968267775</v>
      </c>
      <c r="CT20" s="172">
        <f t="shared" si="51"/>
        <v>2.6355140186915893</v>
      </c>
      <c r="CU20" s="217">
        <f t="shared" si="52"/>
        <v>8.1721364920669437</v>
      </c>
      <c r="CV20" s="217">
        <f t="shared" si="53"/>
        <v>1.816030331570432</v>
      </c>
      <c r="CW20" s="443">
        <f t="shared" si="54"/>
        <v>4</v>
      </c>
      <c r="CX20" s="217">
        <f t="shared" si="55"/>
        <v>0.73420212765957427</v>
      </c>
      <c r="CY20" s="217">
        <f t="shared" si="56"/>
        <v>0.36710106382978713</v>
      </c>
      <c r="CZ20" s="217">
        <f t="shared" si="57"/>
        <v>0.46863965595291973</v>
      </c>
      <c r="DA20" s="197">
        <f t="shared" si="58"/>
        <v>350</v>
      </c>
      <c r="DB20" s="443">
        <f t="shared" si="115"/>
        <v>350</v>
      </c>
      <c r="DD20" s="217">
        <f t="shared" si="59"/>
        <v>2.5100133511348464</v>
      </c>
      <c r="DE20" s="173">
        <f t="shared" si="60"/>
        <v>1.6021361815754336</v>
      </c>
      <c r="DF20" s="173">
        <f t="shared" si="61"/>
        <v>2.8149682442633783</v>
      </c>
      <c r="DG20" s="173"/>
      <c r="DH20" s="173">
        <f t="shared" si="62"/>
        <v>0.85106382978723416</v>
      </c>
      <c r="DI20" s="545">
        <f t="shared" si="63"/>
        <v>396.56249999999983</v>
      </c>
      <c r="DJ20" s="528">
        <f t="shared" si="64"/>
        <v>0.79432624113475192</v>
      </c>
      <c r="DL20" s="173">
        <f t="shared" si="65"/>
        <v>1.3575187449376684</v>
      </c>
      <c r="DM20" s="173">
        <f t="shared" si="66"/>
        <v>1.3575187449376684</v>
      </c>
      <c r="DN20" s="173">
        <f t="shared" si="67"/>
        <v>1.2179151197069147</v>
      </c>
      <c r="DP20" s="545">
        <f t="shared" si="68"/>
        <v>899.99999999999989</v>
      </c>
      <c r="DQ20" s="460">
        <f t="shared" si="69"/>
        <v>350</v>
      </c>
      <c r="DS20">
        <f t="shared" si="116"/>
        <v>899.99999999999989</v>
      </c>
      <c r="DT20" s="460">
        <f t="shared" si="70"/>
        <v>350</v>
      </c>
      <c r="DU20" s="460"/>
      <c r="DV20" s="5">
        <f t="shared" si="117"/>
        <v>2.8571428571428572</v>
      </c>
      <c r="DW20" s="5">
        <f t="shared" si="71"/>
        <v>0.67875937246883422</v>
      </c>
      <c r="DX20" s="5">
        <f t="shared" si="118"/>
        <v>2.1783834846740229</v>
      </c>
      <c r="DY20" s="173">
        <f t="shared" si="119"/>
        <v>0.23756578036409198</v>
      </c>
      <c r="EA20" s="5">
        <f t="shared" si="72"/>
        <v>15.272085880548769</v>
      </c>
      <c r="EB20" s="5">
        <f t="shared" si="73"/>
        <v>5.6563281039069518E-2</v>
      </c>
      <c r="EC20" s="5">
        <f t="shared" si="74"/>
        <v>0.2722979355842528</v>
      </c>
      <c r="ED20" s="5"/>
      <c r="EE20" s="173">
        <f t="shared" si="120"/>
        <v>0.38201212687662062</v>
      </c>
      <c r="EF20" s="173">
        <f t="shared" si="75"/>
        <v>2.7374512209861632</v>
      </c>
      <c r="EG20" s="173">
        <f t="shared" si="76"/>
        <v>5.2159543535006632E-2</v>
      </c>
      <c r="EH20" s="173"/>
      <c r="EI20" s="528">
        <f t="shared" si="77"/>
        <v>1.7803858339857511E-3</v>
      </c>
      <c r="EJ20" s="528">
        <f t="shared" si="78"/>
        <v>0.40671261598332548</v>
      </c>
      <c r="EK20" s="528">
        <f t="shared" si="79"/>
        <v>4.3749999999999997E-2</v>
      </c>
      <c r="EL20" s="528">
        <f t="shared" si="80"/>
        <v>6.4114399999999988E-2</v>
      </c>
      <c r="EM20">
        <f t="shared" si="81"/>
        <v>1.0800000000000001E-2</v>
      </c>
      <c r="EN20" s="460">
        <f t="shared" si="121"/>
        <v>54.550000000000004</v>
      </c>
      <c r="EO20">
        <f t="shared" si="82"/>
        <v>0.52786140175065499</v>
      </c>
      <c r="EP20" s="460">
        <f t="shared" si="122"/>
        <v>527.86140175065498</v>
      </c>
      <c r="EQ20" s="173">
        <f t="shared" si="83"/>
        <v>0.55912499999999987</v>
      </c>
      <c r="ER20" s="173">
        <f t="shared" si="84"/>
        <v>6.6562499999999998E-3</v>
      </c>
      <c r="ES20" s="528"/>
      <c r="EU20" s="460">
        <f t="shared" si="123"/>
        <v>565.78124999999989</v>
      </c>
      <c r="EV20" s="528">
        <f t="shared" si="85"/>
        <v>4.3779979524239789E-3</v>
      </c>
      <c r="EW20" s="528">
        <f t="shared" si="124"/>
        <v>0.22480917561835909</v>
      </c>
      <c r="EX20" s="528">
        <f t="shared" si="86"/>
        <v>1.360308990890126E-5</v>
      </c>
      <c r="EY20" s="528">
        <f t="shared" si="87"/>
        <v>0.24603942481395588</v>
      </c>
      <c r="EZ20" s="528">
        <f t="shared" si="88"/>
        <v>0.54015266061956135</v>
      </c>
      <c r="FA20" s="625">
        <f t="shared" si="89"/>
        <v>1.6125E-2</v>
      </c>
      <c r="FB20" s="460">
        <f t="shared" si="125"/>
        <v>556.2776606195614</v>
      </c>
      <c r="FC20" s="173">
        <f t="shared" si="126"/>
        <v>1.6499203123702164</v>
      </c>
      <c r="FD20" s="5">
        <f t="shared" si="127"/>
        <v>3.8699999999999997</v>
      </c>
      <c r="FE20" s="173">
        <f t="shared" si="128"/>
        <v>0.70109707767470442</v>
      </c>
      <c r="FF20" s="5">
        <f t="shared" si="129"/>
        <v>70.109707767470439</v>
      </c>
      <c r="FG20">
        <f t="shared" si="130"/>
        <v>15</v>
      </c>
      <c r="FI20" s="562">
        <f t="shared" si="90"/>
        <v>-50</v>
      </c>
      <c r="FJ20">
        <f t="shared" si="91"/>
        <v>-50</v>
      </c>
      <c r="FL20">
        <f t="shared" si="92"/>
        <v>0.31706768188135637</v>
      </c>
    </row>
    <row r="21" spans="5:168" s="76" customFormat="1">
      <c r="E21" s="189">
        <v>16</v>
      </c>
      <c r="F21" s="329">
        <f t="shared" si="131"/>
        <v>0.96</v>
      </c>
      <c r="G21" s="217">
        <f t="shared" si="93"/>
        <v>1.6E-2</v>
      </c>
      <c r="H21" s="217">
        <f t="shared" si="0"/>
        <v>3.84</v>
      </c>
      <c r="I21" s="217">
        <f t="shared" si="132"/>
        <v>0.28800000000000003</v>
      </c>
      <c r="J21" s="541">
        <f t="shared" si="1"/>
        <v>23.961149902163687</v>
      </c>
      <c r="K21" s="443">
        <f t="shared" si="2"/>
        <v>19.151792146424157</v>
      </c>
      <c r="L21" s="172">
        <f t="shared" si="3"/>
        <v>43.11294204858784</v>
      </c>
      <c r="M21" s="443"/>
      <c r="N21" s="217">
        <f t="shared" si="4"/>
        <v>0.44422373506406232</v>
      </c>
      <c r="O21" s="172">
        <f t="shared" si="94"/>
        <v>33.004996917733479</v>
      </c>
      <c r="P21" s="172">
        <f t="shared" si="5"/>
        <v>2.6610278764922612</v>
      </c>
      <c r="Q21" s="329">
        <f t="shared" si="6"/>
        <v>8.2512492294333697</v>
      </c>
      <c r="R21" s="217">
        <f t="shared" si="7"/>
        <v>1.8336109398740821</v>
      </c>
      <c r="S21" s="443">
        <f t="shared" si="8"/>
        <v>4</v>
      </c>
      <c r="T21" s="217">
        <f t="shared" si="9"/>
        <v>0.77564012697256779</v>
      </c>
      <c r="U21" s="329">
        <f t="shared" si="10"/>
        <v>0.38844886667272727</v>
      </c>
      <c r="V21" s="217">
        <f t="shared" si="11"/>
        <v>0.48599532892323383</v>
      </c>
      <c r="W21" s="537">
        <f t="shared" si="12"/>
        <v>350</v>
      </c>
      <c r="X21" s="443">
        <f t="shared" si="95"/>
        <v>350</v>
      </c>
      <c r="Z21" s="329">
        <f t="shared" si="13"/>
        <v>2.5343122633259623</v>
      </c>
      <c r="AA21" s="173">
        <f t="shared" si="14"/>
        <v>1.5879321855312505</v>
      </c>
      <c r="AB21" s="173">
        <f t="shared" si="15"/>
        <v>2.8170212077852916</v>
      </c>
      <c r="AC21" s="538"/>
      <c r="AD21" s="173">
        <f t="shared" si="16"/>
        <v>0.8354309548512604</v>
      </c>
      <c r="AE21" s="545">
        <f t="shared" si="17"/>
        <v>430.91532329454338</v>
      </c>
      <c r="AF21" s="528">
        <f t="shared" si="18"/>
        <v>0.77973555786117643</v>
      </c>
      <c r="AG21"/>
      <c r="AH21" s="173">
        <f t="shared" si="19"/>
        <v>1.4020393310154626</v>
      </c>
      <c r="AI21" s="173">
        <f t="shared" si="20"/>
        <v>1.4020393310154626</v>
      </c>
      <c r="AJ21" s="173">
        <f t="shared" si="21"/>
        <v>1.2508933316163919</v>
      </c>
      <c r="AL21" s="545">
        <f t="shared" si="22"/>
        <v>960</v>
      </c>
      <c r="AM21" s="460">
        <f t="shared" si="23"/>
        <v>350</v>
      </c>
      <c r="AO21">
        <f t="shared" si="96"/>
        <v>960</v>
      </c>
      <c r="AP21" s="460">
        <f t="shared" si="24"/>
        <v>350</v>
      </c>
      <c r="AQ21" s="460"/>
      <c r="AR21" s="5">
        <f t="shared" si="97"/>
        <v>2.8571428571428572</v>
      </c>
      <c r="AS21" s="5">
        <f t="shared" si="25"/>
        <v>0.70215628385457018</v>
      </c>
      <c r="AT21" s="5">
        <f t="shared" si="98"/>
        <v>2.1549865732882871</v>
      </c>
      <c r="AU21" s="173">
        <f t="shared" si="99"/>
        <v>0.24575469934909955</v>
      </c>
      <c r="AW21" s="5">
        <f t="shared" si="26"/>
        <v>16.851750812509682</v>
      </c>
      <c r="AX21" s="5">
        <f t="shared" si="27"/>
        <v>6.2413891898184012E-2</v>
      </c>
      <c r="AY21" s="5">
        <f t="shared" si="28"/>
        <v>0.28779741634602496</v>
      </c>
      <c r="AZ21" s="5"/>
      <c r="BA21" s="173">
        <f t="shared" si="100"/>
        <v>0.40128274457957291</v>
      </c>
      <c r="BB21" s="173">
        <f t="shared" si="29"/>
        <v>2.8120035679658173</v>
      </c>
      <c r="BC21" s="173">
        <f t="shared" si="30"/>
        <v>5.3580067984213553E-2</v>
      </c>
      <c r="BD21" s="173"/>
      <c r="BE21" s="528">
        <f t="shared" si="31"/>
        <v>1.9645396613872396E-3</v>
      </c>
      <c r="BF21" s="528">
        <f t="shared" si="32"/>
        <v>0.39667714030816265</v>
      </c>
      <c r="BG21" s="528">
        <f t="shared" si="33"/>
        <v>0.20966006164393222</v>
      </c>
      <c r="BH21" s="528">
        <f t="shared" si="34"/>
        <v>6.5055402022971262E-2</v>
      </c>
      <c r="BI21">
        <f t="shared" si="35"/>
        <v>1.0782517455973658E-2</v>
      </c>
      <c r="BJ21" s="460">
        <f t="shared" si="101"/>
        <v>220.44257909990588</v>
      </c>
      <c r="BK21">
        <f t="shared" si="36"/>
        <v>0.46444429851369234</v>
      </c>
      <c r="BL21" s="460">
        <f t="shared" si="102"/>
        <v>464.44429851369233</v>
      </c>
      <c r="BM21" s="173">
        <f t="shared" si="37"/>
        <v>0.59639999999999993</v>
      </c>
      <c r="BN21" s="173">
        <f t="shared" si="38"/>
        <v>7.0999999999999995E-3</v>
      </c>
      <c r="BO21" s="528"/>
      <c r="BQ21" s="460">
        <f t="shared" si="103"/>
        <v>603.49999999999989</v>
      </c>
      <c r="BR21" s="528">
        <f t="shared" si="39"/>
        <v>4.8308352329194419E-3</v>
      </c>
      <c r="BS21" s="528">
        <f t="shared" si="104"/>
        <v>0.23722092198757458</v>
      </c>
      <c r="BT21" s="528">
        <f t="shared" si="40"/>
        <v>1.435411842596473E-5</v>
      </c>
      <c r="BU21" s="528">
        <f t="shared" si="41"/>
        <v>0.26671080338153846</v>
      </c>
      <c r="BV21" s="528">
        <f t="shared" si="42"/>
        <v>0.57806722016808643</v>
      </c>
      <c r="BW21" s="625">
        <f t="shared" si="43"/>
        <v>1.7200000000000003E-2</v>
      </c>
      <c r="BX21" s="460">
        <f t="shared" si="105"/>
        <v>595.2672201680864</v>
      </c>
      <c r="BY21" s="173">
        <f t="shared" si="106"/>
        <v>1.6632115186817791</v>
      </c>
      <c r="BZ21" s="5">
        <f t="shared" si="107"/>
        <v>4.1280000000000001</v>
      </c>
      <c r="CA21" s="173">
        <f t="shared" si="108"/>
        <v>0.7128042183718466</v>
      </c>
      <c r="CB21" s="5">
        <f t="shared" si="109"/>
        <v>71.280421837184662</v>
      </c>
      <c r="CC21">
        <f t="shared" si="110"/>
        <v>16</v>
      </c>
      <c r="CE21" s="562">
        <f t="shared" si="44"/>
        <v>-50</v>
      </c>
      <c r="CF21">
        <f t="shared" si="45"/>
        <v>-50</v>
      </c>
      <c r="CG21" s="173">
        <f t="shared" si="46"/>
        <v>0.3274660937458892</v>
      </c>
      <c r="CH21" s="173">
        <f t="shared" si="47"/>
        <v>8.3874056784795842E-2</v>
      </c>
      <c r="CI21" s="189">
        <v>16</v>
      </c>
      <c r="CJ21" s="329">
        <f t="shared" si="133"/>
        <v>0.96</v>
      </c>
      <c r="CK21" s="217">
        <f t="shared" si="111"/>
        <v>1.6E-2</v>
      </c>
      <c r="CL21" s="217">
        <f t="shared" si="48"/>
        <v>3.84</v>
      </c>
      <c r="CM21" s="217">
        <f t="shared" si="134"/>
        <v>0.28800000000000003</v>
      </c>
      <c r="CN21" s="541">
        <f t="shared" si="112"/>
        <v>24</v>
      </c>
      <c r="CO21" s="443">
        <f t="shared" si="49"/>
        <v>18.8</v>
      </c>
      <c r="CP21" s="443">
        <f t="shared" si="50"/>
        <v>42.8</v>
      </c>
      <c r="CQ21" s="535"/>
      <c r="CR21" s="329">
        <f t="shared" si="113"/>
        <v>0.43925233644859818</v>
      </c>
      <c r="CS21" s="172">
        <f t="shared" si="114"/>
        <v>32.688545968267775</v>
      </c>
      <c r="CT21" s="172">
        <f t="shared" si="51"/>
        <v>2.6355140186915893</v>
      </c>
      <c r="CU21" s="329">
        <f t="shared" si="52"/>
        <v>8.1721364920669437</v>
      </c>
      <c r="CV21" s="217">
        <f t="shared" si="53"/>
        <v>1.816030331570432</v>
      </c>
      <c r="CW21" s="443">
        <f t="shared" si="54"/>
        <v>4</v>
      </c>
      <c r="CX21" s="217">
        <f t="shared" si="55"/>
        <v>0.78314893617021264</v>
      </c>
      <c r="CY21" s="329">
        <f t="shared" si="56"/>
        <v>0.39157446808510632</v>
      </c>
      <c r="CZ21" s="217">
        <f t="shared" si="57"/>
        <v>0.49988229968311443</v>
      </c>
      <c r="DA21" s="537">
        <f t="shared" si="58"/>
        <v>350</v>
      </c>
      <c r="DB21" s="535">
        <f t="shared" si="115"/>
        <v>350</v>
      </c>
      <c r="DD21" s="329">
        <f t="shared" si="59"/>
        <v>2.5100133511348464</v>
      </c>
      <c r="DE21" s="173">
        <f t="shared" si="60"/>
        <v>1.6021361815754336</v>
      </c>
      <c r="DF21" s="173">
        <f t="shared" si="61"/>
        <v>2.8149682442633783</v>
      </c>
      <c r="DG21" s="538"/>
      <c r="DH21" s="173">
        <f t="shared" si="62"/>
        <v>0.85106382978723416</v>
      </c>
      <c r="DI21" s="545">
        <f t="shared" si="63"/>
        <v>422.99999999999983</v>
      </c>
      <c r="DJ21" s="528">
        <f t="shared" si="64"/>
        <v>0.79432624113475192</v>
      </c>
      <c r="DK21"/>
      <c r="DL21" s="173">
        <f t="shared" si="65"/>
        <v>1.4020393310154626</v>
      </c>
      <c r="DM21" s="173">
        <f t="shared" si="66"/>
        <v>1.4020393310154626</v>
      </c>
      <c r="DN21" s="173">
        <f t="shared" si="67"/>
        <v>1.2508933316163919</v>
      </c>
      <c r="DP21" s="545">
        <f t="shared" si="68"/>
        <v>960</v>
      </c>
      <c r="DQ21" s="460">
        <f t="shared" si="69"/>
        <v>350</v>
      </c>
      <c r="DS21">
        <f t="shared" si="116"/>
        <v>960</v>
      </c>
      <c r="DT21" s="460">
        <f t="shared" si="70"/>
        <v>350</v>
      </c>
      <c r="DU21" s="460"/>
      <c r="DV21" s="5">
        <f t="shared" si="117"/>
        <v>2.8571428571428572</v>
      </c>
      <c r="DW21" s="5">
        <f t="shared" si="71"/>
        <v>0.70101966550773132</v>
      </c>
      <c r="DX21" s="5">
        <f t="shared" si="118"/>
        <v>2.156123191635126</v>
      </c>
      <c r="DY21" s="173">
        <f t="shared" si="119"/>
        <v>0.24535688292770597</v>
      </c>
      <c r="EA21" s="5">
        <f t="shared" si="72"/>
        <v>16.824471972185552</v>
      </c>
      <c r="EB21" s="5">
        <f t="shared" si="73"/>
        <v>6.2312859156242795E-2</v>
      </c>
      <c r="EC21" s="5">
        <f t="shared" si="74"/>
        <v>0.28748309221801677</v>
      </c>
      <c r="ED21" s="5"/>
      <c r="EE21" s="173">
        <f t="shared" si="120"/>
        <v>0.40095782399537538</v>
      </c>
      <c r="EF21" s="173">
        <f t="shared" si="75"/>
        <v>2.8127450467185651</v>
      </c>
      <c r="EG21" s="173">
        <f t="shared" si="76"/>
        <v>5.3594196160448325E-2</v>
      </c>
      <c r="EH21" s="173"/>
      <c r="EI21" s="528">
        <f t="shared" si="77"/>
        <v>1.9613595548018982E-3</v>
      </c>
      <c r="EJ21" s="528">
        <f t="shared" si="78"/>
        <v>0.42005098357223258</v>
      </c>
      <c r="EK21" s="528">
        <f t="shared" si="79"/>
        <v>4.3749999999999997E-2</v>
      </c>
      <c r="EL21" s="528">
        <f t="shared" si="80"/>
        <v>6.4114399999999988E-2</v>
      </c>
      <c r="EM21">
        <f t="shared" si="81"/>
        <v>1.0800000000000001E-2</v>
      </c>
      <c r="EN21" s="460">
        <f t="shared" si="121"/>
        <v>54.550000000000004</v>
      </c>
      <c r="EO21">
        <f t="shared" si="82"/>
        <v>0.54145864023725909</v>
      </c>
      <c r="EP21" s="460">
        <f t="shared" si="122"/>
        <v>541.45864023725915</v>
      </c>
      <c r="EQ21" s="173">
        <f t="shared" si="83"/>
        <v>0.59639999999999993</v>
      </c>
      <c r="ER21" s="173">
        <f t="shared" si="84"/>
        <v>7.0999999999999995E-3</v>
      </c>
      <c r="ES21" s="528"/>
      <c r="EU21" s="460">
        <f t="shared" si="123"/>
        <v>603.49999999999989</v>
      </c>
      <c r="EV21" s="528">
        <f t="shared" si="85"/>
        <v>4.8230152986931925E-3</v>
      </c>
      <c r="EW21" s="528">
        <f t="shared" si="124"/>
        <v>0.23734604093519468</v>
      </c>
      <c r="EX21" s="528">
        <f t="shared" si="86"/>
        <v>1.4361689310423071E-5</v>
      </c>
      <c r="EY21" s="528">
        <f t="shared" si="87"/>
        <v>0.26671080338153846</v>
      </c>
      <c r="EZ21" s="528">
        <f t="shared" si="88"/>
        <v>0.57822108632644864</v>
      </c>
      <c r="FA21" s="625">
        <f t="shared" si="89"/>
        <v>1.7200000000000003E-2</v>
      </c>
      <c r="FB21" s="460">
        <f t="shared" si="125"/>
        <v>595.42108632644863</v>
      </c>
      <c r="FC21" s="173">
        <f t="shared" si="126"/>
        <v>1.740379726563708</v>
      </c>
      <c r="FD21" s="5">
        <f t="shared" si="127"/>
        <v>4.1280000000000001</v>
      </c>
      <c r="FE21" s="173">
        <f t="shared" si="128"/>
        <v>0.7034309626069809</v>
      </c>
      <c r="FF21" s="5">
        <f t="shared" si="129"/>
        <v>70.34309626069809</v>
      </c>
      <c r="FG21">
        <f t="shared" si="130"/>
        <v>16</v>
      </c>
      <c r="FI21" s="562">
        <f t="shared" si="90"/>
        <v>-50</v>
      </c>
      <c r="FJ21">
        <f t="shared" si="91"/>
        <v>-50</v>
      </c>
      <c r="FL21">
        <f t="shared" si="92"/>
        <v>0.3274660937458892</v>
      </c>
    </row>
    <row r="22" spans="5:168">
      <c r="E22" s="170">
        <v>17</v>
      </c>
      <c r="F22" s="217">
        <f t="shared" si="131"/>
        <v>1.02</v>
      </c>
      <c r="G22" s="217">
        <f t="shared" si="93"/>
        <v>1.7000000000000001E-2</v>
      </c>
      <c r="H22" s="217">
        <f t="shared" si="0"/>
        <v>4.08</v>
      </c>
      <c r="I22" s="217">
        <f t="shared" si="132"/>
        <v>0.30600000000000005</v>
      </c>
      <c r="J22" s="541">
        <f t="shared" si="1"/>
        <v>23.959954235763824</v>
      </c>
      <c r="K22" s="443">
        <f t="shared" si="2"/>
        <v>19.162619044492388</v>
      </c>
      <c r="L22" s="172">
        <f t="shared" si="3"/>
        <v>43.122573280256212</v>
      </c>
      <c r="M22" s="443"/>
      <c r="N22" s="217">
        <f t="shared" si="4"/>
        <v>0.44437559233660218</v>
      </c>
      <c r="O22" s="172">
        <f t="shared" si="94"/>
        <v>33.014632111241646</v>
      </c>
      <c r="P22" s="172">
        <f t="shared" si="5"/>
        <v>2.6618047139688574</v>
      </c>
      <c r="Q22" s="217">
        <f t="shared" si="6"/>
        <v>8.2536580278104115</v>
      </c>
      <c r="R22" s="217">
        <f t="shared" si="7"/>
        <v>1.8341462284023136</v>
      </c>
      <c r="S22" s="443">
        <f t="shared" si="8"/>
        <v>4</v>
      </c>
      <c r="T22" s="217">
        <f t="shared" si="9"/>
        <v>0.82387711934364605</v>
      </c>
      <c r="U22" s="217">
        <f t="shared" si="10"/>
        <v>0.41262705825066354</v>
      </c>
      <c r="V22" s="217">
        <f t="shared" si="11"/>
        <v>0.51592767195177747</v>
      </c>
      <c r="W22" s="197">
        <f t="shared" si="12"/>
        <v>350</v>
      </c>
      <c r="X22" s="443">
        <f t="shared" si="95"/>
        <v>350</v>
      </c>
      <c r="Z22" s="217">
        <f t="shared" si="13"/>
        <v>2.5350521085417688</v>
      </c>
      <c r="AA22" s="173">
        <f t="shared" si="14"/>
        <v>1.587498307609708</v>
      </c>
      <c r="AB22" s="173">
        <f t="shared" si="15"/>
        <v>2.8170736524087361</v>
      </c>
      <c r="AC22" s="173"/>
      <c r="AD22" s="173">
        <f t="shared" si="16"/>
        <v>0.83495893556359313</v>
      </c>
      <c r="AE22" s="545">
        <f t="shared" si="17"/>
        <v>458.10636153239608</v>
      </c>
      <c r="AF22" s="528">
        <f t="shared" si="18"/>
        <v>0.77929500652602035</v>
      </c>
      <c r="AH22" s="173">
        <f t="shared" si="19"/>
        <v>1.4451890632617688</v>
      </c>
      <c r="AI22" s="173">
        <f t="shared" si="20"/>
        <v>1.4451890632617688</v>
      </c>
      <c r="AJ22" s="173">
        <f t="shared" si="21"/>
        <v>1.2828560962432853</v>
      </c>
      <c r="AL22" s="545">
        <f t="shared" si="22"/>
        <v>1020</v>
      </c>
      <c r="AM22" s="460">
        <f t="shared" si="23"/>
        <v>350</v>
      </c>
      <c r="AO22">
        <f t="shared" si="96"/>
        <v>1020</v>
      </c>
      <c r="AP22" s="460">
        <f t="shared" si="24"/>
        <v>350</v>
      </c>
      <c r="AQ22" s="460"/>
      <c r="AR22" s="5">
        <f t="shared" si="97"/>
        <v>2.8571428571428572</v>
      </c>
      <c r="AS22" s="5">
        <f t="shared" si="25"/>
        <v>0.72380224888974487</v>
      </c>
      <c r="AT22" s="5">
        <f t="shared" si="98"/>
        <v>2.1333406082531123</v>
      </c>
      <c r="AU22" s="173">
        <f t="shared" si="99"/>
        <v>0.25333078711141072</v>
      </c>
      <c r="AW22" s="5">
        <f t="shared" si="26"/>
        <v>18.456957346688494</v>
      </c>
      <c r="AX22" s="5">
        <f t="shared" si="27"/>
        <v>6.835910128403147E-2</v>
      </c>
      <c r="AY22" s="5">
        <f t="shared" si="28"/>
        <v>0.30272837738704261</v>
      </c>
      <c r="AZ22" s="5"/>
      <c r="BA22" s="173">
        <f t="shared" si="100"/>
        <v>0.41996009490521974</v>
      </c>
      <c r="BB22" s="173">
        <f t="shared" si="29"/>
        <v>2.8839528286785137</v>
      </c>
      <c r="BC22" s="173">
        <f t="shared" si="30"/>
        <v>5.4950993086982487E-2</v>
      </c>
      <c r="BD22" s="173"/>
      <c r="BE22" s="528">
        <f t="shared" si="31"/>
        <v>2.1516710720161742E-3</v>
      </c>
      <c r="BF22" s="528">
        <f t="shared" si="32"/>
        <v>0.40897678030341861</v>
      </c>
      <c r="BG22" s="528">
        <f t="shared" si="33"/>
        <v>0.20964959956293344</v>
      </c>
      <c r="BH22" s="528">
        <f t="shared" si="34"/>
        <v>6.5084471420887358E-2</v>
      </c>
      <c r="BI22">
        <f t="shared" si="35"/>
        <v>1.078197940609372E-2</v>
      </c>
      <c r="BJ22" s="460">
        <f t="shared" si="101"/>
        <v>220.43157896902716</v>
      </c>
      <c r="BK22">
        <f t="shared" si="36"/>
        <v>0.47703775335796289</v>
      </c>
      <c r="BL22" s="460">
        <f t="shared" si="102"/>
        <v>477.03775335796291</v>
      </c>
      <c r="BM22" s="173">
        <f t="shared" si="37"/>
        <v>0.63367499999999999</v>
      </c>
      <c r="BN22" s="173">
        <f t="shared" si="38"/>
        <v>7.5437500000000001E-3</v>
      </c>
      <c r="BO22" s="528"/>
      <c r="BQ22" s="460">
        <f t="shared" si="103"/>
        <v>641.21875</v>
      </c>
      <c r="BR22" s="528">
        <f t="shared" si="39"/>
        <v>5.2909944393840346E-3</v>
      </c>
      <c r="BS22" s="528">
        <f t="shared" si="104"/>
        <v>0.24951551754128401</v>
      </c>
      <c r="BT22" s="528">
        <f t="shared" si="40"/>
        <v>1.5098058206227986E-5</v>
      </c>
      <c r="BU22" s="528">
        <f t="shared" si="41"/>
        <v>0.28770789594794077</v>
      </c>
      <c r="BV22" s="528">
        <f t="shared" si="42"/>
        <v>0.61624938523870432</v>
      </c>
      <c r="BW22" s="625">
        <f t="shared" si="43"/>
        <v>1.8275000000000003E-2</v>
      </c>
      <c r="BX22" s="460">
        <f t="shared" si="105"/>
        <v>634.52438523870433</v>
      </c>
      <c r="BY22" s="173">
        <f t="shared" si="106"/>
        <v>1.7527808885966671</v>
      </c>
      <c r="BZ22" s="5">
        <f t="shared" si="107"/>
        <v>4.3860000000000001</v>
      </c>
      <c r="CA22" s="173">
        <f t="shared" si="108"/>
        <v>0.71447410806718747</v>
      </c>
      <c r="CB22" s="5">
        <f t="shared" si="109"/>
        <v>71.44741080671875</v>
      </c>
      <c r="CC22">
        <f t="shared" si="110"/>
        <v>17</v>
      </c>
      <c r="CE22" s="562">
        <f t="shared" si="44"/>
        <v>-50</v>
      </c>
      <c r="CF22">
        <f t="shared" si="45"/>
        <v>-50</v>
      </c>
      <c r="CG22" s="173">
        <f t="shared" si="46"/>
        <v>0.33754432333067896</v>
      </c>
      <c r="CH22" s="173">
        <f t="shared" si="47"/>
        <v>8.6455398843191714E-2</v>
      </c>
      <c r="CI22" s="170">
        <v>17</v>
      </c>
      <c r="CJ22" s="217">
        <f t="shared" si="133"/>
        <v>1.02</v>
      </c>
      <c r="CK22" s="217">
        <f t="shared" si="111"/>
        <v>1.7000000000000001E-2</v>
      </c>
      <c r="CL22" s="217">
        <f t="shared" si="48"/>
        <v>4.08</v>
      </c>
      <c r="CM22" s="217">
        <f t="shared" si="134"/>
        <v>0.30600000000000005</v>
      </c>
      <c r="CN22" s="541">
        <f t="shared" si="112"/>
        <v>24</v>
      </c>
      <c r="CO22" s="443">
        <f t="shared" si="49"/>
        <v>18.8</v>
      </c>
      <c r="CP22" s="443">
        <f t="shared" si="50"/>
        <v>42.8</v>
      </c>
      <c r="CQ22" s="443"/>
      <c r="CR22" s="217">
        <f t="shared" si="113"/>
        <v>0.43925233644859818</v>
      </c>
      <c r="CS22" s="172">
        <f t="shared" si="114"/>
        <v>32.688545968267775</v>
      </c>
      <c r="CT22" s="172">
        <f t="shared" si="51"/>
        <v>2.6355140186915893</v>
      </c>
      <c r="CU22" s="217">
        <f t="shared" si="52"/>
        <v>8.1721364920669437</v>
      </c>
      <c r="CV22" s="217">
        <f t="shared" si="53"/>
        <v>1.816030331570432</v>
      </c>
      <c r="CW22" s="443">
        <f t="shared" si="54"/>
        <v>4</v>
      </c>
      <c r="CX22" s="217">
        <f t="shared" si="55"/>
        <v>0.8320957446808509</v>
      </c>
      <c r="CY22" s="217">
        <f t="shared" si="56"/>
        <v>0.41604787234042545</v>
      </c>
      <c r="CZ22" s="217">
        <f t="shared" si="57"/>
        <v>0.53112494341330907</v>
      </c>
      <c r="DA22" s="197">
        <f t="shared" si="58"/>
        <v>350</v>
      </c>
      <c r="DB22" s="443">
        <f t="shared" si="115"/>
        <v>350</v>
      </c>
      <c r="DD22" s="217">
        <f t="shared" si="59"/>
        <v>2.5100133511348464</v>
      </c>
      <c r="DE22" s="173">
        <f t="shared" si="60"/>
        <v>1.6021361815754336</v>
      </c>
      <c r="DF22" s="173">
        <f t="shared" si="61"/>
        <v>2.8149682442633783</v>
      </c>
      <c r="DG22" s="173"/>
      <c r="DH22" s="173">
        <f t="shared" si="62"/>
        <v>0.85106382978723416</v>
      </c>
      <c r="DI22" s="545">
        <f t="shared" si="63"/>
        <v>449.43749999999983</v>
      </c>
      <c r="DJ22" s="528">
        <f t="shared" si="64"/>
        <v>0.79432624113475192</v>
      </c>
      <c r="DL22" s="173">
        <f t="shared" si="65"/>
        <v>1.4451890632617688</v>
      </c>
      <c r="DM22" s="173">
        <f t="shared" si="66"/>
        <v>1.4451890632617688</v>
      </c>
      <c r="DN22" s="173">
        <f t="shared" si="67"/>
        <v>1.2828560962432853</v>
      </c>
      <c r="DP22" s="545">
        <f t="shared" si="68"/>
        <v>1020</v>
      </c>
      <c r="DQ22" s="460">
        <f t="shared" si="69"/>
        <v>350</v>
      </c>
      <c r="DS22">
        <f t="shared" si="116"/>
        <v>1020</v>
      </c>
      <c r="DT22" s="460">
        <f t="shared" si="70"/>
        <v>350</v>
      </c>
      <c r="DU22" s="460"/>
      <c r="DV22" s="5">
        <f t="shared" si="117"/>
        <v>2.8571428571428572</v>
      </c>
      <c r="DW22" s="5">
        <f t="shared" si="71"/>
        <v>0.72259453163088438</v>
      </c>
      <c r="DX22" s="5">
        <f t="shared" si="118"/>
        <v>2.1345483255119726</v>
      </c>
      <c r="DY22" s="173">
        <f t="shared" si="119"/>
        <v>0.2529080860708095</v>
      </c>
      <c r="EA22" s="5">
        <f t="shared" si="72"/>
        <v>18.426160556587551</v>
      </c>
      <c r="EB22" s="5">
        <f t="shared" si="73"/>
        <v>6.8245039098472418E-2</v>
      </c>
      <c r="EC22" s="5">
        <f t="shared" si="74"/>
        <v>0.30239434611419608</v>
      </c>
      <c r="ED22" s="5"/>
      <c r="EE22" s="173">
        <f t="shared" si="120"/>
        <v>0.41960958148505001</v>
      </c>
      <c r="EF22" s="173">
        <f t="shared" si="75"/>
        <v>2.8847690384262443</v>
      </c>
      <c r="EG22" s="173">
        <f t="shared" si="76"/>
        <v>5.4966545191635199E-2</v>
      </c>
      <c r="EH22" s="173"/>
      <c r="EI22" s="528">
        <f t="shared" si="77"/>
        <v>2.1480808506635176E-3</v>
      </c>
      <c r="EJ22" s="528">
        <f t="shared" si="78"/>
        <v>0.43297864335322589</v>
      </c>
      <c r="EK22" s="528">
        <f t="shared" si="79"/>
        <v>4.3749999999999997E-2</v>
      </c>
      <c r="EL22" s="528">
        <f t="shared" si="80"/>
        <v>6.4114399999999988E-2</v>
      </c>
      <c r="EM22">
        <f t="shared" si="81"/>
        <v>1.0800000000000001E-2</v>
      </c>
      <c r="EN22" s="460">
        <f t="shared" si="121"/>
        <v>54.550000000000004</v>
      </c>
      <c r="EO22">
        <f t="shared" si="82"/>
        <v>0.55465419266464921</v>
      </c>
      <c r="EP22" s="460">
        <f t="shared" si="122"/>
        <v>554.65419266464926</v>
      </c>
      <c r="EQ22" s="173">
        <f t="shared" si="83"/>
        <v>0.63367499999999999</v>
      </c>
      <c r="ER22" s="173">
        <f t="shared" si="84"/>
        <v>7.5437500000000001E-3</v>
      </c>
      <c r="ES22" s="528"/>
      <c r="EU22" s="460">
        <f t="shared" si="123"/>
        <v>641.21875</v>
      </c>
      <c r="EV22" s="528">
        <f t="shared" si="85"/>
        <v>5.2821660262217648E-3</v>
      </c>
      <c r="EW22" s="528">
        <f t="shared" si="124"/>
        <v>0.24965677215188034</v>
      </c>
      <c r="EX22" s="528">
        <f t="shared" si="86"/>
        <v>1.5106605451520373E-5</v>
      </c>
      <c r="EY22" s="528">
        <f t="shared" si="87"/>
        <v>0.28770789594794077</v>
      </c>
      <c r="EZ22" s="528">
        <f t="shared" si="88"/>
        <v>0.61642368849410467</v>
      </c>
      <c r="FA22" s="625">
        <f t="shared" si="89"/>
        <v>1.8275000000000003E-2</v>
      </c>
      <c r="FB22" s="460">
        <f t="shared" si="125"/>
        <v>634.69868849410466</v>
      </c>
      <c r="FC22" s="173">
        <f t="shared" si="126"/>
        <v>1.8305716311587537</v>
      </c>
      <c r="FD22" s="5">
        <f t="shared" si="127"/>
        <v>4.3860000000000001</v>
      </c>
      <c r="FE22" s="173">
        <f t="shared" si="128"/>
        <v>0.70553357384582416</v>
      </c>
      <c r="FF22" s="5">
        <f t="shared" si="129"/>
        <v>70.553357384582412</v>
      </c>
      <c r="FG22">
        <f t="shared" si="130"/>
        <v>17</v>
      </c>
      <c r="FI22" s="562">
        <f t="shared" si="90"/>
        <v>-50</v>
      </c>
      <c r="FJ22">
        <f t="shared" si="91"/>
        <v>-50</v>
      </c>
      <c r="FL22">
        <f t="shared" si="92"/>
        <v>0.33754432333067902</v>
      </c>
    </row>
    <row r="23" spans="5:168">
      <c r="E23" s="170">
        <v>18</v>
      </c>
      <c r="F23" s="217">
        <f t="shared" si="131"/>
        <v>1.08</v>
      </c>
      <c r="G23" s="217">
        <f t="shared" si="93"/>
        <v>1.7999999999999999E-2</v>
      </c>
      <c r="H23" s="217">
        <f t="shared" si="0"/>
        <v>4.32</v>
      </c>
      <c r="I23" s="217">
        <f t="shared" si="132"/>
        <v>0.32399999999999995</v>
      </c>
      <c r="J23" s="541">
        <f t="shared" si="1"/>
        <v>23.958793248555274</v>
      </c>
      <c r="K23" s="443">
        <f t="shared" si="2"/>
        <v>19.173131918457038</v>
      </c>
      <c r="L23" s="172">
        <f t="shared" si="3"/>
        <v>43.131925167012312</v>
      </c>
      <c r="M23" s="443"/>
      <c r="N23" s="217">
        <f t="shared" si="4"/>
        <v>0.4445229802336953</v>
      </c>
      <c r="O23" s="172">
        <f t="shared" si="94"/>
        <v>33.023981946203818</v>
      </c>
      <c r="P23" s="172">
        <f t="shared" si="5"/>
        <v>2.6625585444126822</v>
      </c>
      <c r="Q23" s="217">
        <f t="shared" si="6"/>
        <v>8.2559954865509546</v>
      </c>
      <c r="R23" s="217">
        <f t="shared" si="7"/>
        <v>1.8346656636779899</v>
      </c>
      <c r="S23" s="443">
        <f t="shared" si="8"/>
        <v>4</v>
      </c>
      <c r="T23" s="217">
        <f t="shared" si="9"/>
        <v>0.87209350001811736</v>
      </c>
      <c r="U23" s="217">
        <f t="shared" si="10"/>
        <v>0.43679670723184111</v>
      </c>
      <c r="V23" s="217">
        <f t="shared" si="11"/>
        <v>0.5458222498403168</v>
      </c>
      <c r="W23" s="197">
        <f t="shared" si="12"/>
        <v>350</v>
      </c>
      <c r="X23" s="443">
        <f t="shared" si="95"/>
        <v>350</v>
      </c>
      <c r="Z23" s="217">
        <f t="shared" si="13"/>
        <v>2.5357700422977922</v>
      </c>
      <c r="AA23" s="173">
        <f t="shared" si="14"/>
        <v>1.5870771993322992</v>
      </c>
      <c r="AB23" s="173">
        <f t="shared" si="15"/>
        <v>2.8171239718165082</v>
      </c>
      <c r="AC23" s="173"/>
      <c r="AD23" s="173">
        <f t="shared" si="16"/>
        <v>0.83450111687791517</v>
      </c>
      <c r="AE23" s="545">
        <f t="shared" si="17"/>
        <v>485.31990168594365</v>
      </c>
      <c r="AF23" s="528">
        <f t="shared" si="18"/>
        <v>0.77886770908605429</v>
      </c>
      <c r="AH23" s="173">
        <f t="shared" si="19"/>
        <v>1.4870872776769262</v>
      </c>
      <c r="AI23" s="173">
        <f t="shared" si="20"/>
        <v>1.4870872776769262</v>
      </c>
      <c r="AJ23" s="173">
        <f t="shared" si="21"/>
        <v>1.3138918106248834</v>
      </c>
      <c r="AL23" s="545">
        <f t="shared" si="22"/>
        <v>1080</v>
      </c>
      <c r="AM23" s="460">
        <f t="shared" si="23"/>
        <v>350</v>
      </c>
      <c r="AO23">
        <f t="shared" si="96"/>
        <v>1080</v>
      </c>
      <c r="AP23" s="460">
        <f t="shared" si="24"/>
        <v>350</v>
      </c>
      <c r="AQ23" s="460"/>
      <c r="AR23" s="5">
        <f t="shared" si="97"/>
        <v>2.8571428571428572</v>
      </c>
      <c r="AS23" s="5">
        <f t="shared" si="25"/>
        <v>0.74482246025471999</v>
      </c>
      <c r="AT23" s="5">
        <f t="shared" si="98"/>
        <v>2.112320396888137</v>
      </c>
      <c r="AU23" s="173">
        <f t="shared" si="99"/>
        <v>0.26068786108915198</v>
      </c>
      <c r="AW23" s="5">
        <f t="shared" si="26"/>
        <v>20.11020642687744</v>
      </c>
      <c r="AX23" s="5">
        <f t="shared" si="27"/>
        <v>7.4482246025471988E-2</v>
      </c>
      <c r="AY23" s="5">
        <f t="shared" si="28"/>
        <v>0.31739300681414073</v>
      </c>
      <c r="AZ23" s="5"/>
      <c r="BA23" s="173">
        <f t="shared" si="100"/>
        <v>0.43836536672702336</v>
      </c>
      <c r="BB23" s="173">
        <f t="shared" si="29"/>
        <v>2.9529068048880633</v>
      </c>
      <c r="BC23" s="173">
        <f t="shared" si="30"/>
        <v>5.6264845876921203E-2</v>
      </c>
      <c r="BD23" s="173"/>
      <c r="BE23" s="528">
        <f t="shared" si="31"/>
        <v>2.3444031758977557E-3</v>
      </c>
      <c r="BF23" s="528">
        <f t="shared" si="32"/>
        <v>0.42092490022785062</v>
      </c>
      <c r="BG23" s="528">
        <f t="shared" si="33"/>
        <v>0.20963944092485862</v>
      </c>
      <c r="BH23" s="528">
        <f t="shared" si="34"/>
        <v>6.5112703901446259E-2</v>
      </c>
      <c r="BI23">
        <f t="shared" si="35"/>
        <v>1.0781456961849872E-2</v>
      </c>
      <c r="BJ23" s="460">
        <f t="shared" si="101"/>
        <v>220.4208978867085</v>
      </c>
      <c r="BK23">
        <f t="shared" si="36"/>
        <v>0.48928754409858832</v>
      </c>
      <c r="BL23" s="460">
        <f t="shared" si="102"/>
        <v>489.28754409858834</v>
      </c>
      <c r="BM23" s="173">
        <f t="shared" si="37"/>
        <v>0.67094999999999994</v>
      </c>
      <c r="BN23" s="173">
        <f t="shared" si="38"/>
        <v>7.9874999999999998E-3</v>
      </c>
      <c r="BO23" s="528"/>
      <c r="BQ23" s="460">
        <f t="shared" si="103"/>
        <v>678.9375</v>
      </c>
      <c r="BR23" s="528">
        <f t="shared" si="39"/>
        <v>5.7649258423715308E-3</v>
      </c>
      <c r="BS23" s="528">
        <f t="shared" si="104"/>
        <v>0.26158975795062694</v>
      </c>
      <c r="BT23" s="528">
        <f t="shared" si="40"/>
        <v>1.5828664407768486E-5</v>
      </c>
      <c r="BU23" s="528">
        <f t="shared" si="41"/>
        <v>0.30901620922332984</v>
      </c>
      <c r="BV23" s="528">
        <f t="shared" si="42"/>
        <v>0.65455637044639459</v>
      </c>
      <c r="BW23" s="625">
        <f t="shared" si="43"/>
        <v>1.9350000000000003E-2</v>
      </c>
      <c r="BX23" s="460">
        <f t="shared" si="105"/>
        <v>673.90637044639459</v>
      </c>
      <c r="BY23" s="173">
        <f t="shared" si="106"/>
        <v>1.842131414544983</v>
      </c>
      <c r="BZ23" s="5">
        <f t="shared" si="107"/>
        <v>4.6440000000000001</v>
      </c>
      <c r="CA23" s="173">
        <f t="shared" si="108"/>
        <v>0.715989193432922</v>
      </c>
      <c r="CB23" s="5">
        <f t="shared" si="109"/>
        <v>71.598919343292195</v>
      </c>
      <c r="CC23">
        <f t="shared" si="110"/>
        <v>18.000000000000004</v>
      </c>
      <c r="CE23" s="562">
        <f t="shared" si="44"/>
        <v>-50</v>
      </c>
      <c r="CF23">
        <f t="shared" si="45"/>
        <v>-50</v>
      </c>
      <c r="CG23" s="173">
        <f t="shared" si="46"/>
        <v>0.34733024324458189</v>
      </c>
      <c r="CH23" s="173">
        <f t="shared" si="47"/>
        <v>8.8961871477232043E-2</v>
      </c>
      <c r="CI23" s="170">
        <v>18</v>
      </c>
      <c r="CJ23" s="217">
        <f t="shared" si="133"/>
        <v>1.08</v>
      </c>
      <c r="CK23" s="217">
        <f t="shared" si="111"/>
        <v>1.7999999999999999E-2</v>
      </c>
      <c r="CL23" s="217">
        <f t="shared" si="48"/>
        <v>4.32</v>
      </c>
      <c r="CM23" s="217">
        <f t="shared" si="134"/>
        <v>0.32399999999999995</v>
      </c>
      <c r="CN23" s="541">
        <f t="shared" si="112"/>
        <v>24</v>
      </c>
      <c r="CO23" s="443">
        <f t="shared" si="49"/>
        <v>18.8</v>
      </c>
      <c r="CP23" s="443">
        <f t="shared" si="50"/>
        <v>42.8</v>
      </c>
      <c r="CQ23" s="443"/>
      <c r="CR23" s="217">
        <f t="shared" si="113"/>
        <v>0.43925233644859818</v>
      </c>
      <c r="CS23" s="172">
        <f t="shared" si="114"/>
        <v>32.688545968267775</v>
      </c>
      <c r="CT23" s="172">
        <f t="shared" si="51"/>
        <v>2.6355140186915893</v>
      </c>
      <c r="CU23" s="217">
        <f t="shared" si="52"/>
        <v>8.1721364920669437</v>
      </c>
      <c r="CV23" s="217">
        <f t="shared" si="53"/>
        <v>1.816030331570432</v>
      </c>
      <c r="CW23" s="443">
        <f t="shared" si="54"/>
        <v>4</v>
      </c>
      <c r="CX23" s="217">
        <f t="shared" si="55"/>
        <v>0.88104255319148916</v>
      </c>
      <c r="CY23" s="217">
        <f t="shared" si="56"/>
        <v>0.44052127659574464</v>
      </c>
      <c r="CZ23" s="217">
        <f t="shared" si="57"/>
        <v>0.56236758714350377</v>
      </c>
      <c r="DA23" s="197">
        <f t="shared" si="58"/>
        <v>350</v>
      </c>
      <c r="DB23" s="443">
        <f t="shared" si="115"/>
        <v>350</v>
      </c>
      <c r="DD23" s="217">
        <f t="shared" si="59"/>
        <v>2.5100133511348464</v>
      </c>
      <c r="DE23" s="173">
        <f t="shared" si="60"/>
        <v>1.6021361815754336</v>
      </c>
      <c r="DF23" s="173">
        <f t="shared" si="61"/>
        <v>2.8149682442633783</v>
      </c>
      <c r="DG23" s="173"/>
      <c r="DH23" s="173">
        <f t="shared" si="62"/>
        <v>0.85106382978723416</v>
      </c>
      <c r="DI23" s="545">
        <f t="shared" si="63"/>
        <v>475.87499999999994</v>
      </c>
      <c r="DJ23" s="528">
        <f t="shared" si="64"/>
        <v>0.79432624113475192</v>
      </c>
      <c r="DL23" s="173">
        <f t="shared" si="65"/>
        <v>1.4870872776769262</v>
      </c>
      <c r="DM23" s="173">
        <f t="shared" si="66"/>
        <v>1.4870872776769262</v>
      </c>
      <c r="DN23" s="173">
        <f t="shared" si="67"/>
        <v>1.3138918106248834</v>
      </c>
      <c r="DP23" s="545">
        <f t="shared" si="68"/>
        <v>1080</v>
      </c>
      <c r="DQ23" s="460">
        <f t="shared" si="69"/>
        <v>350</v>
      </c>
      <c r="DS23">
        <f t="shared" si="116"/>
        <v>1080</v>
      </c>
      <c r="DT23" s="460">
        <f t="shared" si="70"/>
        <v>350</v>
      </c>
      <c r="DU23" s="460"/>
      <c r="DV23" s="5">
        <f t="shared" si="117"/>
        <v>2.8571428571428572</v>
      </c>
      <c r="DW23" s="5">
        <f t="shared" si="71"/>
        <v>0.74354363883846308</v>
      </c>
      <c r="DX23" s="5">
        <f t="shared" si="118"/>
        <v>2.1135992183043939</v>
      </c>
      <c r="DY23" s="173">
        <f t="shared" si="119"/>
        <v>0.26024027359346208</v>
      </c>
      <c r="EA23" s="5">
        <f t="shared" si="72"/>
        <v>20.075678248638503</v>
      </c>
      <c r="EB23" s="5">
        <f t="shared" si="73"/>
        <v>7.4354363883846294E-2</v>
      </c>
      <c r="EC23" s="5">
        <f t="shared" si="74"/>
        <v>0.31703988274565909</v>
      </c>
      <c r="ED23" s="5"/>
      <c r="EE23" s="173">
        <f t="shared" si="120"/>
        <v>0.43798887979071283</v>
      </c>
      <c r="EF23" s="173">
        <f t="shared" si="75"/>
        <v>2.9538005303609345</v>
      </c>
      <c r="EG23" s="173">
        <f t="shared" si="76"/>
        <v>5.6281874970390784E-2</v>
      </c>
      <c r="EH23" s="173"/>
      <c r="EI23" s="528">
        <f t="shared" si="77"/>
        <v>2.3403779576079463E-3</v>
      </c>
      <c r="EJ23" s="528">
        <f t="shared" si="78"/>
        <v>0.44553134839200709</v>
      </c>
      <c r="EK23" s="528">
        <f t="shared" si="79"/>
        <v>4.3749999999999997E-2</v>
      </c>
      <c r="EL23" s="528">
        <f t="shared" si="80"/>
        <v>6.4114399999999988E-2</v>
      </c>
      <c r="EM23">
        <f t="shared" si="81"/>
        <v>1.0800000000000001E-2</v>
      </c>
      <c r="EN23" s="460">
        <f t="shared" si="121"/>
        <v>54.550000000000004</v>
      </c>
      <c r="EO23">
        <f t="shared" si="82"/>
        <v>0.56748359115668923</v>
      </c>
      <c r="EP23" s="460">
        <f t="shared" si="122"/>
        <v>567.48359115668927</v>
      </c>
      <c r="EQ23" s="173">
        <f t="shared" si="83"/>
        <v>0.67094999999999994</v>
      </c>
      <c r="ER23" s="173">
        <f t="shared" si="84"/>
        <v>7.9874999999999998E-3</v>
      </c>
      <c r="ES23" s="528"/>
      <c r="EU23" s="460">
        <f t="shared" si="123"/>
        <v>678.9375</v>
      </c>
      <c r="EV23" s="528">
        <f t="shared" si="85"/>
        <v>5.7550277646097039E-3</v>
      </c>
      <c r="EW23" s="528">
        <f t="shared" si="124"/>
        <v>0.26174812719481616</v>
      </c>
      <c r="EX23" s="528">
        <f t="shared" si="86"/>
        <v>1.5838247250913506E-5</v>
      </c>
      <c r="EY23" s="528">
        <f t="shared" si="87"/>
        <v>0.30901620922332984</v>
      </c>
      <c r="EZ23" s="528">
        <f t="shared" si="88"/>
        <v>0.65475245827458617</v>
      </c>
      <c r="FA23" s="625">
        <f t="shared" si="89"/>
        <v>1.9350000000000003E-2</v>
      </c>
      <c r="FB23" s="460">
        <f t="shared" si="125"/>
        <v>674.10245827458618</v>
      </c>
      <c r="FC23" s="173">
        <f t="shared" si="126"/>
        <v>1.9205235494312751</v>
      </c>
      <c r="FD23" s="5">
        <f t="shared" si="127"/>
        <v>4.6440000000000001</v>
      </c>
      <c r="FE23" s="173">
        <f t="shared" si="128"/>
        <v>0.70743900376476498</v>
      </c>
      <c r="FF23" s="5">
        <f t="shared" si="129"/>
        <v>70.743900376476503</v>
      </c>
      <c r="FG23">
        <f t="shared" si="130"/>
        <v>18.000000000000004</v>
      </c>
      <c r="FI23" s="562">
        <f t="shared" si="90"/>
        <v>-50</v>
      </c>
      <c r="FJ23">
        <f t="shared" si="91"/>
        <v>-50</v>
      </c>
      <c r="FL23">
        <f t="shared" si="92"/>
        <v>0.34733024324458189</v>
      </c>
    </row>
    <row r="24" spans="5:168">
      <c r="E24" s="170">
        <v>19</v>
      </c>
      <c r="F24" s="217">
        <f t="shared" si="131"/>
        <v>1.1400000000000001</v>
      </c>
      <c r="G24" s="217">
        <f t="shared" si="93"/>
        <v>1.9000000000000003E-2</v>
      </c>
      <c r="H24" s="217">
        <f t="shared" si="0"/>
        <v>4.5600000000000005</v>
      </c>
      <c r="I24" s="217">
        <f t="shared" si="132"/>
        <v>0.34200000000000008</v>
      </c>
      <c r="J24" s="541">
        <f t="shared" si="1"/>
        <v>23.957664087396211</v>
      </c>
      <c r="K24" s="443">
        <f t="shared" si="2"/>
        <v>19.183356603848541</v>
      </c>
      <c r="L24" s="172">
        <f t="shared" si="3"/>
        <v>43.141020691244748</v>
      </c>
      <c r="M24" s="443"/>
      <c r="N24" s="217">
        <f t="shared" si="4"/>
        <v>0.44466626650170349</v>
      </c>
      <c r="O24" s="172">
        <f t="shared" si="94"/>
        <v>33.033069903393532</v>
      </c>
      <c r="P24" s="172">
        <f t="shared" si="5"/>
        <v>2.6632912609611035</v>
      </c>
      <c r="Q24" s="217">
        <f t="shared" si="6"/>
        <v>8.2582674758483829</v>
      </c>
      <c r="R24" s="217">
        <f t="shared" si="7"/>
        <v>1.8351705501885296</v>
      </c>
      <c r="S24" s="443">
        <f t="shared" si="8"/>
        <v>4</v>
      </c>
      <c r="T24" s="217">
        <f t="shared" si="9"/>
        <v>0.9202898818942945</v>
      </c>
      <c r="U24" s="217">
        <f t="shared" si="10"/>
        <v>0.46095806930281452</v>
      </c>
      <c r="V24" s="217">
        <f t="shared" si="11"/>
        <v>0.57568020085264981</v>
      </c>
      <c r="W24" s="197">
        <f t="shared" si="12"/>
        <v>350</v>
      </c>
      <c r="X24" s="443">
        <f t="shared" si="95"/>
        <v>350</v>
      </c>
      <c r="Z24" s="217">
        <f t="shared" si="13"/>
        <v>2.5364678675820027</v>
      </c>
      <c r="AA24" s="173">
        <f t="shared" si="14"/>
        <v>1.5866678099951328</v>
      </c>
      <c r="AB24" s="173">
        <f t="shared" si="15"/>
        <v>2.8171723416055525</v>
      </c>
      <c r="AC24" s="173"/>
      <c r="AD24" s="173">
        <f t="shared" si="16"/>
        <v>0.83405632968268462</v>
      </c>
      <c r="AE24" s="545">
        <f t="shared" si="17"/>
        <v>512.55530925907817</v>
      </c>
      <c r="AF24" s="528">
        <f t="shared" si="18"/>
        <v>0.77845257437050575</v>
      </c>
      <c r="AH24" s="173">
        <f t="shared" si="19"/>
        <v>1.5278369396914431</v>
      </c>
      <c r="AI24" s="173">
        <f t="shared" si="20"/>
        <v>1.5278369396914431</v>
      </c>
      <c r="AJ24" s="173">
        <f t="shared" si="21"/>
        <v>1.3440767454504514</v>
      </c>
      <c r="AL24" s="545">
        <f t="shared" si="22"/>
        <v>1140.0000000000002</v>
      </c>
      <c r="AM24" s="460">
        <f t="shared" si="23"/>
        <v>350</v>
      </c>
      <c r="AO24">
        <f t="shared" si="96"/>
        <v>1140.0000000000002</v>
      </c>
      <c r="AP24" s="460">
        <f t="shared" si="24"/>
        <v>350</v>
      </c>
      <c r="AQ24" s="460"/>
      <c r="AR24" s="5">
        <f t="shared" si="97"/>
        <v>2.8571428571428572</v>
      </c>
      <c r="AS24" s="5">
        <f t="shared" si="25"/>
        <v>0.76526840051750289</v>
      </c>
      <c r="AT24" s="5">
        <f t="shared" si="98"/>
        <v>2.0918744566253542</v>
      </c>
      <c r="AU24" s="173">
        <f t="shared" si="99"/>
        <v>0.26784394018112601</v>
      </c>
      <c r="AW24" s="5">
        <f t="shared" si="26"/>
        <v>21.810149414748832</v>
      </c>
      <c r="AX24" s="5">
        <f t="shared" si="27"/>
        <v>8.0778331165736433E-2</v>
      </c>
      <c r="AY24" s="5">
        <f t="shared" si="28"/>
        <v>0.33179874741453891</v>
      </c>
      <c r="AZ24" s="5"/>
      <c r="BA24" s="173">
        <f t="shared" si="100"/>
        <v>0.45651735389533649</v>
      </c>
      <c r="BB24" s="173">
        <f t="shared" si="29"/>
        <v>3.0191048837366035</v>
      </c>
      <c r="BC24" s="173">
        <f t="shared" si="30"/>
        <v>5.7526187649575823E-2</v>
      </c>
      <c r="BD24" s="173"/>
      <c r="BE24" s="528">
        <f t="shared" si="31"/>
        <v>2.5425787517727185E-3</v>
      </c>
      <c r="BF24" s="528">
        <f t="shared" si="32"/>
        <v>0.43255042049675274</v>
      </c>
      <c r="BG24" s="528">
        <f t="shared" si="33"/>
        <v>0.20962956076471684</v>
      </c>
      <c r="BH24" s="528">
        <f t="shared" si="34"/>
        <v>6.514016831988427E-2</v>
      </c>
      <c r="BI24">
        <f t="shared" si="35"/>
        <v>1.0780948839328295E-2</v>
      </c>
      <c r="BJ24" s="460">
        <f t="shared" si="101"/>
        <v>220.41050960404513</v>
      </c>
      <c r="BK24">
        <f t="shared" si="36"/>
        <v>0.5012224606960346</v>
      </c>
      <c r="BL24" s="460">
        <f t="shared" si="102"/>
        <v>501.2224606960346</v>
      </c>
      <c r="BM24" s="173">
        <f t="shared" si="37"/>
        <v>0.70822499999999999</v>
      </c>
      <c r="BN24" s="173">
        <f t="shared" si="38"/>
        <v>8.4312500000000012E-3</v>
      </c>
      <c r="BO24" s="528"/>
      <c r="BQ24" s="460">
        <f t="shared" si="103"/>
        <v>716.65625</v>
      </c>
      <c r="BR24" s="528">
        <f t="shared" si="39"/>
        <v>6.2522428322279965E-3</v>
      </c>
      <c r="BS24" s="528">
        <f t="shared" si="104"/>
        <v>0.27344982897006626</v>
      </c>
      <c r="BT24" s="528">
        <f t="shared" si="40"/>
        <v>1.654631132747105E-5</v>
      </c>
      <c r="BU24" s="528">
        <f t="shared" si="41"/>
        <v>0.33062267126114214</v>
      </c>
      <c r="BV24" s="528">
        <f t="shared" si="42"/>
        <v>0.69298093119834436</v>
      </c>
      <c r="BW24" s="625">
        <f t="shared" si="43"/>
        <v>2.0425000000000002E-2</v>
      </c>
      <c r="BX24" s="460">
        <f t="shared" si="105"/>
        <v>713.40593119834443</v>
      </c>
      <c r="BY24" s="173">
        <f t="shared" si="106"/>
        <v>1.931284641894379</v>
      </c>
      <c r="BZ24" s="5">
        <f t="shared" si="107"/>
        <v>4.902000000000001</v>
      </c>
      <c r="CA24" s="173">
        <f t="shared" si="108"/>
        <v>0.71737096534018052</v>
      </c>
      <c r="CB24" s="5">
        <f t="shared" si="109"/>
        <v>71.73709653401805</v>
      </c>
      <c r="CC24">
        <f t="shared" si="110"/>
        <v>19.000000000000004</v>
      </c>
      <c r="CE24" s="562">
        <f t="shared" si="44"/>
        <v>-50</v>
      </c>
      <c r="CF24">
        <f t="shared" si="45"/>
        <v>-50</v>
      </c>
      <c r="CG24" s="173">
        <f t="shared" si="46"/>
        <v>0.35684790251858689</v>
      </c>
      <c r="CH24" s="173">
        <f t="shared" si="47"/>
        <v>9.1399634377429276E-2</v>
      </c>
      <c r="CI24" s="170">
        <v>19</v>
      </c>
      <c r="CJ24" s="217">
        <f t="shared" si="133"/>
        <v>1.1400000000000001</v>
      </c>
      <c r="CK24" s="217">
        <f t="shared" si="111"/>
        <v>1.9000000000000003E-2</v>
      </c>
      <c r="CL24" s="217">
        <f t="shared" si="48"/>
        <v>4.5600000000000005</v>
      </c>
      <c r="CM24" s="217">
        <f t="shared" si="134"/>
        <v>0.34200000000000008</v>
      </c>
      <c r="CN24" s="541">
        <f t="shared" si="112"/>
        <v>24</v>
      </c>
      <c r="CO24" s="443">
        <f t="shared" si="49"/>
        <v>18.8</v>
      </c>
      <c r="CP24" s="443">
        <f t="shared" si="50"/>
        <v>42.8</v>
      </c>
      <c r="CQ24" s="443"/>
      <c r="CR24" s="217">
        <f t="shared" si="113"/>
        <v>0.43925233644859818</v>
      </c>
      <c r="CS24" s="172">
        <f t="shared" si="114"/>
        <v>32.688545968267775</v>
      </c>
      <c r="CT24" s="172">
        <f t="shared" si="51"/>
        <v>2.6355140186915893</v>
      </c>
      <c r="CU24" s="217">
        <f t="shared" si="52"/>
        <v>8.1721364920669437</v>
      </c>
      <c r="CV24" s="217">
        <f t="shared" si="53"/>
        <v>1.816030331570432</v>
      </c>
      <c r="CW24" s="443">
        <f t="shared" si="54"/>
        <v>4</v>
      </c>
      <c r="CX24" s="217">
        <f t="shared" si="55"/>
        <v>0.92998936170212765</v>
      </c>
      <c r="CY24" s="217">
        <f t="shared" si="56"/>
        <v>0.46499468085106377</v>
      </c>
      <c r="CZ24" s="217">
        <f t="shared" si="57"/>
        <v>0.59361023087369846</v>
      </c>
      <c r="DA24" s="197">
        <f t="shared" si="58"/>
        <v>350</v>
      </c>
      <c r="DB24" s="443">
        <f t="shared" si="115"/>
        <v>350</v>
      </c>
      <c r="DD24" s="217">
        <f t="shared" si="59"/>
        <v>2.5100133511348464</v>
      </c>
      <c r="DE24" s="173">
        <f t="shared" si="60"/>
        <v>1.6021361815754336</v>
      </c>
      <c r="DF24" s="173">
        <f t="shared" si="61"/>
        <v>2.8149682442633783</v>
      </c>
      <c r="DG24" s="173"/>
      <c r="DH24" s="173">
        <f t="shared" si="62"/>
        <v>0.85106382978723416</v>
      </c>
      <c r="DI24" s="545">
        <f t="shared" si="63"/>
        <v>502.31249999999994</v>
      </c>
      <c r="DJ24" s="528">
        <f t="shared" si="64"/>
        <v>0.79432624113475192</v>
      </c>
      <c r="DL24" s="173">
        <f t="shared" si="65"/>
        <v>1.5278369396914431</v>
      </c>
      <c r="DM24" s="173">
        <f t="shared" si="66"/>
        <v>1.5278369396914431</v>
      </c>
      <c r="DN24" s="173">
        <f t="shared" si="67"/>
        <v>1.3440767454504514</v>
      </c>
      <c r="DP24" s="545">
        <f t="shared" si="68"/>
        <v>1140.0000000000002</v>
      </c>
      <c r="DQ24" s="460">
        <f t="shared" si="69"/>
        <v>350</v>
      </c>
      <c r="DS24">
        <f t="shared" si="116"/>
        <v>1140.0000000000002</v>
      </c>
      <c r="DT24" s="460">
        <f t="shared" si="70"/>
        <v>350</v>
      </c>
      <c r="DU24" s="460"/>
      <c r="DV24" s="5">
        <f t="shared" si="117"/>
        <v>2.8571428571428572</v>
      </c>
      <c r="DW24" s="5">
        <f t="shared" si="71"/>
        <v>0.76391846984572165</v>
      </c>
      <c r="DX24" s="5">
        <f t="shared" si="118"/>
        <v>2.0932243872971354</v>
      </c>
      <c r="DY24" s="173">
        <f t="shared" si="119"/>
        <v>0.26737146444600257</v>
      </c>
      <c r="EA24" s="5">
        <f t="shared" si="72"/>
        <v>21.771676390603069</v>
      </c>
      <c r="EB24" s="5">
        <f t="shared" si="73"/>
        <v>8.0635838483715083E-2</v>
      </c>
      <c r="EC24" s="5">
        <f t="shared" si="74"/>
        <v>0.33142719465537979</v>
      </c>
      <c r="ED24" s="5"/>
      <c r="EE24" s="173">
        <f t="shared" si="120"/>
        <v>0.45611452869645019</v>
      </c>
      <c r="EF24" s="173">
        <f t="shared" si="75"/>
        <v>3.020078872631649</v>
      </c>
      <c r="EG24" s="173">
        <f t="shared" si="76"/>
        <v>5.7544746086630065E-2</v>
      </c>
      <c r="EH24" s="173"/>
      <c r="EI24" s="528">
        <f t="shared" si="77"/>
        <v>2.5380936521134157E-3</v>
      </c>
      <c r="EJ24" s="528">
        <f t="shared" si="78"/>
        <v>0.45773994713155636</v>
      </c>
      <c r="EK24" s="528">
        <f t="shared" si="79"/>
        <v>4.3749999999999997E-2</v>
      </c>
      <c r="EL24" s="528">
        <f t="shared" si="80"/>
        <v>6.4114399999999988E-2</v>
      </c>
      <c r="EM24">
        <f t="shared" si="81"/>
        <v>1.0800000000000001E-2</v>
      </c>
      <c r="EN24" s="460">
        <f t="shared" si="121"/>
        <v>54.550000000000004</v>
      </c>
      <c r="EO24">
        <f t="shared" si="82"/>
        <v>0.57997748210030786</v>
      </c>
      <c r="EP24" s="460">
        <f t="shared" si="122"/>
        <v>579.97748210030784</v>
      </c>
      <c r="EQ24" s="173">
        <f t="shared" si="83"/>
        <v>0.70822499999999999</v>
      </c>
      <c r="ER24" s="173">
        <f t="shared" si="84"/>
        <v>8.4312500000000012E-3</v>
      </c>
      <c r="ES24" s="528"/>
      <c r="EU24" s="460">
        <f t="shared" si="123"/>
        <v>716.65625</v>
      </c>
      <c r="EV24" s="528">
        <f t="shared" si="85"/>
        <v>6.2412138986395463E-3</v>
      </c>
      <c r="EW24" s="528">
        <f t="shared" si="124"/>
        <v>0.2736262919074815</v>
      </c>
      <c r="EX24" s="528">
        <f t="shared" si="86"/>
        <v>1.655698901087363E-5</v>
      </c>
      <c r="EY24" s="528">
        <f t="shared" si="87"/>
        <v>0.33062267126114214</v>
      </c>
      <c r="EZ24" s="528">
        <f t="shared" si="88"/>
        <v>0.69320016337147838</v>
      </c>
      <c r="FA24" s="625">
        <f t="shared" si="89"/>
        <v>2.0425000000000002E-2</v>
      </c>
      <c r="FB24" s="460">
        <f t="shared" si="125"/>
        <v>713.62516337147838</v>
      </c>
      <c r="FC24" s="173">
        <f t="shared" si="126"/>
        <v>2.0102588954717864</v>
      </c>
      <c r="FD24" s="5">
        <f t="shared" si="127"/>
        <v>4.902000000000001</v>
      </c>
      <c r="FE24" s="173">
        <f t="shared" si="128"/>
        <v>0.70917482607766558</v>
      </c>
      <c r="FF24" s="5">
        <f t="shared" si="129"/>
        <v>70.917482607766559</v>
      </c>
      <c r="FG24">
        <f t="shared" si="130"/>
        <v>19.000000000000004</v>
      </c>
      <c r="FI24" s="562">
        <f t="shared" si="90"/>
        <v>-50</v>
      </c>
      <c r="FJ24">
        <f t="shared" si="91"/>
        <v>-50</v>
      </c>
      <c r="FL24">
        <f t="shared" si="92"/>
        <v>0.35684790251858695</v>
      </c>
    </row>
    <row r="25" spans="5:168">
      <c r="E25" s="170">
        <v>20</v>
      </c>
      <c r="F25" s="217">
        <f t="shared" si="131"/>
        <v>1.2000000000000002</v>
      </c>
      <c r="G25" s="217">
        <f t="shared" si="93"/>
        <v>2.0000000000000004E-2</v>
      </c>
      <c r="H25" s="217">
        <f t="shared" si="0"/>
        <v>4.8000000000000007</v>
      </c>
      <c r="I25" s="217">
        <f t="shared" si="132"/>
        <v>0.3600000000000001</v>
      </c>
      <c r="J25" s="541">
        <f t="shared" si="1"/>
        <v>23.956564270152743</v>
      </c>
      <c r="K25" s="443">
        <f t="shared" si="2"/>
        <v>19.193315576677485</v>
      </c>
      <c r="L25" s="172">
        <f t="shared" si="3"/>
        <v>43.149879846830231</v>
      </c>
      <c r="M25" s="443"/>
      <c r="N25" s="217">
        <f t="shared" si="4"/>
        <v>0.44480577106606745</v>
      </c>
      <c r="O25" s="172">
        <f t="shared" si="94"/>
        <v>33.04191641016773</v>
      </c>
      <c r="P25" s="172">
        <f t="shared" si="5"/>
        <v>2.6640045105697729</v>
      </c>
      <c r="Q25" s="217">
        <f t="shared" si="6"/>
        <v>8.2604791025419324</v>
      </c>
      <c r="R25" s="217">
        <f t="shared" si="7"/>
        <v>1.8356620227870961</v>
      </c>
      <c r="S25" s="443">
        <f t="shared" si="8"/>
        <v>4</v>
      </c>
      <c r="T25" s="217">
        <f t="shared" si="9"/>
        <v>0.96846682870225109</v>
      </c>
      <c r="U25" s="217">
        <f t="shared" si="10"/>
        <v>0.48511137963577933</v>
      </c>
      <c r="V25" s="217">
        <f t="shared" si="11"/>
        <v>0.60550257187188938</v>
      </c>
      <c r="W25" s="197">
        <f t="shared" si="12"/>
        <v>350</v>
      </c>
      <c r="X25" s="443">
        <f t="shared" si="95"/>
        <v>350</v>
      </c>
      <c r="Z25" s="217">
        <f t="shared" si="13"/>
        <v>2.5371471529235938</v>
      </c>
      <c r="AA25" s="173">
        <f t="shared" si="14"/>
        <v>1.5862692255255217</v>
      </c>
      <c r="AB25" s="173">
        <f t="shared" si="15"/>
        <v>2.8172189145186746</v>
      </c>
      <c r="AC25" s="173"/>
      <c r="AD25" s="173">
        <f t="shared" si="16"/>
        <v>0.83362355691385603</v>
      </c>
      <c r="AE25" s="545">
        <f t="shared" si="17"/>
        <v>539.8120005940541</v>
      </c>
      <c r="AF25" s="528">
        <f t="shared" si="18"/>
        <v>0.77804865311959914</v>
      </c>
      <c r="AH25" s="173">
        <f t="shared" si="19"/>
        <v>1.5675276256394519</v>
      </c>
      <c r="AI25" s="173">
        <f t="shared" si="20"/>
        <v>1.5675276256394519</v>
      </c>
      <c r="AJ25" s="173">
        <f t="shared" si="21"/>
        <v>1.3734772535600877</v>
      </c>
      <c r="AL25" s="545">
        <f t="shared" si="22"/>
        <v>1200.0000000000002</v>
      </c>
      <c r="AM25" s="460">
        <f t="shared" si="23"/>
        <v>350</v>
      </c>
      <c r="AO25">
        <f t="shared" si="96"/>
        <v>1200.0000000000002</v>
      </c>
      <c r="AP25" s="460">
        <f t="shared" si="24"/>
        <v>350</v>
      </c>
      <c r="AQ25" s="460"/>
      <c r="AR25" s="5">
        <f t="shared" si="97"/>
        <v>2.8571428571428572</v>
      </c>
      <c r="AS25" s="5">
        <f t="shared" si="25"/>
        <v>0.78518485770971069</v>
      </c>
      <c r="AT25" s="5">
        <f t="shared" si="98"/>
        <v>2.0719579994331463</v>
      </c>
      <c r="AU25" s="173">
        <f t="shared" si="99"/>
        <v>0.27481470019839871</v>
      </c>
      <c r="AW25" s="5">
        <f t="shared" si="26"/>
        <v>23.555545731291325</v>
      </c>
      <c r="AX25" s="5">
        <f t="shared" si="27"/>
        <v>8.724276196774565E-2</v>
      </c>
      <c r="AY25" s="5">
        <f t="shared" si="28"/>
        <v>0.34595244561250865</v>
      </c>
      <c r="AZ25" s="5"/>
      <c r="BA25" s="173">
        <f t="shared" si="100"/>
        <v>0.47443263576274325</v>
      </c>
      <c r="BB25" s="173">
        <f t="shared" si="29"/>
        <v>3.0827553731578132</v>
      </c>
      <c r="BC25" s="173">
        <f t="shared" si="30"/>
        <v>5.8738987515574548E-2</v>
      </c>
      <c r="BD25" s="173"/>
      <c r="BE25" s="528">
        <f t="shared" si="31"/>
        <v>2.7460531756967623E-3</v>
      </c>
      <c r="BF25" s="528">
        <f t="shared" si="32"/>
        <v>0.44387850086297431</v>
      </c>
      <c r="BG25" s="528">
        <f t="shared" si="33"/>
        <v>0.20961993736383649</v>
      </c>
      <c r="BH25" s="528">
        <f t="shared" si="34"/>
        <v>6.5166924577856E-2</v>
      </c>
      <c r="BI25">
        <f t="shared" si="35"/>
        <v>1.0780453921568733E-2</v>
      </c>
      <c r="BJ25" s="460">
        <f t="shared" si="101"/>
        <v>220.40039128540522</v>
      </c>
      <c r="BK25">
        <f t="shared" si="36"/>
        <v>0.51286753967492738</v>
      </c>
      <c r="BL25" s="460">
        <f t="shared" si="102"/>
        <v>512.86753967492734</v>
      </c>
      <c r="BM25" s="173">
        <f t="shared" si="37"/>
        <v>0.74550000000000005</v>
      </c>
      <c r="BN25" s="173">
        <f t="shared" si="38"/>
        <v>8.8750000000000009E-3</v>
      </c>
      <c r="BO25" s="528"/>
      <c r="BQ25" s="460">
        <f t="shared" si="103"/>
        <v>754.375</v>
      </c>
      <c r="BR25" s="528">
        <f t="shared" si="39"/>
        <v>6.7525897763035143E-3</v>
      </c>
      <c r="BS25" s="528">
        <f t="shared" si="104"/>
        <v>0.28510142072200106</v>
      </c>
      <c r="BT25" s="528">
        <f t="shared" si="40"/>
        <v>1.7251343271774116E-5</v>
      </c>
      <c r="BU25" s="528">
        <f t="shared" si="41"/>
        <v>0.35251542393098156</v>
      </c>
      <c r="BV25" s="528">
        <f t="shared" si="42"/>
        <v>0.73151647965246203</v>
      </c>
      <c r="BW25" s="625">
        <f t="shared" si="43"/>
        <v>2.1500000000000009E-2</v>
      </c>
      <c r="BX25" s="460">
        <f t="shared" si="105"/>
        <v>753.01647965246195</v>
      </c>
      <c r="BY25" s="173">
        <f t="shared" si="106"/>
        <v>2.0202590193273893</v>
      </c>
      <c r="BZ25" s="5">
        <f t="shared" si="107"/>
        <v>5.160000000000001</v>
      </c>
      <c r="CA25" s="173">
        <f t="shared" si="108"/>
        <v>0.71863702773265181</v>
      </c>
      <c r="CB25" s="5">
        <f t="shared" si="109"/>
        <v>71.863702773265175</v>
      </c>
      <c r="CC25">
        <f t="shared" si="110"/>
        <v>20.000000000000004</v>
      </c>
      <c r="CE25" s="562">
        <f t="shared" si="44"/>
        <v>-50</v>
      </c>
      <c r="CF25">
        <f t="shared" si="45"/>
        <v>-50</v>
      </c>
      <c r="CG25" s="173">
        <f t="shared" si="46"/>
        <v>0.3661182229710635</v>
      </c>
      <c r="CH25" s="173">
        <f t="shared" si="47"/>
        <v>9.3774046259740493E-2</v>
      </c>
      <c r="CI25" s="170">
        <v>20</v>
      </c>
      <c r="CJ25" s="217">
        <f t="shared" si="133"/>
        <v>1.2000000000000002</v>
      </c>
      <c r="CK25" s="217">
        <f t="shared" si="111"/>
        <v>2.0000000000000004E-2</v>
      </c>
      <c r="CL25" s="217">
        <f t="shared" si="48"/>
        <v>4.8000000000000007</v>
      </c>
      <c r="CM25" s="217">
        <f t="shared" si="134"/>
        <v>0.3600000000000001</v>
      </c>
      <c r="CN25" s="541">
        <f t="shared" si="112"/>
        <v>24</v>
      </c>
      <c r="CO25" s="443">
        <f t="shared" si="49"/>
        <v>18.8</v>
      </c>
      <c r="CP25" s="443">
        <f t="shared" si="50"/>
        <v>42.8</v>
      </c>
      <c r="CQ25" s="443"/>
      <c r="CR25" s="217">
        <f t="shared" si="113"/>
        <v>0.43925233644859818</v>
      </c>
      <c r="CS25" s="172">
        <f t="shared" si="114"/>
        <v>32.688545968267775</v>
      </c>
      <c r="CT25" s="172">
        <f t="shared" si="51"/>
        <v>2.6355140186915893</v>
      </c>
      <c r="CU25" s="217">
        <f t="shared" si="52"/>
        <v>8.1721364920669437</v>
      </c>
      <c r="CV25" s="217">
        <f t="shared" si="53"/>
        <v>1.816030331570432</v>
      </c>
      <c r="CW25" s="443">
        <f t="shared" si="54"/>
        <v>4</v>
      </c>
      <c r="CX25" s="217">
        <f t="shared" si="55"/>
        <v>0.97893617021276591</v>
      </c>
      <c r="CY25" s="217">
        <f t="shared" si="56"/>
        <v>0.48946808510638301</v>
      </c>
      <c r="CZ25" s="217">
        <f t="shared" si="57"/>
        <v>0.62485287460389316</v>
      </c>
      <c r="DA25" s="197">
        <f t="shared" si="58"/>
        <v>350</v>
      </c>
      <c r="DB25" s="443">
        <f t="shared" si="115"/>
        <v>350</v>
      </c>
      <c r="DD25" s="217">
        <f t="shared" si="59"/>
        <v>2.5100133511348464</v>
      </c>
      <c r="DE25" s="173">
        <f t="shared" si="60"/>
        <v>1.6021361815754336</v>
      </c>
      <c r="DF25" s="173">
        <f t="shared" si="61"/>
        <v>2.8149682442633783</v>
      </c>
      <c r="DG25" s="173"/>
      <c r="DH25" s="173">
        <f t="shared" si="62"/>
        <v>0.85106382978723416</v>
      </c>
      <c r="DI25" s="545">
        <f t="shared" si="63"/>
        <v>528.75</v>
      </c>
      <c r="DJ25" s="528">
        <f t="shared" si="64"/>
        <v>0.79432624113475192</v>
      </c>
      <c r="DL25" s="173">
        <f t="shared" si="65"/>
        <v>1.5675276256394519</v>
      </c>
      <c r="DM25" s="173">
        <f t="shared" si="66"/>
        <v>1.5675276256394519</v>
      </c>
      <c r="DN25" s="173">
        <f t="shared" si="67"/>
        <v>1.3734772535600877</v>
      </c>
      <c r="DP25" s="545">
        <f t="shared" si="68"/>
        <v>1200.0000000000002</v>
      </c>
      <c r="DQ25" s="460">
        <f t="shared" si="69"/>
        <v>350</v>
      </c>
      <c r="DS25">
        <f t="shared" si="116"/>
        <v>1200.0000000000002</v>
      </c>
      <c r="DT25" s="460">
        <f t="shared" si="70"/>
        <v>350</v>
      </c>
      <c r="DU25" s="460"/>
      <c r="DV25" s="5">
        <f t="shared" si="117"/>
        <v>2.8571428571428572</v>
      </c>
      <c r="DW25" s="5">
        <f t="shared" si="71"/>
        <v>0.78376381281972596</v>
      </c>
      <c r="DX25" s="5">
        <f t="shared" si="118"/>
        <v>2.073379044323131</v>
      </c>
      <c r="DY25" s="173">
        <f t="shared" si="119"/>
        <v>0.2743173344869041</v>
      </c>
      <c r="EA25" s="5">
        <f t="shared" si="72"/>
        <v>23.512914384591781</v>
      </c>
      <c r="EB25" s="5">
        <f t="shared" si="73"/>
        <v>8.708486809108068E-2</v>
      </c>
      <c r="EC25" s="5">
        <f t="shared" si="74"/>
        <v>0.34556317405385517</v>
      </c>
      <c r="ED25" s="5"/>
      <c r="EE25" s="173">
        <f t="shared" si="120"/>
        <v>0.47400312200974815</v>
      </c>
      <c r="EF25" s="173">
        <f t="shared" si="75"/>
        <v>3.0838123402636057</v>
      </c>
      <c r="EG25" s="173">
        <f t="shared" si="76"/>
        <v>5.8759127023941676E-2</v>
      </c>
      <c r="EH25" s="173"/>
      <c r="EI25" s="528">
        <f t="shared" si="77"/>
        <v>2.7410833080348555E-3</v>
      </c>
      <c r="EJ25" s="528">
        <f t="shared" si="78"/>
        <v>0.46963127664157972</v>
      </c>
      <c r="EK25" s="528">
        <f t="shared" si="79"/>
        <v>4.3749999999999997E-2</v>
      </c>
      <c r="EL25" s="528">
        <f t="shared" si="80"/>
        <v>6.4114399999999988E-2</v>
      </c>
      <c r="EM25">
        <f t="shared" si="81"/>
        <v>1.0800000000000001E-2</v>
      </c>
      <c r="EN25" s="460">
        <f t="shared" si="121"/>
        <v>54.550000000000004</v>
      </c>
      <c r="EO25">
        <f t="shared" si="82"/>
        <v>0.59216251687224064</v>
      </c>
      <c r="EP25" s="460">
        <f t="shared" si="122"/>
        <v>592.16251687224064</v>
      </c>
      <c r="EQ25" s="173">
        <f t="shared" si="83"/>
        <v>0.74550000000000005</v>
      </c>
      <c r="ER25" s="173">
        <f t="shared" si="84"/>
        <v>8.8750000000000009E-3</v>
      </c>
      <c r="ES25" s="528"/>
      <c r="EU25" s="460">
        <f t="shared" si="123"/>
        <v>754.375</v>
      </c>
      <c r="EV25" s="528">
        <f t="shared" si="85"/>
        <v>6.7403687902496453E-3</v>
      </c>
      <c r="EW25" s="528">
        <f t="shared" si="124"/>
        <v>0.28529695649886289</v>
      </c>
      <c r="EX25" s="528">
        <f t="shared" si="86"/>
        <v>1.7263175043078567E-5</v>
      </c>
      <c r="EY25" s="528">
        <f t="shared" si="87"/>
        <v>0.35251542393098156</v>
      </c>
      <c r="EZ25" s="528">
        <f t="shared" si="88"/>
        <v>0.73176022821090014</v>
      </c>
      <c r="FA25" s="625">
        <f t="shared" si="89"/>
        <v>2.1500000000000009E-2</v>
      </c>
      <c r="FB25" s="460">
        <f t="shared" si="125"/>
        <v>753.2602282109001</v>
      </c>
      <c r="FC25" s="173">
        <f t="shared" si="126"/>
        <v>2.0997977450831411</v>
      </c>
      <c r="FD25" s="5">
        <f t="shared" si="127"/>
        <v>5.160000000000001</v>
      </c>
      <c r="FE25" s="173">
        <f t="shared" si="128"/>
        <v>0.71076360267677219</v>
      </c>
      <c r="FF25" s="5">
        <f t="shared" si="129"/>
        <v>71.076360267677217</v>
      </c>
      <c r="FG25">
        <f t="shared" si="130"/>
        <v>20.000000000000004</v>
      </c>
      <c r="FI25" s="562">
        <f t="shared" si="90"/>
        <v>-50</v>
      </c>
      <c r="FJ25">
        <f t="shared" si="91"/>
        <v>-50</v>
      </c>
      <c r="FL25">
        <f t="shared" si="92"/>
        <v>0.36611822297106356</v>
      </c>
    </row>
    <row r="26" spans="5:168">
      <c r="E26" s="170">
        <v>21</v>
      </c>
      <c r="F26" s="217">
        <f t="shared" si="131"/>
        <v>1.26</v>
      </c>
      <c r="G26" s="217">
        <f t="shared" si="93"/>
        <v>2.1000000000000001E-2</v>
      </c>
      <c r="H26" s="217">
        <f t="shared" si="0"/>
        <v>5.04</v>
      </c>
      <c r="I26" s="217">
        <f t="shared" si="132"/>
        <v>0.378</v>
      </c>
      <c r="J26" s="541">
        <f t="shared" si="1"/>
        <v>23.955491621477165</v>
      </c>
      <c r="K26" s="443">
        <f t="shared" si="2"/>
        <v>19.203028534969921</v>
      </c>
      <c r="L26" s="172">
        <f t="shared" si="3"/>
        <v>43.158520156447082</v>
      </c>
      <c r="M26" s="443"/>
      <c r="N26" s="217">
        <f t="shared" si="4"/>
        <v>0.44494177430922277</v>
      </c>
      <c r="O26" s="172">
        <f t="shared" si="94"/>
        <v>33.050539369022545</v>
      </c>
      <c r="P26" s="172">
        <f t="shared" si="5"/>
        <v>2.6646997366274427</v>
      </c>
      <c r="Q26" s="217">
        <f t="shared" si="6"/>
        <v>8.2626348422556362</v>
      </c>
      <c r="R26" s="217">
        <f t="shared" si="7"/>
        <v>1.836141076056808</v>
      </c>
      <c r="S26" s="443">
        <f t="shared" si="8"/>
        <v>4</v>
      </c>
      <c r="T26" s="217">
        <f t="shared" si="9"/>
        <v>1.0166248612418245</v>
      </c>
      <c r="U26" s="217">
        <f t="shared" si="10"/>
        <v>0.5092568554913105</v>
      </c>
      <c r="V26" s="217">
        <f t="shared" si="11"/>
        <v>0.63529032999590873</v>
      </c>
      <c r="W26" s="197">
        <f t="shared" si="12"/>
        <v>350</v>
      </c>
      <c r="X26" s="443">
        <f t="shared" si="95"/>
        <v>350</v>
      </c>
      <c r="Z26" s="217">
        <f t="shared" si="13"/>
        <v>2.5378092729785164</v>
      </c>
      <c r="AA26" s="173">
        <f t="shared" si="14"/>
        <v>1.5858806448307921</v>
      </c>
      <c r="AB26" s="173">
        <f t="shared" si="15"/>
        <v>2.8172638244021133</v>
      </c>
      <c r="AC26" s="173"/>
      <c r="AD26" s="173">
        <f t="shared" si="16"/>
        <v>0.83320190723369481</v>
      </c>
      <c r="AE26" s="545">
        <f t="shared" si="17"/>
        <v>567.08943642333043</v>
      </c>
      <c r="AF26" s="528">
        <f t="shared" si="18"/>
        <v>0.77765511341811511</v>
      </c>
      <c r="AH26" s="173">
        <f t="shared" si="19"/>
        <v>1.606237840420901</v>
      </c>
      <c r="AI26" s="173">
        <f t="shared" si="20"/>
        <v>1.606237840420901</v>
      </c>
      <c r="AJ26" s="173">
        <f t="shared" si="21"/>
        <v>1.4021514867315314</v>
      </c>
      <c r="AL26" s="545">
        <f t="shared" si="22"/>
        <v>1260</v>
      </c>
      <c r="AM26" s="460">
        <f t="shared" si="23"/>
        <v>350</v>
      </c>
      <c r="AO26">
        <f t="shared" si="96"/>
        <v>1260</v>
      </c>
      <c r="AP26" s="460">
        <f t="shared" si="24"/>
        <v>350</v>
      </c>
      <c r="AQ26" s="460"/>
      <c r="AR26" s="5">
        <f t="shared" si="97"/>
        <v>2.8571428571428572</v>
      </c>
      <c r="AS26" s="5">
        <f t="shared" si="25"/>
        <v>0.804611084156171</v>
      </c>
      <c r="AT26" s="5">
        <f t="shared" si="98"/>
        <v>2.0525317729866863</v>
      </c>
      <c r="AU26" s="173">
        <f t="shared" si="99"/>
        <v>0.28161387945465982</v>
      </c>
      <c r="AW26" s="5">
        <f t="shared" si="26"/>
        <v>25.345249150919386</v>
      </c>
      <c r="AX26" s="5">
        <f t="shared" si="27"/>
        <v>9.3871293151553278E-2</v>
      </c>
      <c r="AY26" s="5">
        <f t="shared" si="28"/>
        <v>0.35986042711038752</v>
      </c>
      <c r="AZ26" s="5"/>
      <c r="BA26" s="173">
        <f t="shared" si="100"/>
        <v>0.49212593543828537</v>
      </c>
      <c r="BB26" s="173">
        <f t="shared" si="29"/>
        <v>3.1440408742101109</v>
      </c>
      <c r="BC26" s="173">
        <f t="shared" si="30"/>
        <v>5.9906724765354816E-2</v>
      </c>
      <c r="BD26" s="173"/>
      <c r="BE26" s="528">
        <f t="shared" si="31"/>
        <v>2.9546928232382901E-3</v>
      </c>
      <c r="BF26" s="528">
        <f t="shared" si="32"/>
        <v>0.45493119139028848</v>
      </c>
      <c r="BG26" s="528">
        <f t="shared" si="33"/>
        <v>0.20961055168792517</v>
      </c>
      <c r="BH26" s="528">
        <f t="shared" si="34"/>
        <v>6.5193025173305719E-2</v>
      </c>
      <c r="BI26">
        <f t="shared" si="35"/>
        <v>1.0779971229664724E-2</v>
      </c>
      <c r="BJ26" s="460">
        <f t="shared" si="101"/>
        <v>220.39052291758989</v>
      </c>
      <c r="BK26">
        <f t="shared" si="36"/>
        <v>0.52424471459507715</v>
      </c>
      <c r="BL26" s="460">
        <f t="shared" si="102"/>
        <v>524.2447145950772</v>
      </c>
      <c r="BM26" s="173">
        <f t="shared" si="37"/>
        <v>0.78277499999999989</v>
      </c>
      <c r="BN26" s="173">
        <f t="shared" si="38"/>
        <v>9.3187500000000006E-3</v>
      </c>
      <c r="BO26" s="528"/>
      <c r="BQ26" s="460">
        <f t="shared" si="103"/>
        <v>792.09374999999989</v>
      </c>
      <c r="BR26" s="528">
        <f t="shared" si="39"/>
        <v>7.2656380899302217E-3</v>
      </c>
      <c r="BS26" s="528">
        <f t="shared" si="104"/>
        <v>0.29654979056111636</v>
      </c>
      <c r="BT26" s="528">
        <f t="shared" si="40"/>
        <v>1.7944078360559879E-5</v>
      </c>
      <c r="BU26" s="528">
        <f t="shared" si="41"/>
        <v>0.37468365464598036</v>
      </c>
      <c r="BV26" s="528">
        <f t="shared" si="42"/>
        <v>0.77015698845717051</v>
      </c>
      <c r="BW26" s="625">
        <f t="shared" si="43"/>
        <v>2.2575000000000001E-2</v>
      </c>
      <c r="BX26" s="460">
        <f t="shared" si="105"/>
        <v>792.73198845717047</v>
      </c>
      <c r="BY26" s="173">
        <f t="shared" si="106"/>
        <v>2.1090704530522473</v>
      </c>
      <c r="BZ26" s="5">
        <f t="shared" si="107"/>
        <v>5.4180000000000001</v>
      </c>
      <c r="CA26" s="173">
        <f t="shared" si="108"/>
        <v>0.71980195134256864</v>
      </c>
      <c r="CB26" s="5">
        <f t="shared" si="109"/>
        <v>71.98019513425686</v>
      </c>
      <c r="CC26">
        <f t="shared" si="110"/>
        <v>21</v>
      </c>
      <c r="CE26" s="562">
        <f t="shared" si="44"/>
        <v>-50</v>
      </c>
      <c r="CF26">
        <f t="shared" si="45"/>
        <v>-50</v>
      </c>
      <c r="CG26" s="173">
        <f t="shared" si="46"/>
        <v>0.37515954053051059</v>
      </c>
      <c r="CH26" s="173">
        <f t="shared" si="47"/>
        <v>9.608980351483784E-2</v>
      </c>
      <c r="CI26" s="170">
        <v>21</v>
      </c>
      <c r="CJ26" s="217">
        <f t="shared" si="133"/>
        <v>1.26</v>
      </c>
      <c r="CK26" s="217">
        <f t="shared" si="111"/>
        <v>2.1000000000000001E-2</v>
      </c>
      <c r="CL26" s="217">
        <f t="shared" si="48"/>
        <v>5.04</v>
      </c>
      <c r="CM26" s="217">
        <f t="shared" si="134"/>
        <v>0.378</v>
      </c>
      <c r="CN26" s="541">
        <f t="shared" si="112"/>
        <v>24</v>
      </c>
      <c r="CO26" s="443">
        <f t="shared" si="49"/>
        <v>18.8</v>
      </c>
      <c r="CP26" s="443">
        <f t="shared" si="50"/>
        <v>42.8</v>
      </c>
      <c r="CQ26" s="443"/>
      <c r="CR26" s="217">
        <f t="shared" si="113"/>
        <v>0.43925233644859818</v>
      </c>
      <c r="CS26" s="172">
        <f t="shared" si="114"/>
        <v>32.688545968267775</v>
      </c>
      <c r="CT26" s="172">
        <f t="shared" si="51"/>
        <v>2.6355140186915893</v>
      </c>
      <c r="CU26" s="217">
        <f t="shared" si="52"/>
        <v>8.1721364920669437</v>
      </c>
      <c r="CV26" s="217">
        <f t="shared" si="53"/>
        <v>1.816030331570432</v>
      </c>
      <c r="CW26" s="443">
        <f t="shared" si="54"/>
        <v>4</v>
      </c>
      <c r="CX26" s="217">
        <f t="shared" si="55"/>
        <v>1.0278829787234041</v>
      </c>
      <c r="CY26" s="217">
        <f t="shared" si="56"/>
        <v>0.51394148936170203</v>
      </c>
      <c r="CZ26" s="217">
        <f t="shared" si="57"/>
        <v>0.65609551833408764</v>
      </c>
      <c r="DA26" s="197">
        <f t="shared" si="58"/>
        <v>350</v>
      </c>
      <c r="DB26" s="443">
        <f t="shared" si="115"/>
        <v>350</v>
      </c>
      <c r="DD26" s="217">
        <f t="shared" si="59"/>
        <v>2.5100133511348464</v>
      </c>
      <c r="DE26" s="173">
        <f t="shared" si="60"/>
        <v>1.6021361815754336</v>
      </c>
      <c r="DF26" s="173">
        <f t="shared" si="61"/>
        <v>2.8149682442633783</v>
      </c>
      <c r="DG26" s="173"/>
      <c r="DH26" s="173">
        <f t="shared" si="62"/>
        <v>0.85106382978723416</v>
      </c>
      <c r="DI26" s="545">
        <f t="shared" si="63"/>
        <v>555.18749999999989</v>
      </c>
      <c r="DJ26" s="528">
        <f t="shared" si="64"/>
        <v>0.79432624113475192</v>
      </c>
      <c r="DL26" s="173">
        <f t="shared" si="65"/>
        <v>1.606237840420901</v>
      </c>
      <c r="DM26" s="173">
        <f t="shared" si="66"/>
        <v>1.606237840420901</v>
      </c>
      <c r="DN26" s="173">
        <f t="shared" si="67"/>
        <v>1.4021514867315314</v>
      </c>
      <c r="DP26" s="545">
        <f t="shared" si="68"/>
        <v>1260</v>
      </c>
      <c r="DQ26" s="460">
        <f t="shared" si="69"/>
        <v>350</v>
      </c>
      <c r="DS26">
        <f t="shared" si="116"/>
        <v>1260</v>
      </c>
      <c r="DT26" s="460">
        <f t="shared" si="70"/>
        <v>350</v>
      </c>
      <c r="DU26" s="460"/>
      <c r="DV26" s="5">
        <f t="shared" si="117"/>
        <v>2.8571428571428572</v>
      </c>
      <c r="DW26" s="5">
        <f t="shared" si="71"/>
        <v>0.8031189202104505</v>
      </c>
      <c r="DX26" s="5">
        <f t="shared" si="118"/>
        <v>2.0540239369324067</v>
      </c>
      <c r="DY26" s="173">
        <f t="shared" si="119"/>
        <v>0.28109162207365768</v>
      </c>
      <c r="EA26" s="5">
        <f t="shared" si="72"/>
        <v>25.29824598662919</v>
      </c>
      <c r="EB26" s="5">
        <f t="shared" si="73"/>
        <v>9.3697207357885892E-2</v>
      </c>
      <c r="EC26" s="5">
        <f t="shared" si="74"/>
        <v>0.35945418896317111</v>
      </c>
      <c r="ED26" s="5"/>
      <c r="EE26" s="173">
        <f t="shared" si="120"/>
        <v>0.49166939602068543</v>
      </c>
      <c r="EF26" s="173">
        <f t="shared" si="75"/>
        <v>3.1451835050226356</v>
      </c>
      <c r="EG26" s="173">
        <f t="shared" si="76"/>
        <v>5.992849651462049E-2</v>
      </c>
      <c r="EH26" s="173"/>
      <c r="EI26" s="528">
        <f t="shared" si="77"/>
        <v>2.9492132987968163E-3</v>
      </c>
      <c r="EJ26" s="528">
        <f t="shared" si="78"/>
        <v>0.48122885699010193</v>
      </c>
      <c r="EK26" s="528">
        <f t="shared" si="79"/>
        <v>4.3749999999999997E-2</v>
      </c>
      <c r="EL26" s="528">
        <f t="shared" si="80"/>
        <v>6.4114399999999988E-2</v>
      </c>
      <c r="EM26">
        <f t="shared" si="81"/>
        <v>1.0800000000000001E-2</v>
      </c>
      <c r="EN26" s="460">
        <f t="shared" si="121"/>
        <v>54.550000000000004</v>
      </c>
      <c r="EO26">
        <f t="shared" si="82"/>
        <v>0.60406204413614828</v>
      </c>
      <c r="EP26" s="460">
        <f t="shared" si="122"/>
        <v>604.0620441361483</v>
      </c>
      <c r="EQ26" s="173">
        <f t="shared" si="83"/>
        <v>0.78277499999999989</v>
      </c>
      <c r="ER26" s="173">
        <f t="shared" si="84"/>
        <v>9.3187500000000006E-3</v>
      </c>
      <c r="ES26" s="528"/>
      <c r="EU26" s="460">
        <f t="shared" si="123"/>
        <v>792.09374999999989</v>
      </c>
      <c r="EV26" s="528">
        <f t="shared" si="85"/>
        <v>7.2521638495003683E-3</v>
      </c>
      <c r="EW26" s="528">
        <f t="shared" si="124"/>
        <v>0.29676537840799411</v>
      </c>
      <c r="EX26" s="528">
        <f t="shared" si="86"/>
        <v>1.7957123472514403E-5</v>
      </c>
      <c r="EY26" s="528">
        <f t="shared" si="87"/>
        <v>0.37468365464598036</v>
      </c>
      <c r="EZ26" s="528">
        <f t="shared" si="88"/>
        <v>0.77042663768026087</v>
      </c>
      <c r="FA26" s="625">
        <f t="shared" si="89"/>
        <v>2.2575000000000001E-2</v>
      </c>
      <c r="FB26" s="460">
        <f t="shared" si="125"/>
        <v>793.00163768026084</v>
      </c>
      <c r="FC26" s="173">
        <f t="shared" si="126"/>
        <v>2.1891574318164091</v>
      </c>
      <c r="FD26" s="5">
        <f t="shared" si="127"/>
        <v>5.4180000000000001</v>
      </c>
      <c r="FE26" s="173">
        <f t="shared" si="128"/>
        <v>0.71222398754882998</v>
      </c>
      <c r="FF26" s="5">
        <f t="shared" si="129"/>
        <v>71.222398754883002</v>
      </c>
      <c r="FG26">
        <f t="shared" si="130"/>
        <v>21</v>
      </c>
      <c r="FI26" s="562">
        <f t="shared" si="90"/>
        <v>-50</v>
      </c>
      <c r="FJ26">
        <f t="shared" si="91"/>
        <v>-50</v>
      </c>
      <c r="FL26">
        <f t="shared" si="92"/>
        <v>0.37515954053051059</v>
      </c>
    </row>
    <row r="27" spans="5:168">
      <c r="E27" s="170">
        <v>22</v>
      </c>
      <c r="F27" s="217">
        <f t="shared" si="131"/>
        <v>1.32</v>
      </c>
      <c r="G27" s="217">
        <f t="shared" si="93"/>
        <v>2.2000000000000002E-2</v>
      </c>
      <c r="H27" s="217">
        <f t="shared" si="0"/>
        <v>5.28</v>
      </c>
      <c r="I27" s="217">
        <f t="shared" si="132"/>
        <v>0.39600000000000002</v>
      </c>
      <c r="J27" s="541">
        <f t="shared" si="1"/>
        <v>23.954444222209471</v>
      </c>
      <c r="K27" s="443">
        <f t="shared" si="2"/>
        <v>19.212512856942492</v>
      </c>
      <c r="L27" s="172">
        <f t="shared" si="3"/>
        <v>43.166957079151963</v>
      </c>
      <c r="M27" s="443"/>
      <c r="N27" s="217">
        <f t="shared" si="4"/>
        <v>0.44507452359252403</v>
      </c>
      <c r="O27" s="172">
        <f t="shared" si="94"/>
        <v>33.058954574026572</v>
      </c>
      <c r="P27" s="172">
        <f t="shared" si="5"/>
        <v>2.6653782125308925</v>
      </c>
      <c r="Q27" s="217">
        <f t="shared" si="6"/>
        <v>8.264738643506643</v>
      </c>
      <c r="R27" s="217">
        <f t="shared" si="7"/>
        <v>1.8366085874459206</v>
      </c>
      <c r="S27" s="443">
        <f t="shared" si="8"/>
        <v>4</v>
      </c>
      <c r="T27" s="217">
        <f t="shared" si="9"/>
        <v>1.0647644625657819</v>
      </c>
      <c r="U27" s="217">
        <f t="shared" si="10"/>
        <v>0.53339469838097819</v>
      </c>
      <c r="V27" s="217">
        <f t="shared" si="11"/>
        <v>0.66504437217187429</v>
      </c>
      <c r="W27" s="197">
        <f t="shared" si="12"/>
        <v>350</v>
      </c>
      <c r="X27" s="443">
        <f t="shared" si="95"/>
        <v>350</v>
      </c>
      <c r="Z27" s="217">
        <f t="shared" si="13"/>
        <v>2.5384554405056119</v>
      </c>
      <c r="AA27" s="173">
        <f t="shared" si="14"/>
        <v>1.585501361164217</v>
      </c>
      <c r="AB27" s="173">
        <f t="shared" si="15"/>
        <v>2.817307189323452</v>
      </c>
      <c r="AC27" s="173"/>
      <c r="AD27" s="173">
        <f t="shared" si="16"/>
        <v>0.83279059429325819</v>
      </c>
      <c r="AE27" s="545">
        <f t="shared" si="17"/>
        <v>594.38711651165818</v>
      </c>
      <c r="AF27" s="528">
        <f t="shared" si="18"/>
        <v>0.77727122134037452</v>
      </c>
      <c r="AH27" s="173">
        <f t="shared" si="19"/>
        <v>1.6440368435218058</v>
      </c>
      <c r="AI27" s="173">
        <f t="shared" si="20"/>
        <v>1.6440368435218058</v>
      </c>
      <c r="AJ27" s="173">
        <f t="shared" si="21"/>
        <v>1.4301507482877573</v>
      </c>
      <c r="AL27" s="545">
        <f t="shared" si="22"/>
        <v>1320</v>
      </c>
      <c r="AM27" s="460">
        <f t="shared" si="23"/>
        <v>350</v>
      </c>
      <c r="AO27">
        <f t="shared" si="96"/>
        <v>1320</v>
      </c>
      <c r="AP27" s="460">
        <f t="shared" si="24"/>
        <v>350</v>
      </c>
      <c r="AQ27" s="460"/>
      <c r="AR27" s="5">
        <f t="shared" si="97"/>
        <v>2.8571428571428572</v>
      </c>
      <c r="AS27" s="5">
        <f t="shared" si="25"/>
        <v>0.82358170948380238</v>
      </c>
      <c r="AT27" s="5">
        <f t="shared" si="98"/>
        <v>2.0335611476590549</v>
      </c>
      <c r="AU27" s="173">
        <f t="shared" si="99"/>
        <v>0.28825359831933084</v>
      </c>
      <c r="AW27" s="5">
        <f t="shared" si="26"/>
        <v>27.178196412965477</v>
      </c>
      <c r="AX27" s="5">
        <f t="shared" si="27"/>
        <v>0.10065998671468698</v>
      </c>
      <c r="AY27" s="5">
        <f t="shared" si="28"/>
        <v>0.37352855974024096</v>
      </c>
      <c r="AZ27" s="5"/>
      <c r="BA27" s="173">
        <f t="shared" si="100"/>
        <v>0.50961040582379424</v>
      </c>
      <c r="BB27" s="173">
        <f t="shared" si="29"/>
        <v>3.2031225146184803</v>
      </c>
      <c r="BC27" s="173">
        <f t="shared" si="30"/>
        <v>6.1032469535298069E-2</v>
      </c>
      <c r="BD27" s="173"/>
      <c r="BE27" s="528">
        <f t="shared" si="31"/>
        <v>3.1683737418314855E-3</v>
      </c>
      <c r="BF27" s="528">
        <f t="shared" si="32"/>
        <v>0.46572794533682987</v>
      </c>
      <c r="BG27" s="528">
        <f t="shared" si="33"/>
        <v>0.20960138694433283</v>
      </c>
      <c r="BH27" s="528">
        <f t="shared" si="34"/>
        <v>6.5218516421567174E-2</v>
      </c>
      <c r="BI27">
        <f t="shared" si="35"/>
        <v>1.0779499899994261E-2</v>
      </c>
      <c r="BJ27" s="460">
        <f t="shared" si="101"/>
        <v>220.38088684432711</v>
      </c>
      <c r="BK27">
        <f t="shared" si="36"/>
        <v>0.5353733284508384</v>
      </c>
      <c r="BL27" s="460">
        <f t="shared" si="102"/>
        <v>535.37332845083836</v>
      </c>
      <c r="BM27" s="173">
        <f t="shared" si="37"/>
        <v>0.82004999999999995</v>
      </c>
      <c r="BN27" s="173">
        <f t="shared" si="38"/>
        <v>9.7625000000000003E-3</v>
      </c>
      <c r="BO27" s="528"/>
      <c r="BQ27" s="460">
        <f t="shared" si="103"/>
        <v>829.8125</v>
      </c>
      <c r="BR27" s="528">
        <f t="shared" si="39"/>
        <v>7.7910829717167682E-3</v>
      </c>
      <c r="BS27" s="528">
        <f t="shared" si="104"/>
        <v>0.30779981530967448</v>
      </c>
      <c r="BT27" s="528">
        <f t="shared" si="40"/>
        <v>1.8624811687885436E-5</v>
      </c>
      <c r="BU27" s="528">
        <f t="shared" si="41"/>
        <v>0.39711745838723694</v>
      </c>
      <c r="BV27" s="528">
        <f t="shared" si="42"/>
        <v>0.8088969125261628</v>
      </c>
      <c r="BW27" s="625">
        <f t="shared" si="43"/>
        <v>2.3649999999999997E-2</v>
      </c>
      <c r="BX27" s="460">
        <f t="shared" si="105"/>
        <v>832.54691252616271</v>
      </c>
      <c r="BY27" s="173">
        <f t="shared" si="106"/>
        <v>2.1977327409770009</v>
      </c>
      <c r="BZ27" s="5">
        <f t="shared" si="107"/>
        <v>5.6760000000000002</v>
      </c>
      <c r="CA27" s="173">
        <f t="shared" si="108"/>
        <v>0.72087790971880283</v>
      </c>
      <c r="CB27" s="5">
        <f t="shared" si="109"/>
        <v>72.087790971880281</v>
      </c>
      <c r="CC27">
        <f t="shared" si="110"/>
        <v>22</v>
      </c>
      <c r="CE27" s="562">
        <f t="shared" si="44"/>
        <v>-50</v>
      </c>
      <c r="CF27">
        <f t="shared" si="45"/>
        <v>-50</v>
      </c>
      <c r="CG27" s="173">
        <f t="shared" si="46"/>
        <v>0.38398803172838381</v>
      </c>
      <c r="CH27" s="173">
        <f t="shared" si="47"/>
        <v>9.8351049445932912E-2</v>
      </c>
      <c r="CI27" s="170">
        <v>22</v>
      </c>
      <c r="CJ27" s="217">
        <f t="shared" si="133"/>
        <v>1.32</v>
      </c>
      <c r="CK27" s="217">
        <f t="shared" si="111"/>
        <v>2.2000000000000002E-2</v>
      </c>
      <c r="CL27" s="217">
        <f t="shared" si="48"/>
        <v>5.28</v>
      </c>
      <c r="CM27" s="217">
        <f t="shared" si="134"/>
        <v>0.39600000000000002</v>
      </c>
      <c r="CN27" s="541">
        <f t="shared" si="112"/>
        <v>24</v>
      </c>
      <c r="CO27" s="443">
        <f t="shared" si="49"/>
        <v>18.8</v>
      </c>
      <c r="CP27" s="443">
        <f t="shared" si="50"/>
        <v>42.8</v>
      </c>
      <c r="CQ27" s="443"/>
      <c r="CR27" s="217">
        <f t="shared" si="113"/>
        <v>0.43925233644859818</v>
      </c>
      <c r="CS27" s="172">
        <f t="shared" si="114"/>
        <v>32.688545968267775</v>
      </c>
      <c r="CT27" s="172">
        <f t="shared" si="51"/>
        <v>2.6355140186915893</v>
      </c>
      <c r="CU27" s="217">
        <f t="shared" si="52"/>
        <v>8.1721364920669437</v>
      </c>
      <c r="CV27" s="217">
        <f t="shared" si="53"/>
        <v>1.816030331570432</v>
      </c>
      <c r="CW27" s="443">
        <f t="shared" si="54"/>
        <v>4</v>
      </c>
      <c r="CX27" s="217">
        <f t="shared" si="55"/>
        <v>1.0768297872340424</v>
      </c>
      <c r="CY27" s="217">
        <f t="shared" si="56"/>
        <v>0.53841489361702122</v>
      </c>
      <c r="CZ27" s="217">
        <f t="shared" si="57"/>
        <v>0.68733816206428244</v>
      </c>
      <c r="DA27" s="197">
        <f t="shared" si="58"/>
        <v>350</v>
      </c>
      <c r="DB27" s="443">
        <f t="shared" si="115"/>
        <v>350</v>
      </c>
      <c r="DD27" s="217">
        <f t="shared" si="59"/>
        <v>2.5100133511348464</v>
      </c>
      <c r="DE27" s="173">
        <f t="shared" si="60"/>
        <v>1.6021361815754336</v>
      </c>
      <c r="DF27" s="173">
        <f t="shared" si="61"/>
        <v>2.8149682442633783</v>
      </c>
      <c r="DG27" s="173"/>
      <c r="DH27" s="173">
        <f t="shared" si="62"/>
        <v>0.85106382978723416</v>
      </c>
      <c r="DI27" s="545">
        <f t="shared" si="63"/>
        <v>581.62499999999989</v>
      </c>
      <c r="DJ27" s="528">
        <f t="shared" si="64"/>
        <v>0.79432624113475192</v>
      </c>
      <c r="DL27" s="173">
        <f t="shared" si="65"/>
        <v>1.6440368435218058</v>
      </c>
      <c r="DM27" s="173">
        <f t="shared" si="66"/>
        <v>1.6440368435218058</v>
      </c>
      <c r="DN27" s="173">
        <f t="shared" si="67"/>
        <v>1.4301507482877573</v>
      </c>
      <c r="DP27" s="545">
        <f t="shared" si="68"/>
        <v>1320</v>
      </c>
      <c r="DQ27" s="460">
        <f t="shared" si="69"/>
        <v>350</v>
      </c>
      <c r="DS27">
        <f t="shared" si="116"/>
        <v>1320</v>
      </c>
      <c r="DT27" s="460">
        <f t="shared" si="70"/>
        <v>350</v>
      </c>
      <c r="DU27" s="460"/>
      <c r="DV27" s="5">
        <f t="shared" si="117"/>
        <v>2.8571428571428572</v>
      </c>
      <c r="DW27" s="5">
        <f t="shared" si="71"/>
        <v>0.82201842176090301</v>
      </c>
      <c r="DX27" s="5">
        <f t="shared" si="118"/>
        <v>2.0351244353819542</v>
      </c>
      <c r="DY27" s="173">
        <f t="shared" si="119"/>
        <v>0.28770644761631603</v>
      </c>
      <c r="EA27" s="5">
        <f t="shared" si="72"/>
        <v>27.126607918109801</v>
      </c>
      <c r="EB27" s="5">
        <f t="shared" si="73"/>
        <v>0.1004689182152215</v>
      </c>
      <c r="EC27" s="5">
        <f t="shared" si="74"/>
        <v>0.37310614648669155</v>
      </c>
      <c r="ED27" s="5"/>
      <c r="EE27" s="173">
        <f t="shared" si="120"/>
        <v>0.50912651570633349</v>
      </c>
      <c r="EF27" s="173">
        <f t="shared" si="75"/>
        <v>3.2043534685352286</v>
      </c>
      <c r="EG27" s="173">
        <f t="shared" si="76"/>
        <v>6.1055924197765843E-2</v>
      </c>
      <c r="EH27" s="173"/>
      <c r="EI27" s="528">
        <f t="shared" si="77"/>
        <v>3.1623596697423115E-3</v>
      </c>
      <c r="EJ27" s="528">
        <f t="shared" si="78"/>
        <v>0.49255343831913301</v>
      </c>
      <c r="EK27" s="528">
        <f t="shared" si="79"/>
        <v>4.3749999999999997E-2</v>
      </c>
      <c r="EL27" s="528">
        <f t="shared" si="80"/>
        <v>6.4114399999999988E-2</v>
      </c>
      <c r="EM27">
        <f t="shared" si="81"/>
        <v>1.0800000000000001E-2</v>
      </c>
      <c r="EN27" s="460">
        <f t="shared" si="121"/>
        <v>54.550000000000004</v>
      </c>
      <c r="EO27">
        <f t="shared" si="82"/>
        <v>0.61569665519453876</v>
      </c>
      <c r="EP27" s="460">
        <f t="shared" si="122"/>
        <v>615.69665519453872</v>
      </c>
      <c r="EQ27" s="173">
        <f t="shared" si="83"/>
        <v>0.82004999999999995</v>
      </c>
      <c r="ER27" s="173">
        <f t="shared" si="84"/>
        <v>9.7625000000000003E-3</v>
      </c>
      <c r="ES27" s="528"/>
      <c r="EU27" s="460">
        <f t="shared" si="123"/>
        <v>829.8125</v>
      </c>
      <c r="EV27" s="528">
        <f t="shared" si="85"/>
        <v>7.7762942698581432E-3</v>
      </c>
      <c r="EW27" s="528">
        <f t="shared" si="124"/>
        <v>0.30803643453941248</v>
      </c>
      <c r="EX27" s="528">
        <f t="shared" si="86"/>
        <v>1.8639129398216641E-5</v>
      </c>
      <c r="EY27" s="528">
        <f t="shared" si="87"/>
        <v>0.39711745838723694</v>
      </c>
      <c r="EZ27" s="528">
        <f t="shared" si="88"/>
        <v>0.80919385890195217</v>
      </c>
      <c r="FA27" s="625">
        <f t="shared" si="89"/>
        <v>2.3649999999999997E-2</v>
      </c>
      <c r="FB27" s="460">
        <f t="shared" si="125"/>
        <v>832.8438589019521</v>
      </c>
      <c r="FC27" s="173">
        <f t="shared" si="126"/>
        <v>2.2783530140964907</v>
      </c>
      <c r="FD27" s="5">
        <f t="shared" si="127"/>
        <v>5.6760000000000002</v>
      </c>
      <c r="FE27" s="173">
        <f t="shared" si="128"/>
        <v>0.71357154880367335</v>
      </c>
      <c r="FF27" s="5">
        <f t="shared" si="129"/>
        <v>71.357154880367332</v>
      </c>
      <c r="FG27">
        <f t="shared" si="130"/>
        <v>22</v>
      </c>
      <c r="FI27" s="562">
        <f t="shared" si="90"/>
        <v>-50</v>
      </c>
      <c r="FJ27">
        <f t="shared" si="91"/>
        <v>-50</v>
      </c>
      <c r="FL27">
        <f t="shared" si="92"/>
        <v>0.38398803172838381</v>
      </c>
    </row>
    <row r="28" spans="5:168">
      <c r="E28" s="170">
        <v>23</v>
      </c>
      <c r="F28" s="217">
        <f t="shared" si="131"/>
        <v>1.3800000000000001</v>
      </c>
      <c r="G28" s="217">
        <f t="shared" si="93"/>
        <v>2.3000000000000003E-2</v>
      </c>
      <c r="H28" s="217">
        <f t="shared" si="0"/>
        <v>5.5200000000000005</v>
      </c>
      <c r="I28" s="217">
        <f t="shared" si="132"/>
        <v>0.41400000000000003</v>
      </c>
      <c r="J28" s="541">
        <f t="shared" si="1"/>
        <v>23.953420369028208</v>
      </c>
      <c r="K28" s="443">
        <f t="shared" si="2"/>
        <v>19.221783966368701</v>
      </c>
      <c r="L28" s="172">
        <f t="shared" si="3"/>
        <v>43.175204335396913</v>
      </c>
      <c r="M28" s="443"/>
      <c r="N28" s="217">
        <f t="shared" si="4"/>
        <v>0.44520423845706841</v>
      </c>
      <c r="O28" s="172">
        <f t="shared" si="94"/>
        <v>33.067176042899952</v>
      </c>
      <c r="P28" s="172">
        <f t="shared" si="5"/>
        <v>2.6660410684588087</v>
      </c>
      <c r="Q28" s="217">
        <f t="shared" si="6"/>
        <v>8.266794010724988</v>
      </c>
      <c r="R28" s="217">
        <f t="shared" si="7"/>
        <v>1.837065335716664</v>
      </c>
      <c r="S28" s="443">
        <f t="shared" si="8"/>
        <v>4</v>
      </c>
      <c r="T28" s="217">
        <f t="shared" si="9"/>
        <v>1.1128860823269953</v>
      </c>
      <c r="U28" s="217">
        <f t="shared" si="10"/>
        <v>0.55752509588114996</v>
      </c>
      <c r="V28" s="217">
        <f t="shared" si="11"/>
        <v>0.69476553327671409</v>
      </c>
      <c r="W28" s="197">
        <f t="shared" si="12"/>
        <v>350</v>
      </c>
      <c r="X28" s="443">
        <f t="shared" si="95"/>
        <v>350</v>
      </c>
      <c r="Z28" s="217">
        <f t="shared" si="13"/>
        <v>2.5390867318655319</v>
      </c>
      <c r="AA28" s="173">
        <f t="shared" si="14"/>
        <v>1.5851307472655187</v>
      </c>
      <c r="AB28" s="173">
        <f t="shared" si="15"/>
        <v>2.8173491140577824</v>
      </c>
      <c r="AC28" s="173"/>
      <c r="AD28" s="173">
        <f t="shared" si="16"/>
        <v>0.83238892019566568</v>
      </c>
      <c r="AE28" s="545">
        <f t="shared" si="17"/>
        <v>621.70457516223757</v>
      </c>
      <c r="AF28" s="528">
        <f t="shared" si="18"/>
        <v>0.77689632551595467</v>
      </c>
      <c r="AH28" s="173">
        <f t="shared" si="19"/>
        <v>1.680986105152058</v>
      </c>
      <c r="AI28" s="173">
        <f t="shared" si="20"/>
        <v>1.680986105152058</v>
      </c>
      <c r="AJ28" s="173">
        <f t="shared" si="21"/>
        <v>1.4575205717175737</v>
      </c>
      <c r="AL28" s="545">
        <f t="shared" si="22"/>
        <v>1380.0000000000002</v>
      </c>
      <c r="AM28" s="460">
        <f t="shared" si="23"/>
        <v>350</v>
      </c>
      <c r="AO28">
        <f t="shared" si="96"/>
        <v>1380.0000000000002</v>
      </c>
      <c r="AP28" s="460">
        <f t="shared" si="24"/>
        <v>350</v>
      </c>
      <c r="AQ28" s="460"/>
      <c r="AR28" s="5">
        <f t="shared" si="97"/>
        <v>2.8571428571428572</v>
      </c>
      <c r="AS28" s="5">
        <f t="shared" si="25"/>
        <v>0.84212746868947763</v>
      </c>
      <c r="AT28" s="5">
        <f t="shared" si="98"/>
        <v>2.0150153884533797</v>
      </c>
      <c r="AU28" s="173">
        <f t="shared" si="99"/>
        <v>0.29474461404131719</v>
      </c>
      <c r="AW28" s="5">
        <f t="shared" si="26"/>
        <v>29.053397669786978</v>
      </c>
      <c r="AX28" s="5">
        <f t="shared" si="27"/>
        <v>0.10760517655476662</v>
      </c>
      <c r="AY28" s="5">
        <f t="shared" si="28"/>
        <v>0.38696230617947414</v>
      </c>
      <c r="AZ28" s="5"/>
      <c r="BA28" s="173">
        <f t="shared" si="100"/>
        <v>0.52689786060611199</v>
      </c>
      <c r="BB28" s="173">
        <f t="shared" si="29"/>
        <v>3.2601433254222774</v>
      </c>
      <c r="BC28" s="173">
        <f t="shared" si="30"/>
        <v>6.2118947146559612E-2</v>
      </c>
      <c r="BD28" s="173"/>
      <c r="BE28" s="528">
        <f t="shared" si="31"/>
        <v>3.3869805372378327E-3</v>
      </c>
      <c r="BF28" s="528">
        <f t="shared" si="32"/>
        <v>0.47628602814780163</v>
      </c>
      <c r="BG28" s="528">
        <f t="shared" si="33"/>
        <v>0.20959242822899682</v>
      </c>
      <c r="BH28" s="528">
        <f t="shared" si="34"/>
        <v>6.5243439429114675E-2</v>
      </c>
      <c r="BI28">
        <f t="shared" si="35"/>
        <v>1.0779039166062694E-2</v>
      </c>
      <c r="BJ28" s="460">
        <f t="shared" si="101"/>
        <v>220.37146739505951</v>
      </c>
      <c r="BK28">
        <f t="shared" si="36"/>
        <v>0.54627054220742699</v>
      </c>
      <c r="BL28" s="460">
        <f t="shared" si="102"/>
        <v>546.27054220742696</v>
      </c>
      <c r="BM28" s="173">
        <f t="shared" si="37"/>
        <v>0.85732499999999989</v>
      </c>
      <c r="BN28" s="173">
        <f t="shared" si="38"/>
        <v>1.020625E-2</v>
      </c>
      <c r="BO28" s="528"/>
      <c r="BQ28" s="460">
        <f t="shared" si="103"/>
        <v>867.53124999999989</v>
      </c>
      <c r="BR28" s="528">
        <f t="shared" si="39"/>
        <v>8.3286406653389333E-3</v>
      </c>
      <c r="BS28" s="528">
        <f t="shared" si="104"/>
        <v>0.31885603506886273</v>
      </c>
      <c r="BT28" s="528">
        <f t="shared" si="40"/>
        <v>1.9293817972985335E-5</v>
      </c>
      <c r="BU28" s="528">
        <f t="shared" si="41"/>
        <v>0.41980772342972644</v>
      </c>
      <c r="BV28" s="528">
        <f t="shared" si="42"/>
        <v>0.84773112480638935</v>
      </c>
      <c r="BW28" s="625">
        <f t="shared" si="43"/>
        <v>2.4725000000000004E-2</v>
      </c>
      <c r="BX28" s="460">
        <f t="shared" si="105"/>
        <v>872.45612480638931</v>
      </c>
      <c r="BY28" s="173">
        <f t="shared" si="106"/>
        <v>2.2862579170138164</v>
      </c>
      <c r="BZ28" s="5">
        <f t="shared" si="107"/>
        <v>5.9340000000000002</v>
      </c>
      <c r="CA28" s="173">
        <f t="shared" si="108"/>
        <v>0.72187516011123554</v>
      </c>
      <c r="CB28" s="5">
        <f t="shared" si="109"/>
        <v>72.187516011123549</v>
      </c>
      <c r="CC28">
        <f t="shared" si="110"/>
        <v>23</v>
      </c>
      <c r="CE28" s="562">
        <f t="shared" si="44"/>
        <v>-50</v>
      </c>
      <c r="CF28">
        <f t="shared" si="45"/>
        <v>-50</v>
      </c>
      <c r="CG28" s="173">
        <f t="shared" si="46"/>
        <v>0.3926180538006534</v>
      </c>
      <c r="CH28" s="173">
        <f t="shared" si="47"/>
        <v>0.10056146137916123</v>
      </c>
      <c r="CI28" s="170">
        <v>23</v>
      </c>
      <c r="CJ28" s="217">
        <f t="shared" si="133"/>
        <v>1.3800000000000001</v>
      </c>
      <c r="CK28" s="217">
        <f t="shared" si="111"/>
        <v>2.3000000000000003E-2</v>
      </c>
      <c r="CL28" s="217">
        <f t="shared" si="48"/>
        <v>5.5200000000000005</v>
      </c>
      <c r="CM28" s="217">
        <f t="shared" si="134"/>
        <v>0.41400000000000003</v>
      </c>
      <c r="CN28" s="541">
        <f t="shared" si="112"/>
        <v>24</v>
      </c>
      <c r="CO28" s="443">
        <f t="shared" si="49"/>
        <v>18.8</v>
      </c>
      <c r="CP28" s="443">
        <f t="shared" si="50"/>
        <v>42.8</v>
      </c>
      <c r="CQ28" s="443"/>
      <c r="CR28" s="217">
        <f t="shared" si="113"/>
        <v>0.43925233644859818</v>
      </c>
      <c r="CS28" s="172">
        <f t="shared" si="114"/>
        <v>32.688545968267775</v>
      </c>
      <c r="CT28" s="172">
        <f t="shared" si="51"/>
        <v>2.6355140186915893</v>
      </c>
      <c r="CU28" s="217">
        <f t="shared" si="52"/>
        <v>8.1721364920669437</v>
      </c>
      <c r="CV28" s="217">
        <f t="shared" si="53"/>
        <v>1.816030331570432</v>
      </c>
      <c r="CW28" s="443">
        <f t="shared" si="54"/>
        <v>4</v>
      </c>
      <c r="CX28" s="217">
        <f t="shared" si="55"/>
        <v>1.1257765957446806</v>
      </c>
      <c r="CY28" s="217">
        <f t="shared" si="56"/>
        <v>0.56288829787234029</v>
      </c>
      <c r="CZ28" s="217">
        <f t="shared" si="57"/>
        <v>0.71858080579447703</v>
      </c>
      <c r="DA28" s="197">
        <f t="shared" si="58"/>
        <v>350</v>
      </c>
      <c r="DB28" s="443">
        <f t="shared" si="115"/>
        <v>350</v>
      </c>
      <c r="DD28" s="217">
        <f t="shared" si="59"/>
        <v>2.5100133511348464</v>
      </c>
      <c r="DE28" s="173">
        <f t="shared" si="60"/>
        <v>1.6021361815754336</v>
      </c>
      <c r="DF28" s="173">
        <f t="shared" si="61"/>
        <v>2.8149682442633783</v>
      </c>
      <c r="DG28" s="173"/>
      <c r="DH28" s="173">
        <f t="shared" si="62"/>
        <v>0.85106382978723416</v>
      </c>
      <c r="DI28" s="545">
        <f t="shared" si="63"/>
        <v>608.06249999999989</v>
      </c>
      <c r="DJ28" s="528">
        <f t="shared" si="64"/>
        <v>0.79432624113475192</v>
      </c>
      <c r="DL28" s="173">
        <f t="shared" si="65"/>
        <v>1.680986105152058</v>
      </c>
      <c r="DM28" s="173">
        <f t="shared" si="66"/>
        <v>1.680986105152058</v>
      </c>
      <c r="DN28" s="173">
        <f t="shared" si="67"/>
        <v>1.4575205717175737</v>
      </c>
      <c r="DP28" s="545">
        <f t="shared" si="68"/>
        <v>1380.0000000000002</v>
      </c>
      <c r="DQ28" s="460">
        <f t="shared" si="69"/>
        <v>350</v>
      </c>
      <c r="DS28">
        <f t="shared" si="116"/>
        <v>1380.0000000000002</v>
      </c>
      <c r="DT28" s="460">
        <f t="shared" si="70"/>
        <v>350</v>
      </c>
      <c r="DU28" s="460"/>
      <c r="DV28" s="5">
        <f t="shared" si="117"/>
        <v>2.8571428571428572</v>
      </c>
      <c r="DW28" s="5">
        <f t="shared" si="71"/>
        <v>0.84049305257602902</v>
      </c>
      <c r="DX28" s="5">
        <f t="shared" si="118"/>
        <v>2.0166498045668284</v>
      </c>
      <c r="DY28" s="173">
        <f t="shared" si="119"/>
        <v>0.29417256840161016</v>
      </c>
      <c r="EA28" s="5">
        <f t="shared" si="72"/>
        <v>28.997010313873009</v>
      </c>
      <c r="EB28" s="5">
        <f t="shared" si="73"/>
        <v>0.10739633449582593</v>
      </c>
      <c r="EC28" s="5">
        <f t="shared" si="74"/>
        <v>0.38652454587530871</v>
      </c>
      <c r="ED28" s="5"/>
      <c r="EE28" s="173">
        <f t="shared" si="120"/>
        <v>0.52638630586217849</v>
      </c>
      <c r="EF28" s="173">
        <f t="shared" si="75"/>
        <v>3.2614652385834955</v>
      </c>
      <c r="EG28" s="173">
        <f t="shared" si="76"/>
        <v>6.2144134951388229E-2</v>
      </c>
      <c r="EH28" s="173"/>
      <c r="EI28" s="528">
        <f t="shared" si="77"/>
        <v>3.3804070245906166E-3</v>
      </c>
      <c r="EJ28" s="528">
        <f t="shared" si="78"/>
        <v>0.5036234371035565</v>
      </c>
      <c r="EK28" s="528">
        <f t="shared" si="79"/>
        <v>4.3749999999999997E-2</v>
      </c>
      <c r="EL28" s="528">
        <f t="shared" si="80"/>
        <v>6.4114399999999988E-2</v>
      </c>
      <c r="EM28">
        <f t="shared" si="81"/>
        <v>1.0800000000000001E-2</v>
      </c>
      <c r="EN28" s="460">
        <f t="shared" si="121"/>
        <v>54.550000000000004</v>
      </c>
      <c r="EO28">
        <f t="shared" si="82"/>
        <v>0.62708461880188415</v>
      </c>
      <c r="EP28" s="460">
        <f t="shared" si="122"/>
        <v>627.08461880188418</v>
      </c>
      <c r="EQ28" s="173">
        <f t="shared" si="83"/>
        <v>0.85732499999999989</v>
      </c>
      <c r="ER28" s="173">
        <f t="shared" si="84"/>
        <v>1.020625E-2</v>
      </c>
      <c r="ES28" s="528"/>
      <c r="EU28" s="460">
        <f t="shared" si="123"/>
        <v>867.53124999999989</v>
      </c>
      <c r="EV28" s="528">
        <f t="shared" si="85"/>
        <v>8.3124762899769271E-3</v>
      </c>
      <c r="EW28" s="528">
        <f t="shared" si="124"/>
        <v>0.31911466507465491</v>
      </c>
      <c r="EX28" s="528">
        <f t="shared" si="86"/>
        <v>1.9309467544281761E-5</v>
      </c>
      <c r="EY28" s="528">
        <f t="shared" si="87"/>
        <v>0.41980772342972644</v>
      </c>
      <c r="EZ28" s="528">
        <f t="shared" si="88"/>
        <v>0.84805677700025761</v>
      </c>
      <c r="FA28" s="625">
        <f t="shared" si="89"/>
        <v>2.4725000000000004E-2</v>
      </c>
      <c r="FB28" s="460">
        <f t="shared" si="125"/>
        <v>872.78177700025765</v>
      </c>
      <c r="FC28" s="173">
        <f t="shared" si="126"/>
        <v>2.367397645802142</v>
      </c>
      <c r="FD28" s="5">
        <f t="shared" si="127"/>
        <v>5.9340000000000002</v>
      </c>
      <c r="FE28" s="173">
        <f t="shared" si="128"/>
        <v>0.714819389841024</v>
      </c>
      <c r="FF28" s="5">
        <f t="shared" si="129"/>
        <v>71.481938984102399</v>
      </c>
      <c r="FG28">
        <f t="shared" si="130"/>
        <v>23</v>
      </c>
      <c r="FI28" s="562">
        <f t="shared" si="90"/>
        <v>-50</v>
      </c>
      <c r="FJ28">
        <f t="shared" si="91"/>
        <v>-50</v>
      </c>
      <c r="FL28">
        <f t="shared" si="92"/>
        <v>0.3926180538006534</v>
      </c>
    </row>
    <row r="29" spans="5:168">
      <c r="E29" s="170">
        <v>24</v>
      </c>
      <c r="F29" s="217">
        <f t="shared" si="131"/>
        <v>1.44</v>
      </c>
      <c r="G29" s="217">
        <f t="shared" si="93"/>
        <v>2.4E-2</v>
      </c>
      <c r="H29" s="217">
        <f t="shared" si="0"/>
        <v>5.76</v>
      </c>
      <c r="I29" s="217">
        <f t="shared" si="132"/>
        <v>0.432</v>
      </c>
      <c r="J29" s="541">
        <f t="shared" si="1"/>
        <v>23.952418541921915</v>
      </c>
      <c r="K29" s="443">
        <f t="shared" si="2"/>
        <v>19.230855627128825</v>
      </c>
      <c r="L29" s="172">
        <f t="shared" si="3"/>
        <v>43.18327416905074</v>
      </c>
      <c r="M29" s="443"/>
      <c r="N29" s="217">
        <f t="shared" si="4"/>
        <v>0.4453311148164743</v>
      </c>
      <c r="O29" s="172">
        <f t="shared" si="94"/>
        <v>33.075216284728299</v>
      </c>
      <c r="P29" s="172">
        <f t="shared" si="5"/>
        <v>2.666689312956219</v>
      </c>
      <c r="Q29" s="217">
        <f t="shared" si="6"/>
        <v>8.2688040711820747</v>
      </c>
      <c r="R29" s="217">
        <f t="shared" si="7"/>
        <v>1.8375120158182388</v>
      </c>
      <c r="S29" s="443">
        <f t="shared" si="8"/>
        <v>4</v>
      </c>
      <c r="T29" s="217">
        <f t="shared" si="9"/>
        <v>1.160990140455417</v>
      </c>
      <c r="U29" s="217">
        <f t="shared" si="10"/>
        <v>0.58164822316715936</v>
      </c>
      <c r="V29" s="217">
        <f t="shared" si="11"/>
        <v>0.7244545929517251</v>
      </c>
      <c r="W29" s="197">
        <f t="shared" si="12"/>
        <v>350</v>
      </c>
      <c r="X29" s="443">
        <f t="shared" si="95"/>
        <v>350</v>
      </c>
      <c r="Z29" s="217">
        <f t="shared" si="13"/>
        <v>2.5397041075773519</v>
      </c>
      <c r="AA29" s="173">
        <f t="shared" si="14"/>
        <v>1.584768243381502</v>
      </c>
      <c r="AB29" s="173">
        <f t="shared" si="15"/>
        <v>2.8173896920919019</v>
      </c>
      <c r="AC29" s="173"/>
      <c r="AD29" s="173">
        <f t="shared" si="16"/>
        <v>0.83199626216469125</v>
      </c>
      <c r="AE29" s="545">
        <f t="shared" si="17"/>
        <v>649.04137741559771</v>
      </c>
      <c r="AF29" s="528">
        <f t="shared" si="18"/>
        <v>0.77652984468704533</v>
      </c>
      <c r="AH29" s="173">
        <f t="shared" si="19"/>
        <v>1.7171404801504822</v>
      </c>
      <c r="AI29" s="173">
        <f t="shared" si="20"/>
        <v>1.7171404801504822</v>
      </c>
      <c r="AJ29" s="173">
        <f t="shared" si="21"/>
        <v>1.4843015902349248</v>
      </c>
      <c r="AL29" s="545">
        <f t="shared" si="22"/>
        <v>1440</v>
      </c>
      <c r="AM29" s="460">
        <f t="shared" si="23"/>
        <v>350</v>
      </c>
      <c r="AO29">
        <f t="shared" si="96"/>
        <v>1440</v>
      </c>
      <c r="AP29" s="460">
        <f t="shared" si="24"/>
        <v>350</v>
      </c>
      <c r="AQ29" s="460"/>
      <c r="AR29" s="5">
        <f t="shared" si="97"/>
        <v>2.8571428571428572</v>
      </c>
      <c r="AS29" s="5">
        <f t="shared" si="25"/>
        <v>0.86027578909166846</v>
      </c>
      <c r="AT29" s="5">
        <f t="shared" si="98"/>
        <v>1.9968670680511886</v>
      </c>
      <c r="AU29" s="173">
        <f t="shared" si="99"/>
        <v>0.30109652618208393</v>
      </c>
      <c r="AW29" s="5">
        <f t="shared" si="26"/>
        <v>30.969928407300063</v>
      </c>
      <c r="AX29" s="5">
        <f t="shared" si="27"/>
        <v>0.1147034385455558</v>
      </c>
      <c r="AY29" s="5">
        <f t="shared" si="28"/>
        <v>0.40016676854030198</v>
      </c>
      <c r="AZ29" s="5"/>
      <c r="BA29" s="173">
        <f t="shared" si="100"/>
        <v>0.54399896272652382</v>
      </c>
      <c r="BB29" s="173">
        <f t="shared" si="29"/>
        <v>3.3152309636816772</v>
      </c>
      <c r="BC29" s="173">
        <f t="shared" si="30"/>
        <v>6.3168589983664383E-2</v>
      </c>
      <c r="BD29" s="173"/>
      <c r="BE29" s="528">
        <f t="shared" si="31"/>
        <v>3.6104054316599124E-3</v>
      </c>
      <c r="BF29" s="528">
        <f t="shared" si="32"/>
        <v>0.48662084717605864</v>
      </c>
      <c r="BG29" s="528">
        <f t="shared" si="33"/>
        <v>0.20958366224181674</v>
      </c>
      <c r="BH29" s="528">
        <f t="shared" si="34"/>
        <v>6.5267830878579167E-2</v>
      </c>
      <c r="BI29">
        <f t="shared" si="35"/>
        <v>1.0778588343864862E-2</v>
      </c>
      <c r="BJ29" s="460">
        <f t="shared" si="101"/>
        <v>220.36225058568161</v>
      </c>
      <c r="BK29">
        <f t="shared" si="36"/>
        <v>0.55695166409686869</v>
      </c>
      <c r="BL29" s="460">
        <f t="shared" si="102"/>
        <v>556.95166409686874</v>
      </c>
      <c r="BM29" s="173">
        <f t="shared" si="37"/>
        <v>0.89459999999999995</v>
      </c>
      <c r="BN29" s="173">
        <f t="shared" si="38"/>
        <v>1.065E-2</v>
      </c>
      <c r="BO29" s="528"/>
      <c r="BQ29" s="460">
        <f t="shared" si="103"/>
        <v>905.25</v>
      </c>
      <c r="BR29" s="528">
        <f t="shared" si="39"/>
        <v>8.8780461434260147E-3</v>
      </c>
      <c r="BS29" s="528">
        <f t="shared" si="104"/>
        <v>0.32972269027661227</v>
      </c>
      <c r="BT29" s="528">
        <f t="shared" si="40"/>
        <v>1.9951353802621521E-5</v>
      </c>
      <c r="BU29" s="528">
        <f t="shared" si="41"/>
        <v>0.44274603583664407</v>
      </c>
      <c r="BV29" s="528">
        <f t="shared" si="42"/>
        <v>0.88665486303944174</v>
      </c>
      <c r="BW29" s="625">
        <f t="shared" si="43"/>
        <v>2.58E-2</v>
      </c>
      <c r="BX29" s="460">
        <f t="shared" si="105"/>
        <v>912.45486303944176</v>
      </c>
      <c r="BY29" s="173">
        <f t="shared" si="106"/>
        <v>2.37465652713631</v>
      </c>
      <c r="BZ29" s="5">
        <f t="shared" si="107"/>
        <v>6.1920000000000002</v>
      </c>
      <c r="CA29" s="173">
        <f t="shared" si="108"/>
        <v>0.72280241193116712</v>
      </c>
      <c r="CB29" s="5">
        <f t="shared" si="109"/>
        <v>72.280241193116709</v>
      </c>
      <c r="CC29">
        <f t="shared" si="110"/>
        <v>24</v>
      </c>
      <c r="CE29" s="562">
        <f t="shared" si="44"/>
        <v>-50</v>
      </c>
      <c r="CF29">
        <f t="shared" si="45"/>
        <v>-50</v>
      </c>
      <c r="CG29" s="173">
        <f t="shared" si="46"/>
        <v>0.40106241886991506</v>
      </c>
      <c r="CH29" s="173">
        <f t="shared" si="47"/>
        <v>0.10272432088998562</v>
      </c>
      <c r="CI29" s="170">
        <v>24</v>
      </c>
      <c r="CJ29" s="217">
        <f t="shared" si="133"/>
        <v>1.44</v>
      </c>
      <c r="CK29" s="217">
        <f t="shared" si="111"/>
        <v>2.4E-2</v>
      </c>
      <c r="CL29" s="217">
        <f t="shared" si="48"/>
        <v>5.76</v>
      </c>
      <c r="CM29" s="217">
        <f t="shared" si="134"/>
        <v>0.432</v>
      </c>
      <c r="CN29" s="541">
        <f t="shared" si="112"/>
        <v>24</v>
      </c>
      <c r="CO29" s="443">
        <f t="shared" si="49"/>
        <v>18.8</v>
      </c>
      <c r="CP29" s="443">
        <f t="shared" si="50"/>
        <v>42.8</v>
      </c>
      <c r="CQ29" s="443"/>
      <c r="CR29" s="217">
        <f t="shared" si="113"/>
        <v>0.43925233644859818</v>
      </c>
      <c r="CS29" s="172">
        <f t="shared" si="114"/>
        <v>32.688545968267775</v>
      </c>
      <c r="CT29" s="172">
        <f t="shared" si="51"/>
        <v>2.6355140186915893</v>
      </c>
      <c r="CU29" s="217">
        <f t="shared" si="52"/>
        <v>8.1721364920669437</v>
      </c>
      <c r="CV29" s="217">
        <f t="shared" si="53"/>
        <v>1.816030331570432</v>
      </c>
      <c r="CW29" s="443">
        <f t="shared" si="54"/>
        <v>4</v>
      </c>
      <c r="CX29" s="217">
        <f t="shared" si="55"/>
        <v>1.174723404255319</v>
      </c>
      <c r="CY29" s="217">
        <f t="shared" si="56"/>
        <v>0.58736170212765948</v>
      </c>
      <c r="CZ29" s="217">
        <f t="shared" si="57"/>
        <v>0.74982344952467173</v>
      </c>
      <c r="DA29" s="197">
        <f t="shared" si="58"/>
        <v>350</v>
      </c>
      <c r="DB29" s="443">
        <f t="shared" si="115"/>
        <v>350</v>
      </c>
      <c r="DD29" s="217">
        <f t="shared" si="59"/>
        <v>2.5100133511348464</v>
      </c>
      <c r="DE29" s="173">
        <f t="shared" si="60"/>
        <v>1.6021361815754336</v>
      </c>
      <c r="DF29" s="173">
        <f t="shared" si="61"/>
        <v>2.8149682442633783</v>
      </c>
      <c r="DG29" s="173"/>
      <c r="DH29" s="173">
        <f t="shared" si="62"/>
        <v>0.85106382978723416</v>
      </c>
      <c r="DI29" s="545">
        <f t="shared" si="63"/>
        <v>634.49999999999989</v>
      </c>
      <c r="DJ29" s="528">
        <f t="shared" si="64"/>
        <v>0.79432624113475192</v>
      </c>
      <c r="DL29" s="173">
        <f t="shared" si="65"/>
        <v>1.7171404801504822</v>
      </c>
      <c r="DM29" s="173">
        <f t="shared" si="66"/>
        <v>1.7171404801504822</v>
      </c>
      <c r="DN29" s="173">
        <f t="shared" si="67"/>
        <v>1.4843015902349248</v>
      </c>
      <c r="DP29" s="545">
        <f t="shared" si="68"/>
        <v>1440</v>
      </c>
      <c r="DQ29" s="460">
        <f t="shared" si="69"/>
        <v>350</v>
      </c>
      <c r="DS29">
        <f t="shared" si="116"/>
        <v>1440</v>
      </c>
      <c r="DT29" s="460">
        <f t="shared" si="70"/>
        <v>350</v>
      </c>
      <c r="DU29" s="460"/>
      <c r="DV29" s="5">
        <f t="shared" si="117"/>
        <v>2.8571428571428572</v>
      </c>
      <c r="DW29" s="5">
        <f t="shared" si="71"/>
        <v>0.85857024007524119</v>
      </c>
      <c r="DX29" s="5">
        <f t="shared" si="118"/>
        <v>1.9985726170676159</v>
      </c>
      <c r="DY29" s="173">
        <f t="shared" si="119"/>
        <v>0.30049958402633442</v>
      </c>
      <c r="EA29" s="5">
        <f t="shared" si="72"/>
        <v>30.908528642708681</v>
      </c>
      <c r="EB29" s="5">
        <f t="shared" si="73"/>
        <v>0.11447603201003215</v>
      </c>
      <c r="EC29" s="5">
        <f t="shared" si="74"/>
        <v>0.39971452341352309</v>
      </c>
      <c r="ED29" s="5"/>
      <c r="EE29" s="173">
        <f t="shared" si="120"/>
        <v>0.54345943968789701</v>
      </c>
      <c r="EF29" s="173">
        <f t="shared" si="75"/>
        <v>3.3166464515139618</v>
      </c>
      <c r="EG29" s="173">
        <f t="shared" si="76"/>
        <v>6.31955607653336E-2</v>
      </c>
      <c r="EH29" s="173"/>
      <c r="EI29" s="528">
        <f t="shared" si="77"/>
        <v>3.6032475835477721E-3</v>
      </c>
      <c r="EJ29" s="528">
        <f t="shared" si="78"/>
        <v>0.51445528785308448</v>
      </c>
      <c r="EK29" s="528">
        <f t="shared" si="79"/>
        <v>4.3749999999999997E-2</v>
      </c>
      <c r="EL29" s="528">
        <f t="shared" si="80"/>
        <v>6.4114399999999988E-2</v>
      </c>
      <c r="EM29">
        <f t="shared" si="81"/>
        <v>1.0800000000000001E-2</v>
      </c>
      <c r="EN29" s="460">
        <f t="shared" si="121"/>
        <v>54.550000000000004</v>
      </c>
      <c r="EO29">
        <f t="shared" si="82"/>
        <v>0.63824223164365401</v>
      </c>
      <c r="EP29" s="460">
        <f t="shared" si="122"/>
        <v>638.24223164365401</v>
      </c>
      <c r="EQ29" s="173">
        <f t="shared" si="83"/>
        <v>0.89459999999999995</v>
      </c>
      <c r="ER29" s="173">
        <f t="shared" si="84"/>
        <v>1.065E-2</v>
      </c>
      <c r="ES29" s="528"/>
      <c r="EU29" s="460">
        <f t="shared" si="123"/>
        <v>905.25</v>
      </c>
      <c r="EV29" s="528">
        <f t="shared" si="85"/>
        <v>8.8604448775764892E-3</v>
      </c>
      <c r="EW29" s="528">
        <f t="shared" si="124"/>
        <v>0.33000431053020463</v>
      </c>
      <c r="EX29" s="528">
        <f t="shared" si="86"/>
        <v>1.9968394502224859E-5</v>
      </c>
      <c r="EY29" s="528">
        <f t="shared" si="87"/>
        <v>0.44274603583664407</v>
      </c>
      <c r="EZ29" s="528">
        <f t="shared" si="88"/>
        <v>0.88701064186163259</v>
      </c>
      <c r="FA29" s="625">
        <f t="shared" si="89"/>
        <v>2.58E-2</v>
      </c>
      <c r="FB29" s="460">
        <f t="shared" si="125"/>
        <v>912.81064186163258</v>
      </c>
      <c r="FC29" s="173">
        <f t="shared" si="126"/>
        <v>2.4563028735052863</v>
      </c>
      <c r="FD29" s="5">
        <f t="shared" si="127"/>
        <v>6.1920000000000002</v>
      </c>
      <c r="FE29" s="173">
        <f t="shared" si="128"/>
        <v>0.71597862500510345</v>
      </c>
      <c r="FF29" s="5">
        <f t="shared" si="129"/>
        <v>71.597862500510345</v>
      </c>
      <c r="FG29">
        <f t="shared" si="130"/>
        <v>24</v>
      </c>
      <c r="FI29" s="562">
        <f t="shared" si="90"/>
        <v>-50</v>
      </c>
      <c r="FJ29">
        <f t="shared" si="91"/>
        <v>-50</v>
      </c>
      <c r="FL29">
        <f t="shared" si="92"/>
        <v>0.40106241886991512</v>
      </c>
    </row>
    <row r="30" spans="5:168">
      <c r="E30" s="170">
        <v>25</v>
      </c>
      <c r="F30" s="217">
        <f t="shared" si="131"/>
        <v>1.5</v>
      </c>
      <c r="G30" s="217">
        <f t="shared" si="93"/>
        <v>2.5000000000000001E-2</v>
      </c>
      <c r="H30" s="217">
        <f t="shared" si="0"/>
        <v>6</v>
      </c>
      <c r="I30" s="217">
        <f t="shared" si="132"/>
        <v>0.45</v>
      </c>
      <c r="J30" s="541">
        <f t="shared" si="1"/>
        <v>23.951437377704611</v>
      </c>
      <c r="K30" s="443">
        <f t="shared" si="2"/>
        <v>19.239740183030193</v>
      </c>
      <c r="L30" s="172">
        <f t="shared" si="3"/>
        <v>43.191177560734801</v>
      </c>
      <c r="M30" s="443"/>
      <c r="N30" s="217">
        <f t="shared" si="4"/>
        <v>0.4454553283706042</v>
      </c>
      <c r="O30" s="172">
        <f t="shared" si="94"/>
        <v>33.083086517932927</v>
      </c>
      <c r="P30" s="172">
        <f t="shared" si="5"/>
        <v>2.6673238505083425</v>
      </c>
      <c r="Q30" s="217">
        <f t="shared" si="6"/>
        <v>8.2707716294832316</v>
      </c>
      <c r="R30" s="217">
        <f t="shared" si="7"/>
        <v>1.8379492509962736</v>
      </c>
      <c r="S30" s="443">
        <f t="shared" si="8"/>
        <v>4</v>
      </c>
      <c r="T30" s="217">
        <f t="shared" si="9"/>
        <v>1.2090770302921314</v>
      </c>
      <c r="U30" s="217">
        <f t="shared" si="10"/>
        <v>0.60576424432094111</v>
      </c>
      <c r="V30" s="217">
        <f t="shared" si="11"/>
        <v>0.75411228142793296</v>
      </c>
      <c r="W30" s="197">
        <f t="shared" si="12"/>
        <v>350</v>
      </c>
      <c r="X30" s="443">
        <f t="shared" si="95"/>
        <v>350</v>
      </c>
      <c r="Z30" s="217">
        <f t="shared" si="13"/>
        <v>2.540308429055564</v>
      </c>
      <c r="AA30" s="173">
        <f t="shared" si="14"/>
        <v>1.5844133475125592</v>
      </c>
      <c r="AB30" s="173">
        <f t="shared" si="15"/>
        <v>2.8174290072560075</v>
      </c>
      <c r="AC30" s="173"/>
      <c r="AD30" s="173">
        <f t="shared" si="16"/>
        <v>0.8316120616905367</v>
      </c>
      <c r="AE30" s="545">
        <f t="shared" si="17"/>
        <v>676.39711580965502</v>
      </c>
      <c r="AF30" s="528">
        <f t="shared" si="18"/>
        <v>0.77617125757783434</v>
      </c>
      <c r="AH30" s="173">
        <f t="shared" si="19"/>
        <v>1.752549163769328</v>
      </c>
      <c r="AI30" s="173">
        <f t="shared" si="20"/>
        <v>1.752549163769328</v>
      </c>
      <c r="AJ30" s="173">
        <f t="shared" si="21"/>
        <v>1.5105302447674034</v>
      </c>
      <c r="AL30" s="545">
        <f t="shared" si="22"/>
        <v>1500</v>
      </c>
      <c r="AM30" s="460">
        <f t="shared" si="23"/>
        <v>350</v>
      </c>
      <c r="AO30">
        <f t="shared" si="96"/>
        <v>1500</v>
      </c>
      <c r="AP30" s="460">
        <f t="shared" si="24"/>
        <v>350</v>
      </c>
      <c r="AQ30" s="460"/>
      <c r="AR30" s="5">
        <f t="shared" si="97"/>
        <v>2.8571428571428572</v>
      </c>
      <c r="AS30" s="5">
        <f t="shared" si="25"/>
        <v>0.87805126822194113</v>
      </c>
      <c r="AT30" s="5">
        <f t="shared" si="98"/>
        <v>1.979091588920916</v>
      </c>
      <c r="AU30" s="173">
        <f t="shared" si="99"/>
        <v>0.30731794387767941</v>
      </c>
      <c r="AW30" s="5">
        <f t="shared" si="26"/>
        <v>32.926922558322786</v>
      </c>
      <c r="AX30" s="5">
        <f t="shared" si="27"/>
        <v>0.12195156503082516</v>
      </c>
      <c r="AY30" s="5">
        <f t="shared" si="28"/>
        <v>0.41314672637625682</v>
      </c>
      <c r="AZ30" s="5"/>
      <c r="BA30" s="173">
        <f t="shared" si="100"/>
        <v>0.56092337959789917</v>
      </c>
      <c r="BB30" s="173">
        <f t="shared" si="29"/>
        <v>3.3684999297135092</v>
      </c>
      <c r="BC30" s="173">
        <f t="shared" si="30"/>
        <v>6.4183579741838484E-2</v>
      </c>
      <c r="BD30" s="173"/>
      <c r="BE30" s="528">
        <f t="shared" si="31"/>
        <v>3.8385474609102521E-3</v>
      </c>
      <c r="BF30" s="528">
        <f t="shared" si="32"/>
        <v>0.49674622013807662</v>
      </c>
      <c r="BG30" s="528">
        <f t="shared" si="33"/>
        <v>0.20957507705491532</v>
      </c>
      <c r="BH30" s="528">
        <f t="shared" si="34"/>
        <v>6.5291723667902243E-2</v>
      </c>
      <c r="BI30">
        <f t="shared" si="35"/>
        <v>1.0778146819967074E-2</v>
      </c>
      <c r="BJ30" s="460">
        <f t="shared" si="101"/>
        <v>220.35322387488242</v>
      </c>
      <c r="BK30">
        <f t="shared" si="36"/>
        <v>0.56743041768209002</v>
      </c>
      <c r="BL30" s="460">
        <f t="shared" si="102"/>
        <v>567.43041768209002</v>
      </c>
      <c r="BM30" s="173">
        <f t="shared" si="37"/>
        <v>0.93187499999999979</v>
      </c>
      <c r="BN30" s="173">
        <f t="shared" si="38"/>
        <v>1.1093749999999999E-2</v>
      </c>
      <c r="BO30" s="528"/>
      <c r="BQ30" s="460">
        <f t="shared" si="103"/>
        <v>942.96874999999977</v>
      </c>
      <c r="BR30" s="528">
        <f t="shared" si="39"/>
        <v>9.439051133385867E-3</v>
      </c>
      <c r="BS30" s="528">
        <f t="shared" si="104"/>
        <v>0.34040375329439748</v>
      </c>
      <c r="BT30" s="528">
        <f t="shared" si="40"/>
        <v>2.0597659542384699E-5</v>
      </c>
      <c r="BU30" s="528">
        <f t="shared" si="41"/>
        <v>0.46592459898023475</v>
      </c>
      <c r="BV30" s="528">
        <f t="shared" si="42"/>
        <v>0.92566368525755049</v>
      </c>
      <c r="BW30" s="625">
        <f t="shared" si="43"/>
        <v>2.6874999999999996E-2</v>
      </c>
      <c r="BX30" s="460">
        <f t="shared" si="105"/>
        <v>952.53868525755047</v>
      </c>
      <c r="BY30" s="173">
        <f t="shared" si="106"/>
        <v>2.4629378529396404</v>
      </c>
      <c r="BZ30" s="5">
        <f t="shared" si="107"/>
        <v>6.45</v>
      </c>
      <c r="CA30" s="173">
        <f t="shared" si="108"/>
        <v>0.72366711250799076</v>
      </c>
      <c r="CB30" s="5">
        <f t="shared" si="109"/>
        <v>72.366711250799071</v>
      </c>
      <c r="CC30">
        <f t="shared" si="110"/>
        <v>25</v>
      </c>
      <c r="CE30" s="562">
        <f t="shared" si="44"/>
        <v>-50</v>
      </c>
      <c r="CF30">
        <f t="shared" si="45"/>
        <v>-50</v>
      </c>
      <c r="CG30" s="173">
        <f t="shared" si="46"/>
        <v>0.40933261718236147</v>
      </c>
      <c r="CH30" s="173">
        <f t="shared" si="47"/>
        <v>0.10484257098099481</v>
      </c>
      <c r="CI30" s="170">
        <v>25</v>
      </c>
      <c r="CJ30" s="217">
        <f t="shared" si="133"/>
        <v>1.5</v>
      </c>
      <c r="CK30" s="217">
        <f t="shared" si="111"/>
        <v>2.5000000000000001E-2</v>
      </c>
      <c r="CL30" s="217">
        <f t="shared" si="48"/>
        <v>6</v>
      </c>
      <c r="CM30" s="217">
        <f t="shared" si="134"/>
        <v>0.45</v>
      </c>
      <c r="CN30" s="541">
        <f t="shared" si="112"/>
        <v>24</v>
      </c>
      <c r="CO30" s="443">
        <f t="shared" si="49"/>
        <v>18.8</v>
      </c>
      <c r="CP30" s="443">
        <f t="shared" si="50"/>
        <v>42.8</v>
      </c>
      <c r="CQ30" s="443"/>
      <c r="CR30" s="217">
        <f t="shared" si="113"/>
        <v>0.43925233644859818</v>
      </c>
      <c r="CS30" s="172">
        <f t="shared" si="114"/>
        <v>32.688545968267775</v>
      </c>
      <c r="CT30" s="172">
        <f t="shared" si="51"/>
        <v>2.6355140186915893</v>
      </c>
      <c r="CU30" s="217">
        <f t="shared" si="52"/>
        <v>8.1721364920669437</v>
      </c>
      <c r="CV30" s="217">
        <f t="shared" si="53"/>
        <v>1.816030331570432</v>
      </c>
      <c r="CW30" s="443">
        <f t="shared" si="54"/>
        <v>4</v>
      </c>
      <c r="CX30" s="217">
        <f t="shared" si="55"/>
        <v>1.2236702127659573</v>
      </c>
      <c r="CY30" s="217">
        <f t="shared" si="56"/>
        <v>0.61183510638297878</v>
      </c>
      <c r="CZ30" s="217">
        <f t="shared" si="57"/>
        <v>0.78106609325486631</v>
      </c>
      <c r="DA30" s="197">
        <f t="shared" si="58"/>
        <v>350</v>
      </c>
      <c r="DB30" s="443">
        <f t="shared" si="115"/>
        <v>350</v>
      </c>
      <c r="DD30" s="217">
        <f t="shared" si="59"/>
        <v>2.5100133511348464</v>
      </c>
      <c r="DE30" s="173">
        <f t="shared" si="60"/>
        <v>1.6021361815754336</v>
      </c>
      <c r="DF30" s="173">
        <f t="shared" si="61"/>
        <v>2.8149682442633783</v>
      </c>
      <c r="DG30" s="173"/>
      <c r="DH30" s="173">
        <f t="shared" si="62"/>
        <v>0.85106382978723416</v>
      </c>
      <c r="DI30" s="545">
        <f t="shared" si="63"/>
        <v>660.93749999999989</v>
      </c>
      <c r="DJ30" s="528">
        <f t="shared" si="64"/>
        <v>0.79432624113475192</v>
      </c>
      <c r="DL30" s="173">
        <f t="shared" si="65"/>
        <v>1.752549163769328</v>
      </c>
      <c r="DM30" s="173">
        <f t="shared" si="66"/>
        <v>1.752549163769328</v>
      </c>
      <c r="DN30" s="173">
        <f t="shared" si="67"/>
        <v>1.5105302447674034</v>
      </c>
      <c r="DP30" s="545">
        <f t="shared" si="68"/>
        <v>1500</v>
      </c>
      <c r="DQ30" s="460">
        <f t="shared" si="69"/>
        <v>350</v>
      </c>
      <c r="DS30">
        <f t="shared" si="116"/>
        <v>1500</v>
      </c>
      <c r="DT30" s="460">
        <f t="shared" si="70"/>
        <v>350</v>
      </c>
      <c r="DU30" s="460"/>
      <c r="DV30" s="5">
        <f t="shared" si="117"/>
        <v>2.8571428571428572</v>
      </c>
      <c r="DW30" s="5">
        <f t="shared" si="71"/>
        <v>0.87627458188466412</v>
      </c>
      <c r="DX30" s="5">
        <f t="shared" si="118"/>
        <v>1.9808682752581932</v>
      </c>
      <c r="DY30" s="173">
        <f t="shared" si="119"/>
        <v>0.30669610365963246</v>
      </c>
      <c r="EA30" s="5">
        <f t="shared" si="72"/>
        <v>32.860296820674904</v>
      </c>
      <c r="EB30" s="5">
        <f t="shared" si="73"/>
        <v>0.12170480303953668</v>
      </c>
      <c r="EC30" s="5">
        <f t="shared" si="74"/>
        <v>0.41268089067879021</v>
      </c>
      <c r="ED30" s="5"/>
      <c r="EE30" s="173">
        <f t="shared" si="120"/>
        <v>0.56035559410253466</v>
      </c>
      <c r="EF30" s="173">
        <f t="shared" si="75"/>
        <v>3.3700115892204741</v>
      </c>
      <c r="EG30" s="173">
        <f t="shared" si="76"/>
        <v>6.4212382983795516E-2</v>
      </c>
      <c r="EH30" s="173"/>
      <c r="EI30" s="528">
        <f t="shared" si="77"/>
        <v>3.8307803804724554E-3</v>
      </c>
      <c r="EJ30" s="528">
        <f t="shared" si="78"/>
        <v>0.52506372946529067</v>
      </c>
      <c r="EK30" s="528">
        <f t="shared" si="79"/>
        <v>4.3749999999999997E-2</v>
      </c>
      <c r="EL30" s="528">
        <f t="shared" si="80"/>
        <v>6.4114399999999988E-2</v>
      </c>
      <c r="EM30">
        <f t="shared" si="81"/>
        <v>1.0800000000000001E-2</v>
      </c>
      <c r="EN30" s="460">
        <f t="shared" si="121"/>
        <v>54.550000000000004</v>
      </c>
      <c r="EO30">
        <f t="shared" si="82"/>
        <v>0.64918410364696022</v>
      </c>
      <c r="EP30" s="460">
        <f t="shared" si="122"/>
        <v>649.18410364696024</v>
      </c>
      <c r="EQ30" s="173">
        <f t="shared" si="83"/>
        <v>0.93187499999999979</v>
      </c>
      <c r="ER30" s="173">
        <f t="shared" si="84"/>
        <v>1.1093749999999999E-2</v>
      </c>
      <c r="ES30" s="528"/>
      <c r="EU30" s="460">
        <f t="shared" si="123"/>
        <v>942.96874999999977</v>
      </c>
      <c r="EV30" s="528">
        <f t="shared" si="85"/>
        <v>9.4199517552601367E-3</v>
      </c>
      <c r="EW30" s="528">
        <f t="shared" si="124"/>
        <v>0.34070934334440917</v>
      </c>
      <c r="EX30" s="528">
        <f t="shared" si="86"/>
        <v>2.0616150642288161E-5</v>
      </c>
      <c r="EY30" s="528">
        <f t="shared" si="87"/>
        <v>0.46592459898023475</v>
      </c>
      <c r="EZ30" s="528">
        <f t="shared" si="88"/>
        <v>0.92605102362959402</v>
      </c>
      <c r="FA30" s="625">
        <f t="shared" si="89"/>
        <v>2.6874999999999996E-2</v>
      </c>
      <c r="FB30" s="460">
        <f t="shared" si="125"/>
        <v>952.92602362959406</v>
      </c>
      <c r="FC30" s="173">
        <f t="shared" si="126"/>
        <v>2.5450788772765542</v>
      </c>
      <c r="FD30" s="5">
        <f t="shared" si="127"/>
        <v>6.45</v>
      </c>
      <c r="FE30" s="173">
        <f t="shared" si="128"/>
        <v>0.71705874823333071</v>
      </c>
      <c r="FF30" s="5">
        <f t="shared" si="129"/>
        <v>71.705874823333076</v>
      </c>
      <c r="FG30">
        <f t="shared" si="130"/>
        <v>25</v>
      </c>
      <c r="FI30" s="562">
        <f t="shared" si="90"/>
        <v>-50</v>
      </c>
      <c r="FJ30">
        <f t="shared" si="91"/>
        <v>-50</v>
      </c>
      <c r="FL30">
        <f t="shared" si="92"/>
        <v>0.40933261718236147</v>
      </c>
    </row>
    <row r="31" spans="5:168">
      <c r="E31" s="170">
        <v>26</v>
      </c>
      <c r="F31" s="217">
        <f t="shared" si="131"/>
        <v>1.56</v>
      </c>
      <c r="G31" s="217">
        <f t="shared" si="93"/>
        <v>2.6000000000000002E-2</v>
      </c>
      <c r="H31" s="217">
        <f t="shared" si="0"/>
        <v>6.24</v>
      </c>
      <c r="I31" s="217">
        <f t="shared" si="132"/>
        <v>0.46800000000000003</v>
      </c>
      <c r="J31" s="541">
        <f t="shared" si="1"/>
        <v>23.950475648256912</v>
      </c>
      <c r="K31" s="443">
        <f t="shared" si="2"/>
        <v>19.248448754836364</v>
      </c>
      <c r="L31" s="172">
        <f t="shared" si="3"/>
        <v>43.198924403093272</v>
      </c>
      <c r="M31" s="443"/>
      <c r="N31" s="217">
        <f t="shared" si="4"/>
        <v>0.44557703741017385</v>
      </c>
      <c r="O31" s="172">
        <f t="shared" si="94"/>
        <v>33.090796849348308</v>
      </c>
      <c r="P31" s="172">
        <f t="shared" si="5"/>
        <v>2.667945495978707</v>
      </c>
      <c r="Q31" s="217">
        <f t="shared" si="6"/>
        <v>8.2726992123370771</v>
      </c>
      <c r="R31" s="217">
        <f t="shared" si="7"/>
        <v>1.8383776027415726</v>
      </c>
      <c r="S31" s="443">
        <f t="shared" si="8"/>
        <v>4</v>
      </c>
      <c r="T31" s="217">
        <f t="shared" si="9"/>
        <v>1.2571471212794103</v>
      </c>
      <c r="U31" s="217">
        <f t="shared" si="10"/>
        <v>0.62987331345341568</v>
      </c>
      <c r="V31" s="217">
        <f t="shared" si="11"/>
        <v>0.78373928452610886</v>
      </c>
      <c r="W31" s="197">
        <f t="shared" si="12"/>
        <v>350</v>
      </c>
      <c r="X31" s="443">
        <f t="shared" si="95"/>
        <v>350</v>
      </c>
      <c r="Z31" s="217">
        <f t="shared" si="13"/>
        <v>2.540900472360673</v>
      </c>
      <c r="AA31" s="173">
        <f t="shared" si="14"/>
        <v>1.5840656073995034</v>
      </c>
      <c r="AB31" s="173">
        <f t="shared" si="15"/>
        <v>2.8174671350641862</v>
      </c>
      <c r="AC31" s="173"/>
      <c r="AD31" s="173">
        <f t="shared" si="16"/>
        <v>0.83123581561240589</v>
      </c>
      <c r="AE31" s="545">
        <f t="shared" si="17"/>
        <v>703.77140759870429</v>
      </c>
      <c r="AF31" s="528">
        <f t="shared" si="18"/>
        <v>0.77582009457157897</v>
      </c>
      <c r="AH31" s="173">
        <f t="shared" si="19"/>
        <v>1.7872564769181043</v>
      </c>
      <c r="AI31" s="173">
        <f t="shared" si="20"/>
        <v>1.7872564769181043</v>
      </c>
      <c r="AJ31" s="173">
        <f t="shared" si="21"/>
        <v>1.5362393656183486</v>
      </c>
      <c r="AL31" s="545">
        <f t="shared" si="22"/>
        <v>1560</v>
      </c>
      <c r="AM31" s="460">
        <f t="shared" si="23"/>
        <v>350</v>
      </c>
      <c r="AO31">
        <f t="shared" si="96"/>
        <v>1560</v>
      </c>
      <c r="AP31" s="460">
        <f t="shared" si="24"/>
        <v>350</v>
      </c>
      <c r="AQ31" s="460"/>
      <c r="AR31" s="5">
        <f t="shared" si="97"/>
        <v>2.8571428571428572</v>
      </c>
      <c r="AS31" s="5">
        <f t="shared" si="25"/>
        <v>0.89547606644622713</v>
      </c>
      <c r="AT31" s="5">
        <f t="shared" si="98"/>
        <v>1.9616667906966301</v>
      </c>
      <c r="AU31" s="173">
        <f t="shared" si="99"/>
        <v>0.31341662325617947</v>
      </c>
      <c r="AW31" s="5">
        <f t="shared" si="26"/>
        <v>34.92356659140286</v>
      </c>
      <c r="AX31" s="5">
        <f t="shared" si="27"/>
        <v>0.12934654293112172</v>
      </c>
      <c r="AY31" s="5">
        <f t="shared" si="28"/>
        <v>0.42590666930511956</v>
      </c>
      <c r="AZ31" s="5"/>
      <c r="BA31" s="173">
        <f t="shared" si="100"/>
        <v>0.57767991202939883</v>
      </c>
      <c r="BB31" s="173">
        <f t="shared" si="29"/>
        <v>3.4200533890560498</v>
      </c>
      <c r="BC31" s="173">
        <f t="shared" si="30"/>
        <v>6.5165882142824733E-2</v>
      </c>
      <c r="BD31" s="173"/>
      <c r="BE31" s="528">
        <f t="shared" si="31"/>
        <v>4.0713117852999858E-3</v>
      </c>
      <c r="BF31" s="528">
        <f t="shared" si="32"/>
        <v>0.50667459566931383</v>
      </c>
      <c r="BG31" s="528">
        <f t="shared" si="33"/>
        <v>0.20956666192224799</v>
      </c>
      <c r="BH31" s="528">
        <f t="shared" si="34"/>
        <v>6.5315147435445864E-2</v>
      </c>
      <c r="BI31">
        <f t="shared" si="35"/>
        <v>1.0777714041715611E-2</v>
      </c>
      <c r="BJ31" s="460">
        <f t="shared" si="101"/>
        <v>220.34437596396361</v>
      </c>
      <c r="BK31">
        <f t="shared" si="36"/>
        <v>0.57771916205242524</v>
      </c>
      <c r="BL31" s="460">
        <f t="shared" si="102"/>
        <v>577.71916205242519</v>
      </c>
      <c r="BM31" s="173">
        <f t="shared" si="37"/>
        <v>0.96914999999999984</v>
      </c>
      <c r="BN31" s="173">
        <f t="shared" si="38"/>
        <v>1.1537500000000001E-2</v>
      </c>
      <c r="BO31" s="528"/>
      <c r="BQ31" s="460">
        <f t="shared" si="103"/>
        <v>980.68749999999977</v>
      </c>
      <c r="BR31" s="528">
        <f t="shared" si="39"/>
        <v>1.0011422422868819E-2</v>
      </c>
      <c r="BS31" s="528">
        <f t="shared" si="104"/>
        <v>0.35090295551981315</v>
      </c>
      <c r="BT31" s="528">
        <f t="shared" si="40"/>
        <v>2.1232960977262618E-5</v>
      </c>
      <c r="BU31" s="528">
        <f t="shared" si="41"/>
        <v>0.48933616521415857</v>
      </c>
      <c r="BV31" s="528">
        <f t="shared" si="42"/>
        <v>0.96475343229112809</v>
      </c>
      <c r="BW31" s="625">
        <f t="shared" si="43"/>
        <v>2.7950000000000003E-2</v>
      </c>
      <c r="BX31" s="460">
        <f t="shared" si="105"/>
        <v>992.70343229112814</v>
      </c>
      <c r="BY31" s="173">
        <f t="shared" si="106"/>
        <v>2.5511100943435534</v>
      </c>
      <c r="BZ31" s="5">
        <f t="shared" si="107"/>
        <v>6.7080000000000002</v>
      </c>
      <c r="CA31" s="173">
        <f t="shared" si="108"/>
        <v>0.72447567116606149</v>
      </c>
      <c r="CB31" s="5">
        <f t="shared" si="109"/>
        <v>72.447567116606152</v>
      </c>
      <c r="CC31">
        <f t="shared" si="110"/>
        <v>26</v>
      </c>
      <c r="CE31" s="562">
        <f t="shared" si="44"/>
        <v>-50</v>
      </c>
      <c r="CF31">
        <f t="shared" si="45"/>
        <v>-50</v>
      </c>
      <c r="CG31" s="173">
        <f t="shared" si="46"/>
        <v>0.41743900051257332</v>
      </c>
      <c r="CH31" s="173">
        <f t="shared" si="47"/>
        <v>0.10691886305746583</v>
      </c>
      <c r="CI31" s="170">
        <v>26</v>
      </c>
      <c r="CJ31" s="217">
        <f t="shared" si="133"/>
        <v>1.56</v>
      </c>
      <c r="CK31" s="217">
        <f t="shared" si="111"/>
        <v>2.6000000000000002E-2</v>
      </c>
      <c r="CL31" s="217">
        <f t="shared" si="48"/>
        <v>6.24</v>
      </c>
      <c r="CM31" s="217">
        <f t="shared" si="134"/>
        <v>0.46800000000000003</v>
      </c>
      <c r="CN31" s="541">
        <f t="shared" si="112"/>
        <v>24</v>
      </c>
      <c r="CO31" s="443">
        <f t="shared" si="49"/>
        <v>18.8</v>
      </c>
      <c r="CP31" s="443">
        <f t="shared" si="50"/>
        <v>42.8</v>
      </c>
      <c r="CQ31" s="443"/>
      <c r="CR31" s="217">
        <f t="shared" si="113"/>
        <v>0.43925233644859818</v>
      </c>
      <c r="CS31" s="172">
        <f t="shared" si="114"/>
        <v>32.688545968267775</v>
      </c>
      <c r="CT31" s="172">
        <f t="shared" si="51"/>
        <v>2.6355140186915893</v>
      </c>
      <c r="CU31" s="217">
        <f t="shared" si="52"/>
        <v>8.1721364920669437</v>
      </c>
      <c r="CV31" s="217">
        <f t="shared" si="53"/>
        <v>1.816030331570432</v>
      </c>
      <c r="CW31" s="443">
        <f t="shared" si="54"/>
        <v>4</v>
      </c>
      <c r="CX31" s="217">
        <f t="shared" si="55"/>
        <v>1.2726170212765955</v>
      </c>
      <c r="CY31" s="217">
        <f t="shared" si="56"/>
        <v>0.63630851063829774</v>
      </c>
      <c r="CZ31" s="217">
        <f t="shared" si="57"/>
        <v>0.81230873698506101</v>
      </c>
      <c r="DA31" s="197">
        <f t="shared" si="58"/>
        <v>350</v>
      </c>
      <c r="DB31" s="443">
        <f t="shared" si="115"/>
        <v>350</v>
      </c>
      <c r="DD31" s="217">
        <f t="shared" si="59"/>
        <v>2.5100133511348464</v>
      </c>
      <c r="DE31" s="173">
        <f t="shared" si="60"/>
        <v>1.6021361815754336</v>
      </c>
      <c r="DF31" s="173">
        <f t="shared" si="61"/>
        <v>2.8149682442633783</v>
      </c>
      <c r="DG31" s="173"/>
      <c r="DH31" s="173">
        <f t="shared" si="62"/>
        <v>0.85106382978723416</v>
      </c>
      <c r="DI31" s="545">
        <f t="shared" si="63"/>
        <v>687.37499999999989</v>
      </c>
      <c r="DJ31" s="528">
        <f t="shared" si="64"/>
        <v>0.79432624113475192</v>
      </c>
      <c r="DL31" s="173">
        <f t="shared" si="65"/>
        <v>1.7872564769181043</v>
      </c>
      <c r="DM31" s="173">
        <f t="shared" si="66"/>
        <v>1.7872564769181043</v>
      </c>
      <c r="DN31" s="173">
        <f t="shared" si="67"/>
        <v>1.5362393656183486</v>
      </c>
      <c r="DP31" s="545">
        <f t="shared" si="68"/>
        <v>1560</v>
      </c>
      <c r="DQ31" s="460">
        <f t="shared" si="69"/>
        <v>350</v>
      </c>
      <c r="DS31">
        <f t="shared" si="116"/>
        <v>1560</v>
      </c>
      <c r="DT31" s="460">
        <f t="shared" si="70"/>
        <v>350</v>
      </c>
      <c r="DU31" s="460"/>
      <c r="DV31" s="5">
        <f t="shared" si="117"/>
        <v>2.8571428571428572</v>
      </c>
      <c r="DW31" s="5">
        <f t="shared" si="71"/>
        <v>0.89362823845905215</v>
      </c>
      <c r="DX31" s="5">
        <f t="shared" si="118"/>
        <v>1.9635146186838051</v>
      </c>
      <c r="DY31" s="173">
        <f t="shared" si="119"/>
        <v>0.31276988346066825</v>
      </c>
      <c r="EA31" s="5">
        <f t="shared" si="72"/>
        <v>34.851501299903042</v>
      </c>
      <c r="EB31" s="5">
        <f t="shared" si="73"/>
        <v>0.12907963444408535</v>
      </c>
      <c r="EC31" s="5">
        <f t="shared" si="74"/>
        <v>0.42542816738149103</v>
      </c>
      <c r="ED31" s="5"/>
      <c r="EE31" s="173">
        <f t="shared" si="120"/>
        <v>0.57708357875245431</v>
      </c>
      <c r="EF31" s="173">
        <f t="shared" si="75"/>
        <v>3.4216638008925764</v>
      </c>
      <c r="EG31" s="173">
        <f t="shared" si="76"/>
        <v>6.5196567017007198E-2</v>
      </c>
      <c r="EH31" s="173"/>
      <c r="EI31" s="528">
        <f t="shared" si="77"/>
        <v>4.0629105737620295E-3</v>
      </c>
      <c r="EJ31" s="528">
        <f t="shared" si="78"/>
        <v>0.53546204048466406</v>
      </c>
      <c r="EK31" s="528">
        <f t="shared" si="79"/>
        <v>4.3749999999999997E-2</v>
      </c>
      <c r="EL31" s="528">
        <f t="shared" si="80"/>
        <v>6.4114399999999988E-2</v>
      </c>
      <c r="EM31">
        <f t="shared" si="81"/>
        <v>1.0800000000000001E-2</v>
      </c>
      <c r="EN31" s="460">
        <f t="shared" si="121"/>
        <v>54.550000000000004</v>
      </c>
      <c r="EO31">
        <f t="shared" si="82"/>
        <v>0.65992339234486452</v>
      </c>
      <c r="EP31" s="460">
        <f t="shared" si="122"/>
        <v>659.92339234486451</v>
      </c>
      <c r="EQ31" s="173">
        <f t="shared" si="83"/>
        <v>0.96914999999999984</v>
      </c>
      <c r="ER31" s="173">
        <f t="shared" si="84"/>
        <v>1.1537500000000001E-2</v>
      </c>
      <c r="ES31" s="528"/>
      <c r="EU31" s="460">
        <f t="shared" si="123"/>
        <v>980.68749999999977</v>
      </c>
      <c r="EV31" s="528">
        <f t="shared" si="85"/>
        <v>9.990763705972204E-3</v>
      </c>
      <c r="EW31" s="528">
        <f t="shared" si="124"/>
        <v>0.35123349499015899</v>
      </c>
      <c r="EX31" s="528">
        <f t="shared" si="86"/>
        <v>2.1252961754015555E-5</v>
      </c>
      <c r="EY31" s="528">
        <f t="shared" si="87"/>
        <v>0.48933616521415857</v>
      </c>
      <c r="EZ31" s="528">
        <f t="shared" si="88"/>
        <v>0.96517377521112968</v>
      </c>
      <c r="FA31" s="625">
        <f t="shared" si="89"/>
        <v>2.7950000000000003E-2</v>
      </c>
      <c r="FB31" s="460">
        <f t="shared" si="125"/>
        <v>993.12377521112967</v>
      </c>
      <c r="FC31" s="173">
        <f t="shared" si="126"/>
        <v>2.6337346675559941</v>
      </c>
      <c r="FD31" s="5">
        <f t="shared" si="127"/>
        <v>6.7080000000000002</v>
      </c>
      <c r="FE31" s="173">
        <f t="shared" si="128"/>
        <v>0.71806792193499147</v>
      </c>
      <c r="FF31" s="5">
        <f t="shared" si="129"/>
        <v>71.806792193499149</v>
      </c>
      <c r="FG31">
        <f t="shared" si="130"/>
        <v>26</v>
      </c>
      <c r="FI31" s="562">
        <f t="shared" si="90"/>
        <v>-50</v>
      </c>
      <c r="FJ31">
        <f t="shared" si="91"/>
        <v>-50</v>
      </c>
      <c r="FL31">
        <f t="shared" si="92"/>
        <v>0.41743900051257332</v>
      </c>
    </row>
    <row r="32" spans="5:168">
      <c r="E32" s="170">
        <v>27</v>
      </c>
      <c r="F32" s="217">
        <f t="shared" si="131"/>
        <v>1.62</v>
      </c>
      <c r="G32" s="217">
        <f t="shared" si="93"/>
        <v>2.7000000000000003E-2</v>
      </c>
      <c r="H32" s="217">
        <f t="shared" si="0"/>
        <v>6.48</v>
      </c>
      <c r="I32" s="217">
        <f t="shared" si="132"/>
        <v>0.48600000000000004</v>
      </c>
      <c r="J32" s="541">
        <f t="shared" si="1"/>
        <v>23.949532242501363</v>
      </c>
      <c r="K32" s="443">
        <f t="shared" si="2"/>
        <v>19.256991403482761</v>
      </c>
      <c r="L32" s="172">
        <f t="shared" si="3"/>
        <v>43.20652364598412</v>
      </c>
      <c r="M32" s="443"/>
      <c r="N32" s="217">
        <f t="shared" si="4"/>
        <v>0.44569638514003945</v>
      </c>
      <c r="O32" s="172">
        <f t="shared" si="94"/>
        <v>33.098356422566447</v>
      </c>
      <c r="P32" s="172">
        <f t="shared" si="5"/>
        <v>2.6685549865694198</v>
      </c>
      <c r="Q32" s="217">
        <f t="shared" si="6"/>
        <v>8.2745891056416117</v>
      </c>
      <c r="R32" s="217">
        <f t="shared" si="7"/>
        <v>1.8387975790314692</v>
      </c>
      <c r="S32" s="443">
        <f t="shared" si="8"/>
        <v>4</v>
      </c>
      <c r="T32" s="217">
        <f t="shared" si="9"/>
        <v>1.3052007612845167</v>
      </c>
      <c r="U32" s="217">
        <f t="shared" si="10"/>
        <v>0.65397557567405629</v>
      </c>
      <c r="V32" s="217">
        <f t="shared" si="11"/>
        <v>0.81333624797597115</v>
      </c>
      <c r="W32" s="197">
        <f t="shared" si="12"/>
        <v>350</v>
      </c>
      <c r="X32" s="443">
        <f t="shared" si="95"/>
        <v>350</v>
      </c>
      <c r="Z32" s="217">
        <f t="shared" si="13"/>
        <v>2.5414809395899232</v>
      </c>
      <c r="AA32" s="173">
        <f t="shared" si="14"/>
        <v>1.5837246138856014</v>
      </c>
      <c r="AB32" s="173">
        <f t="shared" si="15"/>
        <v>2.8175041438247668</v>
      </c>
      <c r="AC32" s="173"/>
      <c r="AD32" s="173">
        <f t="shared" si="16"/>
        <v>0.83086706873153049</v>
      </c>
      <c r="AE32" s="545">
        <f t="shared" si="17"/>
        <v>731.16389235098586</v>
      </c>
      <c r="AF32" s="528">
        <f t="shared" si="18"/>
        <v>0.77547593081609534</v>
      </c>
      <c r="AH32" s="173">
        <f t="shared" si="19"/>
        <v>1.8213025166464953</v>
      </c>
      <c r="AI32" s="173">
        <f t="shared" si="20"/>
        <v>1.8213025166464953</v>
      </c>
      <c r="AJ32" s="173">
        <f t="shared" si="21"/>
        <v>1.5614586543060458</v>
      </c>
      <c r="AL32" s="545">
        <f t="shared" si="22"/>
        <v>1620</v>
      </c>
      <c r="AM32" s="460">
        <f t="shared" si="23"/>
        <v>350</v>
      </c>
      <c r="AO32">
        <f t="shared" si="96"/>
        <v>1620</v>
      </c>
      <c r="AP32" s="460">
        <f t="shared" si="24"/>
        <v>350</v>
      </c>
      <c r="AQ32" s="460"/>
      <c r="AR32" s="5">
        <f t="shared" si="97"/>
        <v>2.8571428571428572</v>
      </c>
      <c r="AS32" s="5">
        <f t="shared" si="25"/>
        <v>0.9125702322057242</v>
      </c>
      <c r="AT32" s="5">
        <f t="shared" si="98"/>
        <v>1.9445726249371331</v>
      </c>
      <c r="AU32" s="173">
        <f t="shared" si="99"/>
        <v>0.31939958127200346</v>
      </c>
      <c r="AW32" s="5">
        <f t="shared" si="26"/>
        <v>36.959094404331829</v>
      </c>
      <c r="AX32" s="5">
        <f t="shared" si="27"/>
        <v>0.13688553483085864</v>
      </c>
      <c r="AY32" s="5">
        <f t="shared" si="28"/>
        <v>0.43845082519088874</v>
      </c>
      <c r="AZ32" s="5"/>
      <c r="BA32" s="173">
        <f t="shared" si="100"/>
        <v>0.59427660215056033</v>
      </c>
      <c r="BB32" s="173">
        <f t="shared" si="29"/>
        <v>3.4699846820426643</v>
      </c>
      <c r="BC32" s="173">
        <f t="shared" si="30"/>
        <v>6.6117275698380495E-2</v>
      </c>
      <c r="BD32" s="173"/>
      <c r="BE32" s="528">
        <f t="shared" si="31"/>
        <v>4.3086090943361072E-3</v>
      </c>
      <c r="BF32" s="528">
        <f t="shared" si="32"/>
        <v>0.51641723602860024</v>
      </c>
      <c r="BG32" s="528">
        <f t="shared" si="33"/>
        <v>0.20955840712188692</v>
      </c>
      <c r="BH32" s="528">
        <f t="shared" si="34"/>
        <v>6.5338128994984465E-2</v>
      </c>
      <c r="BI32">
        <f t="shared" si="35"/>
        <v>1.0777289509125612E-2</v>
      </c>
      <c r="BJ32" s="460">
        <f t="shared" si="101"/>
        <v>220.33569663101255</v>
      </c>
      <c r="BK32">
        <f t="shared" si="36"/>
        <v>0.58782907419852526</v>
      </c>
      <c r="BL32" s="460">
        <f t="shared" si="102"/>
        <v>587.82907419852529</v>
      </c>
      <c r="BM32" s="173">
        <f t="shared" si="37"/>
        <v>1.0064249999999999</v>
      </c>
      <c r="BN32" s="173">
        <f t="shared" si="38"/>
        <v>1.1981250000000001E-2</v>
      </c>
      <c r="BO32" s="528"/>
      <c r="BQ32" s="460">
        <f t="shared" si="103"/>
        <v>1018.40625</v>
      </c>
      <c r="BR32" s="528">
        <f t="shared" si="39"/>
        <v>1.0594940395908461E-2</v>
      </c>
      <c r="BS32" s="528">
        <f t="shared" si="104"/>
        <v>0.36122381080832189</v>
      </c>
      <c r="BT32" s="528">
        <f t="shared" si="40"/>
        <v>2.1857470728878282E-5</v>
      </c>
      <c r="BU32" s="528">
        <f t="shared" si="41"/>
        <v>0.51297397746268658</v>
      </c>
      <c r="BV32" s="528">
        <f t="shared" si="42"/>
        <v>1.0039201959577162</v>
      </c>
      <c r="BW32" s="625">
        <f t="shared" si="43"/>
        <v>2.9025000000000009E-2</v>
      </c>
      <c r="BX32" s="460">
        <f t="shared" si="105"/>
        <v>1032.9451959577164</v>
      </c>
      <c r="BY32" s="173">
        <f t="shared" si="106"/>
        <v>2.6391805201562413</v>
      </c>
      <c r="BZ32" s="5">
        <f t="shared" si="107"/>
        <v>6.9660000000000002</v>
      </c>
      <c r="CA32" s="173">
        <f t="shared" si="108"/>
        <v>0.72523363672156038</v>
      </c>
      <c r="CB32" s="5">
        <f t="shared" si="109"/>
        <v>72.523363672156037</v>
      </c>
      <c r="CC32">
        <f t="shared" si="110"/>
        <v>27</v>
      </c>
      <c r="CE32" s="562">
        <f t="shared" si="44"/>
        <v>-50</v>
      </c>
      <c r="CF32">
        <f t="shared" si="45"/>
        <v>-50</v>
      </c>
      <c r="CG32" s="173">
        <f t="shared" si="46"/>
        <v>0.42539093409299483</v>
      </c>
      <c r="CH32" s="173">
        <f t="shared" si="47"/>
        <v>0.10895559584113763</v>
      </c>
      <c r="CI32" s="170">
        <v>27</v>
      </c>
      <c r="CJ32" s="217">
        <f t="shared" si="133"/>
        <v>1.62</v>
      </c>
      <c r="CK32" s="217">
        <f t="shared" si="111"/>
        <v>2.7000000000000003E-2</v>
      </c>
      <c r="CL32" s="217">
        <f t="shared" si="48"/>
        <v>6.48</v>
      </c>
      <c r="CM32" s="217">
        <f t="shared" si="134"/>
        <v>0.48600000000000004</v>
      </c>
      <c r="CN32" s="541">
        <f t="shared" si="112"/>
        <v>24</v>
      </c>
      <c r="CO32" s="443">
        <f t="shared" si="49"/>
        <v>18.8</v>
      </c>
      <c r="CP32" s="443">
        <f t="shared" si="50"/>
        <v>42.8</v>
      </c>
      <c r="CQ32" s="443"/>
      <c r="CR32" s="217">
        <f t="shared" si="113"/>
        <v>0.43925233644859818</v>
      </c>
      <c r="CS32" s="172">
        <f t="shared" si="114"/>
        <v>32.688545968267775</v>
      </c>
      <c r="CT32" s="172">
        <f t="shared" si="51"/>
        <v>2.6355140186915893</v>
      </c>
      <c r="CU32" s="217">
        <f t="shared" si="52"/>
        <v>8.1721364920669437</v>
      </c>
      <c r="CV32" s="217">
        <f t="shared" si="53"/>
        <v>1.816030331570432</v>
      </c>
      <c r="CW32" s="443">
        <f t="shared" si="54"/>
        <v>4</v>
      </c>
      <c r="CX32" s="217">
        <f t="shared" si="55"/>
        <v>1.3215638297872339</v>
      </c>
      <c r="CY32" s="217">
        <f t="shared" si="56"/>
        <v>0.66078191489361704</v>
      </c>
      <c r="CZ32" s="217">
        <f t="shared" si="57"/>
        <v>0.84355138071525571</v>
      </c>
      <c r="DA32" s="197">
        <f t="shared" si="58"/>
        <v>350</v>
      </c>
      <c r="DB32" s="443">
        <f t="shared" si="115"/>
        <v>350</v>
      </c>
      <c r="DD32" s="217">
        <f t="shared" si="59"/>
        <v>2.5100133511348464</v>
      </c>
      <c r="DE32" s="173">
        <f t="shared" si="60"/>
        <v>1.6021361815754336</v>
      </c>
      <c r="DF32" s="173">
        <f t="shared" si="61"/>
        <v>2.8149682442633783</v>
      </c>
      <c r="DG32" s="173"/>
      <c r="DH32" s="173">
        <f t="shared" si="62"/>
        <v>0.85106382978723416</v>
      </c>
      <c r="DI32" s="545">
        <f t="shared" si="63"/>
        <v>713.81249999999989</v>
      </c>
      <c r="DJ32" s="528">
        <f t="shared" si="64"/>
        <v>0.79432624113475192</v>
      </c>
      <c r="DL32" s="173">
        <f t="shared" si="65"/>
        <v>1.8213025166464953</v>
      </c>
      <c r="DM32" s="173">
        <f t="shared" si="66"/>
        <v>1.8213025166464953</v>
      </c>
      <c r="DN32" s="173">
        <f t="shared" si="67"/>
        <v>1.5614586543060458</v>
      </c>
      <c r="DP32" s="545">
        <f t="shared" si="68"/>
        <v>1620</v>
      </c>
      <c r="DQ32" s="460">
        <f t="shared" si="69"/>
        <v>350</v>
      </c>
      <c r="DS32">
        <f t="shared" si="116"/>
        <v>1620</v>
      </c>
      <c r="DT32" s="460">
        <f t="shared" si="70"/>
        <v>350</v>
      </c>
      <c r="DU32" s="460"/>
      <c r="DV32" s="5">
        <f t="shared" si="117"/>
        <v>2.8571428571428572</v>
      </c>
      <c r="DW32" s="5">
        <f t="shared" si="71"/>
        <v>0.91065125832324767</v>
      </c>
      <c r="DX32" s="5">
        <f t="shared" si="118"/>
        <v>1.9464915988196094</v>
      </c>
      <c r="DY32" s="173">
        <f t="shared" si="119"/>
        <v>0.31872794041313668</v>
      </c>
      <c r="EA32" s="5">
        <f t="shared" si="72"/>
        <v>36.881375962091532</v>
      </c>
      <c r="EB32" s="5">
        <f t="shared" si="73"/>
        <v>0.13659768874848716</v>
      </c>
      <c r="EC32" s="5">
        <f t="shared" si="74"/>
        <v>0.43796060973441209</v>
      </c>
      <c r="ED32" s="5"/>
      <c r="EE32" s="173">
        <f t="shared" si="120"/>
        <v>0.59365144400657932</v>
      </c>
      <c r="EF32" s="173">
        <f t="shared" si="75"/>
        <v>3.4716964124028795</v>
      </c>
      <c r="EG32" s="173">
        <f t="shared" si="76"/>
        <v>6.6149891101190003E-2</v>
      </c>
      <c r="EH32" s="173"/>
      <c r="EI32" s="528">
        <f t="shared" si="77"/>
        <v>4.2995488510473804E-3</v>
      </c>
      <c r="EJ32" s="528">
        <f t="shared" si="78"/>
        <v>0.54566223398728997</v>
      </c>
      <c r="EK32" s="528">
        <f t="shared" si="79"/>
        <v>4.3749999999999997E-2</v>
      </c>
      <c r="EL32" s="528">
        <f t="shared" si="80"/>
        <v>6.4114399999999988E-2</v>
      </c>
      <c r="EM32">
        <f t="shared" si="81"/>
        <v>1.0800000000000001E-2</v>
      </c>
      <c r="EN32" s="460">
        <f t="shared" si="121"/>
        <v>54.550000000000004</v>
      </c>
      <c r="EO32">
        <f t="shared" si="82"/>
        <v>0.67047199698810411</v>
      </c>
      <c r="EP32" s="460">
        <f t="shared" si="122"/>
        <v>670.47199698810414</v>
      </c>
      <c r="EQ32" s="173">
        <f t="shared" si="83"/>
        <v>1.0064249999999999</v>
      </c>
      <c r="ER32" s="173">
        <f t="shared" si="84"/>
        <v>1.1981250000000001E-2</v>
      </c>
      <c r="ES32" s="528"/>
      <c r="EU32" s="460">
        <f t="shared" si="123"/>
        <v>1018.40625</v>
      </c>
      <c r="EV32" s="528">
        <f t="shared" si="85"/>
        <v>1.0572661109132905E-2</v>
      </c>
      <c r="EW32" s="528">
        <f t="shared" si="124"/>
        <v>0.36158027939673071</v>
      </c>
      <c r="EX32" s="528">
        <f t="shared" si="86"/>
        <v>2.1879040463496481E-5</v>
      </c>
      <c r="EY32" s="528">
        <f t="shared" si="87"/>
        <v>0.51297397746268658</v>
      </c>
      <c r="EZ32" s="528">
        <f t="shared" si="88"/>
        <v>1.00437500046451</v>
      </c>
      <c r="FA32" s="625">
        <f t="shared" si="89"/>
        <v>2.9025000000000009E-2</v>
      </c>
      <c r="FB32" s="460">
        <f t="shared" si="125"/>
        <v>1033.4000004645102</v>
      </c>
      <c r="FC32" s="173">
        <f t="shared" si="126"/>
        <v>2.7222782474526142</v>
      </c>
      <c r="FD32" s="5">
        <f t="shared" si="127"/>
        <v>6.9660000000000002</v>
      </c>
      <c r="FE32" s="173">
        <f t="shared" si="128"/>
        <v>0.71901320565721816</v>
      </c>
      <c r="FF32" s="5">
        <f t="shared" si="129"/>
        <v>71.901320565721818</v>
      </c>
      <c r="FG32">
        <f t="shared" si="130"/>
        <v>27</v>
      </c>
      <c r="FI32" s="562">
        <f t="shared" si="90"/>
        <v>-50</v>
      </c>
      <c r="FJ32">
        <f t="shared" si="91"/>
        <v>-50</v>
      </c>
      <c r="FL32">
        <f t="shared" si="92"/>
        <v>0.42539093409299483</v>
      </c>
    </row>
    <row r="33" spans="5:168">
      <c r="E33" s="170">
        <v>28</v>
      </c>
      <c r="F33" s="217">
        <f t="shared" si="131"/>
        <v>1.6800000000000002</v>
      </c>
      <c r="G33" s="217">
        <f t="shared" si="93"/>
        <v>2.8000000000000004E-2</v>
      </c>
      <c r="H33" s="217">
        <f t="shared" si="0"/>
        <v>6.7200000000000006</v>
      </c>
      <c r="I33" s="217">
        <f t="shared" si="132"/>
        <v>0.50400000000000011</v>
      </c>
      <c r="J33" s="541">
        <f t="shared" si="1"/>
        <v>23.948606151357293</v>
      </c>
      <c r="K33" s="443">
        <f t="shared" si="2"/>
        <v>19.265377266311969</v>
      </c>
      <c r="L33" s="172">
        <f t="shared" si="3"/>
        <v>43.213983417669262</v>
      </c>
      <c r="M33" s="443"/>
      <c r="N33" s="217">
        <f t="shared" si="4"/>
        <v>0.44581350161843153</v>
      </c>
      <c r="O33" s="172">
        <f t="shared" si="94"/>
        <v>33.105773541759078</v>
      </c>
      <c r="P33" s="172">
        <f t="shared" si="5"/>
        <v>2.6691529918043257</v>
      </c>
      <c r="Q33" s="217">
        <f t="shared" si="6"/>
        <v>8.2764433854397694</v>
      </c>
      <c r="R33" s="217">
        <f t="shared" si="7"/>
        <v>1.8392096412088377</v>
      </c>
      <c r="S33" s="443">
        <f t="shared" si="8"/>
        <v>4</v>
      </c>
      <c r="T33" s="217">
        <f t="shared" si="9"/>
        <v>1.3532382786189854</v>
      </c>
      <c r="U33" s="217">
        <f t="shared" si="10"/>
        <v>0.67807116793339905</v>
      </c>
      <c r="V33" s="217">
        <f t="shared" si="11"/>
        <v>0.84290378116932041</v>
      </c>
      <c r="W33" s="197">
        <f t="shared" si="12"/>
        <v>350</v>
      </c>
      <c r="X33" s="443">
        <f t="shared" si="95"/>
        <v>350</v>
      </c>
      <c r="Z33" s="217">
        <f t="shared" si="13"/>
        <v>2.5420504683850722</v>
      </c>
      <c r="AA33" s="173">
        <f t="shared" si="14"/>
        <v>1.5833899953759099</v>
      </c>
      <c r="AB33" s="173">
        <f t="shared" si="15"/>
        <v>2.8175400955670984</v>
      </c>
      <c r="AC33" s="173"/>
      <c r="AD33" s="173">
        <f t="shared" si="16"/>
        <v>0.83050540764535641</v>
      </c>
      <c r="AE33" s="545">
        <f t="shared" si="17"/>
        <v>758.57422986103359</v>
      </c>
      <c r="AF33" s="528">
        <f t="shared" si="18"/>
        <v>0.77513838046899941</v>
      </c>
      <c r="AH33" s="173">
        <f t="shared" si="19"/>
        <v>1.8547236990991409</v>
      </c>
      <c r="AI33" s="173">
        <f t="shared" si="20"/>
        <v>1.8547236990991409</v>
      </c>
      <c r="AJ33" s="173">
        <f t="shared" si="21"/>
        <v>1.58621508575245</v>
      </c>
      <c r="AL33" s="545">
        <f t="shared" si="22"/>
        <v>1680.0000000000002</v>
      </c>
      <c r="AM33" s="460">
        <f t="shared" si="23"/>
        <v>350</v>
      </c>
      <c r="AO33">
        <f t="shared" si="96"/>
        <v>1680.0000000000002</v>
      </c>
      <c r="AP33" s="460">
        <f t="shared" si="24"/>
        <v>350</v>
      </c>
      <c r="AQ33" s="460"/>
      <c r="AR33" s="5">
        <f t="shared" si="97"/>
        <v>2.8571428571428572</v>
      </c>
      <c r="AS33" s="5">
        <f t="shared" si="25"/>
        <v>0.92935197349380139</v>
      </c>
      <c r="AT33" s="5">
        <f t="shared" si="98"/>
        <v>1.9277908836490558</v>
      </c>
      <c r="AU33" s="173">
        <f t="shared" si="99"/>
        <v>0.32527319072283045</v>
      </c>
      <c r="AW33" s="5">
        <f t="shared" si="26"/>
        <v>39.03278288673966</v>
      </c>
      <c r="AX33" s="5">
        <f t="shared" si="27"/>
        <v>0.14456586254348025</v>
      </c>
      <c r="AY33" s="5">
        <f t="shared" si="28"/>
        <v>0.45078318463318445</v>
      </c>
      <c r="AZ33" s="5"/>
      <c r="BA33" s="173">
        <f t="shared" si="100"/>
        <v>0.61072082440520969</v>
      </c>
      <c r="BB33" s="173">
        <f t="shared" si="29"/>
        <v>3.5183785840741764</v>
      </c>
      <c r="BC33" s="173">
        <f t="shared" si="30"/>
        <v>6.7039375723575517E-2</v>
      </c>
      <c r="BD33" s="173"/>
      <c r="BE33" s="528">
        <f t="shared" si="31"/>
        <v>4.5503550894185835E-3</v>
      </c>
      <c r="BF33" s="528">
        <f t="shared" si="32"/>
        <v>0.52598436960056183</v>
      </c>
      <c r="BG33" s="528">
        <f t="shared" si="33"/>
        <v>0.20955030382437631</v>
      </c>
      <c r="BH33" s="528">
        <f t="shared" si="34"/>
        <v>6.5360692698790787E-2</v>
      </c>
      <c r="BI33">
        <f t="shared" si="35"/>
        <v>1.0776872768110781E-2</v>
      </c>
      <c r="BJ33" s="460">
        <f t="shared" si="101"/>
        <v>220.32717659248709</v>
      </c>
      <c r="BK33">
        <f t="shared" si="36"/>
        <v>0.59777030121357966</v>
      </c>
      <c r="BL33" s="460">
        <f t="shared" si="102"/>
        <v>597.77030121357961</v>
      </c>
      <c r="BM33" s="173">
        <f t="shared" si="37"/>
        <v>1.0436999999999999</v>
      </c>
      <c r="BN33" s="173">
        <f t="shared" si="38"/>
        <v>1.2425000000000002E-2</v>
      </c>
      <c r="BO33" s="528"/>
      <c r="BQ33" s="460">
        <f t="shared" si="103"/>
        <v>1056.1249999999998</v>
      </c>
      <c r="BR33" s="528">
        <f t="shared" si="39"/>
        <v>1.1189397760865369E-2</v>
      </c>
      <c r="BS33" s="528">
        <f t="shared" si="104"/>
        <v>0.37136963582615418</v>
      </c>
      <c r="BT33" s="528">
        <f t="shared" si="40"/>
        <v>2.2471389487033634E-5</v>
      </c>
      <c r="BU33" s="528">
        <f t="shared" si="41"/>
        <v>0.53683171897110227</v>
      </c>
      <c r="BV33" s="528">
        <f t="shared" si="42"/>
        <v>1.0431602918943441</v>
      </c>
      <c r="BW33" s="625">
        <f t="shared" si="43"/>
        <v>3.0100000000000009E-2</v>
      </c>
      <c r="BX33" s="460">
        <f t="shared" si="105"/>
        <v>1073.2602918943442</v>
      </c>
      <c r="BY33" s="173">
        <f t="shared" si="106"/>
        <v>2.7271555931079234</v>
      </c>
      <c r="BZ33" s="5">
        <f t="shared" si="107"/>
        <v>7.2240000000000011</v>
      </c>
      <c r="CA33" s="173">
        <f t="shared" si="108"/>
        <v>0.72594583939610746</v>
      </c>
      <c r="CB33" s="5">
        <f t="shared" si="109"/>
        <v>72.594583939610743</v>
      </c>
      <c r="CC33">
        <f t="shared" si="110"/>
        <v>28.000000000000004</v>
      </c>
      <c r="CE33" s="562">
        <f t="shared" si="44"/>
        <v>-50</v>
      </c>
      <c r="CF33">
        <f t="shared" si="45"/>
        <v>-50</v>
      </c>
      <c r="CG33" s="173">
        <f t="shared" si="46"/>
        <v>0.4331969234286932</v>
      </c>
      <c r="CH33" s="173">
        <f t="shared" si="47"/>
        <v>0.11095494785133977</v>
      </c>
      <c r="CI33" s="170">
        <v>28</v>
      </c>
      <c r="CJ33" s="217">
        <f t="shared" si="133"/>
        <v>1.6800000000000002</v>
      </c>
      <c r="CK33" s="217">
        <f t="shared" si="111"/>
        <v>2.8000000000000004E-2</v>
      </c>
      <c r="CL33" s="217">
        <f t="shared" si="48"/>
        <v>6.7200000000000006</v>
      </c>
      <c r="CM33" s="217">
        <f t="shared" si="134"/>
        <v>0.50400000000000011</v>
      </c>
      <c r="CN33" s="541">
        <f t="shared" si="112"/>
        <v>24</v>
      </c>
      <c r="CO33" s="443">
        <f t="shared" si="49"/>
        <v>18.8</v>
      </c>
      <c r="CP33" s="443">
        <f t="shared" si="50"/>
        <v>42.8</v>
      </c>
      <c r="CQ33" s="443"/>
      <c r="CR33" s="217">
        <f t="shared" si="113"/>
        <v>0.43925233644859818</v>
      </c>
      <c r="CS33" s="172">
        <f t="shared" si="114"/>
        <v>32.688545968267775</v>
      </c>
      <c r="CT33" s="172">
        <f t="shared" si="51"/>
        <v>2.6355140186915893</v>
      </c>
      <c r="CU33" s="217">
        <f t="shared" si="52"/>
        <v>8.1721364920669437</v>
      </c>
      <c r="CV33" s="217">
        <f t="shared" si="53"/>
        <v>1.816030331570432</v>
      </c>
      <c r="CW33" s="443">
        <f t="shared" si="54"/>
        <v>4</v>
      </c>
      <c r="CX33" s="217">
        <f t="shared" si="55"/>
        <v>1.3705106382978722</v>
      </c>
      <c r="CY33" s="217">
        <f t="shared" si="56"/>
        <v>0.68525531914893623</v>
      </c>
      <c r="CZ33" s="217">
        <f t="shared" si="57"/>
        <v>0.8747940244454504</v>
      </c>
      <c r="DA33" s="197">
        <f t="shared" si="58"/>
        <v>350</v>
      </c>
      <c r="DB33" s="443">
        <f t="shared" si="115"/>
        <v>350</v>
      </c>
      <c r="DD33" s="217">
        <f t="shared" si="59"/>
        <v>2.5100133511348464</v>
      </c>
      <c r="DE33" s="173">
        <f t="shared" si="60"/>
        <v>1.6021361815754336</v>
      </c>
      <c r="DF33" s="173">
        <f t="shared" si="61"/>
        <v>2.8149682442633783</v>
      </c>
      <c r="DG33" s="173"/>
      <c r="DH33" s="173">
        <f t="shared" si="62"/>
        <v>0.85106382978723416</v>
      </c>
      <c r="DI33" s="545">
        <f t="shared" si="63"/>
        <v>740.24999999999989</v>
      </c>
      <c r="DJ33" s="528">
        <f t="shared" si="64"/>
        <v>0.79432624113475192</v>
      </c>
      <c r="DL33" s="173">
        <f t="shared" si="65"/>
        <v>1.8547236990991409</v>
      </c>
      <c r="DM33" s="173">
        <f t="shared" si="66"/>
        <v>1.8547236990991409</v>
      </c>
      <c r="DN33" s="173">
        <f t="shared" si="67"/>
        <v>1.58621508575245</v>
      </c>
      <c r="DP33" s="545">
        <f t="shared" si="68"/>
        <v>1680.0000000000002</v>
      </c>
      <c r="DQ33" s="460">
        <f t="shared" si="69"/>
        <v>350</v>
      </c>
      <c r="DS33">
        <f t="shared" si="116"/>
        <v>1680.0000000000002</v>
      </c>
      <c r="DT33" s="460">
        <f t="shared" si="70"/>
        <v>350</v>
      </c>
      <c r="DU33" s="460"/>
      <c r="DV33" s="5">
        <f t="shared" si="117"/>
        <v>2.8571428571428572</v>
      </c>
      <c r="DW33" s="5">
        <f t="shared" si="71"/>
        <v>0.92736184954957046</v>
      </c>
      <c r="DX33" s="5">
        <f t="shared" si="118"/>
        <v>1.9297810075932866</v>
      </c>
      <c r="DY33" s="173">
        <f t="shared" si="119"/>
        <v>0.32457664734234964</v>
      </c>
      <c r="EA33" s="5">
        <f t="shared" si="72"/>
        <v>38.949197681081969</v>
      </c>
      <c r="EB33" s="5">
        <f t="shared" si="73"/>
        <v>0.14425628770771098</v>
      </c>
      <c r="EC33" s="5">
        <f t="shared" si="74"/>
        <v>0.45028223510510024</v>
      </c>
      <c r="ED33" s="5"/>
      <c r="EE33" s="173">
        <f t="shared" si="120"/>
        <v>0.61006657201152592</v>
      </c>
      <c r="EF33" s="173">
        <f t="shared" si="75"/>
        <v>3.5201941864181809</v>
      </c>
      <c r="EG33" s="173">
        <f t="shared" si="76"/>
        <v>6.707397030877886E-2</v>
      </c>
      <c r="EH33" s="173"/>
      <c r="EI33" s="528">
        <f t="shared" si="77"/>
        <v>4.5406109118879103E-3</v>
      </c>
      <c r="EJ33" s="528">
        <f t="shared" si="78"/>
        <v>0.55567522025010263</v>
      </c>
      <c r="EK33" s="528">
        <f t="shared" si="79"/>
        <v>4.3749999999999997E-2</v>
      </c>
      <c r="EL33" s="528">
        <f t="shared" si="80"/>
        <v>6.4114399999999988E-2</v>
      </c>
      <c r="EM33">
        <f t="shared" si="81"/>
        <v>1.0800000000000001E-2</v>
      </c>
      <c r="EN33" s="460">
        <f t="shared" si="121"/>
        <v>54.550000000000004</v>
      </c>
      <c r="EO33">
        <f t="shared" si="82"/>
        <v>0.68084072054265732</v>
      </c>
      <c r="EP33" s="460">
        <f t="shared" si="122"/>
        <v>680.84072054265732</v>
      </c>
      <c r="EQ33" s="173">
        <f t="shared" si="83"/>
        <v>1.0436999999999999</v>
      </c>
      <c r="ER33" s="173">
        <f t="shared" si="84"/>
        <v>1.2425000000000002E-2</v>
      </c>
      <c r="ES33" s="528"/>
      <c r="EU33" s="460">
        <f t="shared" si="123"/>
        <v>1056.1249999999998</v>
      </c>
      <c r="EV33" s="528">
        <f t="shared" si="85"/>
        <v>1.116543666857683E-2</v>
      </c>
      <c r="EW33" s="528">
        <f t="shared" si="124"/>
        <v>0.37175301330277072</v>
      </c>
      <c r="EX33" s="528">
        <f t="shared" si="86"/>
        <v>2.2494587464914739E-5</v>
      </c>
      <c r="EY33" s="528">
        <f t="shared" si="87"/>
        <v>0.53683171897110227</v>
      </c>
      <c r="EZ33" s="528">
        <f t="shared" si="88"/>
        <v>1.0436510270304964</v>
      </c>
      <c r="FA33" s="625">
        <f t="shared" si="89"/>
        <v>3.0100000000000009E-2</v>
      </c>
      <c r="FB33" s="460">
        <f t="shared" si="125"/>
        <v>1073.7510270304965</v>
      </c>
      <c r="FC33" s="173">
        <f t="shared" si="126"/>
        <v>2.8107167475731538</v>
      </c>
      <c r="FD33" s="5">
        <f t="shared" si="127"/>
        <v>7.2240000000000011</v>
      </c>
      <c r="FE33" s="173">
        <f t="shared" si="128"/>
        <v>0.71990073877741378</v>
      </c>
      <c r="FF33" s="5">
        <f t="shared" si="129"/>
        <v>71.990073877741381</v>
      </c>
      <c r="FG33">
        <f t="shared" si="130"/>
        <v>28.000000000000004</v>
      </c>
      <c r="FI33" s="562">
        <f t="shared" si="90"/>
        <v>-50</v>
      </c>
      <c r="FJ33">
        <f t="shared" si="91"/>
        <v>-50</v>
      </c>
      <c r="FL33">
        <f t="shared" si="92"/>
        <v>0.4331969234286932</v>
      </c>
    </row>
    <row r="34" spans="5:168">
      <c r="E34" s="170">
        <v>29</v>
      </c>
      <c r="F34" s="217">
        <f t="shared" si="131"/>
        <v>1.7399999999999998</v>
      </c>
      <c r="G34" s="217">
        <f t="shared" si="93"/>
        <v>2.8999999999999998E-2</v>
      </c>
      <c r="H34" s="217">
        <f t="shared" si="0"/>
        <v>6.9599999999999991</v>
      </c>
      <c r="I34" s="217">
        <f t="shared" si="132"/>
        <v>0.52200000000000002</v>
      </c>
      <c r="J34" s="541">
        <f t="shared" si="1"/>
        <v>23.94769645509454</v>
      </c>
      <c r="K34" s="443">
        <f t="shared" si="2"/>
        <v>19.273614671587417</v>
      </c>
      <c r="L34" s="172">
        <f t="shared" si="3"/>
        <v>43.221311126681954</v>
      </c>
      <c r="M34" s="443"/>
      <c r="N34" s="217">
        <f t="shared" si="4"/>
        <v>0.44592850538699119</v>
      </c>
      <c r="O34" s="172">
        <f t="shared" si="94"/>
        <v>33.113055775757068</v>
      </c>
      <c r="P34" s="172">
        <f t="shared" si="5"/>
        <v>2.6697401219204138</v>
      </c>
      <c r="Q34" s="217">
        <f t="shared" si="6"/>
        <v>8.2782639439392671</v>
      </c>
      <c r="R34" s="217">
        <f t="shared" si="7"/>
        <v>1.8396142097642816</v>
      </c>
      <c r="S34" s="443">
        <f t="shared" si="8"/>
        <v>4</v>
      </c>
      <c r="T34" s="217">
        <f t="shared" si="9"/>
        <v>1.4012599838028432</v>
      </c>
      <c r="U34" s="217">
        <f t="shared" si="10"/>
        <v>0.7021602197591299</v>
      </c>
      <c r="V34" s="217">
        <f t="shared" si="11"/>
        <v>0.87244246043906148</v>
      </c>
      <c r="W34" s="197">
        <f t="shared" si="12"/>
        <v>350</v>
      </c>
      <c r="X34" s="443">
        <f t="shared" si="95"/>
        <v>350</v>
      </c>
      <c r="Z34" s="217">
        <f t="shared" si="13"/>
        <v>2.5426096399242035</v>
      </c>
      <c r="AA34" s="173">
        <f t="shared" si="14"/>
        <v>1.5830614131800251</v>
      </c>
      <c r="AB34" s="173">
        <f t="shared" si="15"/>
        <v>2.8175750468204948</v>
      </c>
      <c r="AC34" s="173"/>
      <c r="AD34" s="173">
        <f t="shared" si="16"/>
        <v>0.83015045556486722</v>
      </c>
      <c r="AE34" s="545">
        <f t="shared" si="17"/>
        <v>786.00209832567407</v>
      </c>
      <c r="AF34" s="528">
        <f t="shared" si="18"/>
        <v>0.77480709186054275</v>
      </c>
      <c r="AH34" s="173">
        <f t="shared" si="19"/>
        <v>1.887553215900718</v>
      </c>
      <c r="AI34" s="173">
        <f t="shared" si="20"/>
        <v>1.887553215900718</v>
      </c>
      <c r="AJ34" s="173">
        <f t="shared" si="21"/>
        <v>1.6105332463462108</v>
      </c>
      <c r="AL34" s="545">
        <f t="shared" si="22"/>
        <v>1739.9999999999998</v>
      </c>
      <c r="AM34" s="460">
        <f t="shared" si="23"/>
        <v>350</v>
      </c>
      <c r="AO34">
        <f t="shared" si="96"/>
        <v>1739.9999999999998</v>
      </c>
      <c r="AP34" s="460">
        <f t="shared" si="24"/>
        <v>350</v>
      </c>
      <c r="AQ34" s="460"/>
      <c r="AR34" s="5">
        <f t="shared" si="97"/>
        <v>2.8571428571428572</v>
      </c>
      <c r="AS34" s="5">
        <f t="shared" si="25"/>
        <v>0.94583788604811747</v>
      </c>
      <c r="AT34" s="5">
        <f t="shared" si="98"/>
        <v>1.9113049710947396</v>
      </c>
      <c r="AU34" s="173">
        <f t="shared" si="99"/>
        <v>0.3310432601168411</v>
      </c>
      <c r="AW34" s="5">
        <f t="shared" si="26"/>
        <v>41.143948043093104</v>
      </c>
      <c r="AX34" s="5">
        <f t="shared" si="27"/>
        <v>0.15238499275219669</v>
      </c>
      <c r="AY34" s="5">
        <f t="shared" si="28"/>
        <v>0.46290752236385507</v>
      </c>
      <c r="AZ34" s="5"/>
      <c r="BA34" s="173">
        <f t="shared" si="100"/>
        <v>0.62701936277970516</v>
      </c>
      <c r="BB34" s="173">
        <f t="shared" si="29"/>
        <v>3.5653123651503638</v>
      </c>
      <c r="BC34" s="173">
        <f t="shared" si="30"/>
        <v>6.793365452516234E-2</v>
      </c>
      <c r="BD34" s="173"/>
      <c r="BE34" s="528">
        <f t="shared" si="31"/>
        <v>4.7964700318681433E-3</v>
      </c>
      <c r="BF34" s="528">
        <f t="shared" si="32"/>
        <v>0.53538531908277942</v>
      </c>
      <c r="BG34" s="528">
        <f t="shared" si="33"/>
        <v>0.20954234398207724</v>
      </c>
      <c r="BH34" s="528">
        <f t="shared" si="34"/>
        <v>6.5382860742830437E-2</v>
      </c>
      <c r="BI34">
        <f t="shared" si="35"/>
        <v>1.0776463404792543E-2</v>
      </c>
      <c r="BJ34" s="460">
        <f t="shared" si="101"/>
        <v>220.31880738686979</v>
      </c>
      <c r="BK34">
        <f t="shared" si="36"/>
        <v>0.60755208820529116</v>
      </c>
      <c r="BL34" s="460">
        <f t="shared" si="102"/>
        <v>607.55208820529117</v>
      </c>
      <c r="BM34" s="173">
        <f t="shared" si="37"/>
        <v>1.0809749999999998</v>
      </c>
      <c r="BN34" s="173">
        <f t="shared" si="38"/>
        <v>1.2868749999999998E-2</v>
      </c>
      <c r="BO34" s="528"/>
      <c r="BQ34" s="460">
        <f t="shared" si="103"/>
        <v>1093.8437499999998</v>
      </c>
      <c r="BR34" s="528">
        <f t="shared" si="39"/>
        <v>1.1794598439020025E-2</v>
      </c>
      <c r="BS34" s="528">
        <f t="shared" si="104"/>
        <v>0.38134356783282242</v>
      </c>
      <c r="BT34" s="528">
        <f t="shared" si="40"/>
        <v>2.3074907085720548E-5</v>
      </c>
      <c r="BU34" s="528">
        <f t="shared" si="41"/>
        <v>0.56090346982448236</v>
      </c>
      <c r="BV34" s="528">
        <f t="shared" si="42"/>
        <v>1.0824702362151202</v>
      </c>
      <c r="BW34" s="625">
        <f t="shared" si="43"/>
        <v>3.1174999999999998E-2</v>
      </c>
      <c r="BX34" s="460">
        <f t="shared" si="105"/>
        <v>1113.6452362151201</v>
      </c>
      <c r="BY34" s="173">
        <f t="shared" si="106"/>
        <v>2.8150410744204111</v>
      </c>
      <c r="BZ34" s="5">
        <f t="shared" si="107"/>
        <v>7.4819999999999993</v>
      </c>
      <c r="CA34" s="173">
        <f t="shared" si="108"/>
        <v>0.72661650525863708</v>
      </c>
      <c r="CB34" s="5">
        <f t="shared" si="109"/>
        <v>72.661650525863706</v>
      </c>
      <c r="CC34">
        <f t="shared" si="110"/>
        <v>28.999999999999996</v>
      </c>
      <c r="CE34" s="562">
        <f t="shared" si="44"/>
        <v>-50</v>
      </c>
      <c r="CF34">
        <f t="shared" si="45"/>
        <v>-50</v>
      </c>
      <c r="CG34" s="173">
        <f t="shared" si="46"/>
        <v>0.44086472089254269</v>
      </c>
      <c r="CH34" s="173">
        <f t="shared" si="47"/>
        <v>0.1129189047072709</v>
      </c>
      <c r="CI34" s="170">
        <v>29</v>
      </c>
      <c r="CJ34" s="217">
        <f t="shared" si="133"/>
        <v>1.7399999999999998</v>
      </c>
      <c r="CK34" s="217">
        <f t="shared" si="111"/>
        <v>2.8999999999999998E-2</v>
      </c>
      <c r="CL34" s="217">
        <f t="shared" si="48"/>
        <v>6.9599999999999991</v>
      </c>
      <c r="CM34" s="217">
        <f t="shared" si="134"/>
        <v>0.52200000000000002</v>
      </c>
      <c r="CN34" s="541">
        <f t="shared" si="112"/>
        <v>24</v>
      </c>
      <c r="CO34" s="443">
        <f t="shared" si="49"/>
        <v>18.8</v>
      </c>
      <c r="CP34" s="443">
        <f t="shared" si="50"/>
        <v>42.8</v>
      </c>
      <c r="CQ34" s="443"/>
      <c r="CR34" s="217">
        <f t="shared" si="113"/>
        <v>0.43925233644859818</v>
      </c>
      <c r="CS34" s="172">
        <f t="shared" si="114"/>
        <v>32.688545968267775</v>
      </c>
      <c r="CT34" s="172">
        <f t="shared" si="51"/>
        <v>2.6355140186915893</v>
      </c>
      <c r="CU34" s="217">
        <f t="shared" si="52"/>
        <v>8.1721364920669437</v>
      </c>
      <c r="CV34" s="217">
        <f t="shared" si="53"/>
        <v>1.816030331570432</v>
      </c>
      <c r="CW34" s="443">
        <f t="shared" si="54"/>
        <v>4</v>
      </c>
      <c r="CX34" s="217">
        <f t="shared" si="55"/>
        <v>1.4194574468085102</v>
      </c>
      <c r="CY34" s="217">
        <f t="shared" si="56"/>
        <v>0.70972872340425508</v>
      </c>
      <c r="CZ34" s="217">
        <f t="shared" si="57"/>
        <v>0.90603666817564477</v>
      </c>
      <c r="DA34" s="197">
        <f t="shared" si="58"/>
        <v>350</v>
      </c>
      <c r="DB34" s="443">
        <f t="shared" si="115"/>
        <v>350</v>
      </c>
      <c r="DD34" s="217">
        <f t="shared" si="59"/>
        <v>2.5100133511348464</v>
      </c>
      <c r="DE34" s="173">
        <f t="shared" si="60"/>
        <v>1.6021361815754336</v>
      </c>
      <c r="DF34" s="173">
        <f t="shared" si="61"/>
        <v>2.8149682442633783</v>
      </c>
      <c r="DG34" s="173"/>
      <c r="DH34" s="173">
        <f t="shared" si="62"/>
        <v>0.85106382978723416</v>
      </c>
      <c r="DI34" s="545">
        <f t="shared" si="63"/>
        <v>766.68749999999966</v>
      </c>
      <c r="DJ34" s="528">
        <f t="shared" si="64"/>
        <v>0.79432624113475192</v>
      </c>
      <c r="DL34" s="173">
        <f t="shared" si="65"/>
        <v>1.887553215900718</v>
      </c>
      <c r="DM34" s="173">
        <f t="shared" si="66"/>
        <v>1.887553215900718</v>
      </c>
      <c r="DN34" s="173">
        <f t="shared" si="67"/>
        <v>1.6105332463462108</v>
      </c>
      <c r="DP34" s="545">
        <f t="shared" si="68"/>
        <v>1739.9999999999998</v>
      </c>
      <c r="DQ34" s="460">
        <f t="shared" si="69"/>
        <v>350</v>
      </c>
      <c r="DS34">
        <f t="shared" si="116"/>
        <v>1739.9999999999998</v>
      </c>
      <c r="DT34" s="460">
        <f t="shared" si="70"/>
        <v>350</v>
      </c>
      <c r="DU34" s="460"/>
      <c r="DV34" s="5">
        <f t="shared" si="117"/>
        <v>2.8571428571428572</v>
      </c>
      <c r="DW34" s="5">
        <f t="shared" si="71"/>
        <v>0.94377660795035911</v>
      </c>
      <c r="DX34" s="5">
        <f t="shared" si="118"/>
        <v>1.9133662491924981</v>
      </c>
      <c r="DY34" s="173">
        <f t="shared" si="119"/>
        <v>0.33032181278262568</v>
      </c>
      <c r="EA34" s="5">
        <f t="shared" si="72"/>
        <v>41.05428244584062</v>
      </c>
      <c r="EB34" s="5">
        <f t="shared" si="73"/>
        <v>0.15205289794755786</v>
      </c>
      <c r="EC34" s="5">
        <f t="shared" si="74"/>
        <v>0.46239684355485361</v>
      </c>
      <c r="ED34" s="5"/>
      <c r="EE34" s="173">
        <f t="shared" si="120"/>
        <v>0.62633575397281871</v>
      </c>
      <c r="EF34" s="173">
        <f t="shared" si="75"/>
        <v>3.5672343817906853</v>
      </c>
      <c r="EG34" s="173">
        <f t="shared" si="76"/>
        <v>6.7970276734119803E-2</v>
      </c>
      <c r="EH34" s="173"/>
      <c r="EI34" s="528">
        <f t="shared" si="77"/>
        <v>4.7860170157973314E-3</v>
      </c>
      <c r="EJ34" s="528">
        <f t="shared" si="78"/>
        <v>0.56551094348385511</v>
      </c>
      <c r="EK34" s="528">
        <f t="shared" si="79"/>
        <v>4.3749999999999997E-2</v>
      </c>
      <c r="EL34" s="528">
        <f t="shared" si="80"/>
        <v>6.4114399999999988E-2</v>
      </c>
      <c r="EM34">
        <f t="shared" si="81"/>
        <v>1.0800000000000001E-2</v>
      </c>
      <c r="EN34" s="460">
        <f t="shared" si="121"/>
        <v>54.550000000000004</v>
      </c>
      <c r="EO34">
        <f t="shared" si="82"/>
        <v>0.691039405835846</v>
      </c>
      <c r="EP34" s="460">
        <f t="shared" si="122"/>
        <v>691.03940583584597</v>
      </c>
      <c r="EQ34" s="173">
        <f t="shared" si="83"/>
        <v>1.0809749999999998</v>
      </c>
      <c r="ER34" s="173">
        <f t="shared" si="84"/>
        <v>1.2868749999999998E-2</v>
      </c>
      <c r="ES34" s="528"/>
      <c r="EU34" s="460">
        <f t="shared" si="123"/>
        <v>1093.8437499999998</v>
      </c>
      <c r="EV34" s="528">
        <f t="shared" si="85"/>
        <v>1.1768894301140979E-2</v>
      </c>
      <c r="EW34" s="528">
        <f t="shared" si="124"/>
        <v>0.38175483403888716</v>
      </c>
      <c r="EX34" s="528">
        <f t="shared" si="86"/>
        <v>2.3099792596564139E-5</v>
      </c>
      <c r="EY34" s="528">
        <f t="shared" si="87"/>
        <v>0.56090346982448236</v>
      </c>
      <c r="EZ34" s="528">
        <f t="shared" si="88"/>
        <v>1.0829983829887766</v>
      </c>
      <c r="FA34" s="625">
        <f t="shared" si="89"/>
        <v>3.1174999999999998E-2</v>
      </c>
      <c r="FB34" s="460">
        <f t="shared" si="125"/>
        <v>1114.1733829887764</v>
      </c>
      <c r="FC34" s="173">
        <f t="shared" si="126"/>
        <v>2.8990565388246226</v>
      </c>
      <c r="FD34" s="5">
        <f t="shared" si="127"/>
        <v>7.4819999999999993</v>
      </c>
      <c r="FE34" s="173">
        <f t="shared" si="128"/>
        <v>0.72073588772180375</v>
      </c>
      <c r="FF34" s="5">
        <f t="shared" si="129"/>
        <v>72.073588772180372</v>
      </c>
      <c r="FG34">
        <f t="shared" si="130"/>
        <v>28.999999999999996</v>
      </c>
      <c r="FI34" s="562">
        <f t="shared" si="90"/>
        <v>-50</v>
      </c>
      <c r="FJ34">
        <f t="shared" si="91"/>
        <v>-50</v>
      </c>
      <c r="FL34">
        <f t="shared" si="92"/>
        <v>0.44086472089254264</v>
      </c>
    </row>
    <row r="35" spans="5:168">
      <c r="E35" s="170">
        <v>30</v>
      </c>
      <c r="F35" s="217">
        <f t="shared" si="131"/>
        <v>1.7999999999999998</v>
      </c>
      <c r="G35" s="217">
        <f t="shared" si="93"/>
        <v>0.03</v>
      </c>
      <c r="H35" s="217">
        <f t="shared" si="0"/>
        <v>7.1999999999999993</v>
      </c>
      <c r="I35" s="217">
        <f t="shared" si="132"/>
        <v>0.54</v>
      </c>
      <c r="J35" s="541">
        <f t="shared" si="1"/>
        <v>23.946802312634421</v>
      </c>
      <c r="K35" s="443">
        <f t="shared" si="2"/>
        <v>19.281711235374175</v>
      </c>
      <c r="L35" s="172">
        <f t="shared" si="3"/>
        <v>43.228513548008593</v>
      </c>
      <c r="M35" s="443"/>
      <c r="N35" s="217">
        <f t="shared" si="4"/>
        <v>0.44604150484981053</v>
      </c>
      <c r="O35" s="172">
        <f t="shared" si="94"/>
        <v>33.120210046103502</v>
      </c>
      <c r="P35" s="172">
        <f t="shared" si="5"/>
        <v>2.670316934967095</v>
      </c>
      <c r="Q35" s="217">
        <f t="shared" si="6"/>
        <v>8.2800525115258754</v>
      </c>
      <c r="R35" s="217">
        <f t="shared" si="7"/>
        <v>1.8400116692279722</v>
      </c>
      <c r="S35" s="443">
        <f t="shared" si="8"/>
        <v>4</v>
      </c>
      <c r="T35" s="217">
        <f t="shared" si="9"/>
        <v>1.4492661711137624</v>
      </c>
      <c r="U35" s="217">
        <f t="shared" si="10"/>
        <v>0.72624285390243903</v>
      </c>
      <c r="V35" s="217">
        <f t="shared" si="11"/>
        <v>0.90195283193844922</v>
      </c>
      <c r="W35" s="197">
        <f t="shared" si="12"/>
        <v>350</v>
      </c>
      <c r="X35" s="443">
        <f t="shared" si="95"/>
        <v>350</v>
      </c>
      <c r="Z35" s="217">
        <f t="shared" si="13"/>
        <v>2.5431589856829473</v>
      </c>
      <c r="AA35" s="173">
        <f t="shared" si="14"/>
        <v>1.5827385575719699</v>
      </c>
      <c r="AB35" s="173">
        <f t="shared" si="15"/>
        <v>2.8176090492732149</v>
      </c>
      <c r="AC35" s="173"/>
      <c r="AD35" s="173">
        <f t="shared" si="16"/>
        <v>0.82980186792998156</v>
      </c>
      <c r="AE35" s="545">
        <f t="shared" si="17"/>
        <v>813.44719274234774</v>
      </c>
      <c r="AF35" s="528">
        <f t="shared" si="18"/>
        <v>0.77448174340131637</v>
      </c>
      <c r="AH35" s="173">
        <f t="shared" si="19"/>
        <v>1.9198214202665531</v>
      </c>
      <c r="AI35" s="173">
        <f t="shared" si="20"/>
        <v>1.9198214202665531</v>
      </c>
      <c r="AJ35" s="173">
        <f t="shared" si="21"/>
        <v>1.634435619950533</v>
      </c>
      <c r="AL35" s="545">
        <f t="shared" si="22"/>
        <v>1799.9999999999998</v>
      </c>
      <c r="AM35" s="460">
        <f t="shared" si="23"/>
        <v>350</v>
      </c>
      <c r="AO35">
        <f t="shared" si="96"/>
        <v>1799.9999999999998</v>
      </c>
      <c r="AP35" s="460">
        <f t="shared" si="24"/>
        <v>350</v>
      </c>
      <c r="AQ35" s="460"/>
      <c r="AR35" s="5">
        <f t="shared" si="97"/>
        <v>2.8571428571428572</v>
      </c>
      <c r="AS35" s="5">
        <f t="shared" si="25"/>
        <v>0.96204314640555477</v>
      </c>
      <c r="AT35" s="5">
        <f t="shared" si="98"/>
        <v>1.8950997107373024</v>
      </c>
      <c r="AU35" s="173">
        <f t="shared" si="99"/>
        <v>0.33671510124194415</v>
      </c>
      <c r="AW35" s="5">
        <f t="shared" si="26"/>
        <v>43.291941588249962</v>
      </c>
      <c r="AX35" s="5">
        <f t="shared" si="27"/>
        <v>0.16034052440092578</v>
      </c>
      <c r="AY35" s="5">
        <f t="shared" si="28"/>
        <v>0.47482741603561168</v>
      </c>
      <c r="AZ35" s="5"/>
      <c r="BA35" s="173">
        <f t="shared" si="100"/>
        <v>0.64317847674995199</v>
      </c>
      <c r="BB35" s="173">
        <f t="shared" si="29"/>
        <v>3.6108566864211933</v>
      </c>
      <c r="BC35" s="173">
        <f t="shared" si="30"/>
        <v>6.8801458484511926E-2</v>
      </c>
      <c r="BD35" s="173"/>
      <c r="BE35" s="528">
        <f t="shared" si="31"/>
        <v>5.0468783460435396E-3</v>
      </c>
      <c r="BF35" s="528">
        <f t="shared" si="32"/>
        <v>0.54462860993460793</v>
      </c>
      <c r="BG35" s="528">
        <f t="shared" si="33"/>
        <v>0.20953452023555119</v>
      </c>
      <c r="BH35" s="528">
        <f t="shared" si="34"/>
        <v>6.5404653424962683E-2</v>
      </c>
      <c r="BI35">
        <f t="shared" si="35"/>
        <v>1.077606104068549E-2</v>
      </c>
      <c r="BJ35" s="460">
        <f t="shared" si="101"/>
        <v>220.31058127623669</v>
      </c>
      <c r="BK35">
        <f t="shared" si="36"/>
        <v>0.61718288649327102</v>
      </c>
      <c r="BL35" s="460">
        <f t="shared" si="102"/>
        <v>617.18288649327098</v>
      </c>
      <c r="BM35" s="173">
        <f t="shared" si="37"/>
        <v>1.1182499999999997</v>
      </c>
      <c r="BN35" s="173">
        <f t="shared" si="38"/>
        <v>1.33125E-2</v>
      </c>
      <c r="BO35" s="528"/>
      <c r="BQ35" s="460">
        <f t="shared" si="103"/>
        <v>1131.5624999999998</v>
      </c>
      <c r="BR35" s="528">
        <f t="shared" si="39"/>
        <v>1.2410356588631656E-2</v>
      </c>
      <c r="BS35" s="528">
        <f t="shared" si="104"/>
        <v>0.39114858029617916</v>
      </c>
      <c r="BT35" s="528">
        <f t="shared" si="40"/>
        <v>2.3668203447980093E-5</v>
      </c>
      <c r="BU35" s="528">
        <f t="shared" si="41"/>
        <v>0.58518366911986663</v>
      </c>
      <c r="BV35" s="528">
        <f t="shared" si="42"/>
        <v>1.121846725343207</v>
      </c>
      <c r="BW35" s="625">
        <f t="shared" si="43"/>
        <v>3.2250000000000001E-2</v>
      </c>
      <c r="BX35" s="460">
        <f t="shared" si="105"/>
        <v>1154.0967253432068</v>
      </c>
      <c r="BY35" s="173">
        <f t="shared" si="106"/>
        <v>2.9028421118364776</v>
      </c>
      <c r="BZ35" s="5">
        <f t="shared" si="107"/>
        <v>7.7399999999999993</v>
      </c>
      <c r="CA35" s="173">
        <f t="shared" si="108"/>
        <v>0.72724934924966422</v>
      </c>
      <c r="CB35" s="5">
        <f t="shared" si="109"/>
        <v>72.724934924966419</v>
      </c>
      <c r="CC35">
        <f t="shared" si="110"/>
        <v>30</v>
      </c>
      <c r="CE35" s="562">
        <f t="shared" si="44"/>
        <v>-50</v>
      </c>
      <c r="CF35">
        <f t="shared" si="45"/>
        <v>-50</v>
      </c>
      <c r="CG35" s="173">
        <f t="shared" si="46"/>
        <v>0.44840141590681226</v>
      </c>
      <c r="CH35" s="173">
        <f t="shared" si="47"/>
        <v>0.11484928222625475</v>
      </c>
      <c r="CI35" s="170">
        <v>30</v>
      </c>
      <c r="CJ35" s="217">
        <f t="shared" si="133"/>
        <v>1.7999999999999998</v>
      </c>
      <c r="CK35" s="217">
        <f t="shared" si="111"/>
        <v>0.03</v>
      </c>
      <c r="CL35" s="217">
        <f t="shared" si="48"/>
        <v>7.1999999999999993</v>
      </c>
      <c r="CM35" s="217">
        <f t="shared" si="134"/>
        <v>0.54</v>
      </c>
      <c r="CN35" s="541">
        <f t="shared" si="112"/>
        <v>24</v>
      </c>
      <c r="CO35" s="443">
        <f t="shared" si="49"/>
        <v>18.8</v>
      </c>
      <c r="CP35" s="443">
        <f t="shared" si="50"/>
        <v>42.8</v>
      </c>
      <c r="CQ35" s="443"/>
      <c r="CR35" s="217">
        <f t="shared" si="113"/>
        <v>0.43925233644859818</v>
      </c>
      <c r="CS35" s="172">
        <f t="shared" si="114"/>
        <v>32.688545968267775</v>
      </c>
      <c r="CT35" s="172">
        <f t="shared" si="51"/>
        <v>2.6355140186915893</v>
      </c>
      <c r="CU35" s="217">
        <f t="shared" si="52"/>
        <v>8.1721364920669437</v>
      </c>
      <c r="CV35" s="217">
        <f t="shared" si="53"/>
        <v>1.816030331570432</v>
      </c>
      <c r="CW35" s="443">
        <f t="shared" si="54"/>
        <v>4</v>
      </c>
      <c r="CX35" s="217">
        <f t="shared" si="55"/>
        <v>1.4684042553191485</v>
      </c>
      <c r="CY35" s="217">
        <f t="shared" si="56"/>
        <v>0.73420212765957427</v>
      </c>
      <c r="CZ35" s="217">
        <f t="shared" si="57"/>
        <v>0.93727931190583946</v>
      </c>
      <c r="DA35" s="197">
        <f t="shared" si="58"/>
        <v>350</v>
      </c>
      <c r="DB35" s="443">
        <f t="shared" si="115"/>
        <v>350</v>
      </c>
      <c r="DD35" s="217">
        <f t="shared" si="59"/>
        <v>2.5100133511348464</v>
      </c>
      <c r="DE35" s="173">
        <f t="shared" si="60"/>
        <v>1.6021361815754336</v>
      </c>
      <c r="DF35" s="173">
        <f t="shared" si="61"/>
        <v>2.8149682442633783</v>
      </c>
      <c r="DG35" s="173"/>
      <c r="DH35" s="173">
        <f t="shared" si="62"/>
        <v>0.85106382978723416</v>
      </c>
      <c r="DI35" s="545">
        <f t="shared" si="63"/>
        <v>793.12499999999966</v>
      </c>
      <c r="DJ35" s="528">
        <f t="shared" si="64"/>
        <v>0.79432624113475192</v>
      </c>
      <c r="DL35" s="173">
        <f t="shared" si="65"/>
        <v>1.9198214202665531</v>
      </c>
      <c r="DM35" s="173">
        <f t="shared" si="66"/>
        <v>1.9198214202665531</v>
      </c>
      <c r="DN35" s="173">
        <f t="shared" si="67"/>
        <v>1.634435619950533</v>
      </c>
      <c r="DP35" s="545">
        <f t="shared" si="68"/>
        <v>1799.9999999999998</v>
      </c>
      <c r="DQ35" s="460">
        <f t="shared" si="69"/>
        <v>350</v>
      </c>
      <c r="DS35">
        <f t="shared" si="116"/>
        <v>1799.9999999999998</v>
      </c>
      <c r="DT35" s="460">
        <f t="shared" si="70"/>
        <v>350</v>
      </c>
      <c r="DU35" s="460"/>
      <c r="DV35" s="5">
        <f t="shared" si="117"/>
        <v>2.8571428571428572</v>
      </c>
      <c r="DW35" s="5">
        <f t="shared" si="71"/>
        <v>0.95991071013327667</v>
      </c>
      <c r="DX35" s="5">
        <f t="shared" si="118"/>
        <v>1.8972321470095805</v>
      </c>
      <c r="DY35" s="173">
        <f t="shared" si="119"/>
        <v>0.33596874854664682</v>
      </c>
      <c r="EA35" s="5">
        <f t="shared" si="72"/>
        <v>43.195981955997446</v>
      </c>
      <c r="EB35" s="5">
        <f t="shared" si="73"/>
        <v>0.1599851183555461</v>
      </c>
      <c r="EC35" s="5">
        <f t="shared" si="74"/>
        <v>0.47430803675239508</v>
      </c>
      <c r="ED35" s="5"/>
      <c r="EE35" s="173">
        <f t="shared" si="120"/>
        <v>0.6424652561479951</v>
      </c>
      <c r="EF35" s="173">
        <f t="shared" si="75"/>
        <v>3.61288764998663</v>
      </c>
      <c r="EG35" s="173">
        <f t="shared" si="76"/>
        <v>6.8840156574069583E-2</v>
      </c>
      <c r="EH35" s="173"/>
      <c r="EI35" s="528">
        <f t="shared" si="77"/>
        <v>5.0356915853591684E-3</v>
      </c>
      <c r="EJ35" s="528">
        <f t="shared" si="78"/>
        <v>0.57517849751185934</v>
      </c>
      <c r="EK35" s="528">
        <f t="shared" si="79"/>
        <v>4.3749999999999997E-2</v>
      </c>
      <c r="EL35" s="528">
        <f t="shared" si="80"/>
        <v>6.4114399999999988E-2</v>
      </c>
      <c r="EM35">
        <f t="shared" si="81"/>
        <v>1.0800000000000001E-2</v>
      </c>
      <c r="EN35" s="460">
        <f t="shared" si="121"/>
        <v>54.550000000000004</v>
      </c>
      <c r="EO35">
        <f t="shared" si="82"/>
        <v>0.70107705071973292</v>
      </c>
      <c r="EP35" s="460">
        <f t="shared" si="122"/>
        <v>701.07705071973294</v>
      </c>
      <c r="EQ35" s="173">
        <f t="shared" si="83"/>
        <v>1.1182499999999997</v>
      </c>
      <c r="ER35" s="173">
        <f t="shared" si="84"/>
        <v>1.33125E-2</v>
      </c>
      <c r="ES35" s="528"/>
      <c r="EU35" s="460">
        <f t="shared" si="123"/>
        <v>1131.5624999999998</v>
      </c>
      <c r="EV35" s="528">
        <f t="shared" si="85"/>
        <v>1.2382848160719268E-2</v>
      </c>
      <c r="EW35" s="528">
        <f t="shared" si="124"/>
        <v>0.39158871514277743</v>
      </c>
      <c r="EX35" s="528">
        <f t="shared" si="86"/>
        <v>2.369483578571208E-5</v>
      </c>
      <c r="EY35" s="528">
        <f t="shared" si="87"/>
        <v>0.58518366911986663</v>
      </c>
      <c r="EZ35" s="528">
        <f t="shared" si="88"/>
        <v>1.1224137766887745</v>
      </c>
      <c r="FA35" s="625">
        <f t="shared" si="89"/>
        <v>3.2250000000000001E-2</v>
      </c>
      <c r="FB35" s="460">
        <f t="shared" si="125"/>
        <v>1154.6637766887743</v>
      </c>
      <c r="FC35" s="173">
        <f t="shared" si="126"/>
        <v>2.9873033274085072</v>
      </c>
      <c r="FD35" s="5">
        <f t="shared" si="127"/>
        <v>7.7399999999999993</v>
      </c>
      <c r="FE35" s="173">
        <f t="shared" si="128"/>
        <v>0.72152336554370766</v>
      </c>
      <c r="FF35" s="5">
        <f t="shared" si="129"/>
        <v>72.152336554370763</v>
      </c>
      <c r="FG35">
        <f t="shared" si="130"/>
        <v>30</v>
      </c>
      <c r="FI35" s="562">
        <f t="shared" si="90"/>
        <v>-50</v>
      </c>
      <c r="FJ35">
        <f t="shared" si="91"/>
        <v>-50</v>
      </c>
      <c r="FL35">
        <f t="shared" si="92"/>
        <v>0.44840141590681226</v>
      </c>
    </row>
    <row r="36" spans="5:168">
      <c r="E36" s="170">
        <v>31</v>
      </c>
      <c r="F36" s="217">
        <f t="shared" si="131"/>
        <v>1.8599999999999999</v>
      </c>
      <c r="G36" s="217">
        <f t="shared" si="93"/>
        <v>3.1E-2</v>
      </c>
      <c r="H36" s="217">
        <f t="shared" si="0"/>
        <v>7.4399999999999995</v>
      </c>
      <c r="I36" s="217">
        <f t="shared" si="132"/>
        <v>0.55800000000000005</v>
      </c>
      <c r="J36" s="541">
        <f t="shared" si="1"/>
        <v>23.945922952443631</v>
      </c>
      <c r="K36" s="443">
        <f t="shared" si="2"/>
        <v>19.289673943995975</v>
      </c>
      <c r="L36" s="172">
        <f t="shared" si="3"/>
        <v>43.235596896439603</v>
      </c>
      <c r="M36" s="443"/>
      <c r="N36" s="217">
        <f t="shared" si="4"/>
        <v>0.44615259944715729</v>
      </c>
      <c r="O36" s="172">
        <f t="shared" si="94"/>
        <v>33.127242701997126</v>
      </c>
      <c r="P36" s="172">
        <f t="shared" si="5"/>
        <v>2.6708839428485187</v>
      </c>
      <c r="Q36" s="217">
        <f t="shared" si="6"/>
        <v>8.2818106754992815</v>
      </c>
      <c r="R36" s="217">
        <f t="shared" si="7"/>
        <v>1.8404023723331737</v>
      </c>
      <c r="S36" s="443">
        <f t="shared" si="8"/>
        <v>4</v>
      </c>
      <c r="T36" s="217">
        <f t="shared" si="9"/>
        <v>1.4972571199537166</v>
      </c>
      <c r="U36" s="217">
        <f t="shared" si="10"/>
        <v>0.75031918690822874</v>
      </c>
      <c r="V36" s="217">
        <f t="shared" si="11"/>
        <v>0.9314354141811173</v>
      </c>
      <c r="W36" s="197">
        <f t="shared" si="12"/>
        <v>350</v>
      </c>
      <c r="X36" s="443">
        <f t="shared" si="95"/>
        <v>350</v>
      </c>
      <c r="Z36" s="217">
        <f t="shared" si="13"/>
        <v>2.5436989931890648</v>
      </c>
      <c r="AA36" s="173">
        <f t="shared" si="14"/>
        <v>1.5824211444366936</v>
      </c>
      <c r="AB36" s="173">
        <f t="shared" si="15"/>
        <v>2.8176421503332931</v>
      </c>
      <c r="AC36" s="173"/>
      <c r="AD36" s="173">
        <f t="shared" si="16"/>
        <v>0.8294593286777715</v>
      </c>
      <c r="AE36" s="545">
        <f t="shared" si="17"/>
        <v>840.90922349607433</v>
      </c>
      <c r="AF36" s="528">
        <f t="shared" si="18"/>
        <v>0.77416204009925349</v>
      </c>
      <c r="AH36" s="173">
        <f t="shared" si="19"/>
        <v>1.9515561556284842</v>
      </c>
      <c r="AI36" s="173">
        <f t="shared" si="20"/>
        <v>1.9515561556284842</v>
      </c>
      <c r="AJ36" s="173">
        <f t="shared" si="21"/>
        <v>1.6579428313297413</v>
      </c>
      <c r="AL36" s="545">
        <f t="shared" si="22"/>
        <v>1859.9999999999998</v>
      </c>
      <c r="AM36" s="460">
        <f t="shared" si="23"/>
        <v>350</v>
      </c>
      <c r="AO36">
        <f t="shared" si="96"/>
        <v>1859.9999999999998</v>
      </c>
      <c r="AP36" s="460">
        <f t="shared" si="24"/>
        <v>350</v>
      </c>
      <c r="AQ36" s="460"/>
      <c r="AR36" s="5">
        <f t="shared" si="97"/>
        <v>2.8571428571428572</v>
      </c>
      <c r="AS36" s="5">
        <f t="shared" si="25"/>
        <v>0.97798167621482235</v>
      </c>
      <c r="AT36" s="5">
        <f t="shared" si="98"/>
        <v>1.8791611809280349</v>
      </c>
      <c r="AU36" s="173">
        <f t="shared" si="99"/>
        <v>0.34229358667518783</v>
      </c>
      <c r="AW36" s="5">
        <f t="shared" si="26"/>
        <v>45.476147943989233</v>
      </c>
      <c r="AX36" s="5">
        <f t="shared" si="27"/>
        <v>0.16843017757033052</v>
      </c>
      <c r="AY36" s="5">
        <f t="shared" si="28"/>
        <v>0.48654626279772917</v>
      </c>
      <c r="AZ36" s="5"/>
      <c r="BA36" s="173">
        <f t="shared" si="100"/>
        <v>0.65920395791549424</v>
      </c>
      <c r="BB36" s="173">
        <f t="shared" si="29"/>
        <v>3.6550763633989516</v>
      </c>
      <c r="BC36" s="173">
        <f t="shared" si="30"/>
        <v>6.9644022599898936E-2</v>
      </c>
      <c r="BD36" s="173"/>
      <c r="BE36" s="528">
        <f t="shared" si="31"/>
        <v>5.3015082692037226E-3</v>
      </c>
      <c r="BF36" s="528">
        <f t="shared" si="32"/>
        <v>0.55372206267996504</v>
      </c>
      <c r="BG36" s="528">
        <f t="shared" si="33"/>
        <v>0.20952682583388177</v>
      </c>
      <c r="BH36" s="528">
        <f t="shared" si="34"/>
        <v>6.5426089364699624E-2</v>
      </c>
      <c r="BI36">
        <f t="shared" si="35"/>
        <v>1.0775665328599634E-2</v>
      </c>
      <c r="BJ36" s="460">
        <f t="shared" si="101"/>
        <v>220.3024911624814</v>
      </c>
      <c r="BK36">
        <f t="shared" si="36"/>
        <v>0.62667044568199748</v>
      </c>
      <c r="BL36" s="460">
        <f t="shared" si="102"/>
        <v>626.67044568199753</v>
      </c>
      <c r="BM36" s="173">
        <f t="shared" si="37"/>
        <v>1.1555249999999997</v>
      </c>
      <c r="BN36" s="173">
        <f t="shared" si="38"/>
        <v>1.3756249999999999E-2</v>
      </c>
      <c r="BO36" s="528"/>
      <c r="BQ36" s="460">
        <f t="shared" si="103"/>
        <v>1169.2812499999995</v>
      </c>
      <c r="BR36" s="528">
        <f t="shared" si="39"/>
        <v>1.3036495743943581E-2</v>
      </c>
      <c r="BS36" s="528">
        <f t="shared" si="104"/>
        <v>0.40078749666833113</v>
      </c>
      <c r="BT36" s="528">
        <f t="shared" si="40"/>
        <v>2.4251449419476171E-5</v>
      </c>
      <c r="BU36" s="528">
        <f t="shared" si="41"/>
        <v>0.60966708189176799</v>
      </c>
      <c r="BV36" s="528">
        <f t="shared" si="42"/>
        <v>1.1612866184950084</v>
      </c>
      <c r="BW36" s="625">
        <f t="shared" si="43"/>
        <v>3.3325E-2</v>
      </c>
      <c r="BX36" s="460">
        <f t="shared" si="105"/>
        <v>1194.6116184950083</v>
      </c>
      <c r="BY36" s="173">
        <f t="shared" si="106"/>
        <v>2.9905633141770056</v>
      </c>
      <c r="BZ36" s="5">
        <f t="shared" si="107"/>
        <v>7.9979999999999993</v>
      </c>
      <c r="CA36" s="173">
        <f t="shared" si="108"/>
        <v>0.72784765135596019</v>
      </c>
      <c r="CB36" s="5">
        <f t="shared" si="109"/>
        <v>72.784765135596018</v>
      </c>
      <c r="CC36">
        <f t="shared" si="110"/>
        <v>31</v>
      </c>
      <c r="CE36" s="562">
        <f t="shared" si="44"/>
        <v>-50</v>
      </c>
      <c r="CF36">
        <f t="shared" si="45"/>
        <v>-50</v>
      </c>
      <c r="CG36" s="173">
        <f t="shared" si="46"/>
        <v>0.45581351169837919</v>
      </c>
      <c r="CH36" s="173">
        <f t="shared" si="47"/>
        <v>0.11674774608309196</v>
      </c>
      <c r="CI36" s="170">
        <v>31</v>
      </c>
      <c r="CJ36" s="217">
        <f t="shared" si="133"/>
        <v>1.8599999999999999</v>
      </c>
      <c r="CK36" s="217">
        <f t="shared" si="111"/>
        <v>3.1E-2</v>
      </c>
      <c r="CL36" s="217">
        <f t="shared" si="48"/>
        <v>7.4399999999999995</v>
      </c>
      <c r="CM36" s="217">
        <f t="shared" si="134"/>
        <v>0.55800000000000005</v>
      </c>
      <c r="CN36" s="541">
        <f t="shared" si="112"/>
        <v>24</v>
      </c>
      <c r="CO36" s="443">
        <f t="shared" si="49"/>
        <v>18.8</v>
      </c>
      <c r="CP36" s="443">
        <f t="shared" si="50"/>
        <v>42.8</v>
      </c>
      <c r="CQ36" s="443"/>
      <c r="CR36" s="217">
        <f t="shared" si="113"/>
        <v>0.43925233644859818</v>
      </c>
      <c r="CS36" s="172">
        <f t="shared" si="114"/>
        <v>32.688545968267775</v>
      </c>
      <c r="CT36" s="172">
        <f t="shared" si="51"/>
        <v>2.6355140186915893</v>
      </c>
      <c r="CU36" s="217">
        <f t="shared" si="52"/>
        <v>8.1721364920669437</v>
      </c>
      <c r="CV36" s="217">
        <f t="shared" si="53"/>
        <v>1.816030331570432</v>
      </c>
      <c r="CW36" s="443">
        <f t="shared" si="54"/>
        <v>4</v>
      </c>
      <c r="CX36" s="217">
        <f t="shared" si="55"/>
        <v>1.5173510638297869</v>
      </c>
      <c r="CY36" s="217">
        <f t="shared" si="56"/>
        <v>0.75867553191489345</v>
      </c>
      <c r="CZ36" s="217">
        <f t="shared" si="57"/>
        <v>0.96852195563603416</v>
      </c>
      <c r="DA36" s="197">
        <f t="shared" si="58"/>
        <v>350</v>
      </c>
      <c r="DB36" s="443">
        <f t="shared" si="115"/>
        <v>350</v>
      </c>
      <c r="DD36" s="217">
        <f t="shared" si="59"/>
        <v>2.5100133511348464</v>
      </c>
      <c r="DE36" s="173">
        <f t="shared" si="60"/>
        <v>1.6021361815754336</v>
      </c>
      <c r="DF36" s="173">
        <f t="shared" si="61"/>
        <v>2.8149682442633783</v>
      </c>
      <c r="DG36" s="173"/>
      <c r="DH36" s="173">
        <f t="shared" si="62"/>
        <v>0.85106382978723416</v>
      </c>
      <c r="DI36" s="545">
        <f t="shared" si="63"/>
        <v>819.56249999999966</v>
      </c>
      <c r="DJ36" s="528">
        <f t="shared" si="64"/>
        <v>0.79432624113475192</v>
      </c>
      <c r="DL36" s="173">
        <f t="shared" si="65"/>
        <v>1.9515561556284842</v>
      </c>
      <c r="DM36" s="173">
        <f t="shared" si="66"/>
        <v>1.9515561556284842</v>
      </c>
      <c r="DN36" s="173">
        <f t="shared" si="67"/>
        <v>1.6579428313297413</v>
      </c>
      <c r="DP36" s="545">
        <f t="shared" si="68"/>
        <v>1859.9999999999998</v>
      </c>
      <c r="DQ36" s="460">
        <f t="shared" si="69"/>
        <v>350</v>
      </c>
      <c r="DS36">
        <f t="shared" si="116"/>
        <v>1859.9999999999998</v>
      </c>
      <c r="DT36" s="460">
        <f t="shared" si="70"/>
        <v>350</v>
      </c>
      <c r="DU36" s="460"/>
      <c r="DV36" s="5">
        <f t="shared" si="117"/>
        <v>2.8571428571428572</v>
      </c>
      <c r="DW36" s="5">
        <f t="shared" si="71"/>
        <v>0.97577807781424197</v>
      </c>
      <c r="DX36" s="5">
        <f t="shared" si="118"/>
        <v>1.8813647793286152</v>
      </c>
      <c r="DY36" s="173">
        <f t="shared" si="119"/>
        <v>0.34152232723498466</v>
      </c>
      <c r="EA36" s="5">
        <f t="shared" si="72"/>
        <v>45.373680618362251</v>
      </c>
      <c r="EB36" s="5">
        <f t="shared" si="73"/>
        <v>0.16805066895689724</v>
      </c>
      <c r="EC36" s="5">
        <f t="shared" si="74"/>
        <v>0.48601923465989222</v>
      </c>
      <c r="ED36" s="5"/>
      <c r="EE36" s="173">
        <f t="shared" si="120"/>
        <v>0.65846087652099328</v>
      </c>
      <c r="EF36" s="173">
        <f t="shared" si="75"/>
        <v>3.6572187981908102</v>
      </c>
      <c r="EG36" s="173">
        <f t="shared" si="76"/>
        <v>6.96848446682303E-2</v>
      </c>
      <c r="EH36" s="173"/>
      <c r="EI36" s="528">
        <f t="shared" si="77"/>
        <v>5.2895628560872959E-3</v>
      </c>
      <c r="EJ36" s="528">
        <f t="shared" si="78"/>
        <v>0.58468622422629379</v>
      </c>
      <c r="EK36" s="528">
        <f t="shared" si="79"/>
        <v>4.3749999999999997E-2</v>
      </c>
      <c r="EL36" s="528">
        <f t="shared" si="80"/>
        <v>6.4114399999999988E-2</v>
      </c>
      <c r="EM36">
        <f t="shared" si="81"/>
        <v>1.0800000000000001E-2</v>
      </c>
      <c r="EN36" s="460">
        <f t="shared" si="121"/>
        <v>54.550000000000004</v>
      </c>
      <c r="EO36">
        <f t="shared" si="82"/>
        <v>0.71096190607277698</v>
      </c>
      <c r="EP36" s="460">
        <f t="shared" si="122"/>
        <v>710.96190607277697</v>
      </c>
      <c r="EQ36" s="173">
        <f t="shared" si="83"/>
        <v>1.1555249999999997</v>
      </c>
      <c r="ER36" s="173">
        <f t="shared" si="84"/>
        <v>1.3756249999999999E-2</v>
      </c>
      <c r="ES36" s="528"/>
      <c r="EU36" s="460">
        <f t="shared" si="123"/>
        <v>1169.2812499999995</v>
      </c>
      <c r="EV36" s="528">
        <f t="shared" si="85"/>
        <v>1.3007121777263842E-2</v>
      </c>
      <c r="EW36" s="528">
        <f t="shared" si="124"/>
        <v>0.40125748013520701</v>
      </c>
      <c r="EX36" s="528">
        <f t="shared" si="86"/>
        <v>2.4279887882176922E-5</v>
      </c>
      <c r="EY36" s="528">
        <f t="shared" si="87"/>
        <v>0.60966708189176799</v>
      </c>
      <c r="EZ36" s="528">
        <f t="shared" si="88"/>
        <v>1.161894079232666</v>
      </c>
      <c r="FA36" s="625">
        <f t="shared" si="89"/>
        <v>3.3325E-2</v>
      </c>
      <c r="FB36" s="460">
        <f t="shared" si="125"/>
        <v>1195.219079232666</v>
      </c>
      <c r="FC36" s="173">
        <f t="shared" si="126"/>
        <v>3.0754622353054426</v>
      </c>
      <c r="FD36" s="5">
        <f t="shared" si="127"/>
        <v>7.9979999999999993</v>
      </c>
      <c r="FE36" s="173">
        <f t="shared" si="128"/>
        <v>0.72226732976972929</v>
      </c>
      <c r="FF36" s="5">
        <f t="shared" si="129"/>
        <v>72.226732976972926</v>
      </c>
      <c r="FG36">
        <f t="shared" si="130"/>
        <v>31</v>
      </c>
      <c r="FI36" s="562">
        <f t="shared" si="90"/>
        <v>-50</v>
      </c>
      <c r="FJ36">
        <f t="shared" si="91"/>
        <v>-50</v>
      </c>
      <c r="FL36">
        <f t="shared" si="92"/>
        <v>0.45581351169837919</v>
      </c>
    </row>
    <row r="37" spans="5:168">
      <c r="E37" s="170">
        <v>32</v>
      </c>
      <c r="F37" s="217">
        <f t="shared" si="131"/>
        <v>1.92</v>
      </c>
      <c r="G37" s="217">
        <f t="shared" si="93"/>
        <v>3.2000000000000001E-2</v>
      </c>
      <c r="H37" s="217">
        <f t="shared" ref="H37:H68" si="135">F37*Vout</f>
        <v>7.68</v>
      </c>
      <c r="I37" s="217">
        <f t="shared" si="132"/>
        <v>0.57600000000000007</v>
      </c>
      <c r="J37" s="541">
        <f t="shared" ref="J37:J68" si="136">Vin-(F37/CG37/Nps+G37/CH37/(Nps/Nsec1sec2))*(Rdcr_pri+RON/1000)</f>
        <v>23.945057664740364</v>
      </c>
      <c r="K37" s="443">
        <f t="shared" ref="K37:K68" si="137">MAX((S37+Vfwd2+Rdcr_sec*F37/CG37)*Nps,(Vout2+Vfwd22+Rdcr_sec2*G37/CH37)*Nps/Nsec1sec2)</f>
        <v>19.297509224609382</v>
      </c>
      <c r="L37" s="172">
        <f t="shared" ref="L37:L68" si="138">MAX((Vout+Vfwd2+F37/CG37*Rdcr_sec)*Nps+J37, (Vout2+Vfwd22+G37/CH37*Rdcr_sec2)*Nps/Nsec1sec2+J37)</f>
        <v>43.242566889349746</v>
      </c>
      <c r="M37" s="443"/>
      <c r="N37" s="217">
        <f t="shared" ref="N37:N68" si="139">MAX((Vout+Vfwd2+F37/CG37*Rdcr_sec)*Nps/((Vout+Vfwd2+F37/CG37*Rdcr_sec)*Nps+J37), (Vout2+Vfwd22+G37/CH37*Rdcr_sec2)*Nps/Nsec1sec2/((Vout2+Vfwd22+G37/CH37*Rdcr_sec2)*Nps/Nsec1sec2+J37))</f>
        <v>0.44626188066005362</v>
      </c>
      <c r="O37" s="172">
        <f t="shared" si="94"/>
        <v>33.134159584435558</v>
      </c>
      <c r="P37" s="172">
        <f t="shared" ref="P37:P68" si="140">N37*J37*Isw_max*0.5*Efficiency*(Pout2/Pout_total)</f>
        <v>2.6714416164951169</v>
      </c>
      <c r="Q37" s="217">
        <f t="shared" si="6"/>
        <v>8.2835398961088895</v>
      </c>
      <c r="R37" s="217">
        <f t="shared" ref="R37:R68" si="141">O37/Vout2</f>
        <v>1.8407866435797533</v>
      </c>
      <c r="S37" s="443">
        <f t="shared" ref="S37:S68" si="142">MIN(Vout,O37/F37)</f>
        <v>4</v>
      </c>
      <c r="T37" s="217">
        <f t="shared" ref="T37:T68" si="143">MIN(2*(Vout*F37+Vout2*G37)/(Efficiency*J37*N37), Isw_max)</f>
        <v>1.545233096059895</v>
      </c>
      <c r="U37" s="217">
        <f t="shared" si="10"/>
        <v>0.77438932962034268</v>
      </c>
      <c r="V37" s="217">
        <f t="shared" si="11"/>
        <v>0.96089070029161139</v>
      </c>
      <c r="W37" s="197">
        <f t="shared" si="12"/>
        <v>350</v>
      </c>
      <c r="X37" s="443">
        <f t="shared" si="95"/>
        <v>350</v>
      </c>
      <c r="Z37" s="217">
        <f t="shared" si="13"/>
        <v>2.5442301109477299</v>
      </c>
      <c r="AA37" s="173">
        <f t="shared" si="14"/>
        <v>1.5821089123998471</v>
      </c>
      <c r="AB37" s="173">
        <f t="shared" ref="AB37:AB68" si="144">0.5*AA37*Z37*Nps*W37/1000*(Pout/Pout_total)</f>
        <v>2.8176743936085185</v>
      </c>
      <c r="AC37" s="173"/>
      <c r="AD37" s="173">
        <f t="shared" si="16"/>
        <v>0.8291225470484973</v>
      </c>
      <c r="AE37" s="545">
        <f t="shared" ref="AE37:AE68" si="145">MAX(10, F37/(0.5*AD37/1000000*Isw_min*Nps)/1000*Pout_total/Pout)</f>
        <v>868.38791510742192</v>
      </c>
      <c r="AF37" s="528">
        <f t="shared" ref="AF37:AF68" si="146">0.5*AD37/1000000*Isw_min*Nps*W37*1000*(Pout/Pout_total)</f>
        <v>0.77384771057859758</v>
      </c>
      <c r="AH37" s="173">
        <f t="shared" ref="AH37:AH68" si="147">SQRT((H37+I37)/(0.5*L*Fsw_DCM))</f>
        <v>1.9827830369025683</v>
      </c>
      <c r="AI37" s="173">
        <f t="shared" ref="AI37:AI68" si="148">MAX(IF(F37&gt;AB37,T37,AH37),Isw_min)</f>
        <v>1.9827830369025683</v>
      </c>
      <c r="AJ37" s="173">
        <f t="shared" ref="AJ37:AJ68" si="149">IF(F37&gt;AF37, (AI37-Isw_min)/1.08*0.8+1.2, AE37*0.2/350+1)</f>
        <v>1.6810738544957295</v>
      </c>
      <c r="AL37" s="545">
        <f t="shared" ref="AL37:AL68" si="150">F37*1000</f>
        <v>1920</v>
      </c>
      <c r="AM37" s="460">
        <f t="shared" ref="AM37:AM68" si="151">IF(F37&gt;AF37, X37, AE37)</f>
        <v>350</v>
      </c>
      <c r="AO37">
        <f t="shared" si="96"/>
        <v>1920</v>
      </c>
      <c r="AP37" s="460">
        <f t="shared" si="24"/>
        <v>350</v>
      </c>
      <c r="AQ37" s="460"/>
      <c r="AR37" s="5">
        <f t="shared" si="97"/>
        <v>2.8571428571428572</v>
      </c>
      <c r="AS37" s="5">
        <f t="shared" si="25"/>
        <v>0.99366628287001935</v>
      </c>
      <c r="AT37" s="5">
        <f t="shared" si="98"/>
        <v>1.8634765742728379</v>
      </c>
      <c r="AU37" s="173">
        <f t="shared" si="99"/>
        <v>0.34778319900450677</v>
      </c>
      <c r="AW37" s="5">
        <f t="shared" ref="AW37:AW68" si="152">F37*AS37/Vout_ripple*1000</f>
        <v>47.695981577760925</v>
      </c>
      <c r="AX37" s="5">
        <f t="shared" ref="AX37:AX68" si="153">G37*AS37/Vout_ripple2*1000</f>
        <v>0.17665178362133677</v>
      </c>
      <c r="AY37" s="5">
        <f t="shared" si="28"/>
        <v>0.49806729398308491</v>
      </c>
      <c r="AZ37" s="5"/>
      <c r="BA37" s="173">
        <f t="shared" si="100"/>
        <v>0.67510117889324484</v>
      </c>
      <c r="BB37" s="173">
        <f t="shared" ref="BB37:BB68" si="154">AI37*Npri_sec1*SQRT((1-AU37)/3)*(Pout/Pout_total)</f>
        <v>3.6980310193034165</v>
      </c>
      <c r="BC37" s="173">
        <f t="shared" ref="BC37:BC68" si="155">AI37*Npri_sec2*SQRT((1-AU37)/3)*(Pout2/Pout_total)</f>
        <v>7.0462482935375922E-2</v>
      </c>
      <c r="BD37" s="173"/>
      <c r="BE37" s="528">
        <f t="shared" si="31"/>
        <v>5.5602915412651969E-3</v>
      </c>
      <c r="BF37" s="528">
        <f t="shared" ref="BF37:BF68" si="156">0.5*L37*AI37*AM37*1000*Tfall</f>
        <v>0.56267287190839821</v>
      </c>
      <c r="BG37" s="528">
        <f t="shared" ref="BG37:BG68" si="157">Qg*Vdd*AM37*1000*0+Qg*J37*AM37*1000</f>
        <v>0.20951925456647816</v>
      </c>
      <c r="BH37" s="528">
        <f t="shared" si="34"/>
        <v>6.5447185691296039E-2</v>
      </c>
      <c r="BI37">
        <f t="shared" si="35"/>
        <v>1.0775275949133164E-2</v>
      </c>
      <c r="BJ37" s="460">
        <f t="shared" si="101"/>
        <v>220.29453051561131</v>
      </c>
      <c r="BK37">
        <f t="shared" ref="BK37:BK68" si="158">(BF37+BG37*0+BH37+BI37*0+BE37*(1+RdsonTC*(Ta-25)))/(1-BE37*RdsonTC*ThetaJA)</f>
        <v>0.63602189245162222</v>
      </c>
      <c r="BL37" s="460">
        <f t="shared" si="102"/>
        <v>636.02189245162219</v>
      </c>
      <c r="BM37" s="173">
        <f t="shared" ref="BM37:BM68" si="159">Vfwd2*F37*(1+Diode_TC/1000*(Ta-25))</f>
        <v>1.1927999999999999</v>
      </c>
      <c r="BN37" s="173">
        <f t="shared" ref="BN37:BN68" si="160">Vfwd22*G37*(1+Diode_TC/1000*(Ta-25))</f>
        <v>1.4199999999999999E-2</v>
      </c>
      <c r="BO37" s="528"/>
      <c r="BQ37" s="460">
        <f t="shared" si="103"/>
        <v>1206.9999999999998</v>
      </c>
      <c r="BR37" s="528">
        <f t="shared" si="39"/>
        <v>1.3672848052291469E-2</v>
      </c>
      <c r="BS37" s="528">
        <f t="shared" si="104"/>
        <v>0.4102630025919079</v>
      </c>
      <c r="BT37" s="528">
        <f t="shared" ref="BT37:BT68" si="161">Rdcr_sec2*BC37^2</f>
        <v>2.4824807507090717E-5</v>
      </c>
      <c r="BU37" s="528">
        <f t="shared" si="41"/>
        <v>0.63434877005883472</v>
      </c>
      <c r="BV37" s="528">
        <f t="shared" ref="BV37:BV68" si="162">(BU37+(BR37+BS37+BT37)*(1+Ltc*(Ta-25)))/(1-(BR37+BS37+BT37)*Ltc*ThetaCa)</f>
        <v>1.2007869223942997</v>
      </c>
      <c r="BW37" s="625">
        <f t="shared" ref="BW37:BW68" si="163">0.5*Lleak*0.000000001*AI37^2*AM37*1000</f>
        <v>3.44E-2</v>
      </c>
      <c r="BX37" s="460">
        <f t="shared" si="105"/>
        <v>1235.1869223942997</v>
      </c>
      <c r="BY37" s="173">
        <f t="shared" si="106"/>
        <v>3.0782088148459219</v>
      </c>
      <c r="BZ37" s="5">
        <f t="shared" si="107"/>
        <v>8.2560000000000002</v>
      </c>
      <c r="CA37" s="173">
        <f t="shared" si="108"/>
        <v>0.72841431941733925</v>
      </c>
      <c r="CB37" s="5">
        <f t="shared" si="109"/>
        <v>72.84143194173393</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0.46310699099277586</v>
      </c>
      <c r="CH37" s="173">
        <f t="shared" ref="CH37:CH68" si="167">MIN(SQRT(2*DT37*1000*Ls2_*(CM37+CK37*Vfwd22))/(Vout2+Vfwd22), 1-DY37)</f>
        <v>0.1186158286363094</v>
      </c>
      <c r="CI37" s="170">
        <v>32</v>
      </c>
      <c r="CJ37" s="217">
        <f t="shared" si="133"/>
        <v>1.92</v>
      </c>
      <c r="CK37" s="217">
        <f t="shared" si="111"/>
        <v>3.2000000000000001E-2</v>
      </c>
      <c r="CL37" s="217">
        <f t="shared" si="48"/>
        <v>7.68</v>
      </c>
      <c r="CM37" s="217">
        <f t="shared" si="134"/>
        <v>0.57600000000000007</v>
      </c>
      <c r="CN37" s="541">
        <f t="shared" si="112"/>
        <v>24</v>
      </c>
      <c r="CO37" s="443">
        <f t="shared" ref="CO37:CO68" si="168">(CW37+Vfwd2)*Nps</f>
        <v>18.8</v>
      </c>
      <c r="CP37" s="443">
        <f t="shared" ref="CP37:CP68" si="169">(Vout+Vfwd2)*Nps+CN37</f>
        <v>42.8</v>
      </c>
      <c r="CQ37" s="443"/>
      <c r="CR37" s="217">
        <f t="shared" si="113"/>
        <v>0.43925233644859818</v>
      </c>
      <c r="CS37" s="172">
        <f t="shared" si="114"/>
        <v>32.688545968267775</v>
      </c>
      <c r="CT37" s="172">
        <f t="shared" si="51"/>
        <v>2.6355140186915893</v>
      </c>
      <c r="CU37" s="217">
        <f t="shared" si="52"/>
        <v>8.1721364920669437</v>
      </c>
      <c r="CV37" s="217">
        <f t="shared" si="53"/>
        <v>1.816030331570432</v>
      </c>
      <c r="CW37" s="443">
        <f t="shared" si="54"/>
        <v>4</v>
      </c>
      <c r="CX37" s="217">
        <f t="shared" si="55"/>
        <v>1.5662978723404253</v>
      </c>
      <c r="CY37" s="217">
        <f t="shared" si="56"/>
        <v>0.78314893617021264</v>
      </c>
      <c r="CZ37" s="217">
        <f t="shared" si="57"/>
        <v>0.99976459936622886</v>
      </c>
      <c r="DA37" s="197">
        <f t="shared" si="58"/>
        <v>350</v>
      </c>
      <c r="DB37" s="443">
        <f t="shared" si="115"/>
        <v>350</v>
      </c>
      <c r="DD37" s="217">
        <f t="shared" si="59"/>
        <v>2.5100133511348464</v>
      </c>
      <c r="DE37" s="173">
        <f t="shared" si="60"/>
        <v>1.6021361815754336</v>
      </c>
      <c r="DF37" s="173">
        <f t="shared" si="61"/>
        <v>2.8149682442633783</v>
      </c>
      <c r="DG37" s="173"/>
      <c r="DH37" s="173">
        <f t="shared" si="62"/>
        <v>0.85106382978723416</v>
      </c>
      <c r="DI37" s="545">
        <f t="shared" si="63"/>
        <v>845.99999999999966</v>
      </c>
      <c r="DJ37" s="528">
        <f t="shared" si="64"/>
        <v>0.79432624113475192</v>
      </c>
      <c r="DL37" s="173">
        <f t="shared" si="65"/>
        <v>1.9827830369025683</v>
      </c>
      <c r="DM37" s="173">
        <f t="shared" si="66"/>
        <v>1.9827830369025683</v>
      </c>
      <c r="DN37" s="173">
        <f t="shared" si="67"/>
        <v>1.6810738544957295</v>
      </c>
      <c r="DP37" s="545">
        <f t="shared" si="68"/>
        <v>1920</v>
      </c>
      <c r="DQ37" s="460">
        <f t="shared" si="69"/>
        <v>350</v>
      </c>
      <c r="DS37">
        <f t="shared" si="116"/>
        <v>1920</v>
      </c>
      <c r="DT37" s="460">
        <f t="shared" si="70"/>
        <v>350</v>
      </c>
      <c r="DU37" s="460"/>
      <c r="DV37" s="5">
        <f t="shared" si="117"/>
        <v>2.8571428571428572</v>
      </c>
      <c r="DW37" s="5">
        <f t="shared" si="71"/>
        <v>0.99139151845128426</v>
      </c>
      <c r="DX37" s="5">
        <f t="shared" si="118"/>
        <v>1.8657513386915729</v>
      </c>
      <c r="DY37" s="173">
        <f t="shared" si="119"/>
        <v>0.34698703145794946</v>
      </c>
      <c r="EA37" s="5">
        <f t="shared" si="72"/>
        <v>47.586792885661644</v>
      </c>
      <c r="EB37" s="5">
        <f t="shared" si="73"/>
        <v>0.17624738105800608</v>
      </c>
      <c r="EC37" s="5">
        <f t="shared" si="74"/>
        <v>0.49753369031775269</v>
      </c>
      <c r="ED37" s="5"/>
      <c r="EE37" s="173">
        <f t="shared" si="120"/>
        <v>0.67432799373128194</v>
      </c>
      <c r="EF37" s="173">
        <f t="shared" si="75"/>
        <v>3.7002874425569372</v>
      </c>
      <c r="EG37" s="173">
        <f t="shared" si="76"/>
        <v>7.0505476946017318E-2</v>
      </c>
      <c r="EH37" s="173"/>
      <c r="EI37" s="528">
        <f t="shared" si="77"/>
        <v>5.5475625661818E-3</v>
      </c>
      <c r="EJ37" s="528">
        <f t="shared" si="78"/>
        <v>0.59404179785600941</v>
      </c>
      <c r="EK37" s="528">
        <f t="shared" si="79"/>
        <v>4.3749999999999997E-2</v>
      </c>
      <c r="EL37" s="528">
        <f t="shared" si="80"/>
        <v>6.4114399999999988E-2</v>
      </c>
      <c r="EM37">
        <f t="shared" si="81"/>
        <v>1.0800000000000001E-2</v>
      </c>
      <c r="EN37" s="460">
        <f t="shared" si="121"/>
        <v>54.550000000000004</v>
      </c>
      <c r="EO37">
        <f t="shared" si="82"/>
        <v>0.72070155966478366</v>
      </c>
      <c r="EP37" s="460">
        <f t="shared" si="122"/>
        <v>720.70155966478364</v>
      </c>
      <c r="EQ37" s="173">
        <f t="shared" si="83"/>
        <v>1.1927999999999999</v>
      </c>
      <c r="ER37" s="173">
        <f t="shared" ref="ER37:ER68" si="170">Vfwd22*CK37*(1+Diode_TC/1000*(Ta-25))</f>
        <v>1.4199999999999999E-2</v>
      </c>
      <c r="ES37" s="528"/>
      <c r="EU37" s="460">
        <f t="shared" si="123"/>
        <v>1206.9999999999998</v>
      </c>
      <c r="EV37" s="528">
        <f t="shared" si="85"/>
        <v>1.3641547293889673E-2</v>
      </c>
      <c r="EW37" s="528">
        <f t="shared" si="124"/>
        <v>0.41076381472633672</v>
      </c>
      <c r="EX37" s="528">
        <f t="shared" si="86"/>
        <v>2.4855111396926899E-5</v>
      </c>
      <c r="EY37" s="528">
        <f t="shared" si="87"/>
        <v>0.63434877005883472</v>
      </c>
      <c r="EZ37" s="528">
        <f t="shared" si="88"/>
        <v>1.2014363091883373</v>
      </c>
      <c r="FA37" s="625">
        <f t="shared" si="89"/>
        <v>3.44E-2</v>
      </c>
      <c r="FB37" s="460">
        <f t="shared" si="125"/>
        <v>1235.8363091883373</v>
      </c>
      <c r="FC37" s="173">
        <f t="shared" si="126"/>
        <v>3.1635378688531213</v>
      </c>
      <c r="FD37" s="5">
        <f t="shared" si="127"/>
        <v>8.2560000000000002</v>
      </c>
      <c r="FE37" s="173">
        <f t="shared" si="128"/>
        <v>0.72297146301500559</v>
      </c>
      <c r="FF37" s="5">
        <f t="shared" si="129"/>
        <v>72.297146301500561</v>
      </c>
      <c r="FG37">
        <f t="shared" si="130"/>
        <v>32</v>
      </c>
      <c r="FI37" s="562">
        <f t="shared" si="90"/>
        <v>-50</v>
      </c>
      <c r="FJ37">
        <f t="shared" si="91"/>
        <v>-50</v>
      </c>
      <c r="FL37">
        <f t="shared" si="92"/>
        <v>0.46310699099277586</v>
      </c>
    </row>
    <row r="38" spans="5:168">
      <c r="E38" s="170">
        <v>33</v>
      </c>
      <c r="F38" s="217">
        <f t="shared" si="131"/>
        <v>1.98</v>
      </c>
      <c r="G38" s="217">
        <f t="shared" ref="G38:G69" si="171">IF(PLOT_TYPE=1, E38/100*Iout2, min_I*EXP(Q38*rr/100))</f>
        <v>3.3000000000000002E-2</v>
      </c>
      <c r="H38" s="217">
        <f t="shared" si="135"/>
        <v>7.92</v>
      </c>
      <c r="I38" s="217">
        <f t="shared" si="132"/>
        <v>0.59400000000000008</v>
      </c>
      <c r="J38" s="541">
        <f t="shared" si="136"/>
        <v>23.944205794788793</v>
      </c>
      <c r="K38" s="443">
        <f t="shared" si="137"/>
        <v>19.305223005923409</v>
      </c>
      <c r="L38" s="172">
        <f t="shared" si="138"/>
        <v>43.249428800712202</v>
      </c>
      <c r="M38" s="443"/>
      <c r="N38" s="217">
        <f t="shared" si="139"/>
        <v>0.44636943287457947</v>
      </c>
      <c r="O38" s="172">
        <f t="shared" ref="O38:O69" si="172">N38*J38*Isw_max*0.5*Efficiency*Pout/(Pout+Pout2)</f>
        <v>33.140966081401842</v>
      </c>
      <c r="P38" s="172">
        <f t="shared" si="140"/>
        <v>2.6719903903130233</v>
      </c>
      <c r="Q38" s="217">
        <f t="shared" si="6"/>
        <v>8.2852415203504606</v>
      </c>
      <c r="R38" s="217">
        <f t="shared" si="141"/>
        <v>1.8411647823001023</v>
      </c>
      <c r="S38" s="443">
        <f t="shared" si="142"/>
        <v>4</v>
      </c>
      <c r="T38" s="217">
        <f t="shared" si="143"/>
        <v>1.593194352581969</v>
      </c>
      <c r="U38" s="217">
        <f t="shared" si="10"/>
        <v>0.79845338763102902</v>
      </c>
      <c r="V38" s="217">
        <f t="shared" si="11"/>
        <v>0.99031916000750486</v>
      </c>
      <c r="W38" s="197">
        <f t="shared" si="12"/>
        <v>350</v>
      </c>
      <c r="X38" s="443">
        <f t="shared" si="95"/>
        <v>350</v>
      </c>
      <c r="Z38" s="217">
        <f t="shared" si="13"/>
        <v>2.5447527526790696</v>
      </c>
      <c r="AA38" s="173">
        <f t="shared" si="14"/>
        <v>1.5818016203583445</v>
      </c>
      <c r="AB38" s="173">
        <f t="shared" si="144"/>
        <v>2.8177058193193765</v>
      </c>
      <c r="AC38" s="173"/>
      <c r="AD38" s="173">
        <f t="shared" si="16"/>
        <v>0.8287912548376537</v>
      </c>
      <c r="AE38" s="545">
        <f t="shared" si="145"/>
        <v>895.88300511863292</v>
      </c>
      <c r="AF38" s="528">
        <f t="shared" si="146"/>
        <v>0.77353850451514361</v>
      </c>
      <c r="AH38" s="173">
        <f t="shared" si="147"/>
        <v>2.0135256924821481</v>
      </c>
      <c r="AI38" s="173">
        <f t="shared" si="148"/>
        <v>2.0135256924821481</v>
      </c>
      <c r="AJ38" s="173">
        <f t="shared" si="149"/>
        <v>1.7038461919620849</v>
      </c>
      <c r="AL38" s="545">
        <f t="shared" si="150"/>
        <v>1980</v>
      </c>
      <c r="AM38" s="460">
        <f t="shared" si="151"/>
        <v>350</v>
      </c>
      <c r="AO38">
        <f t="shared" si="96"/>
        <v>1980</v>
      </c>
      <c r="AP38" s="460">
        <f t="shared" si="24"/>
        <v>350</v>
      </c>
      <c r="AQ38" s="460"/>
      <c r="AR38" s="5">
        <f t="shared" si="97"/>
        <v>2.8571428571428572</v>
      </c>
      <c r="AS38" s="5">
        <f t="shared" si="25"/>
        <v>1.0091087805069088</v>
      </c>
      <c r="AT38" s="5">
        <f t="shared" si="98"/>
        <v>1.8480340766359484</v>
      </c>
      <c r="AU38" s="173">
        <f t="shared" si="99"/>
        <v>0.35318807317741807</v>
      </c>
      <c r="AW38" s="5">
        <f t="shared" si="152"/>
        <v>49.950884635091988</v>
      </c>
      <c r="AX38" s="5">
        <f t="shared" si="153"/>
        <v>0.1850032764262666</v>
      </c>
      <c r="AY38" s="5">
        <f t="shared" si="28"/>
        <v>0.5093935881745475</v>
      </c>
      <c r="AZ38" s="5"/>
      <c r="BA38" s="173">
        <f t="shared" si="100"/>
        <v>0.69087513573710824</v>
      </c>
      <c r="BB38" s="173">
        <f t="shared" si="154"/>
        <v>3.739775647278972</v>
      </c>
      <c r="BC38" s="173">
        <f t="shared" si="155"/>
        <v>7.1257887333288528E-2</v>
      </c>
      <c r="BD38" s="173"/>
      <c r="BE38" s="528">
        <f t="shared" si="31"/>
        <v>5.8231631287931655E-3</v>
      </c>
      <c r="BF38" s="528">
        <f t="shared" si="156"/>
        <v>0.57148767424488733</v>
      </c>
      <c r="BG38" s="528">
        <f t="shared" si="157"/>
        <v>0.20951180070440192</v>
      </c>
      <c r="BH38" s="528">
        <f t="shared" si="34"/>
        <v>6.5467958205575591E-2</v>
      </c>
      <c r="BI38">
        <f t="shared" si="35"/>
        <v>1.0774892607654957E-2</v>
      </c>
      <c r="BJ38" s="460">
        <f t="shared" si="101"/>
        <v>220.28669331205688</v>
      </c>
      <c r="BK38">
        <f t="shared" si="158"/>
        <v>0.6452437983352125</v>
      </c>
      <c r="BL38" s="460">
        <f t="shared" si="102"/>
        <v>645.24379833521255</v>
      </c>
      <c r="BM38" s="173">
        <f t="shared" si="159"/>
        <v>1.2300749999999998</v>
      </c>
      <c r="BN38" s="173">
        <f t="shared" si="160"/>
        <v>1.4643750000000001E-2</v>
      </c>
      <c r="BO38" s="528"/>
      <c r="BQ38" s="460">
        <f t="shared" si="103"/>
        <v>1244.7187499999998</v>
      </c>
      <c r="BR38" s="528">
        <f t="shared" si="39"/>
        <v>1.4319253595393031E-2</v>
      </c>
      <c r="BS38" s="528">
        <f t="shared" si="104"/>
        <v>0.41957765675942565</v>
      </c>
      <c r="BT38" s="528">
        <f t="shared" si="161"/>
        <v>2.5388432536018207E-5</v>
      </c>
      <c r="BU38" s="528">
        <f t="shared" si="41"/>
        <v>0.65922406679174994</v>
      </c>
      <c r="BV38" s="528">
        <f t="shared" si="162"/>
        <v>1.24034477787233</v>
      </c>
      <c r="BW38" s="625">
        <f t="shared" si="163"/>
        <v>3.5475E-2</v>
      </c>
      <c r="BX38" s="460">
        <f t="shared" si="105"/>
        <v>1275.81977787233</v>
      </c>
      <c r="BY38" s="173">
        <f t="shared" si="106"/>
        <v>3.165782326207542</v>
      </c>
      <c r="BZ38" s="5">
        <f t="shared" si="107"/>
        <v>8.5139999999999993</v>
      </c>
      <c r="CA38" s="173">
        <f t="shared" si="108"/>
        <v>0.72895194124431262</v>
      </c>
      <c r="CB38" s="5">
        <f t="shared" si="109"/>
        <v>72.895194124431256</v>
      </c>
      <c r="CC38">
        <f t="shared" ref="CC38:CC69" si="173">F38/Iout*100</f>
        <v>33</v>
      </c>
      <c r="CE38" s="562">
        <f t="shared" si="164"/>
        <v>-50</v>
      </c>
      <c r="CF38">
        <f t="shared" si="165"/>
        <v>-50</v>
      </c>
      <c r="CG38" s="173">
        <f t="shared" si="166"/>
        <v>0.47028737253508884</v>
      </c>
      <c r="CH38" s="173">
        <f t="shared" si="167"/>
        <v>0.12045494340488692</v>
      </c>
      <c r="CI38" s="170">
        <v>33</v>
      </c>
      <c r="CJ38" s="217">
        <f t="shared" si="133"/>
        <v>1.98</v>
      </c>
      <c r="CK38" s="217">
        <f t="shared" si="111"/>
        <v>3.3000000000000002E-2</v>
      </c>
      <c r="CL38" s="217">
        <f t="shared" si="48"/>
        <v>7.92</v>
      </c>
      <c r="CM38" s="217">
        <f t="shared" si="134"/>
        <v>0.59400000000000008</v>
      </c>
      <c r="CN38" s="541">
        <f t="shared" si="112"/>
        <v>24</v>
      </c>
      <c r="CO38" s="443">
        <f t="shared" si="168"/>
        <v>18.8</v>
      </c>
      <c r="CP38" s="443">
        <f t="shared" si="169"/>
        <v>42.8</v>
      </c>
      <c r="CQ38" s="443"/>
      <c r="CR38" s="217">
        <f t="shared" si="113"/>
        <v>0.43925233644859818</v>
      </c>
      <c r="CS38" s="172">
        <f t="shared" si="114"/>
        <v>32.688545968267775</v>
      </c>
      <c r="CT38" s="172">
        <f t="shared" si="51"/>
        <v>2.6355140186915893</v>
      </c>
      <c r="CU38" s="217">
        <f t="shared" si="52"/>
        <v>8.1721364920669437</v>
      </c>
      <c r="CV38" s="217">
        <f t="shared" si="53"/>
        <v>1.816030331570432</v>
      </c>
      <c r="CW38" s="443">
        <f t="shared" si="54"/>
        <v>4</v>
      </c>
      <c r="CX38" s="217">
        <f t="shared" si="55"/>
        <v>1.6152446808510634</v>
      </c>
      <c r="CY38" s="217">
        <f t="shared" si="56"/>
        <v>0.80762234042553172</v>
      </c>
      <c r="CZ38" s="217">
        <f t="shared" si="57"/>
        <v>1.0310072430964234</v>
      </c>
      <c r="DA38" s="197">
        <f t="shared" si="58"/>
        <v>350</v>
      </c>
      <c r="DB38" s="443">
        <f t="shared" si="115"/>
        <v>350</v>
      </c>
      <c r="DD38" s="217">
        <f t="shared" si="59"/>
        <v>2.5100133511348464</v>
      </c>
      <c r="DE38" s="173">
        <f t="shared" si="60"/>
        <v>1.6021361815754336</v>
      </c>
      <c r="DF38" s="173">
        <f t="shared" si="61"/>
        <v>2.8149682442633783</v>
      </c>
      <c r="DG38" s="173"/>
      <c r="DH38" s="173">
        <f t="shared" si="62"/>
        <v>0.85106382978723416</v>
      </c>
      <c r="DI38" s="545">
        <f t="shared" si="63"/>
        <v>872.43749999999966</v>
      </c>
      <c r="DJ38" s="528">
        <f t="shared" si="64"/>
        <v>0.79432624113475192</v>
      </c>
      <c r="DL38" s="173">
        <f t="shared" si="65"/>
        <v>2.0135256924821481</v>
      </c>
      <c r="DM38" s="173">
        <f t="shared" si="66"/>
        <v>2.0135256924821481</v>
      </c>
      <c r="DN38" s="173">
        <f t="shared" si="67"/>
        <v>1.7038461919620849</v>
      </c>
      <c r="DP38" s="545">
        <f t="shared" si="68"/>
        <v>1980</v>
      </c>
      <c r="DQ38" s="460">
        <f t="shared" si="69"/>
        <v>350</v>
      </c>
      <c r="DS38">
        <f t="shared" si="116"/>
        <v>1980</v>
      </c>
      <c r="DT38" s="460">
        <f t="shared" si="70"/>
        <v>350</v>
      </c>
      <c r="DU38" s="460"/>
      <c r="DV38" s="5">
        <f t="shared" si="117"/>
        <v>2.8571428571428572</v>
      </c>
      <c r="DW38" s="5">
        <f t="shared" si="71"/>
        <v>1.0067628462410743</v>
      </c>
      <c r="DX38" s="5">
        <f t="shared" si="118"/>
        <v>1.8503800109017829</v>
      </c>
      <c r="DY38" s="173">
        <f t="shared" si="119"/>
        <v>0.352366996184376</v>
      </c>
      <c r="EA38" s="5">
        <f t="shared" si="72"/>
        <v>49.834760888933175</v>
      </c>
      <c r="EB38" s="5">
        <f t="shared" si="73"/>
        <v>0.18457318847753029</v>
      </c>
      <c r="EC38" s="5">
        <f t="shared" si="74"/>
        <v>0.50885450299799029</v>
      </c>
      <c r="ED38" s="5"/>
      <c r="EE38" s="173">
        <f t="shared" si="120"/>
        <v>0.69007160952471314</v>
      </c>
      <c r="EF38" s="173">
        <f t="shared" si="75"/>
        <v>3.7421485703409334</v>
      </c>
      <c r="EG38" s="173">
        <f t="shared" si="76"/>
        <v>7.1303101137577249E-2</v>
      </c>
      <c r="EH38" s="173"/>
      <c r="EI38" s="528">
        <f t="shared" si="77"/>
        <v>5.8096256805187426E-3</v>
      </c>
      <c r="EJ38" s="528">
        <f t="shared" si="78"/>
        <v>0.60325229746765152</v>
      </c>
      <c r="EK38" s="528">
        <f t="shared" si="79"/>
        <v>4.3749999999999997E-2</v>
      </c>
      <c r="EL38" s="528">
        <f t="shared" si="80"/>
        <v>6.4114399999999988E-2</v>
      </c>
      <c r="EM38">
        <f t="shared" si="81"/>
        <v>1.0800000000000001E-2</v>
      </c>
      <c r="EN38" s="460">
        <f t="shared" si="121"/>
        <v>54.550000000000004</v>
      </c>
      <c r="EO38">
        <f t="shared" si="82"/>
        <v>0.73030300829962114</v>
      </c>
      <c r="EP38" s="460">
        <f t="shared" si="122"/>
        <v>730.30300829962118</v>
      </c>
      <c r="EQ38" s="173">
        <f t="shared" si="83"/>
        <v>1.2300749999999998</v>
      </c>
      <c r="ER38" s="173">
        <f t="shared" si="170"/>
        <v>1.4643750000000001E-2</v>
      </c>
      <c r="ES38" s="528"/>
      <c r="EU38" s="460">
        <f t="shared" si="123"/>
        <v>1244.7187499999998</v>
      </c>
      <c r="EV38" s="528">
        <f t="shared" si="85"/>
        <v>1.4285964788160844E-2</v>
      </c>
      <c r="EW38" s="528">
        <f t="shared" si="124"/>
        <v>0.42011027767514075</v>
      </c>
      <c r="EX38" s="528">
        <f t="shared" si="86"/>
        <v>2.5420661159177849E-5</v>
      </c>
      <c r="EY38" s="528">
        <f t="shared" si="87"/>
        <v>0.65922406679174994</v>
      </c>
      <c r="EZ38" s="528">
        <f t="shared" si="88"/>
        <v>1.2410376191883057</v>
      </c>
      <c r="FA38" s="625">
        <f t="shared" si="89"/>
        <v>3.5475E-2</v>
      </c>
      <c r="FB38" s="460">
        <f t="shared" si="125"/>
        <v>1276.5126191883055</v>
      </c>
      <c r="FC38" s="173">
        <f t="shared" si="126"/>
        <v>3.2515343774879266</v>
      </c>
      <c r="FD38" s="5">
        <f t="shared" si="127"/>
        <v>8.5139999999999993</v>
      </c>
      <c r="FE38" s="173">
        <f t="shared" si="128"/>
        <v>0.72363903982896138</v>
      </c>
      <c r="FF38" s="5">
        <f t="shared" si="129"/>
        <v>72.363903982896133</v>
      </c>
      <c r="FG38">
        <f t="shared" si="130"/>
        <v>33</v>
      </c>
      <c r="FI38" s="562">
        <f t="shared" si="90"/>
        <v>-50</v>
      </c>
      <c r="FJ38">
        <f t="shared" si="91"/>
        <v>-50</v>
      </c>
      <c r="FL38">
        <f t="shared" si="92"/>
        <v>0.4702873725350889</v>
      </c>
    </row>
    <row r="39" spans="5:168">
      <c r="E39" s="170">
        <v>34</v>
      </c>
      <c r="F39" s="217">
        <f t="shared" si="131"/>
        <v>2.04</v>
      </c>
      <c r="G39" s="217">
        <f t="shared" si="171"/>
        <v>3.4000000000000002E-2</v>
      </c>
      <c r="H39" s="217">
        <f t="shared" si="135"/>
        <v>8.16</v>
      </c>
      <c r="I39" s="217">
        <f t="shared" si="132"/>
        <v>0.6120000000000001</v>
      </c>
      <c r="J39" s="541">
        <f t="shared" si="136"/>
        <v>23.943366737101606</v>
      </c>
      <c r="K39" s="443">
        <f t="shared" si="137"/>
        <v>19.312820770695907</v>
      </c>
      <c r="L39" s="172">
        <f t="shared" si="138"/>
        <v>43.256187507797513</v>
      </c>
      <c r="M39" s="443"/>
      <c r="N39" s="217">
        <f t="shared" si="139"/>
        <v>0.44647533412912338</v>
      </c>
      <c r="O39" s="172">
        <f t="shared" si="172"/>
        <v>33.147667175576991</v>
      </c>
      <c r="P39" s="172">
        <f t="shared" si="140"/>
        <v>2.672530666030895</v>
      </c>
      <c r="Q39" s="217">
        <f t="shared" si="6"/>
        <v>8.2869167938942478</v>
      </c>
      <c r="R39" s="217">
        <f t="shared" si="141"/>
        <v>1.8415370653098329</v>
      </c>
      <c r="S39" s="443">
        <f t="shared" si="142"/>
        <v>4</v>
      </c>
      <c r="T39" s="217">
        <f t="shared" si="143"/>
        <v>1.641141131044106</v>
      </c>
      <c r="U39" s="217">
        <f t="shared" si="10"/>
        <v>0.82251146168231959</v>
      </c>
      <c r="V39" s="217">
        <f t="shared" si="11"/>
        <v>1.0197212414672889</v>
      </c>
      <c r="W39" s="197">
        <f t="shared" si="12"/>
        <v>350</v>
      </c>
      <c r="X39" s="443">
        <f t="shared" si="95"/>
        <v>350</v>
      </c>
      <c r="Z39" s="217">
        <f t="shared" si="13"/>
        <v>2.5452673009818043</v>
      </c>
      <c r="AA39" s="173">
        <f t="shared" si="14"/>
        <v>1.5814990453453617</v>
      </c>
      <c r="AB39" s="173">
        <f t="shared" si="144"/>
        <v>2.8177364646560421</v>
      </c>
      <c r="AC39" s="173"/>
      <c r="AD39" s="173">
        <f t="shared" si="16"/>
        <v>0.82846520402019286</v>
      </c>
      <c r="AE39" s="545">
        <f t="shared" si="145"/>
        <v>923.39424309889785</v>
      </c>
      <c r="AF39" s="528">
        <f t="shared" si="146"/>
        <v>0.77323419041884667</v>
      </c>
      <c r="AH39" s="173">
        <f t="shared" si="147"/>
        <v>2.043805973458062</v>
      </c>
      <c r="AI39" s="173">
        <f t="shared" si="148"/>
        <v>2.043805973458062</v>
      </c>
      <c r="AJ39" s="173">
        <f t="shared" si="149"/>
        <v>1.7262760297220212</v>
      </c>
      <c r="AL39" s="545">
        <f t="shared" si="150"/>
        <v>2040</v>
      </c>
      <c r="AM39" s="460">
        <f t="shared" si="151"/>
        <v>350</v>
      </c>
      <c r="AO39">
        <f t="shared" si="96"/>
        <v>2040</v>
      </c>
      <c r="AP39" s="460">
        <f t="shared" si="24"/>
        <v>350</v>
      </c>
      <c r="AQ39" s="460"/>
      <c r="AR39" s="5">
        <f t="shared" si="97"/>
        <v>2.8571428571428572</v>
      </c>
      <c r="AS39" s="5">
        <f t="shared" si="25"/>
        <v>1.0243200946127942</v>
      </c>
      <c r="AT39" s="5">
        <f t="shared" si="98"/>
        <v>1.832822762530063</v>
      </c>
      <c r="AU39" s="173">
        <f t="shared" si="99"/>
        <v>0.35851203311447793</v>
      </c>
      <c r="AW39" s="5">
        <f t="shared" si="152"/>
        <v>52.2403248252525</v>
      </c>
      <c r="AX39" s="5">
        <f t="shared" si="153"/>
        <v>0.19348268453797224</v>
      </c>
      <c r="AY39" s="5">
        <f t="shared" si="28"/>
        <v>0.52052808287365859</v>
      </c>
      <c r="AZ39" s="5"/>
      <c r="BA39" s="173">
        <f t="shared" si="100"/>
        <v>0.70653048491057224</v>
      </c>
      <c r="BB39" s="173">
        <f t="shared" si="154"/>
        <v>3.7803610965578067</v>
      </c>
      <c r="BC39" s="173">
        <f t="shared" si="155"/>
        <v>7.2031204677655503E-2</v>
      </c>
      <c r="BD39" s="173"/>
      <c r="BE39" s="528">
        <f t="shared" si="31"/>
        <v>6.090060978517213E-3</v>
      </c>
      <c r="BF39" s="528">
        <f t="shared" si="156"/>
        <v>0.58017260711457175</v>
      </c>
      <c r="BG39" s="528">
        <f t="shared" si="157"/>
        <v>0.20950445894963904</v>
      </c>
      <c r="BH39" s="528">
        <f t="shared" si="34"/>
        <v>6.5488421519840828E-2</v>
      </c>
      <c r="BI39">
        <f t="shared" si="35"/>
        <v>1.0774515031695723E-2</v>
      </c>
      <c r="BJ39" s="460">
        <f t="shared" si="101"/>
        <v>220.27897398133476</v>
      </c>
      <c r="BK39">
        <f t="shared" si="158"/>
        <v>0.6543422383069184</v>
      </c>
      <c r="BL39" s="460">
        <f t="shared" si="102"/>
        <v>654.34223830691838</v>
      </c>
      <c r="BM39" s="173">
        <f t="shared" si="159"/>
        <v>1.26735</v>
      </c>
      <c r="BN39" s="173">
        <f t="shared" si="160"/>
        <v>1.50875E-2</v>
      </c>
      <c r="BO39" s="528"/>
      <c r="BQ39" s="460">
        <f t="shared" si="103"/>
        <v>1282.4375</v>
      </c>
      <c r="BR39" s="528">
        <f t="shared" si="39"/>
        <v>1.4975559783239049E-2</v>
      </c>
      <c r="BS39" s="528">
        <f t="shared" si="104"/>
        <v>0.42873390061103223</v>
      </c>
      <c r="BT39" s="528">
        <f t="shared" si="161"/>
        <v>2.5942472236571502E-5</v>
      </c>
      <c r="BU39" s="528">
        <f t="shared" si="41"/>
        <v>0.6842885538075073</v>
      </c>
      <c r="BV39" s="528">
        <f t="shared" si="162"/>
        <v>1.2799574480717453</v>
      </c>
      <c r="BW39" s="625">
        <f t="shared" si="163"/>
        <v>3.6549999999999992E-2</v>
      </c>
      <c r="BX39" s="460">
        <f t="shared" si="105"/>
        <v>1316.5074480717453</v>
      </c>
      <c r="BY39" s="173">
        <f t="shared" si="106"/>
        <v>3.2532871863786639</v>
      </c>
      <c r="BZ39" s="5">
        <f t="shared" si="107"/>
        <v>8.7720000000000002</v>
      </c>
      <c r="CA39" s="173">
        <f t="shared" si="108"/>
        <v>0.72946282812573982</v>
      </c>
      <c r="CB39" s="5">
        <f t="shared" si="109"/>
        <v>72.946282812573983</v>
      </c>
      <c r="CC39">
        <f t="shared" si="173"/>
        <v>34</v>
      </c>
      <c r="CE39" s="562">
        <f t="shared" si="164"/>
        <v>-50</v>
      </c>
      <c r="CF39">
        <f t="shared" si="165"/>
        <v>-50</v>
      </c>
      <c r="CG39" s="173">
        <f t="shared" si="166"/>
        <v>0.47735975995629537</v>
      </c>
      <c r="CH39" s="173">
        <f t="shared" si="167"/>
        <v>0.12226639758441693</v>
      </c>
      <c r="CI39" s="170">
        <v>34</v>
      </c>
      <c r="CJ39" s="217">
        <f t="shared" si="133"/>
        <v>2.04</v>
      </c>
      <c r="CK39" s="217">
        <f t="shared" si="111"/>
        <v>3.4000000000000002E-2</v>
      </c>
      <c r="CL39" s="217">
        <f t="shared" si="48"/>
        <v>8.16</v>
      </c>
      <c r="CM39" s="217">
        <f t="shared" si="134"/>
        <v>0.6120000000000001</v>
      </c>
      <c r="CN39" s="541">
        <f t="shared" si="112"/>
        <v>24</v>
      </c>
      <c r="CO39" s="443">
        <f t="shared" si="168"/>
        <v>18.8</v>
      </c>
      <c r="CP39" s="443">
        <f t="shared" si="169"/>
        <v>42.8</v>
      </c>
      <c r="CQ39" s="443"/>
      <c r="CR39" s="217">
        <f t="shared" si="113"/>
        <v>0.43925233644859818</v>
      </c>
      <c r="CS39" s="172">
        <f t="shared" si="114"/>
        <v>32.688545968267775</v>
      </c>
      <c r="CT39" s="172">
        <f t="shared" si="51"/>
        <v>2.6355140186915893</v>
      </c>
      <c r="CU39" s="217">
        <f t="shared" si="52"/>
        <v>8.1721364920669437</v>
      </c>
      <c r="CV39" s="217">
        <f t="shared" si="53"/>
        <v>1.816030331570432</v>
      </c>
      <c r="CW39" s="443">
        <f t="shared" si="54"/>
        <v>4</v>
      </c>
      <c r="CX39" s="217">
        <f t="shared" si="55"/>
        <v>1.6641914893617018</v>
      </c>
      <c r="CY39" s="217">
        <f t="shared" si="56"/>
        <v>0.8320957446808509</v>
      </c>
      <c r="CZ39" s="217">
        <f t="shared" si="57"/>
        <v>1.0622498868266181</v>
      </c>
      <c r="DA39" s="197">
        <f t="shared" si="58"/>
        <v>350</v>
      </c>
      <c r="DB39" s="443">
        <f t="shared" si="115"/>
        <v>350</v>
      </c>
      <c r="DD39" s="217">
        <f t="shared" si="59"/>
        <v>2.5100133511348464</v>
      </c>
      <c r="DE39" s="173">
        <f t="shared" si="60"/>
        <v>1.6021361815754336</v>
      </c>
      <c r="DF39" s="173">
        <f t="shared" si="61"/>
        <v>2.8149682442633783</v>
      </c>
      <c r="DG39" s="173"/>
      <c r="DH39" s="173">
        <f t="shared" si="62"/>
        <v>0.85106382978723416</v>
      </c>
      <c r="DI39" s="545">
        <f t="shared" si="63"/>
        <v>898.87499999999966</v>
      </c>
      <c r="DJ39" s="528">
        <f t="shared" si="64"/>
        <v>0.79432624113475192</v>
      </c>
      <c r="DL39" s="173">
        <f t="shared" si="65"/>
        <v>2.043805973458062</v>
      </c>
      <c r="DM39" s="173">
        <f t="shared" si="66"/>
        <v>2.043805973458062</v>
      </c>
      <c r="DN39" s="173">
        <f t="shared" si="67"/>
        <v>1.7262760297220212</v>
      </c>
      <c r="DP39" s="545">
        <f t="shared" si="68"/>
        <v>2040</v>
      </c>
      <c r="DQ39" s="460">
        <f t="shared" si="69"/>
        <v>350</v>
      </c>
      <c r="DS39">
        <f t="shared" si="116"/>
        <v>2040</v>
      </c>
      <c r="DT39" s="460">
        <f t="shared" si="70"/>
        <v>350</v>
      </c>
      <c r="DU39" s="460"/>
      <c r="DV39" s="5">
        <f t="shared" si="117"/>
        <v>2.8571428571428572</v>
      </c>
      <c r="DW39" s="5">
        <f t="shared" si="71"/>
        <v>1.021902986729031</v>
      </c>
      <c r="DX39" s="5">
        <f t="shared" si="118"/>
        <v>1.8352398704138262</v>
      </c>
      <c r="DY39" s="173">
        <f t="shared" si="119"/>
        <v>0.35766604535516083</v>
      </c>
      <c r="EA39" s="5">
        <f t="shared" si="72"/>
        <v>52.117052323180573</v>
      </c>
      <c r="EB39" s="5">
        <f t="shared" si="73"/>
        <v>0.19302611971548367</v>
      </c>
      <c r="EC39" s="5">
        <f t="shared" si="74"/>
        <v>0.51998462995058403</v>
      </c>
      <c r="ED39" s="5"/>
      <c r="EE39" s="173">
        <f t="shared" si="120"/>
        <v>0.7056963857537798</v>
      </c>
      <c r="EF39" s="173">
        <f t="shared" si="75"/>
        <v>3.7828530259897848</v>
      </c>
      <c r="EG39" s="173">
        <f t="shared" si="76"/>
        <v>7.2078686035751308E-2</v>
      </c>
      <c r="EH39" s="173"/>
      <c r="EI39" s="528">
        <f t="shared" si="77"/>
        <v>6.0756901441645604E-3</v>
      </c>
      <c r="EJ39" s="528">
        <f t="shared" si="78"/>
        <v>0.61232426964803532</v>
      </c>
      <c r="EK39" s="528">
        <f t="shared" si="79"/>
        <v>4.3749999999999997E-2</v>
      </c>
      <c r="EL39" s="528">
        <f t="shared" si="80"/>
        <v>6.4114399999999988E-2</v>
      </c>
      <c r="EM39">
        <f t="shared" si="81"/>
        <v>1.0800000000000001E-2</v>
      </c>
      <c r="EN39" s="460">
        <f t="shared" si="121"/>
        <v>54.550000000000004</v>
      </c>
      <c r="EO39">
        <f t="shared" si="82"/>
        <v>0.7397727201775216</v>
      </c>
      <c r="EP39" s="460">
        <f t="shared" si="122"/>
        <v>739.77272017752159</v>
      </c>
      <c r="EQ39" s="173">
        <f t="shared" si="83"/>
        <v>1.26735</v>
      </c>
      <c r="ER39" s="173">
        <f t="shared" si="170"/>
        <v>1.50875E-2</v>
      </c>
      <c r="ES39" s="528"/>
      <c r="EU39" s="460">
        <f t="shared" si="123"/>
        <v>1282.4375</v>
      </c>
      <c r="EV39" s="528">
        <f t="shared" si="85"/>
        <v>1.4940221665978427E-2</v>
      </c>
      <c r="EW39" s="528">
        <f t="shared" si="124"/>
        <v>0.4292993104872021</v>
      </c>
      <c r="EX39" s="528">
        <f t="shared" si="86"/>
        <v>2.5976684903202054E-5</v>
      </c>
      <c r="EY39" s="528">
        <f t="shared" si="87"/>
        <v>0.6842885538075073</v>
      </c>
      <c r="EZ39" s="528">
        <f t="shared" si="88"/>
        <v>1.2806952841324626</v>
      </c>
      <c r="FA39" s="625">
        <f t="shared" si="89"/>
        <v>3.6549999999999992E-2</v>
      </c>
      <c r="FB39" s="460">
        <f t="shared" si="125"/>
        <v>1317.2452841324628</v>
      </c>
      <c r="FC39" s="173">
        <f t="shared" si="126"/>
        <v>3.3394555043099841</v>
      </c>
      <c r="FD39" s="5">
        <f t="shared" si="127"/>
        <v>8.7720000000000002</v>
      </c>
      <c r="FE39" s="173">
        <f t="shared" si="128"/>
        <v>0.72427298245684801</v>
      </c>
      <c r="FF39" s="5">
        <f t="shared" si="129"/>
        <v>72.427298245684796</v>
      </c>
      <c r="FG39">
        <f t="shared" si="130"/>
        <v>34</v>
      </c>
      <c r="FI39" s="562">
        <f t="shared" si="90"/>
        <v>-50</v>
      </c>
      <c r="FJ39">
        <f t="shared" si="91"/>
        <v>-50</v>
      </c>
      <c r="FL39">
        <f t="shared" si="92"/>
        <v>0.47735975995629537</v>
      </c>
    </row>
    <row r="40" spans="5:168">
      <c r="E40" s="170">
        <v>35</v>
      </c>
      <c r="F40" s="217">
        <f t="shared" ref="F40:F71" si="174">IF(PLOT_TYPE=1, E40/100*Iout_max, min_I*EXP(O40*rr/100))</f>
        <v>2.0999999999999996</v>
      </c>
      <c r="G40" s="217">
        <f t="shared" si="171"/>
        <v>3.4999999999999996E-2</v>
      </c>
      <c r="H40" s="217">
        <f t="shared" si="135"/>
        <v>8.3999999999999986</v>
      </c>
      <c r="I40" s="217">
        <f t="shared" ref="I40:I71" si="175">Vout2*G40</f>
        <v>0.62999999999999989</v>
      </c>
      <c r="J40" s="541">
        <f t="shared" si="136"/>
        <v>23.942539930404788</v>
      </c>
      <c r="K40" s="443">
        <f t="shared" si="137"/>
        <v>19.320307601328292</v>
      </c>
      <c r="L40" s="172">
        <f t="shared" si="138"/>
        <v>43.26284753173308</v>
      </c>
      <c r="M40" s="443"/>
      <c r="N40" s="217">
        <f t="shared" si="139"/>
        <v>0.44657965676339134</v>
      </c>
      <c r="O40" s="172">
        <f t="shared" si="172"/>
        <v>33.154267485779727</v>
      </c>
      <c r="P40" s="172">
        <f t="shared" si="140"/>
        <v>2.6730628160409906</v>
      </c>
      <c r="Q40" s="217">
        <f t="shared" si="6"/>
        <v>8.2885668714449316</v>
      </c>
      <c r="R40" s="217">
        <f t="shared" si="141"/>
        <v>1.8419037492099848</v>
      </c>
      <c r="S40" s="443">
        <f t="shared" si="142"/>
        <v>4</v>
      </c>
      <c r="T40" s="217">
        <f t="shared" si="143"/>
        <v>1.6890736622071072</v>
      </c>
      <c r="U40" s="217">
        <f t="shared" si="10"/>
        <v>0.84656364802573425</v>
      </c>
      <c r="V40" s="217">
        <f t="shared" si="11"/>
        <v>1.0490973728126245</v>
      </c>
      <c r="W40" s="197">
        <f t="shared" si="12"/>
        <v>350</v>
      </c>
      <c r="X40" s="443">
        <f t="shared" si="95"/>
        <v>350</v>
      </c>
      <c r="Z40" s="217">
        <f t="shared" si="13"/>
        <v>2.5457741105152292</v>
      </c>
      <c r="AA40" s="173">
        <f t="shared" si="14"/>
        <v>1.5812009806760248</v>
      </c>
      <c r="AB40" s="173">
        <f t="shared" si="144"/>
        <v>2.8177663640884201</v>
      </c>
      <c r="AC40" s="173"/>
      <c r="AD40" s="173">
        <f t="shared" si="16"/>
        <v>0.82814416468710816</v>
      </c>
      <c r="AE40" s="545">
        <f t="shared" si="145"/>
        <v>950.92138975287651</v>
      </c>
      <c r="AF40" s="528">
        <f t="shared" si="146"/>
        <v>0.77293455370796771</v>
      </c>
      <c r="AH40" s="173">
        <f t="shared" si="147"/>
        <v>2.0736441353327719</v>
      </c>
      <c r="AI40" s="173">
        <f t="shared" si="148"/>
        <v>2.0736441353327719</v>
      </c>
      <c r="AJ40" s="173">
        <f t="shared" si="149"/>
        <v>1.7483783718514356</v>
      </c>
      <c r="AL40" s="545">
        <f t="shared" si="150"/>
        <v>2099.9999999999995</v>
      </c>
      <c r="AM40" s="460">
        <f t="shared" si="151"/>
        <v>350</v>
      </c>
      <c r="AO40">
        <f t="shared" si="96"/>
        <v>2099.9999999999995</v>
      </c>
      <c r="AP40" s="460">
        <f t="shared" si="24"/>
        <v>350</v>
      </c>
      <c r="AQ40" s="460"/>
      <c r="AR40" s="5">
        <f t="shared" si="97"/>
        <v>2.8571428571428572</v>
      </c>
      <c r="AS40" s="5">
        <f t="shared" si="25"/>
        <v>1.0393103528833736</v>
      </c>
      <c r="AT40" s="5">
        <f t="shared" si="98"/>
        <v>1.8178325042594836</v>
      </c>
      <c r="AU40" s="173">
        <f t="shared" si="99"/>
        <v>0.36375862350918076</v>
      </c>
      <c r="AW40" s="5">
        <f t="shared" si="152"/>
        <v>54.563793526377104</v>
      </c>
      <c r="AX40" s="5">
        <f t="shared" si="153"/>
        <v>0.20208812417176708</v>
      </c>
      <c r="AY40" s="5">
        <f t="shared" si="28"/>
        <v>0.53147358495817065</v>
      </c>
      <c r="AZ40" s="5"/>
      <c r="BA40" s="173">
        <f t="shared" si="100"/>
        <v>0.72207157565102853</v>
      </c>
      <c r="BB40" s="173">
        <f t="shared" si="154"/>
        <v>3.8198344947815195</v>
      </c>
      <c r="BC40" s="173">
        <f t="shared" si="155"/>
        <v>7.2783332941107337E-2</v>
      </c>
      <c r="BD40" s="173"/>
      <c r="BE40" s="528">
        <f t="shared" si="31"/>
        <v>6.3609257964305395E-3</v>
      </c>
      <c r="BF40" s="528">
        <f t="shared" si="156"/>
        <v>0.5887333597817056</v>
      </c>
      <c r="BG40" s="528">
        <f t="shared" si="157"/>
        <v>0.20949722439104188</v>
      </c>
      <c r="BH40" s="528">
        <f t="shared" si="34"/>
        <v>6.5508589179389412E-2</v>
      </c>
      <c r="BI40">
        <f t="shared" si="35"/>
        <v>1.0774142968682154E-2</v>
      </c>
      <c r="BJ40" s="460">
        <f t="shared" si="101"/>
        <v>220.27136735972402</v>
      </c>
      <c r="BK40">
        <f t="shared" si="158"/>
        <v>0.66332284165883071</v>
      </c>
      <c r="BL40" s="460">
        <f t="shared" si="102"/>
        <v>663.32284165883073</v>
      </c>
      <c r="BM40" s="173">
        <f t="shared" si="159"/>
        <v>1.3046249999999997</v>
      </c>
      <c r="BN40" s="173">
        <f t="shared" si="160"/>
        <v>1.5531249999999998E-2</v>
      </c>
      <c r="BO40" s="528"/>
      <c r="BQ40" s="460">
        <f t="shared" si="103"/>
        <v>1320.1562499999998</v>
      </c>
      <c r="BR40" s="528">
        <f t="shared" si="39"/>
        <v>1.564162081089477E-2</v>
      </c>
      <c r="BS40" s="528">
        <f t="shared" si="104"/>
        <v>0.43773406702568357</v>
      </c>
      <c r="BT40" s="528">
        <f t="shared" si="161"/>
        <v>2.6487067770080403E-5</v>
      </c>
      <c r="BU40" s="528">
        <f t="shared" si="41"/>
        <v>0.70953804117930508</v>
      </c>
      <c r="BV40" s="528">
        <f t="shared" si="162"/>
        <v>1.3196223080214342</v>
      </c>
      <c r="BW40" s="625">
        <f t="shared" si="163"/>
        <v>3.7624999999999992E-2</v>
      </c>
      <c r="BX40" s="460">
        <f t="shared" si="105"/>
        <v>1357.2473080214343</v>
      </c>
      <c r="BY40" s="173">
        <f t="shared" si="106"/>
        <v>3.3407263996802645</v>
      </c>
      <c r="BZ40" s="5">
        <f t="shared" si="107"/>
        <v>9.0299999999999976</v>
      </c>
      <c r="CA40" s="173">
        <f t="shared" si="108"/>
        <v>0.7299490513534751</v>
      </c>
      <c r="CB40" s="5">
        <f t="shared" si="109"/>
        <v>72.994905135347508</v>
      </c>
      <c r="CC40">
        <f t="shared" si="173"/>
        <v>34.999999999999993</v>
      </c>
      <c r="CE40" s="562">
        <f t="shared" si="164"/>
        <v>-50</v>
      </c>
      <c r="CF40">
        <f t="shared" si="165"/>
        <v>-50</v>
      </c>
      <c r="CG40" s="173">
        <f t="shared" si="166"/>
        <v>0.48432888421516457</v>
      </c>
      <c r="CH40" s="173">
        <f t="shared" si="167"/>
        <v>0.12405140291776995</v>
      </c>
      <c r="CI40" s="170">
        <v>35</v>
      </c>
      <c r="CJ40" s="217">
        <f t="shared" si="133"/>
        <v>2.0999999999999996</v>
      </c>
      <c r="CK40" s="217">
        <f t="shared" si="111"/>
        <v>3.4999999999999996E-2</v>
      </c>
      <c r="CL40" s="217">
        <f t="shared" si="48"/>
        <v>8.3999999999999986</v>
      </c>
      <c r="CM40" s="217">
        <f t="shared" si="134"/>
        <v>0.62999999999999989</v>
      </c>
      <c r="CN40" s="541">
        <f t="shared" si="112"/>
        <v>24</v>
      </c>
      <c r="CO40" s="443">
        <f t="shared" si="168"/>
        <v>18.8</v>
      </c>
      <c r="CP40" s="443">
        <f t="shared" si="169"/>
        <v>42.8</v>
      </c>
      <c r="CQ40" s="443"/>
      <c r="CR40" s="217">
        <f t="shared" si="113"/>
        <v>0.43925233644859818</v>
      </c>
      <c r="CS40" s="172">
        <f t="shared" si="114"/>
        <v>32.688545968267775</v>
      </c>
      <c r="CT40" s="172">
        <f t="shared" si="51"/>
        <v>2.6355140186915893</v>
      </c>
      <c r="CU40" s="217">
        <f t="shared" si="52"/>
        <v>8.1721364920669437</v>
      </c>
      <c r="CV40" s="217">
        <f t="shared" si="53"/>
        <v>1.816030331570432</v>
      </c>
      <c r="CW40" s="443">
        <f t="shared" si="54"/>
        <v>4</v>
      </c>
      <c r="CX40" s="217">
        <f t="shared" si="55"/>
        <v>1.7131382978723397</v>
      </c>
      <c r="CY40" s="217">
        <f t="shared" si="56"/>
        <v>0.85656914893616987</v>
      </c>
      <c r="CZ40" s="217">
        <f t="shared" si="57"/>
        <v>1.0934925305568126</v>
      </c>
      <c r="DA40" s="197">
        <f t="shared" si="58"/>
        <v>350</v>
      </c>
      <c r="DB40" s="443">
        <f t="shared" si="115"/>
        <v>350</v>
      </c>
      <c r="DD40" s="217">
        <f t="shared" si="59"/>
        <v>2.5100133511348464</v>
      </c>
      <c r="DE40" s="173">
        <f t="shared" si="60"/>
        <v>1.6021361815754336</v>
      </c>
      <c r="DF40" s="173">
        <f t="shared" si="61"/>
        <v>2.8149682442633783</v>
      </c>
      <c r="DG40" s="173"/>
      <c r="DH40" s="173">
        <f t="shared" si="62"/>
        <v>0.85106382978723416</v>
      </c>
      <c r="DI40" s="545">
        <f t="shared" si="63"/>
        <v>925.31249999999966</v>
      </c>
      <c r="DJ40" s="528">
        <f t="shared" si="64"/>
        <v>0.79432624113475192</v>
      </c>
      <c r="DL40" s="173">
        <f t="shared" si="65"/>
        <v>2.0736441353327719</v>
      </c>
      <c r="DM40" s="173">
        <f t="shared" si="66"/>
        <v>2.0736441353327719</v>
      </c>
      <c r="DN40" s="173">
        <f t="shared" si="67"/>
        <v>1.7483783718514356</v>
      </c>
      <c r="DP40" s="545">
        <f t="shared" si="68"/>
        <v>2099.9999999999995</v>
      </c>
      <c r="DQ40" s="460">
        <f t="shared" si="69"/>
        <v>350</v>
      </c>
      <c r="DS40">
        <f t="shared" si="116"/>
        <v>2099.9999999999995</v>
      </c>
      <c r="DT40" s="460">
        <f t="shared" si="70"/>
        <v>350</v>
      </c>
      <c r="DU40" s="460"/>
      <c r="DV40" s="5">
        <f t="shared" si="117"/>
        <v>2.8571428571428572</v>
      </c>
      <c r="DW40" s="5">
        <f t="shared" si="71"/>
        <v>1.0368220676663862</v>
      </c>
      <c r="DX40" s="5">
        <f t="shared" si="118"/>
        <v>1.820320789476471</v>
      </c>
      <c r="DY40" s="173">
        <f t="shared" si="119"/>
        <v>0.36288772368323513</v>
      </c>
      <c r="EA40" s="5">
        <f t="shared" si="72"/>
        <v>54.43315855248526</v>
      </c>
      <c r="EB40" s="5">
        <f t="shared" si="73"/>
        <v>0.20160429093513063</v>
      </c>
      <c r="EC40" s="5">
        <f t="shared" si="74"/>
        <v>0.53092689693063722</v>
      </c>
      <c r="ED40" s="5"/>
      <c r="EE40" s="173">
        <f t="shared" si="120"/>
        <v>0.72120667676654038</v>
      </c>
      <c r="EF40" s="173">
        <f t="shared" si="75"/>
        <v>3.8224479333970192</v>
      </c>
      <c r="EG40" s="173">
        <f t="shared" si="76"/>
        <v>7.2833129541754027E-2</v>
      </c>
      <c r="EH40" s="173"/>
      <c r="EI40" s="528">
        <f t="shared" si="77"/>
        <v>6.3456966614741719E-3</v>
      </c>
      <c r="EJ40" s="528">
        <f t="shared" si="78"/>
        <v>0.62126378294569851</v>
      </c>
      <c r="EK40" s="528">
        <f t="shared" si="79"/>
        <v>4.3749999999999997E-2</v>
      </c>
      <c r="EL40" s="528">
        <f t="shared" si="80"/>
        <v>6.4114399999999988E-2</v>
      </c>
      <c r="EM40">
        <f t="shared" si="81"/>
        <v>1.0800000000000001E-2</v>
      </c>
      <c r="EN40" s="460">
        <f t="shared" si="121"/>
        <v>54.550000000000004</v>
      </c>
      <c r="EO40">
        <f t="shared" si="82"/>
        <v>0.74911668904977791</v>
      </c>
      <c r="EP40" s="460">
        <f t="shared" si="122"/>
        <v>749.11668904977796</v>
      </c>
      <c r="EQ40" s="173">
        <f t="shared" si="83"/>
        <v>1.3046249999999997</v>
      </c>
      <c r="ER40" s="173">
        <f t="shared" si="170"/>
        <v>1.5531249999999998E-2</v>
      </c>
      <c r="ES40" s="528"/>
      <c r="EU40" s="460">
        <f t="shared" si="123"/>
        <v>1320.1562499999998</v>
      </c>
      <c r="EV40" s="528">
        <f t="shared" si="85"/>
        <v>1.5604172118379112E-2</v>
      </c>
      <c r="EW40" s="528">
        <f t="shared" si="124"/>
        <v>0.43833324610593422</v>
      </c>
      <c r="EX40" s="528">
        <f t="shared" si="86"/>
        <v>2.6523323794229618E-5</v>
      </c>
      <c r="EY40" s="528">
        <f t="shared" si="87"/>
        <v>0.70953804117930508</v>
      </c>
      <c r="EZ40" s="528">
        <f t="shared" si="88"/>
        <v>1.3204066907617336</v>
      </c>
      <c r="FA40" s="625">
        <f t="shared" si="89"/>
        <v>3.7624999999999992E-2</v>
      </c>
      <c r="FB40" s="460">
        <f t="shared" si="125"/>
        <v>1358.0316907617337</v>
      </c>
      <c r="FC40" s="173">
        <f t="shared" si="126"/>
        <v>3.4273046298115113</v>
      </c>
      <c r="FD40" s="5">
        <f t="shared" si="127"/>
        <v>9.0299999999999976</v>
      </c>
      <c r="FE40" s="173">
        <f t="shared" si="128"/>
        <v>0.72487590761731502</v>
      </c>
      <c r="FF40" s="5">
        <f t="shared" si="129"/>
        <v>72.487590761731497</v>
      </c>
      <c r="FG40">
        <f t="shared" si="130"/>
        <v>34.999999999999993</v>
      </c>
      <c r="FI40" s="562">
        <f t="shared" si="90"/>
        <v>-50</v>
      </c>
      <c r="FJ40">
        <f t="shared" si="91"/>
        <v>-50</v>
      </c>
      <c r="FL40">
        <f t="shared" si="92"/>
        <v>0.48432888421516457</v>
      </c>
    </row>
    <row r="41" spans="5:168">
      <c r="E41" s="170">
        <v>36</v>
      </c>
      <c r="F41" s="217">
        <f t="shared" si="174"/>
        <v>2.16</v>
      </c>
      <c r="G41" s="217">
        <f t="shared" si="171"/>
        <v>3.5999999999999997E-2</v>
      </c>
      <c r="H41" s="217">
        <f t="shared" si="135"/>
        <v>8.64</v>
      </c>
      <c r="I41" s="217">
        <f t="shared" si="175"/>
        <v>0.64799999999999991</v>
      </c>
      <c r="J41" s="541">
        <f t="shared" si="136"/>
        <v>23.941724853245532</v>
      </c>
      <c r="K41" s="443">
        <f t="shared" si="137"/>
        <v>19.327688219636233</v>
      </c>
      <c r="L41" s="172">
        <f t="shared" si="138"/>
        <v>43.269413072881761</v>
      </c>
      <c r="M41" s="443"/>
      <c r="N41" s="217">
        <f t="shared" si="139"/>
        <v>0.44668246798451433</v>
      </c>
      <c r="O41" s="172">
        <f t="shared" si="172"/>
        <v>33.160771303112867</v>
      </c>
      <c r="P41" s="172">
        <f t="shared" si="140"/>
        <v>2.6735871863134744</v>
      </c>
      <c r="Q41" s="217">
        <f t="shared" si="6"/>
        <v>8.2901928257782167</v>
      </c>
      <c r="R41" s="217">
        <f t="shared" si="141"/>
        <v>1.8422650723951592</v>
      </c>
      <c r="S41" s="443">
        <f t="shared" si="142"/>
        <v>4</v>
      </c>
      <c r="T41" s="217">
        <f t="shared" si="143"/>
        <v>1.7369921668436279</v>
      </c>
      <c r="U41" s="217">
        <f t="shared" si="10"/>
        <v>0.87061003874572307</v>
      </c>
      <c r="V41" s="217">
        <f t="shared" si="11"/>
        <v>1.0784479636290325</v>
      </c>
      <c r="W41" s="197">
        <f t="shared" si="12"/>
        <v>350</v>
      </c>
      <c r="X41" s="443">
        <f t="shared" si="95"/>
        <v>350</v>
      </c>
      <c r="Z41" s="217">
        <f t="shared" si="13"/>
        <v>2.5462735107747374</v>
      </c>
      <c r="AA41" s="173">
        <f t="shared" si="14"/>
        <v>1.5809072343299591</v>
      </c>
      <c r="AB41" s="173">
        <f t="shared" si="144"/>
        <v>2.8177955496365676</v>
      </c>
      <c r="AC41" s="173"/>
      <c r="AD41" s="173">
        <f t="shared" si="16"/>
        <v>0.82782792324560472</v>
      </c>
      <c r="AE41" s="545">
        <f t="shared" si="145"/>
        <v>978.46421611908409</v>
      </c>
      <c r="AF41" s="528">
        <f t="shared" si="146"/>
        <v>0.77263939502923118</v>
      </c>
      <c r="AH41" s="173">
        <f t="shared" si="147"/>
        <v>2.1030589965231936</v>
      </c>
      <c r="AI41" s="173">
        <f t="shared" si="148"/>
        <v>2.1030589965231936</v>
      </c>
      <c r="AJ41" s="173">
        <f t="shared" si="149"/>
        <v>1.7701671579184148</v>
      </c>
      <c r="AL41" s="545">
        <f t="shared" si="150"/>
        <v>2160</v>
      </c>
      <c r="AM41" s="460">
        <f t="shared" si="151"/>
        <v>350</v>
      </c>
      <c r="AO41">
        <f t="shared" si="96"/>
        <v>2160</v>
      </c>
      <c r="AP41" s="460">
        <f t="shared" si="24"/>
        <v>350</v>
      </c>
      <c r="AQ41" s="460"/>
      <c r="AR41" s="5">
        <f t="shared" si="97"/>
        <v>2.8571428571428572</v>
      </c>
      <c r="AS41" s="5">
        <f t="shared" si="25"/>
        <v>1.0540889644739713</v>
      </c>
      <c r="AT41" s="5">
        <f t="shared" si="98"/>
        <v>1.8030538926688859</v>
      </c>
      <c r="AU41" s="173">
        <f t="shared" si="99"/>
        <v>0.36893113756588991</v>
      </c>
      <c r="AW41" s="5">
        <f t="shared" si="152"/>
        <v>56.920804081594461</v>
      </c>
      <c r="AX41" s="5">
        <f t="shared" si="153"/>
        <v>0.21081779289479424</v>
      </c>
      <c r="AY41" s="5">
        <f t="shared" si="28"/>
        <v>0.54223278008543907</v>
      </c>
      <c r="AZ41" s="5"/>
      <c r="BA41" s="173">
        <f t="shared" si="100"/>
        <v>0.73750247841520433</v>
      </c>
      <c r="BB41" s="173">
        <f t="shared" si="154"/>
        <v>3.8582396164409385</v>
      </c>
      <c r="BC41" s="173">
        <f t="shared" si="155"/>
        <v>7.3515106205158415E-2</v>
      </c>
      <c r="BD41" s="173"/>
      <c r="BE41" s="528">
        <f t="shared" si="31"/>
        <v>6.6357008491565398E-3</v>
      </c>
      <c r="BF41" s="528">
        <f t="shared" si="156"/>
        <v>0.59717521786913985</v>
      </c>
      <c r="BG41" s="528">
        <f t="shared" si="157"/>
        <v>0.20949009246589839</v>
      </c>
      <c r="BH41" s="528">
        <f t="shared" si="34"/>
        <v>6.5528473768508483E-2</v>
      </c>
      <c r="BI41">
        <f t="shared" si="35"/>
        <v>1.077377618396049E-2</v>
      </c>
      <c r="BJ41" s="460">
        <f t="shared" si="101"/>
        <v>220.26386864985889</v>
      </c>
      <c r="BK41">
        <f t="shared" si="158"/>
        <v>0.67219083637143751</v>
      </c>
      <c r="BL41" s="460">
        <f t="shared" si="102"/>
        <v>672.19083637143751</v>
      </c>
      <c r="BM41" s="173">
        <f t="shared" si="159"/>
        <v>1.3418999999999999</v>
      </c>
      <c r="BN41" s="173">
        <f t="shared" si="160"/>
        <v>1.5975E-2</v>
      </c>
      <c r="BO41" s="528"/>
      <c r="BQ41" s="460">
        <f t="shared" si="103"/>
        <v>1357.875</v>
      </c>
      <c r="BR41" s="528">
        <f t="shared" si="39"/>
        <v>1.6317297170057067E-2</v>
      </c>
      <c r="BS41" s="528">
        <f t="shared" si="104"/>
        <v>0.44658038813622958</v>
      </c>
      <c r="BT41" s="528">
        <f t="shared" si="161"/>
        <v>2.7022354201778608E-5</v>
      </c>
      <c r="BU41" s="528">
        <f t="shared" si="41"/>
        <v>0.7349685493191066</v>
      </c>
      <c r="BV41" s="528">
        <f t="shared" si="162"/>
        <v>1.3593368353888744</v>
      </c>
      <c r="BW41" s="625">
        <f t="shared" si="163"/>
        <v>3.8699999999999991E-2</v>
      </c>
      <c r="BX41" s="460">
        <f t="shared" si="105"/>
        <v>1398.0368353888744</v>
      </c>
      <c r="BY41" s="173">
        <f t="shared" si="106"/>
        <v>3.4281026717603118</v>
      </c>
      <c r="BZ41" s="5">
        <f t="shared" si="107"/>
        <v>9.2880000000000003</v>
      </c>
      <c r="CA41" s="173">
        <f t="shared" si="108"/>
        <v>0.73041247304699897</v>
      </c>
      <c r="CB41" s="5">
        <f t="shared" si="109"/>
        <v>73.041247304699894</v>
      </c>
      <c r="CC41">
        <f t="shared" si="173"/>
        <v>36.000000000000007</v>
      </c>
      <c r="CE41" s="562">
        <f t="shared" si="164"/>
        <v>-50</v>
      </c>
      <c r="CF41">
        <f t="shared" si="165"/>
        <v>-50</v>
      </c>
      <c r="CG41" s="173">
        <f t="shared" si="166"/>
        <v>0.49119914061883374</v>
      </c>
      <c r="CH41" s="173">
        <f t="shared" si="167"/>
        <v>0.12581108517719378</v>
      </c>
      <c r="CI41" s="170">
        <v>36</v>
      </c>
      <c r="CJ41" s="217">
        <f t="shared" si="133"/>
        <v>2.16</v>
      </c>
      <c r="CK41" s="217">
        <f t="shared" si="111"/>
        <v>3.5999999999999997E-2</v>
      </c>
      <c r="CL41" s="217">
        <f t="shared" si="48"/>
        <v>8.64</v>
      </c>
      <c r="CM41" s="217">
        <f t="shared" si="134"/>
        <v>0.64799999999999991</v>
      </c>
      <c r="CN41" s="541">
        <f t="shared" si="112"/>
        <v>24</v>
      </c>
      <c r="CO41" s="443">
        <f t="shared" si="168"/>
        <v>18.8</v>
      </c>
      <c r="CP41" s="443">
        <f t="shared" si="169"/>
        <v>42.8</v>
      </c>
      <c r="CQ41" s="443"/>
      <c r="CR41" s="217">
        <f t="shared" si="113"/>
        <v>0.43925233644859818</v>
      </c>
      <c r="CS41" s="172">
        <f t="shared" si="114"/>
        <v>32.688545968267775</v>
      </c>
      <c r="CT41" s="172">
        <f t="shared" si="51"/>
        <v>2.6355140186915893</v>
      </c>
      <c r="CU41" s="217">
        <f t="shared" si="52"/>
        <v>8.1721364920669437</v>
      </c>
      <c r="CV41" s="217">
        <f t="shared" si="53"/>
        <v>1.816030331570432</v>
      </c>
      <c r="CW41" s="443">
        <f t="shared" si="54"/>
        <v>4</v>
      </c>
      <c r="CX41" s="217">
        <f t="shared" si="55"/>
        <v>1.7620851063829783</v>
      </c>
      <c r="CY41" s="217">
        <f t="shared" si="56"/>
        <v>0.88104255319148927</v>
      </c>
      <c r="CZ41" s="217">
        <f t="shared" si="57"/>
        <v>1.1247351742870075</v>
      </c>
      <c r="DA41" s="197">
        <f t="shared" si="58"/>
        <v>350</v>
      </c>
      <c r="DB41" s="443">
        <f t="shared" si="115"/>
        <v>350</v>
      </c>
      <c r="DD41" s="217">
        <f t="shared" si="59"/>
        <v>2.5100133511348464</v>
      </c>
      <c r="DE41" s="173">
        <f t="shared" si="60"/>
        <v>1.6021361815754336</v>
      </c>
      <c r="DF41" s="173">
        <f t="shared" si="61"/>
        <v>2.8149682442633783</v>
      </c>
      <c r="DG41" s="173"/>
      <c r="DH41" s="173">
        <f t="shared" si="62"/>
        <v>0.85106382978723416</v>
      </c>
      <c r="DI41" s="545">
        <f t="shared" si="63"/>
        <v>951.74999999999989</v>
      </c>
      <c r="DJ41" s="528">
        <f t="shared" si="64"/>
        <v>0.79432624113475192</v>
      </c>
      <c r="DL41" s="173">
        <f t="shared" si="65"/>
        <v>2.1030589965231936</v>
      </c>
      <c r="DM41" s="173">
        <f t="shared" si="66"/>
        <v>2.1030589965231936</v>
      </c>
      <c r="DN41" s="173">
        <f t="shared" si="67"/>
        <v>1.7701671579184148</v>
      </c>
      <c r="DP41" s="545">
        <f t="shared" si="68"/>
        <v>2160</v>
      </c>
      <c r="DQ41" s="460">
        <f t="shared" si="69"/>
        <v>350</v>
      </c>
      <c r="DS41">
        <f t="shared" si="116"/>
        <v>2160</v>
      </c>
      <c r="DT41" s="460">
        <f t="shared" si="70"/>
        <v>350</v>
      </c>
      <c r="DU41" s="460"/>
      <c r="DV41" s="5">
        <f t="shared" si="117"/>
        <v>2.8571428571428572</v>
      </c>
      <c r="DW41" s="5">
        <f t="shared" si="71"/>
        <v>1.0515294982615968</v>
      </c>
      <c r="DX41" s="5">
        <f t="shared" si="118"/>
        <v>1.8056133588812604</v>
      </c>
      <c r="DY41" s="173">
        <f t="shared" si="119"/>
        <v>0.36803532439155889</v>
      </c>
      <c r="EA41" s="5">
        <f t="shared" si="72"/>
        <v>56.782592906126233</v>
      </c>
      <c r="EB41" s="5">
        <f t="shared" si="73"/>
        <v>0.21030589965231933</v>
      </c>
      <c r="EC41" s="5">
        <f t="shared" si="74"/>
        <v>0.54168400766437808</v>
      </c>
      <c r="ED41" s="5"/>
      <c r="EE41" s="173">
        <f t="shared" si="120"/>
        <v>0.73660655787400087</v>
      </c>
      <c r="EF41" s="173">
        <f t="shared" si="75"/>
        <v>3.8609770642835581</v>
      </c>
      <c r="EG41" s="173">
        <f t="shared" si="76"/>
        <v>7.3567265684321842E-2</v>
      </c>
      <c r="EH41" s="173"/>
      <c r="EI41" s="528">
        <f t="shared" si="77"/>
        <v>6.6195884974564016E-3</v>
      </c>
      <c r="EJ41" s="528">
        <f t="shared" si="78"/>
        <v>0.63007647535834888</v>
      </c>
      <c r="EK41" s="528">
        <f t="shared" si="79"/>
        <v>4.3749999999999997E-2</v>
      </c>
      <c r="EL41" s="528">
        <f t="shared" si="80"/>
        <v>6.4114399999999988E-2</v>
      </c>
      <c r="EM41">
        <f t="shared" si="81"/>
        <v>1.0800000000000001E-2</v>
      </c>
      <c r="EN41" s="460">
        <f t="shared" si="121"/>
        <v>54.550000000000004</v>
      </c>
      <c r="EO41">
        <f t="shared" si="82"/>
        <v>0.75834048144824695</v>
      </c>
      <c r="EP41" s="460">
        <f t="shared" si="122"/>
        <v>758.34048144824692</v>
      </c>
      <c r="EQ41" s="173">
        <f t="shared" si="83"/>
        <v>1.3418999999999999</v>
      </c>
      <c r="ER41" s="173">
        <f t="shared" si="170"/>
        <v>1.5975E-2</v>
      </c>
      <c r="ES41" s="528"/>
      <c r="EU41" s="460">
        <f t="shared" si="123"/>
        <v>1357.875</v>
      </c>
      <c r="EV41" s="528">
        <f t="shared" si="85"/>
        <v>1.6277676633089513E-2</v>
      </c>
      <c r="EW41" s="528">
        <f t="shared" si="124"/>
        <v>0.44721431672771045</v>
      </c>
      <c r="EX41" s="528">
        <f t="shared" si="86"/>
        <v>2.7060712901337991E-5</v>
      </c>
      <c r="EY41" s="528">
        <f t="shared" si="87"/>
        <v>0.7349685493191066</v>
      </c>
      <c r="EZ41" s="528">
        <f t="shared" si="88"/>
        <v>1.3601693284092411</v>
      </c>
      <c r="FA41" s="625">
        <f t="shared" si="89"/>
        <v>3.8699999999999991E-2</v>
      </c>
      <c r="FB41" s="460">
        <f t="shared" si="125"/>
        <v>1398.869328409241</v>
      </c>
      <c r="FC41" s="173">
        <f t="shared" si="126"/>
        <v>3.5150848098574881</v>
      </c>
      <c r="FD41" s="5">
        <f t="shared" si="127"/>
        <v>9.2880000000000003</v>
      </c>
      <c r="FE41" s="173">
        <f t="shared" si="128"/>
        <v>0.72545016595132483</v>
      </c>
      <c r="FF41" s="5">
        <f t="shared" si="129"/>
        <v>72.545016595132481</v>
      </c>
      <c r="FG41">
        <f t="shared" si="130"/>
        <v>36.000000000000007</v>
      </c>
      <c r="FI41" s="562">
        <f t="shared" si="90"/>
        <v>-50</v>
      </c>
      <c r="FJ41">
        <f t="shared" si="91"/>
        <v>-50</v>
      </c>
      <c r="FL41">
        <f t="shared" si="92"/>
        <v>0.49119914061883374</v>
      </c>
    </row>
    <row r="42" spans="5:168">
      <c r="E42" s="170">
        <v>37</v>
      </c>
      <c r="F42" s="217">
        <f t="shared" si="174"/>
        <v>2.2199999999999998</v>
      </c>
      <c r="G42" s="217">
        <f t="shared" si="171"/>
        <v>3.6999999999999998E-2</v>
      </c>
      <c r="H42" s="217">
        <f t="shared" si="135"/>
        <v>8.879999999999999</v>
      </c>
      <c r="I42" s="217">
        <f t="shared" si="175"/>
        <v>0.66599999999999993</v>
      </c>
      <c r="J42" s="541">
        <f t="shared" si="136"/>
        <v>23.940921020145716</v>
      </c>
      <c r="K42" s="443">
        <f t="shared" si="137"/>
        <v>19.334967021680509</v>
      </c>
      <c r="L42" s="172">
        <f t="shared" si="138"/>
        <v>43.275888041826221</v>
      </c>
      <c r="M42" s="443"/>
      <c r="N42" s="217">
        <f t="shared" si="139"/>
        <v>0.4467838303628392</v>
      </c>
      <c r="O42" s="172">
        <f t="shared" si="172"/>
        <v>33.16718262261989</v>
      </c>
      <c r="P42" s="172">
        <f t="shared" si="140"/>
        <v>2.6741040989487286</v>
      </c>
      <c r="Q42" s="217">
        <f t="shared" si="6"/>
        <v>8.2917956556549726</v>
      </c>
      <c r="R42" s="217">
        <f t="shared" si="141"/>
        <v>1.8426212568122162</v>
      </c>
      <c r="S42" s="443">
        <f t="shared" si="142"/>
        <v>4</v>
      </c>
      <c r="T42" s="217">
        <f t="shared" si="143"/>
        <v>1.7848968564374179</v>
      </c>
      <c r="U42" s="217">
        <f t="shared" si="10"/>
        <v>0.89465072205140472</v>
      </c>
      <c r="V42" s="217">
        <f t="shared" si="11"/>
        <v>1.1077734062453755</v>
      </c>
      <c r="W42" s="197">
        <f t="shared" si="12"/>
        <v>350</v>
      </c>
      <c r="X42" s="443">
        <f t="shared" si="95"/>
        <v>350</v>
      </c>
      <c r="Z42" s="217">
        <f t="shared" si="13"/>
        <v>2.5467658085225984</v>
      </c>
      <c r="AA42" s="173">
        <f t="shared" si="14"/>
        <v>1.5806176275347448</v>
      </c>
      <c r="AB42" s="173">
        <f t="shared" si="144"/>
        <v>2.8178240511075163</v>
      </c>
      <c r="AC42" s="173"/>
      <c r="AD42" s="173">
        <f t="shared" si="16"/>
        <v>0.82751628084283924</v>
      </c>
      <c r="AE42" s="545">
        <f t="shared" si="145"/>
        <v>1006.0225028468135</v>
      </c>
      <c r="AF42" s="528">
        <f t="shared" si="146"/>
        <v>0.77234852878665006</v>
      </c>
      <c r="AH42" s="173">
        <f t="shared" si="147"/>
        <v>2.1320680771763096</v>
      </c>
      <c r="AI42" s="173">
        <f t="shared" si="148"/>
        <v>2.1320680771763096</v>
      </c>
      <c r="AJ42" s="173">
        <f t="shared" si="149"/>
        <v>1.7916553658096119</v>
      </c>
      <c r="AL42" s="545">
        <f t="shared" si="150"/>
        <v>2219.9999999999995</v>
      </c>
      <c r="AM42" s="460">
        <f t="shared" si="151"/>
        <v>350</v>
      </c>
      <c r="AO42">
        <f t="shared" si="96"/>
        <v>2219.9999999999995</v>
      </c>
      <c r="AP42" s="460">
        <f t="shared" si="24"/>
        <v>350</v>
      </c>
      <c r="AQ42" s="460"/>
      <c r="AR42" s="5">
        <f t="shared" si="97"/>
        <v>2.8571428571428572</v>
      </c>
      <c r="AS42" s="5">
        <f t="shared" si="25"/>
        <v>1.0686646894071745</v>
      </c>
      <c r="AT42" s="5">
        <f t="shared" si="98"/>
        <v>1.7884781677356827</v>
      </c>
      <c r="AU42" s="173">
        <f t="shared" si="99"/>
        <v>0.37403264129251107</v>
      </c>
      <c r="AW42" s="5">
        <f t="shared" si="152"/>
        <v>59.310890262098184</v>
      </c>
      <c r="AX42" s="5">
        <f t="shared" si="153"/>
        <v>0.21966996393369698</v>
      </c>
      <c r="AY42" s="5">
        <f t="shared" si="28"/>
        <v>0.55280824117448657</v>
      </c>
      <c r="AZ42" s="5"/>
      <c r="BA42" s="173">
        <f t="shared" si="100"/>
        <v>0.75282700997569041</v>
      </c>
      <c r="BB42" s="173">
        <f t="shared" si="154"/>
        <v>3.8956172056076706</v>
      </c>
      <c r="BC42" s="173">
        <f t="shared" si="155"/>
        <v>7.4227300809551561E-2</v>
      </c>
      <c r="BD42" s="173"/>
      <c r="BE42" s="528">
        <f t="shared" si="31"/>
        <v>6.9143317847770464E-3</v>
      </c>
      <c r="BF42" s="528">
        <f t="shared" si="156"/>
        <v>0.60550310234815841</v>
      </c>
      <c r="BG42" s="528">
        <f t="shared" si="157"/>
        <v>0.20948305892627503</v>
      </c>
      <c r="BH42" s="528">
        <f t="shared" si="34"/>
        <v>6.5548087003303723E-2</v>
      </c>
      <c r="BI42">
        <f t="shared" si="35"/>
        <v>1.0773414459065572E-2</v>
      </c>
      <c r="BJ42" s="460">
        <f t="shared" si="101"/>
        <v>220.2564733853406</v>
      </c>
      <c r="BK42">
        <f t="shared" si="158"/>
        <v>0.68095108796626247</v>
      </c>
      <c r="BL42" s="460">
        <f t="shared" si="102"/>
        <v>680.95108796626243</v>
      </c>
      <c r="BM42" s="173">
        <f t="shared" si="159"/>
        <v>1.3791749999999998</v>
      </c>
      <c r="BN42" s="173">
        <f t="shared" si="160"/>
        <v>1.6418749999999999E-2</v>
      </c>
      <c r="BO42" s="528"/>
      <c r="BQ42" s="460">
        <f t="shared" si="103"/>
        <v>1395.5937499999998</v>
      </c>
      <c r="BR42" s="528">
        <f t="shared" si="39"/>
        <v>1.7002455208468149E-2</v>
      </c>
      <c r="BS42" s="528">
        <f t="shared" si="104"/>
        <v>0.45527500237879542</v>
      </c>
      <c r="BT42" s="528">
        <f t="shared" si="161"/>
        <v>2.754846092735827E-5</v>
      </c>
      <c r="BU42" s="528">
        <f t="shared" si="41"/>
        <v>0.76057629284493422</v>
      </c>
      <c r="BV42" s="528">
        <f t="shared" si="162"/>
        <v>1.3990986022484484</v>
      </c>
      <c r="BW42" s="625">
        <f t="shared" si="163"/>
        <v>3.9775000000000012E-2</v>
      </c>
      <c r="BX42" s="460">
        <f t="shared" si="105"/>
        <v>1438.8736022484486</v>
      </c>
      <c r="BY42" s="173">
        <f t="shared" si="106"/>
        <v>3.5154184402147108</v>
      </c>
      <c r="BZ42" s="5">
        <f t="shared" si="107"/>
        <v>9.5459999999999994</v>
      </c>
      <c r="CA42" s="173">
        <f t="shared" si="108"/>
        <v>0.73085477229707962</v>
      </c>
      <c r="CB42" s="5">
        <f t="shared" si="109"/>
        <v>73.085477229707962</v>
      </c>
      <c r="CC42">
        <f t="shared" si="173"/>
        <v>36.999999999999993</v>
      </c>
      <c r="CE42" s="562">
        <f t="shared" si="164"/>
        <v>-50</v>
      </c>
      <c r="CF42">
        <f t="shared" si="165"/>
        <v>-50</v>
      </c>
      <c r="CG42" s="173">
        <f t="shared" si="166"/>
        <v>0.49797462124515479</v>
      </c>
      <c r="CH42" s="173">
        <f t="shared" si="167"/>
        <v>0.12754649246866528</v>
      </c>
      <c r="CI42" s="170">
        <v>37</v>
      </c>
      <c r="CJ42" s="217">
        <f t="shared" si="133"/>
        <v>2.2199999999999998</v>
      </c>
      <c r="CK42" s="217">
        <f t="shared" si="111"/>
        <v>3.6999999999999998E-2</v>
      </c>
      <c r="CL42" s="217">
        <f t="shared" si="48"/>
        <v>8.879999999999999</v>
      </c>
      <c r="CM42" s="217">
        <f t="shared" si="134"/>
        <v>0.66599999999999993</v>
      </c>
      <c r="CN42" s="541">
        <f t="shared" si="112"/>
        <v>24</v>
      </c>
      <c r="CO42" s="443">
        <f t="shared" si="168"/>
        <v>18.8</v>
      </c>
      <c r="CP42" s="443">
        <f t="shared" si="169"/>
        <v>42.8</v>
      </c>
      <c r="CQ42" s="443"/>
      <c r="CR42" s="217">
        <f t="shared" si="113"/>
        <v>0.43925233644859818</v>
      </c>
      <c r="CS42" s="172">
        <f t="shared" si="114"/>
        <v>32.688545968267775</v>
      </c>
      <c r="CT42" s="172">
        <f t="shared" si="51"/>
        <v>2.6355140186915893</v>
      </c>
      <c r="CU42" s="217">
        <f t="shared" si="52"/>
        <v>8.1721364920669437</v>
      </c>
      <c r="CV42" s="217">
        <f t="shared" si="53"/>
        <v>1.816030331570432</v>
      </c>
      <c r="CW42" s="443">
        <f t="shared" si="54"/>
        <v>4</v>
      </c>
      <c r="CX42" s="217">
        <f t="shared" si="55"/>
        <v>1.8110319148936165</v>
      </c>
      <c r="CY42" s="217">
        <f t="shared" si="56"/>
        <v>0.90551595744680835</v>
      </c>
      <c r="CZ42" s="217">
        <f t="shared" si="57"/>
        <v>1.155977818017202</v>
      </c>
      <c r="DA42" s="197">
        <f t="shared" si="58"/>
        <v>350</v>
      </c>
      <c r="DB42" s="443">
        <f t="shared" si="115"/>
        <v>350</v>
      </c>
      <c r="DD42" s="217">
        <f t="shared" si="59"/>
        <v>2.5100133511348464</v>
      </c>
      <c r="DE42" s="173">
        <f t="shared" si="60"/>
        <v>1.6021361815754336</v>
      </c>
      <c r="DF42" s="173">
        <f t="shared" si="61"/>
        <v>2.8149682442633783</v>
      </c>
      <c r="DG42" s="173"/>
      <c r="DH42" s="173">
        <f t="shared" si="62"/>
        <v>0.85106382978723416</v>
      </c>
      <c r="DI42" s="545">
        <f t="shared" si="63"/>
        <v>978.18749999999966</v>
      </c>
      <c r="DJ42" s="528">
        <f t="shared" si="64"/>
        <v>0.79432624113475192</v>
      </c>
      <c r="DL42" s="173">
        <f t="shared" si="65"/>
        <v>2.1320680771763096</v>
      </c>
      <c r="DM42" s="173">
        <f t="shared" si="66"/>
        <v>2.1320680771763096</v>
      </c>
      <c r="DN42" s="173">
        <f t="shared" si="67"/>
        <v>1.7916553658096119</v>
      </c>
      <c r="DP42" s="545">
        <f t="shared" si="68"/>
        <v>2219.9999999999995</v>
      </c>
      <c r="DQ42" s="460">
        <f t="shared" si="69"/>
        <v>350</v>
      </c>
      <c r="DS42">
        <f t="shared" si="116"/>
        <v>2219.9999999999995</v>
      </c>
      <c r="DT42" s="460">
        <f t="shared" si="70"/>
        <v>350</v>
      </c>
      <c r="DU42" s="460"/>
      <c r="DV42" s="5">
        <f t="shared" si="117"/>
        <v>2.8571428571428572</v>
      </c>
      <c r="DW42" s="5">
        <f t="shared" si="71"/>
        <v>1.066034038588155</v>
      </c>
      <c r="DX42" s="5">
        <f t="shared" si="118"/>
        <v>1.7911088185547022</v>
      </c>
      <c r="DY42" s="173">
        <f t="shared" si="119"/>
        <v>0.37311191350585426</v>
      </c>
      <c r="EA42" s="5">
        <f t="shared" si="72"/>
        <v>59.164889141642597</v>
      </c>
      <c r="EB42" s="5">
        <f t="shared" si="73"/>
        <v>0.21912921904312074</v>
      </c>
      <c r="EC42" s="5">
        <f t="shared" si="74"/>
        <v>0.55225855238769972</v>
      </c>
      <c r="ED42" s="5"/>
      <c r="EE42" s="173">
        <f t="shared" si="120"/>
        <v>0.75189985046630481</v>
      </c>
      <c r="EF42" s="173">
        <f t="shared" si="75"/>
        <v>3.8984811608765662</v>
      </c>
      <c r="EG42" s="173">
        <f t="shared" si="76"/>
        <v>7.4281870768053482E-2</v>
      </c>
      <c r="EH42" s="173"/>
      <c r="EI42" s="528">
        <f t="shared" si="77"/>
        <v>6.8973112986012684E-3</v>
      </c>
      <c r="EJ42" s="528">
        <f t="shared" si="78"/>
        <v>0.63876759592202237</v>
      </c>
      <c r="EK42" s="528">
        <f t="shared" si="79"/>
        <v>4.3749999999999997E-2</v>
      </c>
      <c r="EL42" s="528">
        <f t="shared" si="80"/>
        <v>6.4114399999999988E-2</v>
      </c>
      <c r="EM42">
        <f t="shared" si="81"/>
        <v>1.0800000000000001E-2</v>
      </c>
      <c r="EN42" s="460">
        <f t="shared" si="121"/>
        <v>54.550000000000004</v>
      </c>
      <c r="EO42">
        <f t="shared" si="82"/>
        <v>0.76744927804183216</v>
      </c>
      <c r="EP42" s="460">
        <f t="shared" si="122"/>
        <v>767.44927804183214</v>
      </c>
      <c r="EQ42" s="173">
        <f t="shared" si="83"/>
        <v>1.3791749999999998</v>
      </c>
      <c r="ER42" s="173">
        <f t="shared" si="170"/>
        <v>1.6418749999999999E-2</v>
      </c>
      <c r="ES42" s="528"/>
      <c r="EU42" s="460">
        <f t="shared" si="123"/>
        <v>1395.5937499999998</v>
      </c>
      <c r="EV42" s="528">
        <f t="shared" si="85"/>
        <v>1.6960601553937547E-2</v>
      </c>
      <c r="EW42" s="528">
        <f t="shared" si="124"/>
        <v>0.45594466085128499</v>
      </c>
      <c r="EX42" s="528">
        <f t="shared" si="86"/>
        <v>2.7588981624008994E-5</v>
      </c>
      <c r="EY42" s="528">
        <f t="shared" si="87"/>
        <v>0.76057629284493422</v>
      </c>
      <c r="EZ42" s="528">
        <f t="shared" si="88"/>
        <v>1.399980780767434</v>
      </c>
      <c r="FA42" s="625">
        <f t="shared" si="89"/>
        <v>3.9775000000000012E-2</v>
      </c>
      <c r="FB42" s="460">
        <f t="shared" si="125"/>
        <v>1439.7557807674341</v>
      </c>
      <c r="FC42" s="173">
        <f t="shared" si="126"/>
        <v>3.6027988088092662</v>
      </c>
      <c r="FD42" s="5">
        <f t="shared" si="127"/>
        <v>9.5459999999999994</v>
      </c>
      <c r="FE42" s="173">
        <f t="shared" si="128"/>
        <v>0.7259978754564631</v>
      </c>
      <c r="FF42" s="5">
        <f t="shared" si="129"/>
        <v>72.599787545646308</v>
      </c>
      <c r="FG42">
        <f t="shared" si="130"/>
        <v>36.999999999999993</v>
      </c>
      <c r="FI42" s="562">
        <f t="shared" si="90"/>
        <v>-50</v>
      </c>
      <c r="FJ42">
        <f t="shared" si="91"/>
        <v>-50</v>
      </c>
      <c r="FL42">
        <f t="shared" si="92"/>
        <v>0.49797462124515479</v>
      </c>
    </row>
    <row r="43" spans="5:168">
      <c r="E43" s="170">
        <v>38</v>
      </c>
      <c r="F43" s="217">
        <f t="shared" si="174"/>
        <v>2.2800000000000002</v>
      </c>
      <c r="G43" s="217">
        <f t="shared" si="171"/>
        <v>3.8000000000000006E-2</v>
      </c>
      <c r="H43" s="217">
        <f t="shared" si="135"/>
        <v>9.120000000000001</v>
      </c>
      <c r="I43" s="217">
        <f t="shared" si="175"/>
        <v>0.68400000000000016</v>
      </c>
      <c r="J43" s="541">
        <f t="shared" si="136"/>
        <v>23.940127978220278</v>
      </c>
      <c r="K43" s="443">
        <f t="shared" si="137"/>
        <v>19.342148108387896</v>
      </c>
      <c r="L43" s="172">
        <f t="shared" si="138"/>
        <v>43.282276086608178</v>
      </c>
      <c r="M43" s="443"/>
      <c r="N43" s="217">
        <f t="shared" si="139"/>
        <v>0.44688380226779439</v>
      </c>
      <c r="O43" s="172">
        <f t="shared" si="172"/>
        <v>33.173505171115295</v>
      </c>
      <c r="P43" s="172">
        <f t="shared" si="140"/>
        <v>2.6746138544211706</v>
      </c>
      <c r="Q43" s="217">
        <f t="shared" si="6"/>
        <v>8.2933762927788237</v>
      </c>
      <c r="R43" s="217">
        <f t="shared" si="141"/>
        <v>1.8429725095064053</v>
      </c>
      <c r="S43" s="443">
        <f t="shared" si="142"/>
        <v>4</v>
      </c>
      <c r="T43" s="217">
        <f t="shared" si="143"/>
        <v>1.8327879338159163</v>
      </c>
      <c r="U43" s="217">
        <f t="shared" si="10"/>
        <v>0.91868578254049926</v>
      </c>
      <c r="V43" s="217">
        <f t="shared" si="11"/>
        <v>1.1370740769094483</v>
      </c>
      <c r="W43" s="197">
        <f t="shared" si="12"/>
        <v>350</v>
      </c>
      <c r="X43" s="443">
        <f t="shared" si="95"/>
        <v>350</v>
      </c>
      <c r="Z43" s="217">
        <f t="shared" si="13"/>
        <v>2.5472512899249247</v>
      </c>
      <c r="AA43" s="173">
        <f t="shared" si="14"/>
        <v>1.5803319935205871</v>
      </c>
      <c r="AB43" s="173">
        <f t="shared" si="144"/>
        <v>2.8178518963034604</v>
      </c>
      <c r="AC43" s="173"/>
      <c r="AD43" s="173">
        <f t="shared" si="16"/>
        <v>0.82720905198019135</v>
      </c>
      <c r="AE43" s="545">
        <f t="shared" si="145"/>
        <v>1033.5960395419781</v>
      </c>
      <c r="AF43" s="528">
        <f t="shared" si="146"/>
        <v>0.77206178184817864</v>
      </c>
      <c r="AH43" s="173">
        <f t="shared" si="147"/>
        <v>2.1606877212062434</v>
      </c>
      <c r="AI43" s="173">
        <f t="shared" si="148"/>
        <v>2.1606877212062434</v>
      </c>
      <c r="AJ43" s="173">
        <f t="shared" si="149"/>
        <v>1.8128551021280814</v>
      </c>
      <c r="AL43" s="545">
        <f t="shared" si="150"/>
        <v>2280.0000000000005</v>
      </c>
      <c r="AM43" s="460">
        <f t="shared" si="151"/>
        <v>350</v>
      </c>
      <c r="AO43">
        <f t="shared" si="96"/>
        <v>2280.0000000000005</v>
      </c>
      <c r="AP43" s="460">
        <f t="shared" si="24"/>
        <v>350</v>
      </c>
      <c r="AQ43" s="460"/>
      <c r="AR43" s="5">
        <f t="shared" si="97"/>
        <v>2.8571428571428572</v>
      </c>
      <c r="AS43" s="5">
        <f t="shared" si="25"/>
        <v>1.0830456995912201</v>
      </c>
      <c r="AT43" s="5">
        <f t="shared" si="98"/>
        <v>1.7740971575516371</v>
      </c>
      <c r="AU43" s="173">
        <f t="shared" si="99"/>
        <v>0.37906599485692705</v>
      </c>
      <c r="AW43" s="5">
        <f t="shared" si="152"/>
        <v>61.733604876699559</v>
      </c>
      <c r="AX43" s="5">
        <f t="shared" si="153"/>
        <v>0.22864298102481315</v>
      </c>
      <c r="AY43" s="5">
        <f t="shared" si="28"/>
        <v>0.56320243607965814</v>
      </c>
      <c r="AZ43" s="5"/>
      <c r="BA43" s="173">
        <f t="shared" si="100"/>
        <v>0.76804875564251651</v>
      </c>
      <c r="BB43" s="173">
        <f t="shared" si="154"/>
        <v>3.9320052597044342</v>
      </c>
      <c r="BC43" s="173">
        <f t="shared" si="155"/>
        <v>7.4920640759233145E-2</v>
      </c>
      <c r="BD43" s="173"/>
      <c r="BE43" s="528">
        <f t="shared" si="31"/>
        <v>7.19676647073702E-3</v>
      </c>
      <c r="BF43" s="528">
        <f t="shared" si="156"/>
        <v>0.613721603815641</v>
      </c>
      <c r="BG43" s="528">
        <f t="shared" si="157"/>
        <v>0.20947611980942743</v>
      </c>
      <c r="BH43" s="528">
        <f t="shared" si="34"/>
        <v>6.5567439813308107E-2</v>
      </c>
      <c r="BI43">
        <f t="shared" si="35"/>
        <v>1.0773057590199125E-2</v>
      </c>
      <c r="BJ43" s="460">
        <f t="shared" si="101"/>
        <v>220.24917739962655</v>
      </c>
      <c r="BK43">
        <f t="shared" si="158"/>
        <v>0.68960813365653828</v>
      </c>
      <c r="BL43" s="460">
        <f t="shared" si="102"/>
        <v>689.60813365653826</v>
      </c>
      <c r="BM43" s="173">
        <f t="shared" si="159"/>
        <v>1.41645</v>
      </c>
      <c r="BN43" s="173">
        <f t="shared" si="160"/>
        <v>1.6862500000000002E-2</v>
      </c>
      <c r="BO43" s="528"/>
      <c r="BQ43" s="460">
        <f t="shared" si="103"/>
        <v>1433.3125</v>
      </c>
      <c r="BR43" s="528">
        <f t="shared" si="39"/>
        <v>1.769696673132054E-2</v>
      </c>
      <c r="BS43" s="528">
        <f t="shared" si="104"/>
        <v>0.46381996087030003</v>
      </c>
      <c r="BT43" s="528">
        <f t="shared" si="161"/>
        <v>2.8065512058870335E-5</v>
      </c>
      <c r="BU43" s="528">
        <f t="shared" si="41"/>
        <v>0.78635766608991187</v>
      </c>
      <c r="BV43" s="528">
        <f t="shared" si="162"/>
        <v>1.4389052677301006</v>
      </c>
      <c r="BW43" s="625">
        <f t="shared" si="163"/>
        <v>4.0850000000000011E-2</v>
      </c>
      <c r="BX43" s="460">
        <f t="shared" si="105"/>
        <v>1479.7552677301007</v>
      </c>
      <c r="BY43" s="173">
        <f t="shared" si="106"/>
        <v>3.6026759013866387</v>
      </c>
      <c r="BZ43" s="5">
        <f t="shared" si="107"/>
        <v>9.804000000000002</v>
      </c>
      <c r="CA43" s="173">
        <f t="shared" si="108"/>
        <v>0.73127746744336397</v>
      </c>
      <c r="CB43" s="5">
        <f t="shared" si="109"/>
        <v>73.127746744336392</v>
      </c>
      <c r="CC43">
        <f t="shared" si="173"/>
        <v>38.000000000000007</v>
      </c>
      <c r="CE43" s="562">
        <f t="shared" si="164"/>
        <v>-50</v>
      </c>
      <c r="CF43">
        <f t="shared" si="165"/>
        <v>-50</v>
      </c>
      <c r="CG43" s="173">
        <f t="shared" si="166"/>
        <v>0.50465914344617779</v>
      </c>
      <c r="CH43" s="173">
        <f t="shared" si="167"/>
        <v>0.12925860253250265</v>
      </c>
      <c r="CI43" s="170">
        <v>38</v>
      </c>
      <c r="CJ43" s="217">
        <f t="shared" si="133"/>
        <v>2.2800000000000002</v>
      </c>
      <c r="CK43" s="217">
        <f t="shared" si="111"/>
        <v>3.8000000000000006E-2</v>
      </c>
      <c r="CL43" s="217">
        <f t="shared" si="48"/>
        <v>9.120000000000001</v>
      </c>
      <c r="CM43" s="217">
        <f t="shared" si="134"/>
        <v>0.68400000000000016</v>
      </c>
      <c r="CN43" s="541">
        <f t="shared" si="112"/>
        <v>24</v>
      </c>
      <c r="CO43" s="443">
        <f t="shared" si="168"/>
        <v>18.8</v>
      </c>
      <c r="CP43" s="443">
        <f t="shared" si="169"/>
        <v>42.8</v>
      </c>
      <c r="CQ43" s="443"/>
      <c r="CR43" s="217">
        <f t="shared" si="113"/>
        <v>0.43925233644859818</v>
      </c>
      <c r="CS43" s="172">
        <f t="shared" si="114"/>
        <v>32.688545968267775</v>
      </c>
      <c r="CT43" s="172">
        <f t="shared" si="51"/>
        <v>2.6355140186915893</v>
      </c>
      <c r="CU43" s="217">
        <f t="shared" si="52"/>
        <v>8.1721364920669437</v>
      </c>
      <c r="CV43" s="217">
        <f t="shared" si="53"/>
        <v>1.816030331570432</v>
      </c>
      <c r="CW43" s="443">
        <f t="shared" si="54"/>
        <v>4</v>
      </c>
      <c r="CX43" s="217">
        <f t="shared" si="55"/>
        <v>1.8599787234042553</v>
      </c>
      <c r="CY43" s="217">
        <f t="shared" si="56"/>
        <v>0.92998936170212754</v>
      </c>
      <c r="CZ43" s="217">
        <f t="shared" si="57"/>
        <v>1.1872204617473969</v>
      </c>
      <c r="DA43" s="197">
        <f t="shared" si="58"/>
        <v>350</v>
      </c>
      <c r="DB43" s="443">
        <f t="shared" si="115"/>
        <v>350</v>
      </c>
      <c r="DD43" s="217">
        <f t="shared" si="59"/>
        <v>2.5100133511348464</v>
      </c>
      <c r="DE43" s="173">
        <f t="shared" si="60"/>
        <v>1.6021361815754336</v>
      </c>
      <c r="DF43" s="173">
        <f t="shared" si="61"/>
        <v>2.8149682442633783</v>
      </c>
      <c r="DG43" s="173"/>
      <c r="DH43" s="173">
        <f t="shared" si="62"/>
        <v>0.85106382978723416</v>
      </c>
      <c r="DI43" s="545">
        <f t="shared" si="63"/>
        <v>1004.6249999999999</v>
      </c>
      <c r="DJ43" s="528">
        <f t="shared" si="64"/>
        <v>0.79432624113475192</v>
      </c>
      <c r="DL43" s="173">
        <f t="shared" si="65"/>
        <v>2.1606877212062434</v>
      </c>
      <c r="DM43" s="173">
        <f t="shared" si="66"/>
        <v>2.1606877212062434</v>
      </c>
      <c r="DN43" s="173">
        <f t="shared" si="67"/>
        <v>1.8128551021280814</v>
      </c>
      <c r="DP43" s="545">
        <f t="shared" si="68"/>
        <v>2280.0000000000005</v>
      </c>
      <c r="DQ43" s="460">
        <f t="shared" si="69"/>
        <v>350</v>
      </c>
      <c r="DS43">
        <f t="shared" si="116"/>
        <v>2280.0000000000005</v>
      </c>
      <c r="DT43" s="460">
        <f t="shared" si="70"/>
        <v>350</v>
      </c>
      <c r="DU43" s="460"/>
      <c r="DV43" s="5">
        <f t="shared" si="117"/>
        <v>2.8571428571428572</v>
      </c>
      <c r="DW43" s="5">
        <f t="shared" si="71"/>
        <v>1.0803438606031217</v>
      </c>
      <c r="DX43" s="5">
        <f t="shared" si="118"/>
        <v>1.7767989965397355</v>
      </c>
      <c r="DY43" s="173">
        <f t="shared" si="119"/>
        <v>0.37812035121109261</v>
      </c>
      <c r="EA43" s="5">
        <f t="shared" si="72"/>
        <v>61.579600054377941</v>
      </c>
      <c r="EB43" s="5">
        <f t="shared" si="73"/>
        <v>0.22807259279399239</v>
      </c>
      <c r="EC43" s="5">
        <f t="shared" si="74"/>
        <v>0.56265301557091618</v>
      </c>
      <c r="ED43" s="5"/>
      <c r="EE43" s="173">
        <f t="shared" si="120"/>
        <v>0.76709014425196487</v>
      </c>
      <c r="EF43" s="173">
        <f t="shared" si="75"/>
        <v>3.9349982196325852</v>
      </c>
      <c r="EG43" s="173">
        <f t="shared" si="76"/>
        <v>7.4977668779485751E-2</v>
      </c>
      <c r="EH43" s="173"/>
      <c r="EI43" s="528">
        <f t="shared" si="77"/>
        <v>7.1788129307837033E-3</v>
      </c>
      <c r="EJ43" s="528">
        <f t="shared" si="78"/>
        <v>0.64734204127339046</v>
      </c>
      <c r="EK43" s="528">
        <f t="shared" si="79"/>
        <v>4.3749999999999997E-2</v>
      </c>
      <c r="EL43" s="528">
        <f t="shared" si="80"/>
        <v>6.4114399999999988E-2</v>
      </c>
      <c r="EM43">
        <f t="shared" si="81"/>
        <v>1.0800000000000001E-2</v>
      </c>
      <c r="EN43" s="460">
        <f t="shared" si="121"/>
        <v>54.550000000000004</v>
      </c>
      <c r="EO43">
        <f t="shared" si="82"/>
        <v>0.77644790998828761</v>
      </c>
      <c r="EP43" s="460">
        <f t="shared" si="122"/>
        <v>776.44790998828762</v>
      </c>
      <c r="EQ43" s="173">
        <f t="shared" si="83"/>
        <v>1.41645</v>
      </c>
      <c r="ER43" s="173">
        <f t="shared" si="170"/>
        <v>1.6862500000000002E-2</v>
      </c>
      <c r="ES43" s="528"/>
      <c r="EU43" s="460">
        <f t="shared" si="123"/>
        <v>1433.3125</v>
      </c>
      <c r="EV43" s="528">
        <f t="shared" si="85"/>
        <v>1.765281868225501E-2</v>
      </c>
      <c r="EW43" s="528">
        <f t="shared" si="124"/>
        <v>0.4645263296553484</v>
      </c>
      <c r="EX43" s="528">
        <f t="shared" si="86"/>
        <v>2.8108254078031363E-5</v>
      </c>
      <c r="EY43" s="528">
        <f t="shared" si="87"/>
        <v>0.78635766608991187</v>
      </c>
      <c r="EZ43" s="528">
        <f t="shared" si="88"/>
        <v>1.4398387185355577</v>
      </c>
      <c r="FA43" s="625">
        <f t="shared" si="89"/>
        <v>4.0850000000000011E-2</v>
      </c>
      <c r="FB43" s="460">
        <f t="shared" si="125"/>
        <v>1480.6887185355577</v>
      </c>
      <c r="FC43" s="173">
        <f t="shared" si="126"/>
        <v>3.6904491285238454</v>
      </c>
      <c r="FD43" s="5">
        <f t="shared" si="127"/>
        <v>9.804000000000002</v>
      </c>
      <c r="FE43" s="173">
        <f t="shared" si="128"/>
        <v>0.72652094995688488</v>
      </c>
      <c r="FF43" s="5">
        <f t="shared" si="129"/>
        <v>72.652094995688486</v>
      </c>
      <c r="FG43">
        <f t="shared" si="130"/>
        <v>38.000000000000007</v>
      </c>
      <c r="FI43" s="562">
        <f t="shared" si="90"/>
        <v>-50</v>
      </c>
      <c r="FJ43">
        <f t="shared" si="91"/>
        <v>-50</v>
      </c>
      <c r="FL43">
        <f t="shared" si="92"/>
        <v>0.50465914344617779</v>
      </c>
    </row>
    <row r="44" spans="5:168">
      <c r="E44" s="170">
        <v>39</v>
      </c>
      <c r="F44" s="217">
        <f t="shared" si="174"/>
        <v>2.34</v>
      </c>
      <c r="G44" s="217">
        <f t="shared" si="171"/>
        <v>3.9000000000000007E-2</v>
      </c>
      <c r="H44" s="217">
        <f t="shared" si="135"/>
        <v>9.36</v>
      </c>
      <c r="I44" s="217">
        <f t="shared" si="175"/>
        <v>0.70200000000000018</v>
      </c>
      <c r="J44" s="541">
        <f t="shared" si="136"/>
        <v>23.939345304193662</v>
      </c>
      <c r="K44" s="443">
        <f t="shared" si="137"/>
        <v>19.349235312567782</v>
      </c>
      <c r="L44" s="172">
        <f t="shared" si="138"/>
        <v>43.288580616761443</v>
      </c>
      <c r="M44" s="443"/>
      <c r="N44" s="217">
        <f t="shared" si="139"/>
        <v>0.44698243825245015</v>
      </c>
      <c r="O44" s="172">
        <f t="shared" si="172"/>
        <v>33.179742431738994</v>
      </c>
      <c r="P44" s="172">
        <f t="shared" si="140"/>
        <v>2.6751167335589563</v>
      </c>
      <c r="Q44" s="217">
        <f t="shared" si="6"/>
        <v>8.2949356079347485</v>
      </c>
      <c r="R44" s="217">
        <f t="shared" si="141"/>
        <v>1.8433190239854997</v>
      </c>
      <c r="S44" s="443">
        <f t="shared" si="142"/>
        <v>4</v>
      </c>
      <c r="T44" s="217">
        <f t="shared" si="143"/>
        <v>1.8806655937241261</v>
      </c>
      <c r="U44" s="217">
        <f t="shared" si="10"/>
        <v>0.94271530143876092</v>
      </c>
      <c r="V44" s="217">
        <f t="shared" si="11"/>
        <v>1.1663503368544532</v>
      </c>
      <c r="W44" s="197">
        <f t="shared" si="12"/>
        <v>350</v>
      </c>
      <c r="X44" s="443">
        <f t="shared" si="95"/>
        <v>350</v>
      </c>
      <c r="Z44" s="217">
        <f t="shared" si="13"/>
        <v>2.5477302224371017</v>
      </c>
      <c r="AA44" s="173">
        <f t="shared" si="14"/>
        <v>1.5800501764215713</v>
      </c>
      <c r="AB44" s="173">
        <f t="shared" si="144"/>
        <v>2.8178791112054182</v>
      </c>
      <c r="AC44" s="173"/>
      <c r="AD44" s="173">
        <f t="shared" si="16"/>
        <v>0.82690606329065774</v>
      </c>
      <c r="AE44" s="545">
        <f t="shared" si="145"/>
        <v>1061.1846241736389</v>
      </c>
      <c r="AF44" s="528">
        <f t="shared" si="146"/>
        <v>0.77177899240461401</v>
      </c>
      <c r="AH44" s="173">
        <f t="shared" si="147"/>
        <v>2.1889332039668479</v>
      </c>
      <c r="AI44" s="173">
        <f t="shared" si="148"/>
        <v>2.1889332039668479</v>
      </c>
      <c r="AJ44" s="173">
        <f t="shared" si="149"/>
        <v>1.8337776819507514</v>
      </c>
      <c r="AL44" s="545">
        <f t="shared" si="150"/>
        <v>2340</v>
      </c>
      <c r="AM44" s="460">
        <f t="shared" si="151"/>
        <v>350</v>
      </c>
      <c r="AO44">
        <f t="shared" si="96"/>
        <v>2340</v>
      </c>
      <c r="AP44" s="460">
        <f t="shared" si="24"/>
        <v>350</v>
      </c>
      <c r="AQ44" s="460"/>
      <c r="AR44" s="5">
        <f t="shared" si="97"/>
        <v>2.8571428571428572</v>
      </c>
      <c r="AS44" s="5">
        <f t="shared" si="25"/>
        <v>1.0972396326561498</v>
      </c>
      <c r="AT44" s="5">
        <f t="shared" si="98"/>
        <v>1.7599032244867074</v>
      </c>
      <c r="AU44" s="173">
        <f t="shared" si="99"/>
        <v>0.3840338714296524</v>
      </c>
      <c r="AW44" s="5">
        <f t="shared" si="152"/>
        <v>64.188518510384768</v>
      </c>
      <c r="AX44" s="5">
        <f t="shared" si="153"/>
        <v>0.23773525374216581</v>
      </c>
      <c r="AY44" s="5">
        <f t="shared" si="28"/>
        <v>0.57341773455231437</v>
      </c>
      <c r="AZ44" s="5"/>
      <c r="BA44" s="173">
        <f t="shared" si="100"/>
        <v>0.78317108900596388</v>
      </c>
      <c r="BB44" s="173">
        <f t="shared" si="154"/>
        <v>3.9674392799145783</v>
      </c>
      <c r="BC44" s="173">
        <f t="shared" si="155"/>
        <v>7.5595802495669662E-2</v>
      </c>
      <c r="BD44" s="173"/>
      <c r="BE44" s="528">
        <f t="shared" si="31"/>
        <v>7.4829548467884067E-3</v>
      </c>
      <c r="BF44" s="528">
        <f t="shared" si="156"/>
        <v>0.62183501273660036</v>
      </c>
      <c r="BG44" s="528">
        <f t="shared" si="157"/>
        <v>0.20946927141169455</v>
      </c>
      <c r="BH44" s="528">
        <f t="shared" si="34"/>
        <v>6.5586542413484911E-2</v>
      </c>
      <c r="BI44">
        <f t="shared" si="35"/>
        <v>1.0772705386887148E-2</v>
      </c>
      <c r="BJ44" s="460">
        <f t="shared" si="101"/>
        <v>220.2419767985817</v>
      </c>
      <c r="BK44">
        <f t="shared" si="158"/>
        <v>0.6981662124729594</v>
      </c>
      <c r="BL44" s="460">
        <f t="shared" si="102"/>
        <v>698.16621247295939</v>
      </c>
      <c r="BM44" s="173">
        <f t="shared" si="159"/>
        <v>1.4537249999999999</v>
      </c>
      <c r="BN44" s="173">
        <f t="shared" si="160"/>
        <v>1.7306250000000002E-2</v>
      </c>
      <c r="BO44" s="528"/>
      <c r="BQ44" s="460">
        <f t="shared" si="103"/>
        <v>1471.03125</v>
      </c>
      <c r="BR44" s="528">
        <f t="shared" si="39"/>
        <v>1.8400708639643625E-2</v>
      </c>
      <c r="BS44" s="528">
        <f t="shared" si="104"/>
        <v>0.47221723319427322</v>
      </c>
      <c r="BT44" s="528">
        <f t="shared" si="161"/>
        <v>2.8573626774821476E-5</v>
      </c>
      <c r="BU44" s="528">
        <f t="shared" si="41"/>
        <v>0.81230923004699795</v>
      </c>
      <c r="BV44" s="528">
        <f t="shared" si="162"/>
        <v>1.4787545714339045</v>
      </c>
      <c r="BW44" s="625">
        <f t="shared" si="163"/>
        <v>4.192499999999999E-2</v>
      </c>
      <c r="BX44" s="460">
        <f t="shared" si="105"/>
        <v>1520.6795714339046</v>
      </c>
      <c r="BY44" s="173">
        <f t="shared" si="106"/>
        <v>3.6898770339068636</v>
      </c>
      <c r="BZ44" s="5">
        <f t="shared" si="107"/>
        <v>10.061999999999999</v>
      </c>
      <c r="CA44" s="173">
        <f t="shared" si="108"/>
        <v>0.73168193514172353</v>
      </c>
      <c r="CB44" s="5">
        <f t="shared" si="109"/>
        <v>73.168193514172359</v>
      </c>
      <c r="CC44">
        <f t="shared" si="173"/>
        <v>38.999999999999993</v>
      </c>
      <c r="CE44" s="562">
        <f t="shared" si="164"/>
        <v>-50</v>
      </c>
      <c r="CF44">
        <f t="shared" si="165"/>
        <v>-50</v>
      </c>
      <c r="CG44" s="173">
        <f t="shared" si="166"/>
        <v>0.51125627499660498</v>
      </c>
      <c r="CH44" s="173">
        <f t="shared" si="167"/>
        <v>0.13094832918465091</v>
      </c>
      <c r="CI44" s="170">
        <v>39</v>
      </c>
      <c r="CJ44" s="217">
        <f t="shared" si="133"/>
        <v>2.34</v>
      </c>
      <c r="CK44" s="217">
        <f t="shared" si="111"/>
        <v>3.9000000000000007E-2</v>
      </c>
      <c r="CL44" s="217">
        <f t="shared" si="48"/>
        <v>9.36</v>
      </c>
      <c r="CM44" s="217">
        <f t="shared" si="134"/>
        <v>0.70200000000000018</v>
      </c>
      <c r="CN44" s="541">
        <f t="shared" si="112"/>
        <v>24</v>
      </c>
      <c r="CO44" s="443">
        <f t="shared" si="168"/>
        <v>18.8</v>
      </c>
      <c r="CP44" s="443">
        <f t="shared" si="169"/>
        <v>42.8</v>
      </c>
      <c r="CQ44" s="443"/>
      <c r="CR44" s="217">
        <f t="shared" si="113"/>
        <v>0.43925233644859818</v>
      </c>
      <c r="CS44" s="172">
        <f t="shared" si="114"/>
        <v>32.688545968267775</v>
      </c>
      <c r="CT44" s="172">
        <f t="shared" si="51"/>
        <v>2.6355140186915893</v>
      </c>
      <c r="CU44" s="217">
        <f t="shared" si="52"/>
        <v>8.1721364920669437</v>
      </c>
      <c r="CV44" s="217">
        <f t="shared" si="53"/>
        <v>1.816030331570432</v>
      </c>
      <c r="CW44" s="443">
        <f t="shared" si="54"/>
        <v>4</v>
      </c>
      <c r="CX44" s="217">
        <f t="shared" si="55"/>
        <v>1.9089255319148932</v>
      </c>
      <c r="CY44" s="217">
        <f t="shared" si="56"/>
        <v>0.95446276595744672</v>
      </c>
      <c r="CZ44" s="217">
        <f t="shared" si="57"/>
        <v>1.2184631054775914</v>
      </c>
      <c r="DA44" s="197">
        <f t="shared" si="58"/>
        <v>350</v>
      </c>
      <c r="DB44" s="443">
        <f t="shared" si="115"/>
        <v>350</v>
      </c>
      <c r="DD44" s="217">
        <f t="shared" si="59"/>
        <v>2.5100133511348464</v>
      </c>
      <c r="DE44" s="173">
        <f t="shared" si="60"/>
        <v>1.6021361815754336</v>
      </c>
      <c r="DF44" s="173">
        <f t="shared" si="61"/>
        <v>2.8149682442633783</v>
      </c>
      <c r="DG44" s="173"/>
      <c r="DH44" s="173">
        <f t="shared" si="62"/>
        <v>0.85106382978723416</v>
      </c>
      <c r="DI44" s="545">
        <f t="shared" si="63"/>
        <v>1031.0624999999995</v>
      </c>
      <c r="DJ44" s="528">
        <f t="shared" si="64"/>
        <v>0.79432624113475192</v>
      </c>
      <c r="DL44" s="173">
        <f t="shared" si="65"/>
        <v>2.1889332039668479</v>
      </c>
      <c r="DM44" s="173">
        <f t="shared" si="66"/>
        <v>2.1889332039668479</v>
      </c>
      <c r="DN44" s="173">
        <f t="shared" si="67"/>
        <v>1.8337776819507514</v>
      </c>
      <c r="DP44" s="545">
        <f t="shared" si="68"/>
        <v>2340</v>
      </c>
      <c r="DQ44" s="460">
        <f t="shared" si="69"/>
        <v>350</v>
      </c>
      <c r="DS44">
        <f t="shared" si="116"/>
        <v>2340</v>
      </c>
      <c r="DT44" s="460">
        <f t="shared" si="70"/>
        <v>350</v>
      </c>
      <c r="DU44" s="460"/>
      <c r="DV44" s="5">
        <f t="shared" si="117"/>
        <v>2.8571428571428572</v>
      </c>
      <c r="DW44" s="5">
        <f t="shared" si="71"/>
        <v>1.0944666019834239</v>
      </c>
      <c r="DX44" s="5">
        <f t="shared" si="118"/>
        <v>1.7626762551594333</v>
      </c>
      <c r="DY44" s="173">
        <f t="shared" si="119"/>
        <v>0.38306331069419836</v>
      </c>
      <c r="EA44" s="5">
        <f t="shared" si="72"/>
        <v>64.026296216030303</v>
      </c>
      <c r="EB44" s="5">
        <f t="shared" si="73"/>
        <v>0.23713443042974189</v>
      </c>
      <c r="EC44" s="5">
        <f t="shared" si="74"/>
        <v>0.57286978292681567</v>
      </c>
      <c r="ED44" s="5"/>
      <c r="EE44" s="173">
        <f t="shared" si="120"/>
        <v>0.78218081701658582</v>
      </c>
      <c r="EF44" s="173">
        <f t="shared" si="75"/>
        <v>3.9705637416047068</v>
      </c>
      <c r="EG44" s="173">
        <f t="shared" si="76"/>
        <v>7.5655336157603198E-2</v>
      </c>
      <c r="EH44" s="173"/>
      <c r="EI44" s="528">
        <f t="shared" si="77"/>
        <v>7.4640433322065514E-3</v>
      </c>
      <c r="EJ44" s="528">
        <f t="shared" si="78"/>
        <v>0.65580438790846762</v>
      </c>
      <c r="EK44" s="528">
        <f t="shared" si="79"/>
        <v>4.3749999999999997E-2</v>
      </c>
      <c r="EL44" s="528">
        <f t="shared" si="80"/>
        <v>6.4114399999999988E-2</v>
      </c>
      <c r="EM44">
        <f t="shared" si="81"/>
        <v>1.0800000000000001E-2</v>
      </c>
      <c r="EN44" s="460">
        <f t="shared" si="121"/>
        <v>54.550000000000004</v>
      </c>
      <c r="EO44">
        <f t="shared" si="82"/>
        <v>0.7853408910019497</v>
      </c>
      <c r="EP44" s="460">
        <f t="shared" si="122"/>
        <v>785.34089100194967</v>
      </c>
      <c r="EQ44" s="173">
        <f t="shared" si="83"/>
        <v>1.4537249999999999</v>
      </c>
      <c r="ER44" s="173">
        <f t="shared" si="170"/>
        <v>1.7306250000000002E-2</v>
      </c>
      <c r="ES44" s="528"/>
      <c r="EU44" s="460">
        <f t="shared" si="123"/>
        <v>1471.03125</v>
      </c>
      <c r="EV44" s="528">
        <f t="shared" si="85"/>
        <v>1.8354204915262011E-2</v>
      </c>
      <c r="EW44" s="528">
        <f t="shared" si="124"/>
        <v>0.47296129278437909</v>
      </c>
      <c r="EX44" s="528">
        <f t="shared" si="86"/>
        <v>2.8618649445599712E-5</v>
      </c>
      <c r="EY44" s="528">
        <f t="shared" si="87"/>
        <v>0.81230923004699795</v>
      </c>
      <c r="EZ44" s="528">
        <f t="shared" si="88"/>
        <v>1.479740892833038</v>
      </c>
      <c r="FA44" s="625">
        <f t="shared" si="89"/>
        <v>4.192499999999999E-2</v>
      </c>
      <c r="FB44" s="460">
        <f t="shared" si="125"/>
        <v>1521.665892833038</v>
      </c>
      <c r="FC44" s="173">
        <f t="shared" si="126"/>
        <v>3.7780380338349877</v>
      </c>
      <c r="FD44" s="5">
        <f t="shared" si="127"/>
        <v>10.061999999999999</v>
      </c>
      <c r="FE44" s="173">
        <f t="shared" si="128"/>
        <v>0.72702112345365311</v>
      </c>
      <c r="FF44" s="5">
        <f t="shared" si="129"/>
        <v>72.702112345365308</v>
      </c>
      <c r="FG44">
        <f t="shared" si="130"/>
        <v>38.999999999999993</v>
      </c>
      <c r="FI44" s="562">
        <f t="shared" si="90"/>
        <v>-50</v>
      </c>
      <c r="FJ44">
        <f t="shared" si="91"/>
        <v>-50</v>
      </c>
      <c r="FL44">
        <f t="shared" si="92"/>
        <v>0.51125627499660498</v>
      </c>
    </row>
    <row r="45" spans="5:168">
      <c r="E45" s="170">
        <v>40</v>
      </c>
      <c r="F45" s="217">
        <f t="shared" si="174"/>
        <v>2.4000000000000004</v>
      </c>
      <c r="G45" s="217">
        <f t="shared" si="171"/>
        <v>4.0000000000000008E-2</v>
      </c>
      <c r="H45" s="217">
        <f t="shared" si="135"/>
        <v>9.6000000000000014</v>
      </c>
      <c r="I45" s="217">
        <f t="shared" si="175"/>
        <v>0.7200000000000002</v>
      </c>
      <c r="J45" s="541">
        <f t="shared" si="136"/>
        <v>23.938572601758437</v>
      </c>
      <c r="K45" s="443">
        <f t="shared" si="137"/>
        <v>19.356232222829895</v>
      </c>
      <c r="L45" s="172">
        <f t="shared" si="138"/>
        <v>43.294804824588333</v>
      </c>
      <c r="M45" s="443"/>
      <c r="N45" s="217">
        <f t="shared" si="139"/>
        <v>0.44707978939396786</v>
      </c>
      <c r="O45" s="172">
        <f t="shared" si="172"/>
        <v>33.185897665694171</v>
      </c>
      <c r="P45" s="172">
        <f t="shared" si="140"/>
        <v>2.6756129992965927</v>
      </c>
      <c r="Q45" s="217">
        <f t="shared" si="6"/>
        <v>8.2964744164235427</v>
      </c>
      <c r="R45" s="217">
        <f t="shared" si="141"/>
        <v>1.8436609814274538</v>
      </c>
      <c r="S45" s="443">
        <f t="shared" si="142"/>
        <v>4</v>
      </c>
      <c r="T45" s="217">
        <f t="shared" si="143"/>
        <v>1.9285300233466287</v>
      </c>
      <c r="U45" s="217">
        <f t="shared" si="10"/>
        <v>0.96673935681777434</v>
      </c>
      <c r="V45" s="217">
        <f t="shared" si="11"/>
        <v>1.1956025332690556</v>
      </c>
      <c r="W45" s="197">
        <f t="shared" si="12"/>
        <v>350</v>
      </c>
      <c r="X45" s="443">
        <f t="shared" si="95"/>
        <v>350</v>
      </c>
      <c r="Z45" s="217">
        <f t="shared" si="13"/>
        <v>2.5482028564729453</v>
      </c>
      <c r="AA45" s="173">
        <f t="shared" si="14"/>
        <v>1.5797720303029488</v>
      </c>
      <c r="AB45" s="173">
        <f t="shared" si="144"/>
        <v>2.8179057201358266</v>
      </c>
      <c r="AC45" s="173"/>
      <c r="AD45" s="173">
        <f t="shared" si="16"/>
        <v>0.82660715245649141</v>
      </c>
      <c r="AE45" s="545">
        <f t="shared" si="145"/>
        <v>1088.7880625341813</v>
      </c>
      <c r="AF45" s="528">
        <f t="shared" si="146"/>
        <v>0.77150000895939208</v>
      </c>
      <c r="AH45" s="173">
        <f t="shared" si="147"/>
        <v>2.2168188275738085</v>
      </c>
      <c r="AI45" s="173">
        <f t="shared" si="148"/>
        <v>2.2168188275738085</v>
      </c>
      <c r="AJ45" s="173">
        <f t="shared" si="149"/>
        <v>1.8544336994373889</v>
      </c>
      <c r="AL45" s="545">
        <f t="shared" si="150"/>
        <v>2400.0000000000005</v>
      </c>
      <c r="AM45" s="460">
        <f t="shared" si="151"/>
        <v>350</v>
      </c>
      <c r="AO45">
        <f t="shared" si="96"/>
        <v>2400.0000000000005</v>
      </c>
      <c r="AP45" s="460">
        <f t="shared" si="24"/>
        <v>350</v>
      </c>
      <c r="AQ45" s="460"/>
      <c r="AR45" s="5">
        <f t="shared" si="97"/>
        <v>2.8571428571428572</v>
      </c>
      <c r="AS45" s="5">
        <f t="shared" si="25"/>
        <v>1.1112536396147377</v>
      </c>
      <c r="AT45" s="5">
        <f t="shared" si="98"/>
        <v>1.7458892175281195</v>
      </c>
      <c r="AU45" s="173">
        <f t="shared" si="99"/>
        <v>0.38893877386515818</v>
      </c>
      <c r="AW45" s="5">
        <f t="shared" si="152"/>
        <v>66.675218376884274</v>
      </c>
      <c r="AX45" s="5">
        <f t="shared" si="153"/>
        <v>0.24694525324771949</v>
      </c>
      <c r="AY45" s="5">
        <f t="shared" si="28"/>
        <v>0.58345641457331432</v>
      </c>
      <c r="AZ45" s="5"/>
      <c r="BA45" s="173">
        <f t="shared" si="100"/>
        <v>0.7981971895334613</v>
      </c>
      <c r="BB45" s="173">
        <f t="shared" si="154"/>
        <v>4.0019524929036763</v>
      </c>
      <c r="BC45" s="173">
        <f t="shared" si="155"/>
        <v>7.6253419121543015E-2</v>
      </c>
      <c r="BD45" s="173"/>
      <c r="BE45" s="528">
        <f t="shared" si="31"/>
        <v>7.7728487912252196E-3</v>
      </c>
      <c r="BF45" s="528">
        <f t="shared" si="156"/>
        <v>0.62984734621778016</v>
      </c>
      <c r="BG45" s="528">
        <f t="shared" si="157"/>
        <v>0.20946251026538631</v>
      </c>
      <c r="BH45" s="528">
        <f t="shared" si="34"/>
        <v>6.5605404367971909E-2</v>
      </c>
      <c r="BI45">
        <f t="shared" si="35"/>
        <v>1.0772357670791297E-2</v>
      </c>
      <c r="BJ45" s="460">
        <f t="shared" si="101"/>
        <v>220.23486793617761</v>
      </c>
      <c r="BK45">
        <f t="shared" si="158"/>
        <v>0.7066292919293059</v>
      </c>
      <c r="BL45" s="460">
        <f t="shared" si="102"/>
        <v>706.62929192930585</v>
      </c>
      <c r="BM45" s="173">
        <f t="shared" si="159"/>
        <v>1.4910000000000001</v>
      </c>
      <c r="BN45" s="173">
        <f t="shared" si="160"/>
        <v>1.7750000000000002E-2</v>
      </c>
      <c r="BO45" s="528"/>
      <c r="BQ45" s="460">
        <f t="shared" si="103"/>
        <v>1508.75</v>
      </c>
      <c r="BR45" s="528">
        <f t="shared" si="39"/>
        <v>1.911356260137349E-2</v>
      </c>
      <c r="BS45" s="528">
        <f t="shared" si="104"/>
        <v>0.48046871266373842</v>
      </c>
      <c r="BT45" s="528">
        <f t="shared" si="161"/>
        <v>2.907291963862851E-5</v>
      </c>
      <c r="BU45" s="528">
        <f t="shared" si="41"/>
        <v>0.83842770057384741</v>
      </c>
      <c r="BV45" s="528">
        <f t="shared" si="162"/>
        <v>1.51864432751351</v>
      </c>
      <c r="BW45" s="625">
        <f t="shared" si="163"/>
        <v>4.3000000000000017E-2</v>
      </c>
      <c r="BX45" s="460">
        <f t="shared" si="105"/>
        <v>1561.64432751351</v>
      </c>
      <c r="BY45" s="173">
        <f t="shared" si="106"/>
        <v>3.7770236194428159</v>
      </c>
      <c r="BZ45" s="5">
        <f t="shared" si="107"/>
        <v>10.320000000000002</v>
      </c>
      <c r="CA45" s="173">
        <f t="shared" si="108"/>
        <v>0.73206942675236131</v>
      </c>
      <c r="CB45" s="5">
        <f t="shared" si="109"/>
        <v>73.206942675236135</v>
      </c>
      <c r="CC45">
        <f t="shared" si="173"/>
        <v>40.000000000000007</v>
      </c>
      <c r="CE45" s="562">
        <f t="shared" si="164"/>
        <v>-50</v>
      </c>
      <c r="CF45">
        <f t="shared" si="165"/>
        <v>-50</v>
      </c>
      <c r="CG45" s="173">
        <f t="shared" si="166"/>
        <v>0.51776935635761479</v>
      </c>
      <c r="CH45" s="173">
        <f t="shared" si="167"/>
        <v>0.13261652801912699</v>
      </c>
      <c r="CI45" s="170">
        <v>40</v>
      </c>
      <c r="CJ45" s="217">
        <f t="shared" si="133"/>
        <v>2.4000000000000004</v>
      </c>
      <c r="CK45" s="217">
        <f t="shared" si="111"/>
        <v>4.0000000000000008E-2</v>
      </c>
      <c r="CL45" s="217">
        <f t="shared" si="48"/>
        <v>9.6000000000000014</v>
      </c>
      <c r="CM45" s="217">
        <f t="shared" si="134"/>
        <v>0.7200000000000002</v>
      </c>
      <c r="CN45" s="541">
        <f t="shared" si="112"/>
        <v>24</v>
      </c>
      <c r="CO45" s="443">
        <f t="shared" si="168"/>
        <v>18.8</v>
      </c>
      <c r="CP45" s="443">
        <f t="shared" si="169"/>
        <v>42.8</v>
      </c>
      <c r="CQ45" s="443"/>
      <c r="CR45" s="217">
        <f t="shared" si="113"/>
        <v>0.43925233644859818</v>
      </c>
      <c r="CS45" s="172">
        <f t="shared" si="114"/>
        <v>32.688545968267775</v>
      </c>
      <c r="CT45" s="172">
        <f t="shared" si="51"/>
        <v>2.6355140186915893</v>
      </c>
      <c r="CU45" s="217">
        <f t="shared" si="52"/>
        <v>8.1721364920669437</v>
      </c>
      <c r="CV45" s="217">
        <f t="shared" si="53"/>
        <v>1.816030331570432</v>
      </c>
      <c r="CW45" s="443">
        <f t="shared" si="54"/>
        <v>4</v>
      </c>
      <c r="CX45" s="217">
        <f t="shared" si="55"/>
        <v>1.9578723404255318</v>
      </c>
      <c r="CY45" s="217">
        <f t="shared" si="56"/>
        <v>0.97893617021276602</v>
      </c>
      <c r="CZ45" s="217">
        <f t="shared" si="57"/>
        <v>1.2497057492077863</v>
      </c>
      <c r="DA45" s="197">
        <f t="shared" si="58"/>
        <v>350</v>
      </c>
      <c r="DB45" s="443">
        <f t="shared" si="115"/>
        <v>350</v>
      </c>
      <c r="DD45" s="217">
        <f t="shared" si="59"/>
        <v>2.5100133511348464</v>
      </c>
      <c r="DE45" s="173">
        <f t="shared" si="60"/>
        <v>1.6021361815754336</v>
      </c>
      <c r="DF45" s="173">
        <f t="shared" si="61"/>
        <v>2.8149682442633783</v>
      </c>
      <c r="DG45" s="173"/>
      <c r="DH45" s="173">
        <f t="shared" si="62"/>
        <v>0.85106382978723416</v>
      </c>
      <c r="DI45" s="545">
        <f t="shared" si="63"/>
        <v>1057.5</v>
      </c>
      <c r="DJ45" s="528">
        <f t="shared" si="64"/>
        <v>0.79432624113475192</v>
      </c>
      <c r="DL45" s="173">
        <f t="shared" si="65"/>
        <v>2.2168188275738085</v>
      </c>
      <c r="DM45" s="173">
        <f t="shared" si="66"/>
        <v>2.2168188275738085</v>
      </c>
      <c r="DN45" s="173">
        <f t="shared" si="67"/>
        <v>1.8544336994373889</v>
      </c>
      <c r="DP45" s="545">
        <f t="shared" si="68"/>
        <v>2400.0000000000005</v>
      </c>
      <c r="DQ45" s="460">
        <f t="shared" si="69"/>
        <v>350</v>
      </c>
      <c r="DS45">
        <f t="shared" si="116"/>
        <v>2400.0000000000005</v>
      </c>
      <c r="DT45" s="460">
        <f t="shared" si="70"/>
        <v>350</v>
      </c>
      <c r="DU45" s="460"/>
      <c r="DV45" s="5">
        <f t="shared" si="117"/>
        <v>2.8571428571428572</v>
      </c>
      <c r="DW45" s="5">
        <f t="shared" si="71"/>
        <v>1.1084094137869045</v>
      </c>
      <c r="DX45" s="5">
        <f t="shared" si="118"/>
        <v>1.7487334433559527</v>
      </c>
      <c r="DY45" s="173">
        <f t="shared" si="119"/>
        <v>0.38794329482541656</v>
      </c>
      <c r="EA45" s="5">
        <f t="shared" si="72"/>
        <v>66.504564827214267</v>
      </c>
      <c r="EB45" s="5">
        <f t="shared" si="73"/>
        <v>0.24631320306375656</v>
      </c>
      <c r="EC45" s="5">
        <f t="shared" si="74"/>
        <v>0.58291114778531761</v>
      </c>
      <c r="ED45" s="5"/>
      <c r="EE45" s="173">
        <f t="shared" si="120"/>
        <v>0.79717505223413265</v>
      </c>
      <c r="EF45" s="173">
        <f t="shared" si="75"/>
        <v>4.00521095412613</v>
      </c>
      <c r="EG45" s="173">
        <f t="shared" si="76"/>
        <v>7.631550601780869E-2</v>
      </c>
      <c r="EH45" s="173"/>
      <c r="EI45" s="528">
        <f t="shared" si="77"/>
        <v>7.752954379634803E-3</v>
      </c>
      <c r="EJ45" s="528">
        <f t="shared" si="78"/>
        <v>0.66415892074111316</v>
      </c>
      <c r="EK45" s="528">
        <f t="shared" si="79"/>
        <v>4.3749999999999997E-2</v>
      </c>
      <c r="EL45" s="528">
        <f t="shared" si="80"/>
        <v>6.4114399999999988E-2</v>
      </c>
      <c r="EM45">
        <f t="shared" si="81"/>
        <v>1.0800000000000001E-2</v>
      </c>
      <c r="EN45" s="460">
        <f t="shared" si="121"/>
        <v>54.550000000000004</v>
      </c>
      <c r="EO45">
        <f t="shared" si="82"/>
        <v>0.79413244573852126</v>
      </c>
      <c r="EP45" s="460">
        <f t="shared" si="122"/>
        <v>794.13244573852126</v>
      </c>
      <c r="EQ45" s="173">
        <f t="shared" si="83"/>
        <v>1.4910000000000001</v>
      </c>
      <c r="ER45" s="173">
        <f t="shared" si="170"/>
        <v>1.7750000000000002E-2</v>
      </c>
      <c r="ES45" s="528"/>
      <c r="EU45" s="460">
        <f t="shared" si="123"/>
        <v>1508.75</v>
      </c>
      <c r="EV45" s="528">
        <f t="shared" si="85"/>
        <v>1.9064641917134761E-2</v>
      </c>
      <c r="EW45" s="528">
        <f t="shared" si="124"/>
        <v>0.4812514436115583</v>
      </c>
      <c r="EX45" s="528">
        <f t="shared" si="86"/>
        <v>2.9120282293770972E-5</v>
      </c>
      <c r="EY45" s="528">
        <f t="shared" si="87"/>
        <v>0.83842770057384741</v>
      </c>
      <c r="EZ45" s="528">
        <f t="shared" si="88"/>
        <v>1.5196851292817408</v>
      </c>
      <c r="FA45" s="625">
        <f t="shared" si="89"/>
        <v>4.3000000000000017E-2</v>
      </c>
      <c r="FB45" s="460">
        <f t="shared" si="125"/>
        <v>1562.6851292817407</v>
      </c>
      <c r="FC45" s="173">
        <f t="shared" si="126"/>
        <v>3.8655675750202625</v>
      </c>
      <c r="FD45" s="5">
        <f t="shared" si="127"/>
        <v>10.320000000000002</v>
      </c>
      <c r="FE45" s="173">
        <f t="shared" si="128"/>
        <v>0.72749997103906916</v>
      </c>
      <c r="FF45" s="5">
        <f t="shared" si="129"/>
        <v>72.749997103906921</v>
      </c>
      <c r="FG45">
        <f t="shared" si="130"/>
        <v>40.000000000000007</v>
      </c>
      <c r="FI45" s="562">
        <f t="shared" si="90"/>
        <v>-50</v>
      </c>
      <c r="FJ45">
        <f t="shared" si="91"/>
        <v>-50</v>
      </c>
      <c r="FL45">
        <f t="shared" si="92"/>
        <v>0.51776935635761479</v>
      </c>
    </row>
    <row r="46" spans="5:168">
      <c r="E46" s="170">
        <v>41</v>
      </c>
      <c r="F46" s="217">
        <f t="shared" si="174"/>
        <v>2.46</v>
      </c>
      <c r="G46" s="217">
        <f t="shared" si="171"/>
        <v>4.1000000000000002E-2</v>
      </c>
      <c r="H46" s="217">
        <f t="shared" si="135"/>
        <v>9.84</v>
      </c>
      <c r="I46" s="217">
        <f t="shared" si="175"/>
        <v>0.73799999999999999</v>
      </c>
      <c r="J46" s="541">
        <f t="shared" si="136"/>
        <v>23.937809499229417</v>
      </c>
      <c r="K46" s="443">
        <f t="shared" si="137"/>
        <v>19.363142204826758</v>
      </c>
      <c r="L46" s="172">
        <f t="shared" si="138"/>
        <v>43.300951704056175</v>
      </c>
      <c r="M46" s="443"/>
      <c r="N46" s="217">
        <f t="shared" si="139"/>
        <v>0.44717590359596959</v>
      </c>
      <c r="O46" s="172">
        <f t="shared" si="172"/>
        <v>33.19197393155379</v>
      </c>
      <c r="P46" s="172">
        <f t="shared" si="140"/>
        <v>2.6761028982315245</v>
      </c>
      <c r="Q46" s="217">
        <f t="shared" si="6"/>
        <v>8.2979934828884474</v>
      </c>
      <c r="R46" s="217">
        <f t="shared" si="141"/>
        <v>1.8439985517529882</v>
      </c>
      <c r="S46" s="443">
        <f t="shared" si="142"/>
        <v>4</v>
      </c>
      <c r="T46" s="217">
        <f t="shared" si="143"/>
        <v>1.9763814027835709</v>
      </c>
      <c r="U46" s="217">
        <f t="shared" si="10"/>
        <v>0.99075802379354361</v>
      </c>
      <c r="V46" s="217">
        <f t="shared" si="11"/>
        <v>1.2248310001819276</v>
      </c>
      <c r="W46" s="197">
        <f t="shared" si="12"/>
        <v>350</v>
      </c>
      <c r="X46" s="443">
        <f t="shared" si="95"/>
        <v>350</v>
      </c>
      <c r="Z46" s="217">
        <f t="shared" si="13"/>
        <v>2.5486694268871659</v>
      </c>
      <c r="AA46" s="173">
        <f t="shared" si="14"/>
        <v>1.5794974182972299</v>
      </c>
      <c r="AB46" s="173">
        <f t="shared" si="144"/>
        <v>2.8179317459029511</v>
      </c>
      <c r="AC46" s="173"/>
      <c r="AD46" s="173">
        <f t="shared" si="16"/>
        <v>0.82631216724791667</v>
      </c>
      <c r="AE46" s="545">
        <f t="shared" si="145"/>
        <v>1116.4061677470424</v>
      </c>
      <c r="AF46" s="528">
        <f t="shared" si="146"/>
        <v>0.77122468943138911</v>
      </c>
      <c r="AH46" s="173">
        <f t="shared" si="147"/>
        <v>2.2443580055648109</v>
      </c>
      <c r="AI46" s="173">
        <f t="shared" si="148"/>
        <v>2.2443580055648109</v>
      </c>
      <c r="AJ46" s="173">
        <f t="shared" si="149"/>
        <v>1.8748330905418351</v>
      </c>
      <c r="AL46" s="545">
        <f t="shared" si="150"/>
        <v>2460</v>
      </c>
      <c r="AM46" s="460">
        <f t="shared" si="151"/>
        <v>350</v>
      </c>
      <c r="AO46">
        <f t="shared" si="96"/>
        <v>2460</v>
      </c>
      <c r="AP46" s="460">
        <f t="shared" si="24"/>
        <v>350</v>
      </c>
      <c r="AQ46" s="460"/>
      <c r="AR46" s="5">
        <f t="shared" si="97"/>
        <v>2.8571428571428572</v>
      </c>
      <c r="AS46" s="5">
        <f t="shared" si="25"/>
        <v>1.1250944271924592</v>
      </c>
      <c r="AT46" s="5">
        <f t="shared" si="98"/>
        <v>1.732048429950398</v>
      </c>
      <c r="AU46" s="173">
        <f t="shared" si="99"/>
        <v>0.39378304951736071</v>
      </c>
      <c r="AW46" s="5">
        <f t="shared" si="152"/>
        <v>69.193307272336241</v>
      </c>
      <c r="AX46" s="5">
        <f t="shared" si="153"/>
        <v>0.25627150841606022</v>
      </c>
      <c r="AY46" s="5">
        <f t="shared" si="28"/>
        <v>0.59332066812756878</v>
      </c>
      <c r="AZ46" s="5"/>
      <c r="BA46" s="173">
        <f t="shared" si="100"/>
        <v>0.81313005830152096</v>
      </c>
      <c r="BB46" s="173">
        <f t="shared" si="154"/>
        <v>4.035576047771487</v>
      </c>
      <c r="BC46" s="173">
        <f t="shared" si="155"/>
        <v>7.6894084153483741E-2</v>
      </c>
      <c r="BD46" s="173"/>
      <c r="BE46" s="528">
        <f t="shared" si="31"/>
        <v>8.0664019989039049E-3</v>
      </c>
      <c r="BF46" s="528">
        <f t="shared" si="156"/>
        <v>0.63776237178657746</v>
      </c>
      <c r="BG46" s="528">
        <f t="shared" si="157"/>
        <v>0.20945583311825741</v>
      </c>
      <c r="BH46" s="528">
        <f t="shared" si="34"/>
        <v>6.5624034646695181E-2</v>
      </c>
      <c r="BI46">
        <f t="shared" si="35"/>
        <v>1.0772014274653238E-2</v>
      </c>
      <c r="BJ46" s="460">
        <f t="shared" si="101"/>
        <v>220.22784739291066</v>
      </c>
      <c r="BK46">
        <f t="shared" si="158"/>
        <v>0.71500109170139226</v>
      </c>
      <c r="BL46" s="460">
        <f t="shared" si="102"/>
        <v>715.00109170139228</v>
      </c>
      <c r="BM46" s="173">
        <f t="shared" si="159"/>
        <v>1.5282749999999998</v>
      </c>
      <c r="BN46" s="173">
        <f t="shared" si="160"/>
        <v>1.8193750000000002E-2</v>
      </c>
      <c r="BO46" s="528"/>
      <c r="BQ46" s="460">
        <f t="shared" si="103"/>
        <v>1546.4687499999998</v>
      </c>
      <c r="BR46" s="528">
        <f t="shared" si="39"/>
        <v>1.9835414751403043E-2</v>
      </c>
      <c r="BS46" s="528">
        <f t="shared" si="104"/>
        <v>0.48857622112040805</v>
      </c>
      <c r="BT46" s="528">
        <f t="shared" si="161"/>
        <v>2.9563500889015199E-5</v>
      </c>
      <c r="BU46" s="528">
        <f t="shared" si="41"/>
        <v>0.86470993770758764</v>
      </c>
      <c r="BV46" s="528">
        <f t="shared" si="162"/>
        <v>1.5585724193458488</v>
      </c>
      <c r="BW46" s="625">
        <f t="shared" si="163"/>
        <v>4.4074999999999996E-2</v>
      </c>
      <c r="BX46" s="460">
        <f t="shared" si="105"/>
        <v>1602.6474193458489</v>
      </c>
      <c r="BY46" s="173">
        <f t="shared" si="106"/>
        <v>3.8641172610472405</v>
      </c>
      <c r="BZ46" s="5">
        <f t="shared" si="107"/>
        <v>10.577999999999999</v>
      </c>
      <c r="CA46" s="173">
        <f t="shared" si="108"/>
        <v>0.73244108248107087</v>
      </c>
      <c r="CB46" s="5">
        <f t="shared" si="109"/>
        <v>73.244108248107082</v>
      </c>
      <c r="CC46">
        <f t="shared" si="173"/>
        <v>41</v>
      </c>
      <c r="CE46" s="562">
        <f t="shared" si="164"/>
        <v>-50</v>
      </c>
      <c r="CF46">
        <f t="shared" si="165"/>
        <v>-50</v>
      </c>
      <c r="CG46" s="173">
        <f t="shared" si="166"/>
        <v>0.52420152045044011</v>
      </c>
      <c r="CH46" s="173">
        <f t="shared" si="167"/>
        <v>0.13426400147263631</v>
      </c>
      <c r="CI46" s="170">
        <v>41</v>
      </c>
      <c r="CJ46" s="217">
        <f t="shared" si="133"/>
        <v>2.46</v>
      </c>
      <c r="CK46" s="217">
        <f t="shared" si="111"/>
        <v>4.1000000000000002E-2</v>
      </c>
      <c r="CL46" s="217">
        <f t="shared" si="48"/>
        <v>9.84</v>
      </c>
      <c r="CM46" s="217">
        <f t="shared" si="134"/>
        <v>0.73799999999999999</v>
      </c>
      <c r="CN46" s="541">
        <f t="shared" si="112"/>
        <v>24</v>
      </c>
      <c r="CO46" s="443">
        <f t="shared" si="168"/>
        <v>18.8</v>
      </c>
      <c r="CP46" s="443">
        <f t="shared" si="169"/>
        <v>42.8</v>
      </c>
      <c r="CQ46" s="443"/>
      <c r="CR46" s="217">
        <f t="shared" si="113"/>
        <v>0.43925233644859818</v>
      </c>
      <c r="CS46" s="172">
        <f t="shared" si="114"/>
        <v>32.688545968267775</v>
      </c>
      <c r="CT46" s="172">
        <f t="shared" si="51"/>
        <v>2.6355140186915893</v>
      </c>
      <c r="CU46" s="217">
        <f t="shared" si="52"/>
        <v>8.1721364920669437</v>
      </c>
      <c r="CV46" s="217">
        <f t="shared" si="53"/>
        <v>1.816030331570432</v>
      </c>
      <c r="CW46" s="443">
        <f t="shared" si="54"/>
        <v>4</v>
      </c>
      <c r="CX46" s="217">
        <f t="shared" si="55"/>
        <v>2.0068191489361697</v>
      </c>
      <c r="CY46" s="217">
        <f t="shared" si="56"/>
        <v>1.0034095744680849</v>
      </c>
      <c r="CZ46" s="217">
        <f t="shared" si="57"/>
        <v>1.2809483929379806</v>
      </c>
      <c r="DA46" s="197">
        <f t="shared" si="58"/>
        <v>350</v>
      </c>
      <c r="DB46" s="443">
        <f t="shared" si="115"/>
        <v>350</v>
      </c>
      <c r="DD46" s="217">
        <f t="shared" si="59"/>
        <v>2.5100133511348464</v>
      </c>
      <c r="DE46" s="173">
        <f t="shared" si="60"/>
        <v>1.6021361815754336</v>
      </c>
      <c r="DF46" s="173">
        <f t="shared" si="61"/>
        <v>2.8149682442633783</v>
      </c>
      <c r="DG46" s="173"/>
      <c r="DH46" s="173">
        <f t="shared" si="62"/>
        <v>0.85106382978723416</v>
      </c>
      <c r="DI46" s="545">
        <f t="shared" si="63"/>
        <v>1083.9374999999998</v>
      </c>
      <c r="DJ46" s="528">
        <f t="shared" si="64"/>
        <v>0.79432624113475192</v>
      </c>
      <c r="DL46" s="173">
        <f t="shared" si="65"/>
        <v>2.2443580055648109</v>
      </c>
      <c r="DM46" s="173">
        <f t="shared" si="66"/>
        <v>2.2443580055648109</v>
      </c>
      <c r="DN46" s="173">
        <f t="shared" si="67"/>
        <v>1.8748330905418351</v>
      </c>
      <c r="DP46" s="545">
        <f t="shared" si="68"/>
        <v>2460</v>
      </c>
      <c r="DQ46" s="460">
        <f t="shared" si="69"/>
        <v>350</v>
      </c>
      <c r="DS46">
        <f t="shared" si="116"/>
        <v>2460</v>
      </c>
      <c r="DT46" s="460">
        <f t="shared" si="70"/>
        <v>350</v>
      </c>
      <c r="DU46" s="460"/>
      <c r="DV46" s="5">
        <f t="shared" si="117"/>
        <v>2.8571428571428572</v>
      </c>
      <c r="DW46" s="5">
        <f t="shared" si="71"/>
        <v>1.1221790027824055</v>
      </c>
      <c r="DX46" s="5">
        <f t="shared" si="118"/>
        <v>1.7349638543604518</v>
      </c>
      <c r="DY46" s="173">
        <f t="shared" si="119"/>
        <v>0.39276265097384189</v>
      </c>
      <c r="EA46" s="5">
        <f t="shared" si="72"/>
        <v>69.014008671117921</v>
      </c>
      <c r="EB46" s="5">
        <f t="shared" si="73"/>
        <v>0.25560743952265902</v>
      </c>
      <c r="EC46" s="5">
        <f t="shared" si="74"/>
        <v>0.59277931690648755</v>
      </c>
      <c r="ED46" s="5"/>
      <c r="EE46" s="173">
        <f t="shared" si="120"/>
        <v>0.81207585481188893</v>
      </c>
      <c r="EF46" s="173">
        <f t="shared" si="75"/>
        <v>4.0389710077279011</v>
      </c>
      <c r="EG46" s="173">
        <f t="shared" si="76"/>
        <v>7.6958771904004603E-2</v>
      </c>
      <c r="EH46" s="173"/>
      <c r="EI46" s="528">
        <f t="shared" si="77"/>
        <v>8.0454997664152119E-3</v>
      </c>
      <c r="EJ46" s="528">
        <f t="shared" si="78"/>
        <v>0.67240965846721723</v>
      </c>
      <c r="EK46" s="528">
        <f t="shared" si="79"/>
        <v>4.3749999999999997E-2</v>
      </c>
      <c r="EL46" s="528">
        <f t="shared" si="80"/>
        <v>6.4114399999999988E-2</v>
      </c>
      <c r="EM46">
        <f t="shared" si="81"/>
        <v>1.0800000000000001E-2</v>
      </c>
      <c r="EN46" s="460">
        <f t="shared" si="121"/>
        <v>54.550000000000004</v>
      </c>
      <c r="EO46">
        <f t="shared" si="82"/>
        <v>0.80282653500084211</v>
      </c>
      <c r="EP46" s="460">
        <f t="shared" si="122"/>
        <v>802.82653500084211</v>
      </c>
      <c r="EQ46" s="173">
        <f t="shared" si="83"/>
        <v>1.5282749999999998</v>
      </c>
      <c r="ER46" s="173">
        <f t="shared" si="170"/>
        <v>1.8193750000000002E-2</v>
      </c>
      <c r="ES46" s="528"/>
      <c r="EU46" s="460">
        <f t="shared" si="123"/>
        <v>1546.4687499999998</v>
      </c>
      <c r="EV46" s="528">
        <f t="shared" si="85"/>
        <v>1.9784015819053802E-2</v>
      </c>
      <c r="EW46" s="528">
        <f t="shared" si="124"/>
        <v>0.48939860403799607</v>
      </c>
      <c r="EX46" s="528">
        <f t="shared" si="86"/>
        <v>2.9613262864863041E-5</v>
      </c>
      <c r="EY46" s="528">
        <f t="shared" si="87"/>
        <v>0.86470993770758764</v>
      </c>
      <c r="EZ46" s="528">
        <f t="shared" si="88"/>
        <v>1.5596693226744984</v>
      </c>
      <c r="FA46" s="625">
        <f t="shared" si="89"/>
        <v>4.4074999999999996E-2</v>
      </c>
      <c r="FB46" s="460">
        <f t="shared" si="125"/>
        <v>1603.7443226744986</v>
      </c>
      <c r="FC46" s="173">
        <f t="shared" si="126"/>
        <v>3.9530396076753402</v>
      </c>
      <c r="FD46" s="5">
        <f t="shared" si="127"/>
        <v>10.577999999999999</v>
      </c>
      <c r="FE46" s="173">
        <f t="shared" si="128"/>
        <v>0.72795892693133035</v>
      </c>
      <c r="FF46" s="5">
        <f t="shared" si="129"/>
        <v>72.795892693133041</v>
      </c>
      <c r="FG46">
        <f t="shared" si="130"/>
        <v>41</v>
      </c>
      <c r="FI46" s="562">
        <f t="shared" si="90"/>
        <v>-50</v>
      </c>
      <c r="FJ46">
        <f t="shared" si="91"/>
        <v>-50</v>
      </c>
      <c r="FL46">
        <f t="shared" si="92"/>
        <v>0.52420152045044011</v>
      </c>
    </row>
    <row r="47" spans="5:168">
      <c r="E47" s="170">
        <v>42</v>
      </c>
      <c r="F47" s="217">
        <f t="shared" si="174"/>
        <v>2.52</v>
      </c>
      <c r="G47" s="217">
        <f t="shared" si="171"/>
        <v>4.2000000000000003E-2</v>
      </c>
      <c r="H47" s="217">
        <f t="shared" si="135"/>
        <v>10.08</v>
      </c>
      <c r="I47" s="217">
        <f t="shared" si="175"/>
        <v>0.75600000000000001</v>
      </c>
      <c r="J47" s="541">
        <f t="shared" si="136"/>
        <v>23.937055647453771</v>
      </c>
      <c r="K47" s="443">
        <f t="shared" si="137"/>
        <v>19.36996842017782</v>
      </c>
      <c r="L47" s="172">
        <f t="shared" si="138"/>
        <v>43.307024067631588</v>
      </c>
      <c r="M47" s="443"/>
      <c r="N47" s="217">
        <f t="shared" si="139"/>
        <v>0.44727082585790662</v>
      </c>
      <c r="O47" s="172">
        <f t="shared" si="172"/>
        <v>33.197974102459902</v>
      </c>
      <c r="P47" s="172">
        <f t="shared" si="140"/>
        <v>2.6765866620108292</v>
      </c>
      <c r="Q47" s="217">
        <f t="shared" si="6"/>
        <v>8.2994935256149756</v>
      </c>
      <c r="R47" s="217">
        <f t="shared" si="141"/>
        <v>1.8443318945811056</v>
      </c>
      <c r="S47" s="443">
        <f t="shared" si="142"/>
        <v>4</v>
      </c>
      <c r="T47" s="217">
        <f t="shared" si="143"/>
        <v>2.0242199054857575</v>
      </c>
      <c r="U47" s="217">
        <f t="shared" si="10"/>
        <v>1.0147713747080223</v>
      </c>
      <c r="V47" s="217">
        <f t="shared" si="11"/>
        <v>1.2540360592702555</v>
      </c>
      <c r="W47" s="197">
        <f t="shared" si="12"/>
        <v>350</v>
      </c>
      <c r="X47" s="443">
        <f t="shared" si="95"/>
        <v>350</v>
      </c>
      <c r="Z47" s="217">
        <f t="shared" si="13"/>
        <v>2.5491301542960274</v>
      </c>
      <c r="AA47" s="173">
        <f t="shared" si="14"/>
        <v>1.5792262118345526</v>
      </c>
      <c r="AB47" s="173">
        <f t="shared" si="144"/>
        <v>2.8179572099295007</v>
      </c>
      <c r="AC47" s="173"/>
      <c r="AD47" s="173">
        <f t="shared" si="16"/>
        <v>0.82602096466676223</v>
      </c>
      <c r="AE47" s="545">
        <f t="shared" si="145"/>
        <v>1144.038759816752</v>
      </c>
      <c r="AF47" s="528">
        <f t="shared" si="146"/>
        <v>0.7709529003556449</v>
      </c>
      <c r="AH47" s="173">
        <f t="shared" si="147"/>
        <v>2.2715633383201093</v>
      </c>
      <c r="AI47" s="173">
        <f t="shared" si="148"/>
        <v>2.2715633383201093</v>
      </c>
      <c r="AJ47" s="173">
        <f t="shared" si="149"/>
        <v>1.8949851888790932</v>
      </c>
      <c r="AL47" s="545">
        <f t="shared" si="150"/>
        <v>2520</v>
      </c>
      <c r="AM47" s="460">
        <f t="shared" si="151"/>
        <v>350</v>
      </c>
      <c r="AO47">
        <f t="shared" si="96"/>
        <v>2520</v>
      </c>
      <c r="AP47" s="460">
        <f t="shared" si="24"/>
        <v>350</v>
      </c>
      <c r="AQ47" s="460"/>
      <c r="AR47" s="5">
        <f t="shared" si="97"/>
        <v>2.8571428571428572</v>
      </c>
      <c r="AS47" s="5">
        <f t="shared" si="25"/>
        <v>1.138768295537671</v>
      </c>
      <c r="AT47" s="5">
        <f t="shared" si="98"/>
        <v>1.7183745616051862</v>
      </c>
      <c r="AU47" s="173">
        <f t="shared" si="99"/>
        <v>0.39856890343818485</v>
      </c>
      <c r="AW47" s="5">
        <f t="shared" si="152"/>
        <v>71.742402618873271</v>
      </c>
      <c r="AX47" s="5">
        <f t="shared" si="153"/>
        <v>0.26571260229212323</v>
      </c>
      <c r="AY47" s="5">
        <f t="shared" si="28"/>
        <v>0.60301260648232524</v>
      </c>
      <c r="AZ47" s="5"/>
      <c r="BA47" s="173">
        <f t="shared" si="100"/>
        <v>0.82797253210096156</v>
      </c>
      <c r="BB47" s="173">
        <f t="shared" si="154"/>
        <v>4.0683391915351832</v>
      </c>
      <c r="BC47" s="173">
        <f t="shared" si="155"/>
        <v>7.7518354865737951E-2</v>
      </c>
      <c r="BD47" s="173"/>
      <c r="BE47" s="528">
        <f t="shared" si="31"/>
        <v>8.3635698697468695E-3</v>
      </c>
      <c r="BF47" s="528">
        <f t="shared" si="156"/>
        <v>0.64558362857479656</v>
      </c>
      <c r="BG47" s="528">
        <f t="shared" si="157"/>
        <v>0.20944923691522049</v>
      </c>
      <c r="BH47" s="528">
        <f t="shared" si="34"/>
        <v>6.5642441675804755E-2</v>
      </c>
      <c r="BI47">
        <f t="shared" si="35"/>
        <v>1.0771675041354197E-2</v>
      </c>
      <c r="BJ47" s="460">
        <f t="shared" si="101"/>
        <v>220.2209119565747</v>
      </c>
      <c r="BK47">
        <f t="shared" si="158"/>
        <v>0.7232851047181319</v>
      </c>
      <c r="BL47" s="460">
        <f t="shared" si="102"/>
        <v>723.28510471813195</v>
      </c>
      <c r="BM47" s="173">
        <f t="shared" si="159"/>
        <v>1.5655499999999998</v>
      </c>
      <c r="BN47" s="173">
        <f t="shared" si="160"/>
        <v>1.8637500000000001E-2</v>
      </c>
      <c r="BO47" s="528"/>
      <c r="BQ47" s="460">
        <f t="shared" si="103"/>
        <v>1584.1874999999998</v>
      </c>
      <c r="BR47" s="528">
        <f t="shared" si="39"/>
        <v>2.0566155417410335E-2</v>
      </c>
      <c r="BS47" s="528">
        <f t="shared" si="104"/>
        <v>0.49654151332143442</v>
      </c>
      <c r="BT47" s="528">
        <f t="shared" si="161"/>
        <v>3.0045476705452393E-5</v>
      </c>
      <c r="BU47" s="528">
        <f t="shared" si="41"/>
        <v>0.8911529359604442</v>
      </c>
      <c r="BV47" s="528">
        <f t="shared" si="162"/>
        <v>1.5985367947164562</v>
      </c>
      <c r="BW47" s="625">
        <f t="shared" si="163"/>
        <v>4.5150000000000003E-2</v>
      </c>
      <c r="BX47" s="460">
        <f t="shared" si="105"/>
        <v>1643.6867947164562</v>
      </c>
      <c r="BY47" s="173">
        <f t="shared" si="106"/>
        <v>3.9511593994345877</v>
      </c>
      <c r="BZ47" s="5">
        <f t="shared" si="107"/>
        <v>10.836</v>
      </c>
      <c r="CA47" s="173">
        <f t="shared" si="108"/>
        <v>0.73279794362765394</v>
      </c>
      <c r="CB47" s="5">
        <f t="shared" si="109"/>
        <v>73.279794362765386</v>
      </c>
      <c r="CC47">
        <f t="shared" si="173"/>
        <v>42</v>
      </c>
      <c r="CE47" s="562">
        <f t="shared" si="164"/>
        <v>-50</v>
      </c>
      <c r="CF47">
        <f t="shared" si="165"/>
        <v>-50</v>
      </c>
      <c r="CG47" s="173">
        <f t="shared" si="166"/>
        <v>0.53055571027190696</v>
      </c>
      <c r="CH47" s="173">
        <f t="shared" si="167"/>
        <v>0.13589150333644956</v>
      </c>
      <c r="CI47" s="170">
        <v>42</v>
      </c>
      <c r="CJ47" s="217">
        <f t="shared" si="133"/>
        <v>2.52</v>
      </c>
      <c r="CK47" s="217">
        <f t="shared" si="111"/>
        <v>4.2000000000000003E-2</v>
      </c>
      <c r="CL47" s="217">
        <f t="shared" si="48"/>
        <v>10.08</v>
      </c>
      <c r="CM47" s="217">
        <f t="shared" si="134"/>
        <v>0.75600000000000001</v>
      </c>
      <c r="CN47" s="541">
        <f t="shared" si="112"/>
        <v>24</v>
      </c>
      <c r="CO47" s="443">
        <f t="shared" si="168"/>
        <v>18.8</v>
      </c>
      <c r="CP47" s="443">
        <f t="shared" si="169"/>
        <v>42.8</v>
      </c>
      <c r="CQ47" s="443"/>
      <c r="CR47" s="217">
        <f t="shared" si="113"/>
        <v>0.43925233644859818</v>
      </c>
      <c r="CS47" s="172">
        <f t="shared" si="114"/>
        <v>32.688545968267775</v>
      </c>
      <c r="CT47" s="172">
        <f t="shared" si="51"/>
        <v>2.6355140186915893</v>
      </c>
      <c r="CU47" s="217">
        <f t="shared" si="52"/>
        <v>8.1721364920669437</v>
      </c>
      <c r="CV47" s="217">
        <f t="shared" si="53"/>
        <v>1.816030331570432</v>
      </c>
      <c r="CW47" s="443">
        <f t="shared" si="54"/>
        <v>4</v>
      </c>
      <c r="CX47" s="217">
        <f t="shared" si="55"/>
        <v>2.0557659574468081</v>
      </c>
      <c r="CY47" s="217">
        <f t="shared" si="56"/>
        <v>1.0278829787234041</v>
      </c>
      <c r="CZ47" s="217">
        <f t="shared" si="57"/>
        <v>1.3121910366681753</v>
      </c>
      <c r="DA47" s="197">
        <f t="shared" si="58"/>
        <v>350</v>
      </c>
      <c r="DB47" s="443">
        <f t="shared" si="115"/>
        <v>350</v>
      </c>
      <c r="DD47" s="217">
        <f t="shared" si="59"/>
        <v>2.5100133511348464</v>
      </c>
      <c r="DE47" s="173">
        <f t="shared" si="60"/>
        <v>1.6021361815754336</v>
      </c>
      <c r="DF47" s="173">
        <f t="shared" si="61"/>
        <v>2.8149682442633783</v>
      </c>
      <c r="DG47" s="173"/>
      <c r="DH47" s="173">
        <f t="shared" si="62"/>
        <v>0.85106382978723416</v>
      </c>
      <c r="DI47" s="545">
        <f t="shared" si="63"/>
        <v>1110.3749999999998</v>
      </c>
      <c r="DJ47" s="528">
        <f t="shared" si="64"/>
        <v>0.79432624113475192</v>
      </c>
      <c r="DL47" s="173">
        <f t="shared" si="65"/>
        <v>2.2715633383201093</v>
      </c>
      <c r="DM47" s="173">
        <f t="shared" si="66"/>
        <v>2.2715633383201093</v>
      </c>
      <c r="DN47" s="173">
        <f t="shared" si="67"/>
        <v>1.8949851888790932</v>
      </c>
      <c r="DP47" s="545">
        <f t="shared" si="68"/>
        <v>2520</v>
      </c>
      <c r="DQ47" s="460">
        <f t="shared" si="69"/>
        <v>350</v>
      </c>
      <c r="DS47">
        <f t="shared" si="116"/>
        <v>2520</v>
      </c>
      <c r="DT47" s="460">
        <f t="shared" si="70"/>
        <v>350</v>
      </c>
      <c r="DU47" s="460"/>
      <c r="DV47" s="5">
        <f t="shared" si="117"/>
        <v>2.8571428571428572</v>
      </c>
      <c r="DW47" s="5">
        <f t="shared" si="71"/>
        <v>1.1357816691600546</v>
      </c>
      <c r="DX47" s="5">
        <f t="shared" si="118"/>
        <v>1.7213611879828026</v>
      </c>
      <c r="DY47" s="173">
        <f t="shared" si="119"/>
        <v>0.39752358420601913</v>
      </c>
      <c r="EA47" s="5">
        <f t="shared" si="72"/>
        <v>71.554245157083443</v>
      </c>
      <c r="EB47" s="5">
        <f t="shared" si="73"/>
        <v>0.2650157228040127</v>
      </c>
      <c r="EC47" s="5">
        <f t="shared" si="74"/>
        <v>0.60247641579398081</v>
      </c>
      <c r="ED47" s="5"/>
      <c r="EE47" s="173">
        <f t="shared" si="120"/>
        <v>0.82688606520750652</v>
      </c>
      <c r="EF47" s="173">
        <f t="shared" si="75"/>
        <v>4.0718731515913342</v>
      </c>
      <c r="EG47" s="173">
        <f t="shared" si="76"/>
        <v>7.7585691131672727E-2</v>
      </c>
      <c r="EH47" s="173"/>
      <c r="EI47" s="528">
        <f t="shared" si="77"/>
        <v>8.3416348909791035E-3</v>
      </c>
      <c r="EJ47" s="528">
        <f t="shared" si="78"/>
        <v>0.68056037616070486</v>
      </c>
      <c r="EK47" s="528">
        <f t="shared" si="79"/>
        <v>4.3749999999999997E-2</v>
      </c>
      <c r="EL47" s="528">
        <f t="shared" si="80"/>
        <v>6.4114399999999988E-2</v>
      </c>
      <c r="EM47">
        <f t="shared" si="81"/>
        <v>1.0800000000000001E-2</v>
      </c>
      <c r="EN47" s="460">
        <f t="shared" si="121"/>
        <v>54.550000000000004</v>
      </c>
      <c r="EO47">
        <f t="shared" si="82"/>
        <v>0.81142687819008907</v>
      </c>
      <c r="EP47" s="460">
        <f t="shared" si="122"/>
        <v>811.42687819008904</v>
      </c>
      <c r="EQ47" s="173">
        <f t="shared" si="83"/>
        <v>1.5655499999999998</v>
      </c>
      <c r="ER47" s="173">
        <f t="shared" si="170"/>
        <v>1.8637500000000001E-2</v>
      </c>
      <c r="ES47" s="528"/>
      <c r="EU47" s="460">
        <f t="shared" si="123"/>
        <v>1584.1874999999998</v>
      </c>
      <c r="EV47" s="528">
        <f t="shared" si="85"/>
        <v>2.0512216945030581E-2</v>
      </c>
      <c r="EW47" s="528">
        <f t="shared" si="124"/>
        <v>0.49740452887951025</v>
      </c>
      <c r="EX47" s="528">
        <f t="shared" si="86"/>
        <v>3.0097697341896599E-5</v>
      </c>
      <c r="EY47" s="528">
        <f t="shared" si="87"/>
        <v>0.8911529359604442</v>
      </c>
      <c r="EZ47" s="528">
        <f t="shared" si="88"/>
        <v>1.5996914321592495</v>
      </c>
      <c r="FA47" s="625">
        <f t="shared" si="89"/>
        <v>4.5150000000000003E-2</v>
      </c>
      <c r="FB47" s="460">
        <f t="shared" si="125"/>
        <v>1644.8414321592495</v>
      </c>
      <c r="FC47" s="173">
        <f t="shared" si="126"/>
        <v>4.0404558103493375</v>
      </c>
      <c r="FD47" s="5">
        <f t="shared" si="127"/>
        <v>10.836</v>
      </c>
      <c r="FE47" s="173">
        <f t="shared" si="128"/>
        <v>0.72839930008473863</v>
      </c>
      <c r="FF47" s="5">
        <f t="shared" si="129"/>
        <v>72.839930008473857</v>
      </c>
      <c r="FG47">
        <f t="shared" si="130"/>
        <v>42</v>
      </c>
      <c r="FI47" s="562">
        <f t="shared" si="90"/>
        <v>-50</v>
      </c>
      <c r="FJ47">
        <f t="shared" si="91"/>
        <v>-50</v>
      </c>
      <c r="FL47">
        <f t="shared" si="92"/>
        <v>0.53055571027190696</v>
      </c>
    </row>
    <row r="48" spans="5:168">
      <c r="E48" s="170">
        <v>43</v>
      </c>
      <c r="F48" s="217">
        <f t="shared" si="174"/>
        <v>2.58</v>
      </c>
      <c r="G48" s="217">
        <f t="shared" si="171"/>
        <v>4.3000000000000003E-2</v>
      </c>
      <c r="H48" s="217">
        <f t="shared" si="135"/>
        <v>10.32</v>
      </c>
      <c r="I48" s="217">
        <f t="shared" si="175"/>
        <v>0.77400000000000002</v>
      </c>
      <c r="J48" s="541">
        <f t="shared" si="136"/>
        <v>23.936310717943815</v>
      </c>
      <c r="K48" s="443">
        <f t="shared" si="137"/>
        <v>19.376713843377161</v>
      </c>
      <c r="L48" s="172">
        <f t="shared" si="138"/>
        <v>43.313024561320972</v>
      </c>
      <c r="M48" s="443"/>
      <c r="N48" s="217">
        <f t="shared" si="139"/>
        <v>0.44736459851572657</v>
      </c>
      <c r="O48" s="172">
        <f t="shared" si="172"/>
        <v>33.203900881490291</v>
      </c>
      <c r="P48" s="172">
        <f t="shared" si="140"/>
        <v>2.6770645085701545</v>
      </c>
      <c r="Q48" s="217">
        <f t="shared" si="6"/>
        <v>8.3009752203725728</v>
      </c>
      <c r="R48" s="217">
        <f t="shared" si="141"/>
        <v>1.844661160082794</v>
      </c>
      <c r="S48" s="443">
        <f t="shared" si="142"/>
        <v>4</v>
      </c>
      <c r="T48" s="217">
        <f t="shared" si="143"/>
        <v>2.0720456986532256</v>
      </c>
      <c r="U48" s="217">
        <f t="shared" si="10"/>
        <v>1.0387794792954055</v>
      </c>
      <c r="V48" s="217">
        <f t="shared" si="11"/>
        <v>1.2832180206003949</v>
      </c>
      <c r="W48" s="197">
        <f t="shared" si="12"/>
        <v>350</v>
      </c>
      <c r="X48" s="443">
        <f t="shared" si="95"/>
        <v>350</v>
      </c>
      <c r="Z48" s="217">
        <f t="shared" si="13"/>
        <v>2.5495852462572897</v>
      </c>
      <c r="AA48" s="173">
        <f t="shared" si="14"/>
        <v>1.5789582899550672</v>
      </c>
      <c r="AB48" s="173">
        <f t="shared" si="144"/>
        <v>2.8179821323675553</v>
      </c>
      <c r="AC48" s="173"/>
      <c r="AD48" s="173">
        <f t="shared" si="16"/>
        <v>0.82573341018135038</v>
      </c>
      <c r="AE48" s="545">
        <f t="shared" si="145"/>
        <v>1171.6856652167126</v>
      </c>
      <c r="AF48" s="528">
        <f t="shared" si="146"/>
        <v>0.77068451616926037</v>
      </c>
      <c r="AH48" s="173">
        <f t="shared" si="147"/>
        <v>2.2984466804468497</v>
      </c>
      <c r="AI48" s="173">
        <f t="shared" si="148"/>
        <v>2.2984466804468497</v>
      </c>
      <c r="AJ48" s="173">
        <f t="shared" si="149"/>
        <v>1.9148987756396416</v>
      </c>
      <c r="AL48" s="545">
        <f t="shared" si="150"/>
        <v>2580</v>
      </c>
      <c r="AM48" s="460">
        <f t="shared" si="151"/>
        <v>350</v>
      </c>
      <c r="AO48">
        <f t="shared" si="96"/>
        <v>2580</v>
      </c>
      <c r="AP48" s="460">
        <f t="shared" si="24"/>
        <v>350</v>
      </c>
      <c r="AQ48" s="460"/>
      <c r="AR48" s="5">
        <f t="shared" si="97"/>
        <v>2.8571428571428572</v>
      </c>
      <c r="AS48" s="5">
        <f t="shared" si="25"/>
        <v>1.1522811719136765</v>
      </c>
      <c r="AT48" s="5">
        <f t="shared" si="98"/>
        <v>1.7048616852291807</v>
      </c>
      <c r="AU48" s="173">
        <f t="shared" si="99"/>
        <v>0.40329841016978679</v>
      </c>
      <c r="AW48" s="5">
        <f t="shared" si="152"/>
        <v>74.322135588432133</v>
      </c>
      <c r="AX48" s="5">
        <f t="shared" si="153"/>
        <v>0.27526716884604496</v>
      </c>
      <c r="AY48" s="5">
        <f t="shared" si="28"/>
        <v>0.61253426502271091</v>
      </c>
      <c r="AZ48" s="5"/>
      <c r="BA48" s="173">
        <f t="shared" si="100"/>
        <v>0.84272729611826158</v>
      </c>
      <c r="BB48" s="173">
        <f t="shared" si="154"/>
        <v>4.100269425936955</v>
      </c>
      <c r="BC48" s="173">
        <f t="shared" si="155"/>
        <v>7.8126755277987917E-2</v>
      </c>
      <c r="BD48" s="173"/>
      <c r="BE48" s="528">
        <f t="shared" si="31"/>
        <v>8.6643094065981113E-3</v>
      </c>
      <c r="BF48" s="528">
        <f t="shared" si="156"/>
        <v>0.65331444624521939</v>
      </c>
      <c r="BG48" s="528">
        <f t="shared" si="157"/>
        <v>0.20944271878200837</v>
      </c>
      <c r="BH48" s="528">
        <f t="shared" si="34"/>
        <v>6.5660633382735797E-2</v>
      </c>
      <c r="BI48">
        <f t="shared" si="35"/>
        <v>1.0771339823074717E-2</v>
      </c>
      <c r="BJ48" s="460">
        <f t="shared" si="101"/>
        <v>220.2140586050831</v>
      </c>
      <c r="BK48">
        <f t="shared" si="158"/>
        <v>0.73148461600205072</v>
      </c>
      <c r="BL48" s="460">
        <f t="shared" si="102"/>
        <v>731.48461600205076</v>
      </c>
      <c r="BM48" s="173">
        <f t="shared" si="159"/>
        <v>1.6028249999999997</v>
      </c>
      <c r="BN48" s="173">
        <f t="shared" si="160"/>
        <v>1.9081250000000001E-2</v>
      </c>
      <c r="BO48" s="528"/>
      <c r="BQ48" s="460">
        <f t="shared" si="103"/>
        <v>1621.9062499999998</v>
      </c>
      <c r="BR48" s="528">
        <f t="shared" si="39"/>
        <v>2.1305678868683883E-2</v>
      </c>
      <c r="BS48" s="528">
        <f t="shared" si="104"/>
        <v>0.50436628095820091</v>
      </c>
      <c r="BT48" s="528">
        <f t="shared" si="161"/>
        <v>3.0518949451333067E-5</v>
      </c>
      <c r="BU48" s="528">
        <f t="shared" si="41"/>
        <v>0.91775381548486912</v>
      </c>
      <c r="BV48" s="528">
        <f t="shared" si="162"/>
        <v>1.6385354614597099</v>
      </c>
      <c r="BW48" s="625">
        <f t="shared" si="163"/>
        <v>4.6225000000000002E-2</v>
      </c>
      <c r="BX48" s="460">
        <f t="shared" si="105"/>
        <v>1684.7604614597099</v>
      </c>
      <c r="BY48" s="173">
        <f t="shared" si="106"/>
        <v>4.03815132746176</v>
      </c>
      <c r="BZ48" s="5">
        <f t="shared" si="107"/>
        <v>11.094000000000001</v>
      </c>
      <c r="CA48" s="173">
        <f t="shared" si="108"/>
        <v>0.73314096323281275</v>
      </c>
      <c r="CB48" s="5">
        <f t="shared" si="109"/>
        <v>73.314096323281277</v>
      </c>
      <c r="CC48">
        <f t="shared" si="173"/>
        <v>43</v>
      </c>
      <c r="CE48" s="562">
        <f t="shared" si="164"/>
        <v>-50</v>
      </c>
      <c r="CF48">
        <f t="shared" si="165"/>
        <v>-50</v>
      </c>
      <c r="CG48" s="173">
        <f t="shared" si="166"/>
        <v>0.53683469463299605</v>
      </c>
      <c r="CH48" s="173">
        <f t="shared" si="167"/>
        <v>0.13749974278752847</v>
      </c>
      <c r="CI48" s="170">
        <v>43</v>
      </c>
      <c r="CJ48" s="217">
        <f t="shared" si="133"/>
        <v>2.58</v>
      </c>
      <c r="CK48" s="217">
        <f t="shared" si="111"/>
        <v>4.3000000000000003E-2</v>
      </c>
      <c r="CL48" s="217">
        <f t="shared" si="48"/>
        <v>10.32</v>
      </c>
      <c r="CM48" s="217">
        <f t="shared" si="134"/>
        <v>0.77400000000000002</v>
      </c>
      <c r="CN48" s="541">
        <f t="shared" si="112"/>
        <v>24</v>
      </c>
      <c r="CO48" s="443">
        <f t="shared" si="168"/>
        <v>18.8</v>
      </c>
      <c r="CP48" s="443">
        <f t="shared" si="169"/>
        <v>42.8</v>
      </c>
      <c r="CQ48" s="443"/>
      <c r="CR48" s="217">
        <f t="shared" si="113"/>
        <v>0.43925233644859818</v>
      </c>
      <c r="CS48" s="172">
        <f t="shared" si="114"/>
        <v>32.688545968267775</v>
      </c>
      <c r="CT48" s="172">
        <f t="shared" si="51"/>
        <v>2.6355140186915893</v>
      </c>
      <c r="CU48" s="217">
        <f t="shared" si="52"/>
        <v>8.1721364920669437</v>
      </c>
      <c r="CV48" s="217">
        <f t="shared" si="53"/>
        <v>1.816030331570432</v>
      </c>
      <c r="CW48" s="443">
        <f t="shared" si="54"/>
        <v>4</v>
      </c>
      <c r="CX48" s="217">
        <f t="shared" si="55"/>
        <v>2.1047127659574465</v>
      </c>
      <c r="CY48" s="217">
        <f t="shared" si="56"/>
        <v>1.0523563829787232</v>
      </c>
      <c r="CZ48" s="217">
        <f t="shared" si="57"/>
        <v>1.3434336803983702</v>
      </c>
      <c r="DA48" s="197">
        <f t="shared" si="58"/>
        <v>350</v>
      </c>
      <c r="DB48" s="443">
        <f t="shared" si="115"/>
        <v>350</v>
      </c>
      <c r="DD48" s="217">
        <f t="shared" si="59"/>
        <v>2.5100133511348464</v>
      </c>
      <c r="DE48" s="173">
        <f t="shared" si="60"/>
        <v>1.6021361815754336</v>
      </c>
      <c r="DF48" s="173">
        <f t="shared" si="61"/>
        <v>2.8149682442633783</v>
      </c>
      <c r="DG48" s="173"/>
      <c r="DH48" s="173">
        <f t="shared" si="62"/>
        <v>0.85106382978723416</v>
      </c>
      <c r="DI48" s="545">
        <f t="shared" si="63"/>
        <v>1136.8124999999998</v>
      </c>
      <c r="DJ48" s="528">
        <f t="shared" si="64"/>
        <v>0.79432624113475192</v>
      </c>
      <c r="DL48" s="173">
        <f t="shared" si="65"/>
        <v>2.2984466804468497</v>
      </c>
      <c r="DM48" s="173">
        <f t="shared" si="66"/>
        <v>2.2984466804468497</v>
      </c>
      <c r="DN48" s="173">
        <f t="shared" si="67"/>
        <v>1.9148987756396416</v>
      </c>
      <c r="DP48" s="545">
        <f t="shared" si="68"/>
        <v>2580</v>
      </c>
      <c r="DQ48" s="460">
        <f t="shared" si="69"/>
        <v>350</v>
      </c>
      <c r="DS48">
        <f t="shared" si="116"/>
        <v>2580</v>
      </c>
      <c r="DT48" s="460">
        <f t="shared" si="70"/>
        <v>350</v>
      </c>
      <c r="DU48" s="460"/>
      <c r="DV48" s="5">
        <f t="shared" si="117"/>
        <v>2.8571428571428572</v>
      </c>
      <c r="DW48" s="5">
        <f t="shared" si="71"/>
        <v>1.1492233402234249</v>
      </c>
      <c r="DX48" s="5">
        <f t="shared" si="118"/>
        <v>1.7079195169194323</v>
      </c>
      <c r="DY48" s="173">
        <f t="shared" si="119"/>
        <v>0.40222816907819869</v>
      </c>
      <c r="EA48" s="5">
        <f t="shared" si="72"/>
        <v>74.124905444410899</v>
      </c>
      <c r="EB48" s="5">
        <f t="shared" si="73"/>
        <v>0.27453668683115151</v>
      </c>
      <c r="EC48" s="5">
        <f t="shared" si="74"/>
        <v>0.6120044935627964</v>
      </c>
      <c r="ED48" s="5"/>
      <c r="EE48" s="173">
        <f t="shared" si="120"/>
        <v>0.84160837212112549</v>
      </c>
      <c r="EF48" s="173">
        <f t="shared" si="75"/>
        <v>4.1039448903278615</v>
      </c>
      <c r="EG48" s="173">
        <f t="shared" si="76"/>
        <v>7.8196787775166005E-2</v>
      </c>
      <c r="EH48" s="173"/>
      <c r="EI48" s="528">
        <f t="shared" si="77"/>
        <v>8.6413167546973233E-3</v>
      </c>
      <c r="EJ48" s="528">
        <f t="shared" si="78"/>
        <v>0.68861462546187613</v>
      </c>
      <c r="EK48" s="528">
        <f t="shared" si="79"/>
        <v>4.3749999999999997E-2</v>
      </c>
      <c r="EL48" s="528">
        <f t="shared" si="80"/>
        <v>6.4114399999999988E-2</v>
      </c>
      <c r="EM48">
        <f t="shared" si="81"/>
        <v>1.0800000000000001E-2</v>
      </c>
      <c r="EN48" s="460">
        <f t="shared" si="121"/>
        <v>54.550000000000004</v>
      </c>
      <c r="EO48">
        <f t="shared" si="82"/>
        <v>0.8199369733614571</v>
      </c>
      <c r="EP48" s="460">
        <f t="shared" si="122"/>
        <v>819.93697336145715</v>
      </c>
      <c r="EQ48" s="173">
        <f t="shared" si="83"/>
        <v>1.6028249999999997</v>
      </c>
      <c r="ER48" s="173">
        <f t="shared" si="170"/>
        <v>1.9081250000000001E-2</v>
      </c>
      <c r="ES48" s="528"/>
      <c r="EU48" s="460">
        <f t="shared" si="123"/>
        <v>1621.9062499999998</v>
      </c>
      <c r="EV48" s="528">
        <f t="shared" si="85"/>
        <v>2.1249139560731125E-2</v>
      </c>
      <c r="EW48" s="528">
        <f t="shared" si="124"/>
        <v>0.50527090988544487</v>
      </c>
      <c r="EX48" s="528">
        <f t="shared" si="86"/>
        <v>3.057368809177176E-5</v>
      </c>
      <c r="EY48" s="528">
        <f t="shared" si="87"/>
        <v>0.91775381548486912</v>
      </c>
      <c r="EZ48" s="528">
        <f t="shared" si="88"/>
        <v>1.6397494768781016</v>
      </c>
      <c r="FA48" s="625">
        <f t="shared" si="89"/>
        <v>4.6225000000000002E-2</v>
      </c>
      <c r="FB48" s="460">
        <f t="shared" si="125"/>
        <v>1685.9744768781015</v>
      </c>
      <c r="FC48" s="173">
        <f t="shared" si="126"/>
        <v>4.1278177002395582</v>
      </c>
      <c r="FD48" s="5">
        <f t="shared" si="127"/>
        <v>11.094000000000001</v>
      </c>
      <c r="FE48" s="173">
        <f t="shared" si="128"/>
        <v>0.72882228774986613</v>
      </c>
      <c r="FF48" s="5">
        <f t="shared" si="129"/>
        <v>72.882228774986615</v>
      </c>
      <c r="FG48">
        <f t="shared" si="130"/>
        <v>43</v>
      </c>
      <c r="FI48" s="562">
        <f t="shared" si="90"/>
        <v>-50</v>
      </c>
      <c r="FJ48">
        <f t="shared" si="91"/>
        <v>-50</v>
      </c>
      <c r="FL48">
        <f t="shared" si="92"/>
        <v>0.53683469463299605</v>
      </c>
    </row>
    <row r="49" spans="5:168">
      <c r="E49" s="170">
        <v>44</v>
      </c>
      <c r="F49" s="217">
        <f t="shared" si="174"/>
        <v>2.64</v>
      </c>
      <c r="G49" s="217">
        <f t="shared" si="171"/>
        <v>4.4000000000000004E-2</v>
      </c>
      <c r="H49" s="217">
        <f t="shared" si="135"/>
        <v>10.56</v>
      </c>
      <c r="I49" s="217">
        <f t="shared" si="175"/>
        <v>0.79200000000000004</v>
      </c>
      <c r="J49" s="541">
        <f t="shared" si="136"/>
        <v>23.935574401204178</v>
      </c>
      <c r="K49" s="443">
        <f t="shared" si="137"/>
        <v>19.383381276941346</v>
      </c>
      <c r="L49" s="172">
        <f t="shared" si="138"/>
        <v>43.318955678145528</v>
      </c>
      <c r="M49" s="443"/>
      <c r="N49" s="217">
        <f t="shared" si="139"/>
        <v>0.4474572614574891</v>
      </c>
      <c r="O49" s="172">
        <f t="shared" si="172"/>
        <v>33.209756815425742</v>
      </c>
      <c r="P49" s="172">
        <f t="shared" si="140"/>
        <v>2.6775366432437004</v>
      </c>
      <c r="Q49" s="217">
        <f t="shared" si="6"/>
        <v>8.3024392038564354</v>
      </c>
      <c r="R49" s="217">
        <f t="shared" si="141"/>
        <v>1.8449864897458745</v>
      </c>
      <c r="S49" s="443">
        <f t="shared" si="142"/>
        <v>4</v>
      </c>
      <c r="T49" s="217">
        <f t="shared" si="143"/>
        <v>2.119858943601165</v>
      </c>
      <c r="U49" s="217">
        <f t="shared" si="10"/>
        <v>1.0627824048347971</v>
      </c>
      <c r="V49" s="217">
        <f t="shared" si="11"/>
        <v>1.3123771833078284</v>
      </c>
      <c r="W49" s="197">
        <f t="shared" si="12"/>
        <v>350</v>
      </c>
      <c r="X49" s="443">
        <f t="shared" si="95"/>
        <v>350</v>
      </c>
      <c r="Z49" s="217">
        <f t="shared" si="13"/>
        <v>2.5500348983273335</v>
      </c>
      <c r="AA49" s="173">
        <f t="shared" si="14"/>
        <v>1.578693538692888</v>
      </c>
      <c r="AB49" s="173">
        <f t="shared" si="144"/>
        <v>2.8180065322015158</v>
      </c>
      <c r="AC49" s="173"/>
      <c r="AD49" s="173">
        <f t="shared" si="16"/>
        <v>0.82544937704103016</v>
      </c>
      <c r="AE49" s="545">
        <f t="shared" si="145"/>
        <v>1199.3467165107454</v>
      </c>
      <c r="AF49" s="528">
        <f t="shared" si="146"/>
        <v>0.77041941857162821</v>
      </c>
      <c r="AH49" s="173">
        <f t="shared" si="147"/>
        <v>2.3250192011495918</v>
      </c>
      <c r="AI49" s="173">
        <f t="shared" si="148"/>
        <v>2.3250192011495918</v>
      </c>
      <c r="AJ49" s="173">
        <f t="shared" si="149"/>
        <v>1.9345821243083394</v>
      </c>
      <c r="AL49" s="545">
        <f t="shared" si="150"/>
        <v>2640</v>
      </c>
      <c r="AM49" s="460">
        <f t="shared" si="151"/>
        <v>350</v>
      </c>
      <c r="AO49">
        <f t="shared" si="96"/>
        <v>2640</v>
      </c>
      <c r="AP49" s="460">
        <f t="shared" si="24"/>
        <v>350</v>
      </c>
      <c r="AQ49" s="460"/>
      <c r="AR49" s="5">
        <f t="shared" si="97"/>
        <v>2.8571428571428572</v>
      </c>
      <c r="AS49" s="5">
        <f t="shared" si="25"/>
        <v>1.1656386408838999</v>
      </c>
      <c r="AT49" s="5">
        <f t="shared" si="98"/>
        <v>1.6915042162589573</v>
      </c>
      <c r="AU49" s="173">
        <f t="shared" si="99"/>
        <v>0.40797352430936495</v>
      </c>
      <c r="AW49" s="5">
        <f t="shared" si="152"/>
        <v>76.932150298337405</v>
      </c>
      <c r="AX49" s="5">
        <f t="shared" si="153"/>
        <v>0.28493388999384223</v>
      </c>
      <c r="AY49" s="5">
        <f t="shared" si="28"/>
        <v>0.6218876076911678</v>
      </c>
      <c r="AZ49" s="5"/>
      <c r="BA49" s="173">
        <f t="shared" si="100"/>
        <v>0.85739689536649999</v>
      </c>
      <c r="BB49" s="173">
        <f t="shared" si="154"/>
        <v>4.1313926479494034</v>
      </c>
      <c r="BC49" s="173">
        <f t="shared" si="155"/>
        <v>7.871977883254945E-2</v>
      </c>
      <c r="BD49" s="173"/>
      <c r="BE49" s="528">
        <f t="shared" si="31"/>
        <v>8.9685791214461769E-3</v>
      </c>
      <c r="BF49" s="528">
        <f t="shared" si="156"/>
        <v>0.66095796194817702</v>
      </c>
      <c r="BG49" s="528">
        <f t="shared" si="157"/>
        <v>0.20943627601053655</v>
      </c>
      <c r="BH49" s="528">
        <f t="shared" si="34"/>
        <v>6.5678617236579792E-2</v>
      </c>
      <c r="BI49">
        <f t="shared" si="35"/>
        <v>1.0771008480541879E-2</v>
      </c>
      <c r="BJ49" s="460">
        <f t="shared" si="101"/>
        <v>220.20728449107844</v>
      </c>
      <c r="BK49">
        <f t="shared" si="158"/>
        <v>0.73960271954585666</v>
      </c>
      <c r="BL49" s="460">
        <f t="shared" si="102"/>
        <v>739.60271954585664</v>
      </c>
      <c r="BM49" s="173">
        <f t="shared" si="159"/>
        <v>1.6400999999999999</v>
      </c>
      <c r="BN49" s="173">
        <f t="shared" si="160"/>
        <v>1.9525000000000001E-2</v>
      </c>
      <c r="BO49" s="528"/>
      <c r="BQ49" s="460">
        <f t="shared" si="103"/>
        <v>1659.625</v>
      </c>
      <c r="BR49" s="528">
        <f t="shared" si="39"/>
        <v>2.2053883085523387E-2</v>
      </c>
      <c r="BS49" s="528">
        <f t="shared" si="104"/>
        <v>0.5120521563459115</v>
      </c>
      <c r="BT49" s="528">
        <f t="shared" si="161"/>
        <v>3.0984017897227503E-5</v>
      </c>
      <c r="BU49" s="528">
        <f t="shared" si="41"/>
        <v>0.94450981401179857</v>
      </c>
      <c r="BV49" s="528">
        <f t="shared" si="162"/>
        <v>1.6785664835017242</v>
      </c>
      <c r="BW49" s="625">
        <f t="shared" si="163"/>
        <v>4.7300000000000002E-2</v>
      </c>
      <c r="BX49" s="460">
        <f t="shared" si="105"/>
        <v>1725.8664835017241</v>
      </c>
      <c r="BY49" s="173">
        <f t="shared" si="106"/>
        <v>4.1250942030475803</v>
      </c>
      <c r="BZ49" s="5">
        <f t="shared" si="107"/>
        <v>11.352</v>
      </c>
      <c r="CA49" s="173">
        <f t="shared" si="108"/>
        <v>0.73347101536441428</v>
      </c>
      <c r="CB49" s="5">
        <f t="shared" si="109"/>
        <v>73.347101536441428</v>
      </c>
      <c r="CC49">
        <f t="shared" si="173"/>
        <v>44</v>
      </c>
      <c r="CE49" s="562">
        <f t="shared" si="164"/>
        <v>-50</v>
      </c>
      <c r="CF49">
        <f t="shared" si="165"/>
        <v>-50</v>
      </c>
      <c r="CG49" s="173">
        <f t="shared" si="166"/>
        <v>0.54304108225923076</v>
      </c>
      <c r="CH49" s="173">
        <f t="shared" si="167"/>
        <v>0.13908938800006521</v>
      </c>
      <c r="CI49" s="170">
        <v>44</v>
      </c>
      <c r="CJ49" s="217">
        <f t="shared" si="133"/>
        <v>2.64</v>
      </c>
      <c r="CK49" s="217">
        <f t="shared" si="111"/>
        <v>4.4000000000000004E-2</v>
      </c>
      <c r="CL49" s="217">
        <f t="shared" si="48"/>
        <v>10.56</v>
      </c>
      <c r="CM49" s="217">
        <f t="shared" si="134"/>
        <v>0.79200000000000004</v>
      </c>
      <c r="CN49" s="541">
        <f t="shared" si="112"/>
        <v>24</v>
      </c>
      <c r="CO49" s="443">
        <f t="shared" si="168"/>
        <v>18.8</v>
      </c>
      <c r="CP49" s="443">
        <f t="shared" si="169"/>
        <v>42.8</v>
      </c>
      <c r="CQ49" s="443"/>
      <c r="CR49" s="217">
        <f t="shared" si="113"/>
        <v>0.43925233644859818</v>
      </c>
      <c r="CS49" s="172">
        <f t="shared" si="114"/>
        <v>32.688545968267775</v>
      </c>
      <c r="CT49" s="172">
        <f t="shared" si="51"/>
        <v>2.6355140186915893</v>
      </c>
      <c r="CU49" s="217">
        <f t="shared" si="52"/>
        <v>8.1721364920669437</v>
      </c>
      <c r="CV49" s="217">
        <f t="shared" si="53"/>
        <v>1.816030331570432</v>
      </c>
      <c r="CW49" s="443">
        <f t="shared" si="54"/>
        <v>4</v>
      </c>
      <c r="CX49" s="217">
        <f t="shared" si="55"/>
        <v>2.1536595744680849</v>
      </c>
      <c r="CY49" s="217">
        <f t="shared" si="56"/>
        <v>1.0768297872340424</v>
      </c>
      <c r="CZ49" s="217">
        <f t="shared" si="57"/>
        <v>1.3746763241285649</v>
      </c>
      <c r="DA49" s="197">
        <f t="shared" si="58"/>
        <v>350</v>
      </c>
      <c r="DB49" s="443">
        <f t="shared" si="115"/>
        <v>350</v>
      </c>
      <c r="DD49" s="217">
        <f t="shared" si="59"/>
        <v>2.5100133511348464</v>
      </c>
      <c r="DE49" s="173">
        <f t="shared" si="60"/>
        <v>1.6021361815754336</v>
      </c>
      <c r="DF49" s="173">
        <f t="shared" si="61"/>
        <v>2.8149682442633783</v>
      </c>
      <c r="DG49" s="173"/>
      <c r="DH49" s="173">
        <f t="shared" si="62"/>
        <v>0.85106382978723416</v>
      </c>
      <c r="DI49" s="545">
        <f t="shared" si="63"/>
        <v>1163.2499999999998</v>
      </c>
      <c r="DJ49" s="528">
        <f t="shared" si="64"/>
        <v>0.79432624113475192</v>
      </c>
      <c r="DL49" s="173">
        <f t="shared" si="65"/>
        <v>2.3250192011495918</v>
      </c>
      <c r="DM49" s="173">
        <f t="shared" si="66"/>
        <v>2.3250192011495918</v>
      </c>
      <c r="DN49" s="173">
        <f t="shared" si="67"/>
        <v>1.9345821243083394</v>
      </c>
      <c r="DP49" s="545">
        <f t="shared" si="68"/>
        <v>2640</v>
      </c>
      <c r="DQ49" s="460">
        <f t="shared" si="69"/>
        <v>350</v>
      </c>
      <c r="DS49">
        <f t="shared" si="116"/>
        <v>2640</v>
      </c>
      <c r="DT49" s="460">
        <f t="shared" si="70"/>
        <v>350</v>
      </c>
      <c r="DU49" s="460"/>
      <c r="DV49" s="5">
        <f t="shared" si="117"/>
        <v>2.8571428571428572</v>
      </c>
      <c r="DW49" s="5">
        <f t="shared" si="71"/>
        <v>1.1625096005747959</v>
      </c>
      <c r="DX49" s="5">
        <f t="shared" si="118"/>
        <v>1.6946332565680613</v>
      </c>
      <c r="DY49" s="173">
        <f t="shared" si="119"/>
        <v>0.40687836020117857</v>
      </c>
      <c r="EA49" s="5">
        <f t="shared" si="72"/>
        <v>76.725633637936525</v>
      </c>
      <c r="EB49" s="5">
        <f t="shared" si="73"/>
        <v>0.28416901347383905</v>
      </c>
      <c r="EC49" s="5">
        <f t="shared" si="74"/>
        <v>0.6213655274082891</v>
      </c>
      <c r="ED49" s="5"/>
      <c r="EE49" s="173">
        <f t="shared" si="120"/>
        <v>0.85624532393613961</v>
      </c>
      <c r="EF49" s="173">
        <f t="shared" si="75"/>
        <v>4.1352121244594109</v>
      </c>
      <c r="EG49" s="173">
        <f t="shared" si="76"/>
        <v>7.8792555344429333E-2</v>
      </c>
      <c r="EH49" s="173"/>
      <c r="EI49" s="528">
        <f t="shared" si="77"/>
        <v>8.9445038681025563E-3</v>
      </c>
      <c r="EJ49" s="528">
        <f t="shared" si="78"/>
        <v>0.69657575266441762</v>
      </c>
      <c r="EK49" s="528">
        <f t="shared" si="79"/>
        <v>4.3749999999999997E-2</v>
      </c>
      <c r="EL49" s="528">
        <f t="shared" si="80"/>
        <v>6.4114399999999988E-2</v>
      </c>
      <c r="EM49">
        <f t="shared" si="81"/>
        <v>1.0800000000000001E-2</v>
      </c>
      <c r="EN49" s="460">
        <f t="shared" si="121"/>
        <v>54.550000000000004</v>
      </c>
      <c r="EO49">
        <f t="shared" si="82"/>
        <v>0.82836011518937558</v>
      </c>
      <c r="EP49" s="460">
        <f t="shared" si="122"/>
        <v>828.36011518937562</v>
      </c>
      <c r="EQ49" s="173">
        <f t="shared" si="83"/>
        <v>1.6400999999999999</v>
      </c>
      <c r="ER49" s="173">
        <f t="shared" si="170"/>
        <v>1.9525000000000001E-2</v>
      </c>
      <c r="ES49" s="528"/>
      <c r="EU49" s="460">
        <f t="shared" si="123"/>
        <v>1659.625</v>
      </c>
      <c r="EV49" s="528">
        <f t="shared" si="85"/>
        <v>2.1994681642875141E-2</v>
      </c>
      <c r="EW49" s="528">
        <f t="shared" si="124"/>
        <v>0.51299937942828344</v>
      </c>
      <c r="EX49" s="528">
        <f t="shared" si="86"/>
        <v>3.1041333888524796E-5</v>
      </c>
      <c r="EY49" s="528">
        <f t="shared" si="87"/>
        <v>0.94450981401179857</v>
      </c>
      <c r="EZ49" s="528">
        <f t="shared" si="88"/>
        <v>1.6798415320090485</v>
      </c>
      <c r="FA49" s="625">
        <f t="shared" si="89"/>
        <v>4.7300000000000002E-2</v>
      </c>
      <c r="FB49" s="460">
        <f t="shared" si="125"/>
        <v>1727.1415320090484</v>
      </c>
      <c r="FC49" s="173">
        <f t="shared" si="126"/>
        <v>4.2151266471984243</v>
      </c>
      <c r="FD49" s="5">
        <f t="shared" si="127"/>
        <v>11.352</v>
      </c>
      <c r="FE49" s="173">
        <f t="shared" si="128"/>
        <v>0.72922898729310393</v>
      </c>
      <c r="FF49" s="5">
        <f t="shared" si="129"/>
        <v>72.92289872931039</v>
      </c>
      <c r="FG49">
        <f t="shared" si="130"/>
        <v>44</v>
      </c>
      <c r="FI49" s="562">
        <f t="shared" si="90"/>
        <v>-50</v>
      </c>
      <c r="FJ49">
        <f t="shared" si="91"/>
        <v>-50</v>
      </c>
      <c r="FL49">
        <f t="shared" si="92"/>
        <v>0.54304108225923076</v>
      </c>
    </row>
    <row r="50" spans="5:168">
      <c r="E50" s="170">
        <v>45</v>
      </c>
      <c r="F50" s="217">
        <f t="shared" si="174"/>
        <v>2.7</v>
      </c>
      <c r="G50" s="217">
        <f t="shared" si="171"/>
        <v>4.5000000000000005E-2</v>
      </c>
      <c r="H50" s="217">
        <f t="shared" si="135"/>
        <v>10.8</v>
      </c>
      <c r="I50" s="217">
        <f t="shared" si="175"/>
        <v>0.81</v>
      </c>
      <c r="J50" s="541">
        <f t="shared" si="136"/>
        <v>23.934846405229116</v>
      </c>
      <c r="K50" s="443">
        <f t="shared" si="137"/>
        <v>19.389973365016228</v>
      </c>
      <c r="L50" s="172">
        <f t="shared" si="138"/>
        <v>43.324819770245341</v>
      </c>
      <c r="M50" s="443"/>
      <c r="N50" s="217">
        <f t="shared" si="139"/>
        <v>0.44754885231704744</v>
      </c>
      <c r="O50" s="172">
        <f t="shared" si="172"/>
        <v>33.215544307116595</v>
      </c>
      <c r="P50" s="172">
        <f t="shared" si="140"/>
        <v>2.6780032597612751</v>
      </c>
      <c r="Q50" s="217">
        <f t="shared" si="6"/>
        <v>8.3038860767791487</v>
      </c>
      <c r="R50" s="217">
        <f t="shared" si="141"/>
        <v>1.8453080170620331</v>
      </c>
      <c r="S50" s="443">
        <f t="shared" si="142"/>
        <v>4</v>
      </c>
      <c r="T50" s="217">
        <f t="shared" si="143"/>
        <v>2.167659796096542</v>
      </c>
      <c r="U50" s="217">
        <f t="shared" si="10"/>
        <v>1.086780216290655</v>
      </c>
      <c r="V50" s="217">
        <f t="shared" si="11"/>
        <v>1.3415138362226799</v>
      </c>
      <c r="W50" s="197">
        <f t="shared" si="12"/>
        <v>350</v>
      </c>
      <c r="X50" s="443">
        <f t="shared" si="95"/>
        <v>350</v>
      </c>
      <c r="Z50" s="217">
        <f t="shared" si="13"/>
        <v>2.5504792950107373</v>
      </c>
      <c r="AA50" s="173">
        <f t="shared" si="14"/>
        <v>1.5784318505227217</v>
      </c>
      <c r="AB50" s="173">
        <f t="shared" si="144"/>
        <v>2.8180304273405796</v>
      </c>
      <c r="AC50" s="173"/>
      <c r="AD50" s="173">
        <f t="shared" si="16"/>
        <v>0.8251687456604514</v>
      </c>
      <c r="AE50" s="545">
        <f t="shared" si="145"/>
        <v>1227.021752004933</v>
      </c>
      <c r="AF50" s="528">
        <f t="shared" si="146"/>
        <v>0.77015749594975458</v>
      </c>
      <c r="AH50" s="173">
        <f t="shared" si="147"/>
        <v>2.3512914384591777</v>
      </c>
      <c r="AI50" s="173">
        <f t="shared" si="148"/>
        <v>2.3512914384591777</v>
      </c>
      <c r="AJ50" s="173">
        <f t="shared" si="149"/>
        <v>1.9540430408339586</v>
      </c>
      <c r="AL50" s="545">
        <f t="shared" si="150"/>
        <v>2700</v>
      </c>
      <c r="AM50" s="460">
        <f t="shared" si="151"/>
        <v>350</v>
      </c>
      <c r="AO50">
        <f t="shared" si="96"/>
        <v>2700</v>
      </c>
      <c r="AP50" s="460">
        <f t="shared" si="24"/>
        <v>350</v>
      </c>
      <c r="AQ50" s="460"/>
      <c r="AR50" s="5">
        <f t="shared" si="97"/>
        <v>2.8571428571428572</v>
      </c>
      <c r="AS50" s="5">
        <f t="shared" si="25"/>
        <v>1.1788459714262387</v>
      </c>
      <c r="AT50" s="5">
        <f t="shared" si="98"/>
        <v>1.6782968857166185</v>
      </c>
      <c r="AU50" s="173">
        <f t="shared" si="99"/>
        <v>0.41259608999918351</v>
      </c>
      <c r="AW50" s="5">
        <f t="shared" si="152"/>
        <v>79.572103071271115</v>
      </c>
      <c r="AX50" s="5">
        <f t="shared" si="153"/>
        <v>0.29471149285655973</v>
      </c>
      <c r="AY50" s="5">
        <f t="shared" si="28"/>
        <v>0.63107453107155109</v>
      </c>
      <c r="AZ50" s="5"/>
      <c r="BA50" s="173">
        <f t="shared" si="100"/>
        <v>0.87198374501473586</v>
      </c>
      <c r="BB50" s="173">
        <f t="shared" si="154"/>
        <v>4.1617332760035817</v>
      </c>
      <c r="BC50" s="173">
        <f t="shared" si="155"/>
        <v>7.929789079952769E-2</v>
      </c>
      <c r="BD50" s="173"/>
      <c r="BE50" s="528">
        <f t="shared" si="31"/>
        <v>9.2763389491530707E-3</v>
      </c>
      <c r="BF50" s="528">
        <f t="shared" si="156"/>
        <v>0.66851713555308145</v>
      </c>
      <c r="BG50" s="528">
        <f t="shared" si="157"/>
        <v>0.20942990604575473</v>
      </c>
      <c r="BH50" s="528">
        <f t="shared" si="34"/>
        <v>6.569640028434845E-2</v>
      </c>
      <c r="BI50">
        <f t="shared" si="35"/>
        <v>1.0770680882353102E-2</v>
      </c>
      <c r="BJ50" s="460">
        <f t="shared" si="101"/>
        <v>220.20058692810784</v>
      </c>
      <c r="BK50">
        <f t="shared" si="158"/>
        <v>0.74764233346949882</v>
      </c>
      <c r="BL50" s="460">
        <f t="shared" si="102"/>
        <v>747.64233346949879</v>
      </c>
      <c r="BM50" s="173">
        <f t="shared" si="159"/>
        <v>1.6773749999999998</v>
      </c>
      <c r="BN50" s="173">
        <f t="shared" si="160"/>
        <v>1.996875E-2</v>
      </c>
      <c r="BO50" s="528"/>
      <c r="BQ50" s="460">
        <f t="shared" si="103"/>
        <v>1697.34375</v>
      </c>
      <c r="BR50" s="528">
        <f t="shared" si="39"/>
        <v>2.2810669547097717E-2</v>
      </c>
      <c r="BS50" s="528">
        <f t="shared" si="104"/>
        <v>0.51960071581786516</v>
      </c>
      <c r="BT50" s="528">
        <f t="shared" si="161"/>
        <v>3.1440777426269089E-5</v>
      </c>
      <c r="BU50" s="528">
        <f t="shared" si="41"/>
        <v>0.97141827947827819</v>
      </c>
      <c r="BV50" s="528">
        <f t="shared" si="162"/>
        <v>1.7186279772606525</v>
      </c>
      <c r="BW50" s="625">
        <f t="shared" si="163"/>
        <v>4.8375000000000001E-2</v>
      </c>
      <c r="BX50" s="460">
        <f t="shared" si="105"/>
        <v>1767.0029772606526</v>
      </c>
      <c r="BY50" s="173">
        <f t="shared" si="106"/>
        <v>4.2119890607301507</v>
      </c>
      <c r="BZ50" s="5">
        <f t="shared" si="107"/>
        <v>11.610000000000001</v>
      </c>
      <c r="CA50" s="173">
        <f t="shared" si="108"/>
        <v>0.73378890324325785</v>
      </c>
      <c r="CB50" s="5">
        <f t="shared" si="109"/>
        <v>73.378890324325781</v>
      </c>
      <c r="CC50">
        <f t="shared" si="173"/>
        <v>45</v>
      </c>
      <c r="CE50" s="562">
        <f t="shared" si="164"/>
        <v>-50</v>
      </c>
      <c r="CF50">
        <f t="shared" si="165"/>
        <v>-50</v>
      </c>
      <c r="CG50" s="173">
        <f t="shared" si="166"/>
        <v>0.54917733445659522</v>
      </c>
      <c r="CH50" s="173">
        <f t="shared" si="167"/>
        <v>0.1406610693896107</v>
      </c>
      <c r="CI50" s="170">
        <v>45</v>
      </c>
      <c r="CJ50" s="217">
        <f t="shared" si="133"/>
        <v>2.7</v>
      </c>
      <c r="CK50" s="217">
        <f t="shared" si="111"/>
        <v>4.5000000000000005E-2</v>
      </c>
      <c r="CL50" s="217">
        <f t="shared" si="48"/>
        <v>10.8</v>
      </c>
      <c r="CM50" s="217">
        <f t="shared" si="134"/>
        <v>0.81</v>
      </c>
      <c r="CN50" s="541">
        <f t="shared" si="112"/>
        <v>24</v>
      </c>
      <c r="CO50" s="443">
        <f t="shared" si="168"/>
        <v>18.8</v>
      </c>
      <c r="CP50" s="443">
        <f t="shared" si="169"/>
        <v>42.8</v>
      </c>
      <c r="CQ50" s="443"/>
      <c r="CR50" s="217">
        <f t="shared" si="113"/>
        <v>0.43925233644859818</v>
      </c>
      <c r="CS50" s="172">
        <f t="shared" si="114"/>
        <v>32.688545968267775</v>
      </c>
      <c r="CT50" s="172">
        <f t="shared" si="51"/>
        <v>2.6355140186915893</v>
      </c>
      <c r="CU50" s="217">
        <f t="shared" si="52"/>
        <v>8.1721364920669437</v>
      </c>
      <c r="CV50" s="217">
        <f t="shared" si="53"/>
        <v>1.816030331570432</v>
      </c>
      <c r="CW50" s="443">
        <f t="shared" si="54"/>
        <v>4</v>
      </c>
      <c r="CX50" s="217">
        <f t="shared" si="55"/>
        <v>2.2026063829787232</v>
      </c>
      <c r="CY50" s="217">
        <f t="shared" si="56"/>
        <v>1.1013031914893616</v>
      </c>
      <c r="CZ50" s="217">
        <f t="shared" si="57"/>
        <v>1.4059189678587596</v>
      </c>
      <c r="DA50" s="197">
        <f t="shared" si="58"/>
        <v>350</v>
      </c>
      <c r="DB50" s="443">
        <f t="shared" si="115"/>
        <v>350</v>
      </c>
      <c r="DD50" s="217">
        <f t="shared" si="59"/>
        <v>2.5100133511348464</v>
      </c>
      <c r="DE50" s="173">
        <f t="shared" si="60"/>
        <v>1.6021361815754336</v>
      </c>
      <c r="DF50" s="173">
        <f t="shared" si="61"/>
        <v>2.8149682442633783</v>
      </c>
      <c r="DG50" s="173"/>
      <c r="DH50" s="173">
        <f t="shared" si="62"/>
        <v>0.85106382978723416</v>
      </c>
      <c r="DI50" s="545">
        <f t="shared" si="63"/>
        <v>1189.6874999999998</v>
      </c>
      <c r="DJ50" s="528">
        <f t="shared" si="64"/>
        <v>0.79432624113475192</v>
      </c>
      <c r="DL50" s="173">
        <f t="shared" si="65"/>
        <v>2.3512914384591777</v>
      </c>
      <c r="DM50" s="173">
        <f t="shared" si="66"/>
        <v>2.3512914384591777</v>
      </c>
      <c r="DN50" s="173">
        <f t="shared" si="67"/>
        <v>1.9540430408339586</v>
      </c>
      <c r="DP50" s="545">
        <f t="shared" si="68"/>
        <v>2700</v>
      </c>
      <c r="DQ50" s="460">
        <f t="shared" si="69"/>
        <v>350</v>
      </c>
      <c r="DS50">
        <f t="shared" si="116"/>
        <v>2700</v>
      </c>
      <c r="DT50" s="460">
        <f t="shared" si="70"/>
        <v>350</v>
      </c>
      <c r="DU50" s="460"/>
      <c r="DV50" s="5">
        <f t="shared" si="117"/>
        <v>2.8571428571428572</v>
      </c>
      <c r="DW50" s="5">
        <f t="shared" si="71"/>
        <v>1.1756457192295888</v>
      </c>
      <c r="DX50" s="5">
        <f t="shared" si="118"/>
        <v>1.6814971379132684</v>
      </c>
      <c r="DY50" s="173">
        <f t="shared" si="119"/>
        <v>0.41147600173035609</v>
      </c>
      <c r="EA50" s="5">
        <f t="shared" si="72"/>
        <v>79.356086047997252</v>
      </c>
      <c r="EB50" s="5">
        <f t="shared" si="73"/>
        <v>0.29391142980739726</v>
      </c>
      <c r="EC50" s="5">
        <f t="shared" si="74"/>
        <v>0.6305614267174755</v>
      </c>
      <c r="ED50" s="5"/>
      <c r="EE50" s="173">
        <f t="shared" si="120"/>
        <v>0.8707993390575608</v>
      </c>
      <c r="EF50" s="173">
        <f t="shared" si="75"/>
        <v>4.165699276623906</v>
      </c>
      <c r="EG50" s="173">
        <f t="shared" si="76"/>
        <v>7.9373459189725784E-2</v>
      </c>
      <c r="EH50" s="173"/>
      <c r="EI50" s="528">
        <f t="shared" si="77"/>
        <v>9.2511561646176337E-3</v>
      </c>
      <c r="EJ50" s="528">
        <f t="shared" si="78"/>
        <v>0.70444691496236966</v>
      </c>
      <c r="EK50" s="528">
        <f t="shared" si="79"/>
        <v>4.3749999999999997E-2</v>
      </c>
      <c r="EL50" s="528">
        <f t="shared" si="80"/>
        <v>6.4114399999999988E-2</v>
      </c>
      <c r="EM50">
        <f t="shared" si="81"/>
        <v>1.0800000000000001E-2</v>
      </c>
      <c r="EN50" s="460">
        <f t="shared" si="121"/>
        <v>54.550000000000004</v>
      </c>
      <c r="EO50">
        <f t="shared" si="82"/>
        <v>0.83669941110242663</v>
      </c>
      <c r="EP50" s="460">
        <f t="shared" si="122"/>
        <v>836.69941110242667</v>
      </c>
      <c r="EQ50" s="173">
        <f t="shared" si="83"/>
        <v>1.6773749999999998</v>
      </c>
      <c r="ER50" s="173">
        <f t="shared" si="170"/>
        <v>1.996875E-2</v>
      </c>
      <c r="ES50" s="528"/>
      <c r="EU50" s="460">
        <f t="shared" si="123"/>
        <v>1697.34375</v>
      </c>
      <c r="EV50" s="528">
        <f t="shared" si="85"/>
        <v>2.2748744667092542E-2</v>
      </c>
      <c r="EW50" s="528">
        <f t="shared" si="124"/>
        <v>0.520591513897948</v>
      </c>
      <c r="EX50" s="528">
        <f t="shared" si="86"/>
        <v>3.1500730118715324E-5</v>
      </c>
      <c r="EY50" s="528">
        <f t="shared" si="87"/>
        <v>0.97141827947827819</v>
      </c>
      <c r="EZ50" s="528">
        <f t="shared" si="88"/>
        <v>1.7199657251651026</v>
      </c>
      <c r="FA50" s="625">
        <f t="shared" si="89"/>
        <v>4.8375000000000001E-2</v>
      </c>
      <c r="FB50" s="460">
        <f t="shared" si="125"/>
        <v>1768.3407251651026</v>
      </c>
      <c r="FC50" s="173">
        <f t="shared" si="126"/>
        <v>4.3023838862675294</v>
      </c>
      <c r="FD50" s="5">
        <f t="shared" si="127"/>
        <v>11.610000000000001</v>
      </c>
      <c r="FE50" s="173">
        <f t="shared" si="128"/>
        <v>0.72962040653251781</v>
      </c>
      <c r="FF50" s="5">
        <f t="shared" si="129"/>
        <v>72.962040653251776</v>
      </c>
      <c r="FG50">
        <f t="shared" si="130"/>
        <v>45</v>
      </c>
      <c r="FI50" s="562">
        <f t="shared" si="90"/>
        <v>-50</v>
      </c>
      <c r="FJ50">
        <f t="shared" si="91"/>
        <v>-50</v>
      </c>
      <c r="FL50">
        <f t="shared" si="92"/>
        <v>0.54917733445659522</v>
      </c>
    </row>
    <row r="51" spans="5:168">
      <c r="E51" s="170">
        <v>46</v>
      </c>
      <c r="F51" s="217">
        <f t="shared" si="174"/>
        <v>2.7600000000000002</v>
      </c>
      <c r="G51" s="217">
        <f t="shared" si="171"/>
        <v>4.6000000000000006E-2</v>
      </c>
      <c r="H51" s="217">
        <f t="shared" si="135"/>
        <v>11.040000000000001</v>
      </c>
      <c r="I51" s="217">
        <f t="shared" si="175"/>
        <v>0.82800000000000007</v>
      </c>
      <c r="J51" s="541">
        <f t="shared" si="136"/>
        <v>23.934126454149357</v>
      </c>
      <c r="K51" s="443">
        <f t="shared" si="137"/>
        <v>19.396492605630137</v>
      </c>
      <c r="L51" s="172">
        <f t="shared" si="138"/>
        <v>43.330619059779494</v>
      </c>
      <c r="M51" s="443"/>
      <c r="N51" s="217">
        <f t="shared" si="139"/>
        <v>0.4476394066484598</v>
      </c>
      <c r="O51" s="172">
        <f t="shared" si="172"/>
        <v>33.221265626618987</v>
      </c>
      <c r="P51" s="172">
        <f t="shared" si="140"/>
        <v>2.6784645411461558</v>
      </c>
      <c r="Q51" s="217">
        <f t="shared" si="6"/>
        <v>8.3053164066547467</v>
      </c>
      <c r="R51" s="217">
        <f t="shared" si="141"/>
        <v>1.8456258681454993</v>
      </c>
      <c r="S51" s="443">
        <f t="shared" si="142"/>
        <v>4</v>
      </c>
      <c r="T51" s="217">
        <f t="shared" si="143"/>
        <v>2.2154484066683784</v>
      </c>
      <c r="U51" s="217">
        <f t="shared" si="10"/>
        <v>1.1107729764422445</v>
      </c>
      <c r="V51" s="217">
        <f t="shared" si="11"/>
        <v>1.3706282584462572</v>
      </c>
      <c r="W51" s="197">
        <f t="shared" si="12"/>
        <v>350</v>
      </c>
      <c r="X51" s="443">
        <f t="shared" si="95"/>
        <v>350</v>
      </c>
      <c r="Z51" s="217">
        <f t="shared" si="13"/>
        <v>2.5509186106153869</v>
      </c>
      <c r="AA51" s="173">
        <f t="shared" si="14"/>
        <v>1.5781731238615435</v>
      </c>
      <c r="AB51" s="173">
        <f t="shared" si="144"/>
        <v>2.8180538347020034</v>
      </c>
      <c r="AC51" s="173"/>
      <c r="AD51" s="173">
        <f t="shared" si="16"/>
        <v>0.8248914030650959</v>
      </c>
      <c r="AE51" s="545">
        <f t="shared" si="145"/>
        <v>1254.7106154266992</v>
      </c>
      <c r="AF51" s="528">
        <f t="shared" si="146"/>
        <v>0.76989864286075638</v>
      </c>
      <c r="AH51" s="173">
        <f t="shared" si="147"/>
        <v>2.3772733480667658</v>
      </c>
      <c r="AI51" s="173">
        <f t="shared" si="148"/>
        <v>2.3772733480667658</v>
      </c>
      <c r="AJ51" s="173">
        <f t="shared" si="149"/>
        <v>1.9732888998025424</v>
      </c>
      <c r="AL51" s="545">
        <f t="shared" si="150"/>
        <v>2760.0000000000005</v>
      </c>
      <c r="AM51" s="460">
        <f t="shared" si="151"/>
        <v>350</v>
      </c>
      <c r="AO51">
        <f t="shared" si="96"/>
        <v>2760.0000000000005</v>
      </c>
      <c r="AP51" s="460">
        <f t="shared" si="24"/>
        <v>350</v>
      </c>
      <c r="AQ51" s="460"/>
      <c r="AR51" s="5">
        <f t="shared" si="97"/>
        <v>2.8571428571428572</v>
      </c>
      <c r="AS51" s="5">
        <f t="shared" si="25"/>
        <v>1.191908141350007</v>
      </c>
      <c r="AT51" s="5">
        <f t="shared" si="98"/>
        <v>1.6652347157928502</v>
      </c>
      <c r="AU51" s="173">
        <f t="shared" si="99"/>
        <v>0.41716784947250246</v>
      </c>
      <c r="AW51" s="5">
        <f t="shared" si="152"/>
        <v>82.241661753150481</v>
      </c>
      <c r="AX51" s="5">
        <f t="shared" si="153"/>
        <v>0.30459874723389069</v>
      </c>
      <c r="AY51" s="5">
        <f t="shared" si="28"/>
        <v>0.64009686815364142</v>
      </c>
      <c r="AZ51" s="5"/>
      <c r="BA51" s="173">
        <f t="shared" si="100"/>
        <v>0.8864901397440571</v>
      </c>
      <c r="BB51" s="173">
        <f t="shared" si="154"/>
        <v>4.1913143636736878</v>
      </c>
      <c r="BC51" s="173">
        <f t="shared" si="155"/>
        <v>7.9861530442971632E-2</v>
      </c>
      <c r="BD51" s="173"/>
      <c r="BE51" s="528">
        <f t="shared" si="31"/>
        <v>9.5875501679339413E-3</v>
      </c>
      <c r="BF51" s="528">
        <f t="shared" si="156"/>
        <v>0.67599476336468733</v>
      </c>
      <c r="BG51" s="528">
        <f t="shared" si="157"/>
        <v>0.20942360647380687</v>
      </c>
      <c r="BH51" s="528">
        <f t="shared" si="34"/>
        <v>6.5713989183630403E-2</v>
      </c>
      <c r="BI51">
        <f t="shared" si="35"/>
        <v>1.077035690436721E-2</v>
      </c>
      <c r="BJ51" s="460">
        <f t="shared" si="101"/>
        <v>220.19396337817406</v>
      </c>
      <c r="BK51">
        <f t="shared" si="158"/>
        <v>0.75560621366701641</v>
      </c>
      <c r="BL51" s="460">
        <f t="shared" si="102"/>
        <v>755.60621366701639</v>
      </c>
      <c r="BM51" s="173">
        <f t="shared" si="159"/>
        <v>1.7146499999999998</v>
      </c>
      <c r="BN51" s="173">
        <f t="shared" si="160"/>
        <v>2.04125E-2</v>
      </c>
      <c r="BO51" s="528"/>
      <c r="BQ51" s="460">
        <f t="shared" si="103"/>
        <v>1735.0624999999998</v>
      </c>
      <c r="BR51" s="528">
        <f t="shared" si="39"/>
        <v>2.3575943035903133E-2</v>
      </c>
      <c r="BS51" s="528">
        <f t="shared" si="104"/>
        <v>0.5270134828541212</v>
      </c>
      <c r="BT51" s="528">
        <f t="shared" si="161"/>
        <v>3.1889320223468428E-5</v>
      </c>
      <c r="BU51" s="528">
        <f t="shared" si="41"/>
        <v>0.99847666327145002</v>
      </c>
      <c r="BV51" s="528">
        <f t="shared" si="162"/>
        <v>1.758718108365124</v>
      </c>
      <c r="BW51" s="625">
        <f t="shared" si="163"/>
        <v>4.9449999999999994E-2</v>
      </c>
      <c r="BX51" s="460">
        <f t="shared" si="105"/>
        <v>1808.168108365124</v>
      </c>
      <c r="BY51" s="173">
        <f t="shared" si="106"/>
        <v>4.2988368220321398</v>
      </c>
      <c r="BZ51" s="5">
        <f t="shared" si="107"/>
        <v>11.868</v>
      </c>
      <c r="CA51" s="173">
        <f t="shared" si="108"/>
        <v>0.73409536637533879</v>
      </c>
      <c r="CB51" s="5">
        <f t="shared" si="109"/>
        <v>73.409536637533876</v>
      </c>
      <c r="CC51">
        <f t="shared" si="173"/>
        <v>46</v>
      </c>
      <c r="CE51" s="562">
        <f t="shared" si="164"/>
        <v>-50</v>
      </c>
      <c r="CF51">
        <f t="shared" si="165"/>
        <v>-50</v>
      </c>
      <c r="CG51" s="173">
        <f t="shared" si="166"/>
        <v>0.55524577651741358</v>
      </c>
      <c r="CH51" s="173">
        <f t="shared" si="167"/>
        <v>0.14221538253446803</v>
      </c>
      <c r="CI51" s="170">
        <v>46</v>
      </c>
      <c r="CJ51" s="217">
        <f t="shared" si="133"/>
        <v>2.7600000000000002</v>
      </c>
      <c r="CK51" s="217">
        <f t="shared" si="111"/>
        <v>4.6000000000000006E-2</v>
      </c>
      <c r="CL51" s="217">
        <f t="shared" si="48"/>
        <v>11.040000000000001</v>
      </c>
      <c r="CM51" s="217">
        <f t="shared" si="134"/>
        <v>0.82800000000000007</v>
      </c>
      <c r="CN51" s="541">
        <f t="shared" si="112"/>
        <v>24</v>
      </c>
      <c r="CO51" s="443">
        <f t="shared" si="168"/>
        <v>18.8</v>
      </c>
      <c r="CP51" s="443">
        <f t="shared" si="169"/>
        <v>42.8</v>
      </c>
      <c r="CQ51" s="443"/>
      <c r="CR51" s="217">
        <f t="shared" si="113"/>
        <v>0.43925233644859818</v>
      </c>
      <c r="CS51" s="172">
        <f t="shared" si="114"/>
        <v>32.688545968267775</v>
      </c>
      <c r="CT51" s="172">
        <f t="shared" si="51"/>
        <v>2.6355140186915893</v>
      </c>
      <c r="CU51" s="217">
        <f t="shared" si="52"/>
        <v>8.1721364920669437</v>
      </c>
      <c r="CV51" s="217">
        <f t="shared" si="53"/>
        <v>1.816030331570432</v>
      </c>
      <c r="CW51" s="443">
        <f t="shared" si="54"/>
        <v>4</v>
      </c>
      <c r="CX51" s="217">
        <f t="shared" si="55"/>
        <v>2.2515531914893612</v>
      </c>
      <c r="CY51" s="217">
        <f t="shared" si="56"/>
        <v>1.1257765957446806</v>
      </c>
      <c r="CZ51" s="217">
        <f t="shared" si="57"/>
        <v>1.4371616115889541</v>
      </c>
      <c r="DA51" s="197">
        <f t="shared" si="58"/>
        <v>350</v>
      </c>
      <c r="DB51" s="443">
        <f t="shared" si="115"/>
        <v>350</v>
      </c>
      <c r="DD51" s="217">
        <f t="shared" si="59"/>
        <v>2.5100133511348464</v>
      </c>
      <c r="DE51" s="173">
        <f t="shared" si="60"/>
        <v>1.6021361815754336</v>
      </c>
      <c r="DF51" s="173">
        <f t="shared" si="61"/>
        <v>2.8149682442633783</v>
      </c>
      <c r="DG51" s="173"/>
      <c r="DH51" s="173">
        <f t="shared" si="62"/>
        <v>0.85106382978723416</v>
      </c>
      <c r="DI51" s="545">
        <f t="shared" si="63"/>
        <v>1216.1249999999998</v>
      </c>
      <c r="DJ51" s="528">
        <f t="shared" si="64"/>
        <v>0.79432624113475192</v>
      </c>
      <c r="DL51" s="173">
        <f t="shared" si="65"/>
        <v>2.3772733480667658</v>
      </c>
      <c r="DM51" s="173">
        <f t="shared" si="66"/>
        <v>2.3772733480667658</v>
      </c>
      <c r="DN51" s="173">
        <f t="shared" si="67"/>
        <v>1.9732888998025424</v>
      </c>
      <c r="DP51" s="545">
        <f t="shared" si="68"/>
        <v>2760.0000000000005</v>
      </c>
      <c r="DQ51" s="460">
        <f t="shared" si="69"/>
        <v>350</v>
      </c>
      <c r="DS51">
        <f t="shared" si="116"/>
        <v>2760.0000000000005</v>
      </c>
      <c r="DT51" s="460">
        <f t="shared" si="70"/>
        <v>350</v>
      </c>
      <c r="DU51" s="460"/>
      <c r="DV51" s="5">
        <f t="shared" si="117"/>
        <v>2.8571428571428572</v>
      </c>
      <c r="DW51" s="5">
        <f t="shared" si="71"/>
        <v>1.1886366740333829</v>
      </c>
      <c r="DX51" s="5">
        <f t="shared" si="118"/>
        <v>1.6685061831094743</v>
      </c>
      <c r="DY51" s="173">
        <f t="shared" si="119"/>
        <v>0.41602283591168399</v>
      </c>
      <c r="EA51" s="5">
        <f t="shared" si="72"/>
        <v>82.015930508303427</v>
      </c>
      <c r="EB51" s="5">
        <f t="shared" si="73"/>
        <v>0.30376270558630902</v>
      </c>
      <c r="EC51" s="5">
        <f t="shared" si="74"/>
        <v>0.63959403685863181</v>
      </c>
      <c r="ED51" s="5"/>
      <c r="EE51" s="173">
        <f t="shared" si="120"/>
        <v>0.88527271527630225</v>
      </c>
      <c r="EF51" s="173">
        <f t="shared" si="75"/>
        <v>4.1954294052396524</v>
      </c>
      <c r="EG51" s="173">
        <f t="shared" si="76"/>
        <v>7.9939938667404203E-2</v>
      </c>
      <c r="EH51" s="173"/>
      <c r="EI51" s="528">
        <f t="shared" si="77"/>
        <v>9.5612349210346566E-3</v>
      </c>
      <c r="EJ51" s="528">
        <f t="shared" si="78"/>
        <v>0.71223109508080296</v>
      </c>
      <c r="EK51" s="528">
        <f t="shared" si="79"/>
        <v>4.3749999999999997E-2</v>
      </c>
      <c r="EL51" s="528">
        <f t="shared" si="80"/>
        <v>6.4114399999999988E-2</v>
      </c>
      <c r="EM51">
        <f t="shared" si="81"/>
        <v>1.0800000000000001E-2</v>
      </c>
      <c r="EN51" s="460">
        <f t="shared" si="121"/>
        <v>54.550000000000004</v>
      </c>
      <c r="EO51">
        <f t="shared" si="82"/>
        <v>0.8449577958107406</v>
      </c>
      <c r="EP51" s="460">
        <f t="shared" si="122"/>
        <v>844.95779581074055</v>
      </c>
      <c r="EQ51" s="173">
        <f t="shared" si="83"/>
        <v>1.7146499999999998</v>
      </c>
      <c r="ER51" s="173">
        <f t="shared" si="170"/>
        <v>2.04125E-2</v>
      </c>
      <c r="ES51" s="528"/>
      <c r="EU51" s="460">
        <f t="shared" si="123"/>
        <v>1735.0624999999998</v>
      </c>
      <c r="EV51" s="528">
        <f t="shared" si="85"/>
        <v>2.3511233412380306E-2</v>
      </c>
      <c r="EW51" s="528">
        <f t="shared" si="124"/>
        <v>0.52804883683048631</v>
      </c>
      <c r="EX51" s="528">
        <f t="shared" si="86"/>
        <v>3.1951968970741731E-5</v>
      </c>
      <c r="EY51" s="528">
        <f t="shared" si="87"/>
        <v>0.99847666327145002</v>
      </c>
      <c r="EZ51" s="528">
        <f t="shared" si="88"/>
        <v>1.7601202331115666</v>
      </c>
      <c r="FA51" s="625">
        <f t="shared" si="89"/>
        <v>4.9449999999999994E-2</v>
      </c>
      <c r="FB51" s="460">
        <f t="shared" si="125"/>
        <v>1809.5702331115667</v>
      </c>
      <c r="FC51" s="173">
        <f t="shared" si="126"/>
        <v>4.3895905289223069</v>
      </c>
      <c r="FD51" s="5">
        <f t="shared" si="127"/>
        <v>11.868</v>
      </c>
      <c r="FE51" s="173">
        <f t="shared" si="128"/>
        <v>0.72999747280427496</v>
      </c>
      <c r="FF51" s="5">
        <f t="shared" si="129"/>
        <v>72.999747280427499</v>
      </c>
      <c r="FG51">
        <f t="shared" si="130"/>
        <v>46</v>
      </c>
      <c r="FI51" s="562">
        <f t="shared" si="90"/>
        <v>-50</v>
      </c>
      <c r="FJ51">
        <f t="shared" si="91"/>
        <v>-50</v>
      </c>
      <c r="FL51">
        <f t="shared" si="92"/>
        <v>0.55524577651741358</v>
      </c>
    </row>
    <row r="52" spans="5:168">
      <c r="E52" s="170">
        <v>47</v>
      </c>
      <c r="F52" s="217">
        <f t="shared" si="174"/>
        <v>2.82</v>
      </c>
      <c r="G52" s="217">
        <f t="shared" si="171"/>
        <v>4.7E-2</v>
      </c>
      <c r="H52" s="217">
        <f t="shared" si="135"/>
        <v>11.28</v>
      </c>
      <c r="I52" s="217">
        <f t="shared" si="175"/>
        <v>0.84599999999999997</v>
      </c>
      <c r="J52" s="541">
        <f t="shared" si="136"/>
        <v>23.933414287010613</v>
      </c>
      <c r="K52" s="443">
        <f t="shared" si="137"/>
        <v>19.402941361754429</v>
      </c>
      <c r="L52" s="172">
        <f t="shared" si="138"/>
        <v>43.336355648765043</v>
      </c>
      <c r="M52" s="443"/>
      <c r="N52" s="217">
        <f t="shared" si="139"/>
        <v>0.4477289580834275</v>
      </c>
      <c r="O52" s="172">
        <f t="shared" si="172"/>
        <v>33.226922921247379</v>
      </c>
      <c r="P52" s="172">
        <f t="shared" si="140"/>
        <v>2.67892066052557</v>
      </c>
      <c r="Q52" s="217">
        <f t="shared" si="6"/>
        <v>8.3067307303118447</v>
      </c>
      <c r="R52" s="217">
        <f t="shared" si="141"/>
        <v>1.845940162291521</v>
      </c>
      <c r="S52" s="443">
        <f t="shared" si="142"/>
        <v>4</v>
      </c>
      <c r="T52" s="217">
        <f t="shared" si="143"/>
        <v>2.2632249208942667</v>
      </c>
      <c r="U52" s="217">
        <f t="shared" si="10"/>
        <v>1.1347607460031746</v>
      </c>
      <c r="V52" s="217">
        <f t="shared" si="11"/>
        <v>1.399720719883446</v>
      </c>
      <c r="W52" s="197">
        <f t="shared" si="12"/>
        <v>350</v>
      </c>
      <c r="X52" s="443">
        <f t="shared" si="95"/>
        <v>350</v>
      </c>
      <c r="Z52" s="217">
        <f t="shared" si="13"/>
        <v>2.5513530100243522</v>
      </c>
      <c r="AA52" s="173">
        <f t="shared" si="14"/>
        <v>1.577917262618779</v>
      </c>
      <c r="AB52" s="173">
        <f t="shared" si="144"/>
        <v>2.8180767702862655</v>
      </c>
      <c r="AC52" s="173"/>
      <c r="AD52" s="173">
        <f t="shared" si="16"/>
        <v>0.82461724239078305</v>
      </c>
      <c r="AE52" s="545">
        <f t="shared" si="145"/>
        <v>1282.4131556284563</v>
      </c>
      <c r="AF52" s="528">
        <f t="shared" si="146"/>
        <v>0.76964275956473094</v>
      </c>
      <c r="AH52" s="173">
        <f t="shared" si="147"/>
        <v>2.4029743474048395</v>
      </c>
      <c r="AI52" s="173">
        <f t="shared" si="148"/>
        <v>2.2632249208942667</v>
      </c>
      <c r="AJ52" s="173">
        <f t="shared" si="149"/>
        <v>1.8888085833784691</v>
      </c>
      <c r="AL52" s="545">
        <f t="shared" si="150"/>
        <v>2820</v>
      </c>
      <c r="AM52" s="460">
        <f t="shared" si="151"/>
        <v>350</v>
      </c>
      <c r="AO52">
        <f t="shared" si="96"/>
        <v>2820</v>
      </c>
      <c r="AP52" s="460">
        <f t="shared" si="24"/>
        <v>350</v>
      </c>
      <c r="AQ52" s="460"/>
      <c r="AR52" s="5">
        <f t="shared" si="97"/>
        <v>2.8571428571428572</v>
      </c>
      <c r="AS52" s="5">
        <f t="shared" si="25"/>
        <v>1.1347607460031746</v>
      </c>
      <c r="AT52" s="5">
        <f t="shared" si="98"/>
        <v>1.7223821111396826</v>
      </c>
      <c r="AU52" s="173">
        <f t="shared" si="99"/>
        <v>0.39716626110111108</v>
      </c>
      <c r="AW52" s="5">
        <f t="shared" si="152"/>
        <v>80.000632593223798</v>
      </c>
      <c r="AX52" s="5">
        <f t="shared" si="153"/>
        <v>0.29629863923416228</v>
      </c>
      <c r="AY52" s="5">
        <f t="shared" si="28"/>
        <v>0.67647647972650637</v>
      </c>
      <c r="AZ52" s="5"/>
      <c r="BA52" s="173">
        <f t="shared" si="100"/>
        <v>0.82348039368541648</v>
      </c>
      <c r="BB52" s="173">
        <f t="shared" si="154"/>
        <v>4.0581290705308977</v>
      </c>
      <c r="BC52" s="173">
        <f t="shared" si="155"/>
        <v>7.7323810668223858E-2</v>
      </c>
      <c r="BD52" s="173"/>
      <c r="BE52" s="528">
        <f t="shared" si="31"/>
        <v>8.2730634971683193E-3</v>
      </c>
      <c r="BF52" s="528">
        <f t="shared" si="156"/>
        <v>0.64364947555795726</v>
      </c>
      <c r="BG52" s="528">
        <f t="shared" si="157"/>
        <v>0.20941737501134286</v>
      </c>
      <c r="BH52" s="528">
        <f t="shared" si="34"/>
        <v>6.573139023206874E-2</v>
      </c>
      <c r="BI52">
        <f t="shared" si="35"/>
        <v>1.0770036429154776E-2</v>
      </c>
      <c r="BJ52" s="460">
        <f t="shared" si="101"/>
        <v>220.18741144049764</v>
      </c>
      <c r="BK52">
        <f t="shared" si="158"/>
        <v>0.72130551216903016</v>
      </c>
      <c r="BL52" s="460">
        <f t="shared" si="102"/>
        <v>721.30551216903018</v>
      </c>
      <c r="BM52" s="173">
        <f t="shared" si="159"/>
        <v>1.7519249999999997</v>
      </c>
      <c r="BN52" s="173">
        <f t="shared" si="160"/>
        <v>2.085625E-2</v>
      </c>
      <c r="BO52" s="528"/>
      <c r="BQ52" s="460">
        <f t="shared" si="103"/>
        <v>1772.7812499999998</v>
      </c>
      <c r="BR52" s="528">
        <f t="shared" si="39"/>
        <v>2.0343598763528654E-2</v>
      </c>
      <c r="BS52" s="528">
        <f t="shared" si="104"/>
        <v>0.49405234659263902</v>
      </c>
      <c r="BT52" s="528">
        <f t="shared" si="161"/>
        <v>2.9894858481276649E-5</v>
      </c>
      <c r="BU52" s="528">
        <f t="shared" si="41"/>
        <v>0.88299736320057065</v>
      </c>
      <c r="BV52" s="528">
        <f t="shared" si="162"/>
        <v>1.5861624407716037</v>
      </c>
      <c r="BW52" s="625">
        <f t="shared" si="163"/>
        <v>4.4819136622372524E-2</v>
      </c>
      <c r="BX52" s="460">
        <f t="shared" si="105"/>
        <v>1630.9815773939763</v>
      </c>
      <c r="BY52" s="173">
        <f t="shared" si="106"/>
        <v>4.1250683395630059</v>
      </c>
      <c r="BZ52" s="5">
        <f t="shared" si="107"/>
        <v>12.125999999999999</v>
      </c>
      <c r="CA52" s="173">
        <f t="shared" si="108"/>
        <v>0.74616632867633792</v>
      </c>
      <c r="CB52" s="5">
        <f t="shared" si="109"/>
        <v>74.616632867633797</v>
      </c>
      <c r="CC52">
        <f t="shared" si="173"/>
        <v>47</v>
      </c>
      <c r="CE52" s="562">
        <f t="shared" si="164"/>
        <v>-50</v>
      </c>
      <c r="CF52">
        <f t="shared" si="165"/>
        <v>-50</v>
      </c>
      <c r="CG52" s="173">
        <f t="shared" si="166"/>
        <v>0.56124860801609122</v>
      </c>
      <c r="CH52" s="173">
        <f t="shared" si="167"/>
        <v>0.143752890812746</v>
      </c>
      <c r="CI52" s="170">
        <v>47</v>
      </c>
      <c r="CJ52" s="217">
        <f t="shared" si="133"/>
        <v>2.82</v>
      </c>
      <c r="CK52" s="217">
        <f t="shared" si="111"/>
        <v>4.7E-2</v>
      </c>
      <c r="CL52" s="217">
        <f t="shared" si="48"/>
        <v>11.28</v>
      </c>
      <c r="CM52" s="217">
        <f t="shared" si="134"/>
        <v>0.84599999999999997</v>
      </c>
      <c r="CN52" s="541">
        <f t="shared" si="112"/>
        <v>24</v>
      </c>
      <c r="CO52" s="443">
        <f t="shared" si="168"/>
        <v>18.8</v>
      </c>
      <c r="CP52" s="443">
        <f t="shared" si="169"/>
        <v>42.8</v>
      </c>
      <c r="CQ52" s="443"/>
      <c r="CR52" s="217">
        <f t="shared" si="113"/>
        <v>0.43925233644859818</v>
      </c>
      <c r="CS52" s="172">
        <f t="shared" si="114"/>
        <v>32.688545968267775</v>
      </c>
      <c r="CT52" s="172">
        <f t="shared" si="51"/>
        <v>2.6355140186915893</v>
      </c>
      <c r="CU52" s="217">
        <f t="shared" si="52"/>
        <v>8.1721364920669437</v>
      </c>
      <c r="CV52" s="217">
        <f t="shared" si="53"/>
        <v>1.816030331570432</v>
      </c>
      <c r="CW52" s="443">
        <f t="shared" si="54"/>
        <v>4</v>
      </c>
      <c r="CX52" s="217">
        <f t="shared" si="55"/>
        <v>2.3004999999999995</v>
      </c>
      <c r="CY52" s="217">
        <f t="shared" si="56"/>
        <v>1.15025</v>
      </c>
      <c r="CZ52" s="217">
        <f t="shared" si="57"/>
        <v>1.4684042553191488</v>
      </c>
      <c r="DA52" s="197">
        <f t="shared" si="58"/>
        <v>350</v>
      </c>
      <c r="DB52" s="443">
        <f t="shared" si="115"/>
        <v>350</v>
      </c>
      <c r="DD52" s="217">
        <f t="shared" si="59"/>
        <v>2.5100133511348464</v>
      </c>
      <c r="DE52" s="173">
        <f t="shared" si="60"/>
        <v>1.6021361815754336</v>
      </c>
      <c r="DF52" s="173">
        <f t="shared" si="61"/>
        <v>2.8149682442633783</v>
      </c>
      <c r="DG52" s="173"/>
      <c r="DH52" s="173">
        <f t="shared" si="62"/>
        <v>0.85106382978723416</v>
      </c>
      <c r="DI52" s="545">
        <f t="shared" si="63"/>
        <v>1242.5624999999995</v>
      </c>
      <c r="DJ52" s="528">
        <f t="shared" si="64"/>
        <v>0.79432624113475192</v>
      </c>
      <c r="DL52" s="173">
        <f t="shared" si="65"/>
        <v>2.4029743474048395</v>
      </c>
      <c r="DM52" s="173">
        <f t="shared" si="66"/>
        <v>2.3004999999999995</v>
      </c>
      <c r="DN52" s="173">
        <f t="shared" si="67"/>
        <v>1.9164197530864193</v>
      </c>
      <c r="DP52" s="545">
        <f t="shared" si="68"/>
        <v>2820</v>
      </c>
      <c r="DQ52" s="460">
        <f t="shared" si="69"/>
        <v>350</v>
      </c>
      <c r="DS52">
        <f t="shared" si="116"/>
        <v>2820</v>
      </c>
      <c r="DT52" s="460">
        <f t="shared" si="70"/>
        <v>350</v>
      </c>
      <c r="DU52" s="460"/>
      <c r="DV52" s="5">
        <f t="shared" si="117"/>
        <v>2.8571428571428572</v>
      </c>
      <c r="DW52" s="5">
        <f t="shared" si="71"/>
        <v>1.15025</v>
      </c>
      <c r="DX52" s="5">
        <f t="shared" si="118"/>
        <v>1.7068928571428572</v>
      </c>
      <c r="DY52" s="173">
        <f t="shared" si="119"/>
        <v>0.40258749999999999</v>
      </c>
      <c r="EA52" s="5">
        <f t="shared" si="72"/>
        <v>81.092624999999998</v>
      </c>
      <c r="EB52" s="5">
        <f t="shared" si="73"/>
        <v>0.30034305555555557</v>
      </c>
      <c r="EC52" s="5">
        <f t="shared" si="74"/>
        <v>0.66853303571428568</v>
      </c>
      <c r="ED52" s="5"/>
      <c r="EE52" s="173">
        <f t="shared" si="120"/>
        <v>0.84273640143223782</v>
      </c>
      <c r="EF52" s="173">
        <f t="shared" si="75"/>
        <v>4.1063763900244208</v>
      </c>
      <c r="EG52" s="173">
        <f t="shared" si="76"/>
        <v>7.8243117701816675E-2</v>
      </c>
      <c r="EH52" s="173"/>
      <c r="EI52" s="528">
        <f t="shared" si="77"/>
        <v>8.664496636047285E-3</v>
      </c>
      <c r="EJ52" s="528">
        <f t="shared" si="78"/>
        <v>0.68922979999999989</v>
      </c>
      <c r="EK52" s="528">
        <f t="shared" si="79"/>
        <v>4.3749999999999997E-2</v>
      </c>
      <c r="EL52" s="528">
        <f t="shared" si="80"/>
        <v>6.4114399999999988E-2</v>
      </c>
      <c r="EM52">
        <f t="shared" si="81"/>
        <v>1.0800000000000001E-2</v>
      </c>
      <c r="EN52" s="460">
        <f t="shared" si="121"/>
        <v>54.550000000000004</v>
      </c>
      <c r="EO52">
        <f t="shared" si="82"/>
        <v>0.82058744129259975</v>
      </c>
      <c r="EP52" s="460">
        <f t="shared" si="122"/>
        <v>820.58744129259981</v>
      </c>
      <c r="EQ52" s="173">
        <f t="shared" si="83"/>
        <v>1.7519249999999997</v>
      </c>
      <c r="ER52" s="173">
        <f t="shared" si="170"/>
        <v>2.085625E-2</v>
      </c>
      <c r="ES52" s="528"/>
      <c r="EU52" s="460">
        <f t="shared" si="123"/>
        <v>1772.7812499999998</v>
      </c>
      <c r="EV52" s="528">
        <f t="shared" si="85"/>
        <v>2.1306139268968734E-2</v>
      </c>
      <c r="EW52" s="528">
        <f t="shared" si="124"/>
        <v>0.5058698116964998</v>
      </c>
      <c r="EX52" s="528">
        <f t="shared" si="86"/>
        <v>3.0609927338501688E-5</v>
      </c>
      <c r="EY52" s="528">
        <f t="shared" si="87"/>
        <v>0.91980487964407109</v>
      </c>
      <c r="EZ52" s="528">
        <f t="shared" si="88"/>
        <v>1.6428298700237267</v>
      </c>
      <c r="FA52" s="625">
        <f t="shared" si="89"/>
        <v>4.6307627187499985E-2</v>
      </c>
      <c r="FB52" s="460">
        <f t="shared" si="125"/>
        <v>1689.1374972112267</v>
      </c>
      <c r="FC52" s="173">
        <f t="shared" si="126"/>
        <v>4.2825061885038265</v>
      </c>
      <c r="FD52" s="5">
        <f t="shared" si="127"/>
        <v>12.125999999999999</v>
      </c>
      <c r="FE52" s="173">
        <f t="shared" si="128"/>
        <v>0.7390069431485331</v>
      </c>
      <c r="FF52" s="5">
        <f t="shared" si="129"/>
        <v>73.900694314853311</v>
      </c>
      <c r="FG52">
        <f t="shared" si="130"/>
        <v>47</v>
      </c>
      <c r="FI52" s="562">
        <f t="shared" si="90"/>
        <v>-50</v>
      </c>
      <c r="FJ52">
        <f t="shared" si="91"/>
        <v>-50</v>
      </c>
      <c r="FL52">
        <f t="shared" si="92"/>
        <v>0.56124860801609122</v>
      </c>
    </row>
    <row r="53" spans="5:168">
      <c r="E53" s="170">
        <v>48</v>
      </c>
      <c r="F53" s="217">
        <f t="shared" si="174"/>
        <v>2.88</v>
      </c>
      <c r="G53" s="217">
        <f t="shared" si="171"/>
        <v>4.8000000000000001E-2</v>
      </c>
      <c r="H53" s="217">
        <f t="shared" si="135"/>
        <v>11.52</v>
      </c>
      <c r="I53" s="217">
        <f t="shared" si="175"/>
        <v>0.86399999999999999</v>
      </c>
      <c r="J53" s="541">
        <f t="shared" si="136"/>
        <v>23.932709656668486</v>
      </c>
      <c r="K53" s="443">
        <f t="shared" si="137"/>
        <v>19.409321871310347</v>
      </c>
      <c r="L53" s="172">
        <f t="shared" si="138"/>
        <v>43.342031527978833</v>
      </c>
      <c r="M53" s="443"/>
      <c r="N53" s="217">
        <f t="shared" si="139"/>
        <v>0.44781753847373157</v>
      </c>
      <c r="O53" s="172">
        <f t="shared" si="172"/>
        <v>33.232518224669114</v>
      </c>
      <c r="P53" s="172">
        <f t="shared" si="140"/>
        <v>2.6793717818639471</v>
      </c>
      <c r="Q53" s="217">
        <f t="shared" si="6"/>
        <v>8.3081295561672786</v>
      </c>
      <c r="R53" s="217">
        <f t="shared" si="141"/>
        <v>1.8462510124816174</v>
      </c>
      <c r="S53" s="443">
        <f t="shared" si="142"/>
        <v>4</v>
      </c>
      <c r="T53" s="217">
        <f t="shared" si="143"/>
        <v>2.3109894796654307</v>
      </c>
      <c r="U53" s="217">
        <f t="shared" si="10"/>
        <v>1.1587435837319868</v>
      </c>
      <c r="V53" s="217">
        <f t="shared" si="11"/>
        <v>1.4287914817352121</v>
      </c>
      <c r="W53" s="197">
        <f t="shared" si="12"/>
        <v>350</v>
      </c>
      <c r="X53" s="443">
        <f t="shared" si="95"/>
        <v>350</v>
      </c>
      <c r="Z53" s="217">
        <f t="shared" si="13"/>
        <v>2.5517826493942346</v>
      </c>
      <c r="AA53" s="173">
        <f t="shared" si="14"/>
        <v>1.5776641757893384</v>
      </c>
      <c r="AB53" s="173">
        <f t="shared" si="144"/>
        <v>2.8180992492450629</v>
      </c>
      <c r="AC53" s="173"/>
      <c r="AD53" s="173">
        <f t="shared" si="16"/>
        <v>0.82434616243085801</v>
      </c>
      <c r="AE53" s="545">
        <f t="shared" si="145"/>
        <v>1310.1292263134478</v>
      </c>
      <c r="AF53" s="528">
        <f t="shared" si="146"/>
        <v>0.7693897516021343</v>
      </c>
      <c r="AH53" s="173">
        <f t="shared" si="147"/>
        <v>2.4284033555286602</v>
      </c>
      <c r="AI53" s="173">
        <f t="shared" si="148"/>
        <v>2.3109894796654307</v>
      </c>
      <c r="AJ53" s="173">
        <f t="shared" si="149"/>
        <v>1.9241897380237756</v>
      </c>
      <c r="AL53" s="545">
        <f t="shared" si="150"/>
        <v>2880</v>
      </c>
      <c r="AM53" s="460">
        <f t="shared" si="151"/>
        <v>350</v>
      </c>
      <c r="AO53">
        <f t="shared" si="96"/>
        <v>2880</v>
      </c>
      <c r="AP53" s="460">
        <f t="shared" si="24"/>
        <v>350</v>
      </c>
      <c r="AQ53" s="460"/>
      <c r="AR53" s="5">
        <f t="shared" si="97"/>
        <v>2.8571428571428572</v>
      </c>
      <c r="AS53" s="5">
        <f t="shared" si="25"/>
        <v>1.1587435837319868</v>
      </c>
      <c r="AT53" s="5">
        <f t="shared" si="98"/>
        <v>1.6983992734108704</v>
      </c>
      <c r="AU53" s="173">
        <f t="shared" si="99"/>
        <v>0.40556025430619536</v>
      </c>
      <c r="AW53" s="5">
        <f t="shared" si="152"/>
        <v>83.429538028703035</v>
      </c>
      <c r="AX53" s="5">
        <f t="shared" si="153"/>
        <v>0.30899828899519655</v>
      </c>
      <c r="AY53" s="5">
        <f t="shared" si="28"/>
        <v>0.68126982939440439</v>
      </c>
      <c r="AZ53" s="5"/>
      <c r="BA53" s="173">
        <f t="shared" si="100"/>
        <v>0.84969885775716303</v>
      </c>
      <c r="BB53" s="173">
        <f t="shared" si="154"/>
        <v>4.114823886715163</v>
      </c>
      <c r="BC53" s="173">
        <f t="shared" si="155"/>
        <v>7.8404076760383509E-2</v>
      </c>
      <c r="BD53" s="173"/>
      <c r="BE53" s="528">
        <f t="shared" si="31"/>
        <v>8.8082554162606953E-3</v>
      </c>
      <c r="BF53" s="528">
        <f t="shared" si="156"/>
        <v>0.65731954895569256</v>
      </c>
      <c r="BG53" s="528">
        <f t="shared" si="157"/>
        <v>0.20941120949584921</v>
      </c>
      <c r="BH53" s="528">
        <f t="shared" si="34"/>
        <v>6.5748609394030891E-2</v>
      </c>
      <c r="BI53">
        <f t="shared" si="35"/>
        <v>1.0769719345500818E-2</v>
      </c>
      <c r="BJ53" s="460">
        <f t="shared" si="101"/>
        <v>220.18092884135001</v>
      </c>
      <c r="BK53">
        <f t="shared" si="158"/>
        <v>0.73579454407605427</v>
      </c>
      <c r="BL53" s="460">
        <f t="shared" si="102"/>
        <v>735.79454407605431</v>
      </c>
      <c r="BM53" s="173">
        <f t="shared" si="159"/>
        <v>1.7891999999999999</v>
      </c>
      <c r="BN53" s="173">
        <f t="shared" si="160"/>
        <v>2.1299999999999999E-2</v>
      </c>
      <c r="BO53" s="528"/>
      <c r="BQ53" s="460">
        <f t="shared" si="103"/>
        <v>1810.5</v>
      </c>
      <c r="BR53" s="528">
        <f t="shared" si="39"/>
        <v>2.1659644466214826E-2</v>
      </c>
      <c r="BS53" s="528">
        <f t="shared" si="104"/>
        <v>0.50795326856045042</v>
      </c>
      <c r="BT53" s="528">
        <f t="shared" si="161"/>
        <v>3.0735996263240548E-5</v>
      </c>
      <c r="BU53" s="528">
        <f t="shared" si="41"/>
        <v>0.93032573839489641</v>
      </c>
      <c r="BV53" s="528">
        <f t="shared" si="162"/>
        <v>1.6573064082734923</v>
      </c>
      <c r="BW53" s="625">
        <f t="shared" si="163"/>
        <v>4.6730883282337612E-2</v>
      </c>
      <c r="BX53" s="460">
        <f t="shared" si="105"/>
        <v>1704.0372915558301</v>
      </c>
      <c r="BY53" s="173">
        <f t="shared" si="106"/>
        <v>4.2503318356318838</v>
      </c>
      <c r="BZ53" s="5">
        <f t="shared" si="107"/>
        <v>12.384</v>
      </c>
      <c r="CA53" s="173">
        <f t="shared" si="108"/>
        <v>0.74448436657206873</v>
      </c>
      <c r="CB53" s="5">
        <f t="shared" si="109"/>
        <v>74.448436657206869</v>
      </c>
      <c r="CC53">
        <f t="shared" si="173"/>
        <v>48</v>
      </c>
      <c r="CE53" s="562">
        <f t="shared" si="164"/>
        <v>-50</v>
      </c>
      <c r="CF53">
        <f t="shared" si="165"/>
        <v>-50</v>
      </c>
      <c r="CG53" s="173">
        <f t="shared" si="166"/>
        <v>0.567187912123993</v>
      </c>
      <c r="CH53" s="173">
        <f t="shared" si="167"/>
        <v>0.14527412778818352</v>
      </c>
      <c r="CI53" s="170">
        <v>48</v>
      </c>
      <c r="CJ53" s="217">
        <f t="shared" si="133"/>
        <v>2.88</v>
      </c>
      <c r="CK53" s="217">
        <f t="shared" si="111"/>
        <v>4.8000000000000001E-2</v>
      </c>
      <c r="CL53" s="217">
        <f t="shared" si="48"/>
        <v>11.52</v>
      </c>
      <c r="CM53" s="217">
        <f t="shared" si="134"/>
        <v>0.86399999999999999</v>
      </c>
      <c r="CN53" s="541">
        <f t="shared" si="112"/>
        <v>24</v>
      </c>
      <c r="CO53" s="443">
        <f t="shared" si="168"/>
        <v>18.8</v>
      </c>
      <c r="CP53" s="443">
        <f t="shared" si="169"/>
        <v>42.8</v>
      </c>
      <c r="CQ53" s="443"/>
      <c r="CR53" s="217">
        <f t="shared" si="113"/>
        <v>0.43925233644859818</v>
      </c>
      <c r="CS53" s="172">
        <f t="shared" si="114"/>
        <v>32.688545968267775</v>
      </c>
      <c r="CT53" s="172">
        <f t="shared" si="51"/>
        <v>2.6355140186915893</v>
      </c>
      <c r="CU53" s="217">
        <f t="shared" si="52"/>
        <v>8.1721364920669437</v>
      </c>
      <c r="CV53" s="217">
        <f t="shared" si="53"/>
        <v>1.816030331570432</v>
      </c>
      <c r="CW53" s="443">
        <f t="shared" si="54"/>
        <v>4</v>
      </c>
      <c r="CX53" s="217">
        <f t="shared" si="55"/>
        <v>2.3494468085106379</v>
      </c>
      <c r="CY53" s="217">
        <f t="shared" si="56"/>
        <v>1.174723404255319</v>
      </c>
      <c r="CZ53" s="217">
        <f t="shared" si="57"/>
        <v>1.4996468990493435</v>
      </c>
      <c r="DA53" s="197">
        <f t="shared" si="58"/>
        <v>350</v>
      </c>
      <c r="DB53" s="443">
        <f t="shared" si="115"/>
        <v>350</v>
      </c>
      <c r="DD53" s="217">
        <f t="shared" si="59"/>
        <v>2.5100133511348464</v>
      </c>
      <c r="DE53" s="173">
        <f t="shared" si="60"/>
        <v>1.6021361815754336</v>
      </c>
      <c r="DF53" s="173">
        <f t="shared" si="61"/>
        <v>2.8149682442633783</v>
      </c>
      <c r="DG53" s="173"/>
      <c r="DH53" s="173">
        <f t="shared" si="62"/>
        <v>0.85106382978723416</v>
      </c>
      <c r="DI53" s="545">
        <f t="shared" si="63"/>
        <v>1268.9999999999998</v>
      </c>
      <c r="DJ53" s="528">
        <f t="shared" si="64"/>
        <v>0.79432624113475192</v>
      </c>
      <c r="DL53" s="173">
        <f t="shared" si="65"/>
        <v>2.4284033555286602</v>
      </c>
      <c r="DM53" s="173">
        <f t="shared" si="66"/>
        <v>2.3494468085106379</v>
      </c>
      <c r="DN53" s="173">
        <f t="shared" si="67"/>
        <v>1.9526766482794846</v>
      </c>
      <c r="DP53" s="545">
        <f t="shared" si="68"/>
        <v>2880</v>
      </c>
      <c r="DQ53" s="460">
        <f t="shared" si="69"/>
        <v>350</v>
      </c>
      <c r="DS53">
        <f t="shared" si="116"/>
        <v>2880</v>
      </c>
      <c r="DT53" s="460">
        <f t="shared" si="70"/>
        <v>350</v>
      </c>
      <c r="DU53" s="460"/>
      <c r="DV53" s="5">
        <f t="shared" si="117"/>
        <v>2.8571428571428572</v>
      </c>
      <c r="DW53" s="5">
        <f t="shared" si="71"/>
        <v>1.174723404255319</v>
      </c>
      <c r="DX53" s="5">
        <f t="shared" si="118"/>
        <v>1.6824194528875382</v>
      </c>
      <c r="DY53" s="173">
        <f t="shared" si="119"/>
        <v>0.41115319148936164</v>
      </c>
      <c r="EA53" s="5">
        <f t="shared" si="72"/>
        <v>84.580085106382953</v>
      </c>
      <c r="EB53" s="5">
        <f t="shared" si="73"/>
        <v>0.31325957446808506</v>
      </c>
      <c r="EC53" s="5">
        <f t="shared" si="74"/>
        <v>0.67296778115501521</v>
      </c>
      <c r="ED53" s="5"/>
      <c r="EE53" s="173">
        <f t="shared" si="120"/>
        <v>0.86977480371330695</v>
      </c>
      <c r="EF53" s="173">
        <f t="shared" si="75"/>
        <v>4.1635726187957101</v>
      </c>
      <c r="EG53" s="173">
        <f t="shared" si="76"/>
        <v>7.9332937736512871E-2</v>
      </c>
      <c r="EH53" s="173"/>
      <c r="EI53" s="528">
        <f t="shared" si="77"/>
        <v>9.2294001519291641E-3</v>
      </c>
      <c r="EJ53" s="528">
        <f t="shared" si="78"/>
        <v>0.70389426382978704</v>
      </c>
      <c r="EK53" s="528">
        <f t="shared" si="79"/>
        <v>4.3749999999999997E-2</v>
      </c>
      <c r="EL53" s="528">
        <f t="shared" si="80"/>
        <v>6.4114399999999988E-2</v>
      </c>
      <c r="EM53">
        <f t="shared" si="81"/>
        <v>1.0800000000000001E-2</v>
      </c>
      <c r="EN53" s="460">
        <f t="shared" si="121"/>
        <v>54.550000000000004</v>
      </c>
      <c r="EO53">
        <f t="shared" si="82"/>
        <v>0.83611351993925176</v>
      </c>
      <c r="EP53" s="460">
        <f t="shared" si="122"/>
        <v>836.11351993925177</v>
      </c>
      <c r="EQ53" s="173">
        <f t="shared" si="83"/>
        <v>1.7891999999999999</v>
      </c>
      <c r="ER53" s="173">
        <f t="shared" si="170"/>
        <v>2.1299999999999999E-2</v>
      </c>
      <c r="ES53" s="528"/>
      <c r="EU53" s="460">
        <f t="shared" si="123"/>
        <v>1810.5</v>
      </c>
      <c r="EV53" s="528">
        <f t="shared" si="85"/>
        <v>2.2695246275235649E-2</v>
      </c>
      <c r="EW53" s="528">
        <f t="shared" si="124"/>
        <v>0.52006010855956109</v>
      </c>
      <c r="EX53" s="528">
        <f t="shared" si="86"/>
        <v>3.1468575049527138E-5</v>
      </c>
      <c r="EY53" s="528">
        <f t="shared" si="87"/>
        <v>0.96951416306151428</v>
      </c>
      <c r="EZ53" s="528">
        <f t="shared" si="88"/>
        <v>1.7171327882084899</v>
      </c>
      <c r="FA53" s="625">
        <f t="shared" si="89"/>
        <v>4.8299127677682192E-2</v>
      </c>
      <c r="FB53" s="460">
        <f t="shared" si="125"/>
        <v>1765.4319158861722</v>
      </c>
      <c r="FC53" s="173">
        <f t="shared" si="126"/>
        <v>4.4120454358254237</v>
      </c>
      <c r="FD53" s="5">
        <f t="shared" si="127"/>
        <v>12.384</v>
      </c>
      <c r="FE53" s="173">
        <f t="shared" si="128"/>
        <v>0.73731641458800345</v>
      </c>
      <c r="FF53" s="5">
        <f t="shared" si="129"/>
        <v>73.73164145880034</v>
      </c>
      <c r="FG53">
        <f t="shared" si="130"/>
        <v>48</v>
      </c>
      <c r="FI53" s="562">
        <f t="shared" si="90"/>
        <v>-50</v>
      </c>
      <c r="FJ53">
        <f t="shared" si="91"/>
        <v>-50</v>
      </c>
      <c r="FL53">
        <f t="shared" si="92"/>
        <v>0.567187912123993</v>
      </c>
    </row>
    <row r="54" spans="5:168">
      <c r="E54" s="170">
        <v>49</v>
      </c>
      <c r="F54" s="217">
        <f t="shared" si="174"/>
        <v>2.94</v>
      </c>
      <c r="G54" s="217">
        <f t="shared" si="171"/>
        <v>4.9000000000000002E-2</v>
      </c>
      <c r="H54" s="217">
        <f t="shared" si="135"/>
        <v>11.76</v>
      </c>
      <c r="I54" s="217">
        <f t="shared" si="175"/>
        <v>0.88200000000000001</v>
      </c>
      <c r="J54" s="541">
        <f t="shared" si="136"/>
        <v>23.932012328786453</v>
      </c>
      <c r="K54" s="443">
        <f t="shared" si="137"/>
        <v>19.415636256242273</v>
      </c>
      <c r="L54" s="172">
        <f t="shared" si="138"/>
        <v>43.347648585028722</v>
      </c>
      <c r="M54" s="443"/>
      <c r="N54" s="217">
        <f t="shared" si="139"/>
        <v>0.44790517802038254</v>
      </c>
      <c r="O54" s="172">
        <f t="shared" si="172"/>
        <v>33.238053465150649</v>
      </c>
      <c r="P54" s="172">
        <f t="shared" si="140"/>
        <v>2.6798180606277713</v>
      </c>
      <c r="Q54" s="217">
        <f t="shared" si="6"/>
        <v>8.3095133662876624</v>
      </c>
      <c r="R54" s="217">
        <f t="shared" si="141"/>
        <v>1.8465585258417028</v>
      </c>
      <c r="S54" s="443">
        <f t="shared" si="142"/>
        <v>4</v>
      </c>
      <c r="T54" s="217">
        <f t="shared" si="143"/>
        <v>2.3587422194323331</v>
      </c>
      <c r="U54" s="217">
        <f t="shared" si="10"/>
        <v>1.1827215465346239</v>
      </c>
      <c r="V54" s="217">
        <f t="shared" si="11"/>
        <v>1.4578407969549676</v>
      </c>
      <c r="W54" s="197">
        <f t="shared" si="12"/>
        <v>350</v>
      </c>
      <c r="X54" s="443">
        <f t="shared" si="95"/>
        <v>350</v>
      </c>
      <c r="Z54" s="217">
        <f t="shared" si="13"/>
        <v>2.5522076767883535</v>
      </c>
      <c r="AA54" s="173">
        <f t="shared" si="14"/>
        <v>1.5774137770846213</v>
      </c>
      <c r="AB54" s="173">
        <f t="shared" si="144"/>
        <v>2.8181212859429579</v>
      </c>
      <c r="AC54" s="173"/>
      <c r="AD54" s="173">
        <f t="shared" si="16"/>
        <v>0.82407806722563026</v>
      </c>
      <c r="AE54" s="545">
        <f t="shared" si="145"/>
        <v>1337.8586857816936</v>
      </c>
      <c r="AF54" s="528">
        <f t="shared" si="146"/>
        <v>0.76913952941058839</v>
      </c>
      <c r="AH54" s="173">
        <f t="shared" si="147"/>
        <v>2.4535688292770592</v>
      </c>
      <c r="AI54" s="173">
        <f t="shared" si="148"/>
        <v>2.3587422194323331</v>
      </c>
      <c r="AJ54" s="173">
        <f t="shared" si="149"/>
        <v>1.9595621378511108</v>
      </c>
      <c r="AL54" s="545">
        <f t="shared" si="150"/>
        <v>2940</v>
      </c>
      <c r="AM54" s="460">
        <f t="shared" si="151"/>
        <v>350</v>
      </c>
      <c r="AO54">
        <f t="shared" si="96"/>
        <v>2940</v>
      </c>
      <c r="AP54" s="460">
        <f t="shared" si="24"/>
        <v>350</v>
      </c>
      <c r="AQ54" s="460"/>
      <c r="AR54" s="5">
        <f t="shared" si="97"/>
        <v>2.8571428571428572</v>
      </c>
      <c r="AS54" s="5">
        <f t="shared" si="25"/>
        <v>1.1827215465346239</v>
      </c>
      <c r="AT54" s="5">
        <f t="shared" si="98"/>
        <v>1.6744213106082333</v>
      </c>
      <c r="AU54" s="173">
        <f t="shared" si="99"/>
        <v>0.41395254128711834</v>
      </c>
      <c r="AW54" s="5">
        <f t="shared" si="152"/>
        <v>86.930033670294861</v>
      </c>
      <c r="AX54" s="5">
        <f t="shared" si="153"/>
        <v>0.32196308766775872</v>
      </c>
      <c r="AY54" s="5">
        <f t="shared" si="28"/>
        <v>0.68566439873603269</v>
      </c>
      <c r="AZ54" s="5"/>
      <c r="BA54" s="173">
        <f t="shared" si="100"/>
        <v>0.87618361978302062</v>
      </c>
      <c r="BB54" s="173">
        <f t="shared" si="154"/>
        <v>4.1700977772737104</v>
      </c>
      <c r="BC54" s="173">
        <f t="shared" si="155"/>
        <v>7.9457268458863944E-2</v>
      </c>
      <c r="BD54" s="173"/>
      <c r="BE54" s="528">
        <f t="shared" si="31"/>
        <v>9.3659123740281354E-3</v>
      </c>
      <c r="BF54" s="528">
        <f t="shared" si="156"/>
        <v>0.67098890795096666</v>
      </c>
      <c r="BG54" s="528">
        <f t="shared" si="157"/>
        <v>0.20940510787688144</v>
      </c>
      <c r="BH54" s="528">
        <f t="shared" si="34"/>
        <v>6.5765652324789994E-2</v>
      </c>
      <c r="BI54">
        <f t="shared" si="35"/>
        <v>1.0769405547953904E-2</v>
      </c>
      <c r="BJ54" s="460">
        <f t="shared" si="101"/>
        <v>220.17451342483534</v>
      </c>
      <c r="BK54">
        <f t="shared" si="158"/>
        <v>0.7503189844248731</v>
      </c>
      <c r="BL54" s="460">
        <f t="shared" si="102"/>
        <v>750.31898442487307</v>
      </c>
      <c r="BM54" s="173">
        <f t="shared" si="159"/>
        <v>1.8264749999999998</v>
      </c>
      <c r="BN54" s="173">
        <f t="shared" si="160"/>
        <v>2.1743749999999999E-2</v>
      </c>
      <c r="BO54" s="528"/>
      <c r="BQ54" s="460">
        <f t="shared" si="103"/>
        <v>1848.2187499999998</v>
      </c>
      <c r="BR54" s="528">
        <f t="shared" si="39"/>
        <v>2.3030932067282302E-2</v>
      </c>
      <c r="BS54" s="528">
        <f t="shared" si="104"/>
        <v>0.52169146416069423</v>
      </c>
      <c r="BT54" s="528">
        <f t="shared" si="161"/>
        <v>3.1567287554719874E-5</v>
      </c>
      <c r="BU54" s="528">
        <f t="shared" si="41"/>
        <v>0.97913216303882988</v>
      </c>
      <c r="BV54" s="528">
        <f t="shared" si="162"/>
        <v>1.7300219844373907</v>
      </c>
      <c r="BW54" s="625">
        <f t="shared" si="163"/>
        <v>4.8682067505159986E-2</v>
      </c>
      <c r="BX54" s="460">
        <f t="shared" si="105"/>
        <v>1778.7040519425507</v>
      </c>
      <c r="BY54" s="173">
        <f t="shared" si="106"/>
        <v>4.3772417863674242</v>
      </c>
      <c r="BZ54" s="5">
        <f t="shared" si="107"/>
        <v>12.641999999999999</v>
      </c>
      <c r="CA54" s="173">
        <f t="shared" si="108"/>
        <v>0.74280629881681115</v>
      </c>
      <c r="CB54" s="5">
        <f t="shared" si="109"/>
        <v>74.280629881681108</v>
      </c>
      <c r="CC54">
        <f t="shared" si="173"/>
        <v>49</v>
      </c>
      <c r="CE54" s="562">
        <f t="shared" si="164"/>
        <v>-50</v>
      </c>
      <c r="CF54">
        <f t="shared" si="165"/>
        <v>-50</v>
      </c>
      <c r="CG54" s="173">
        <f t="shared" si="166"/>
        <v>0.57306566405530612</v>
      </c>
      <c r="CH54" s="173">
        <f t="shared" si="167"/>
        <v>0.14677959937339269</v>
      </c>
      <c r="CI54" s="170">
        <v>49</v>
      </c>
      <c r="CJ54" s="217">
        <f t="shared" si="133"/>
        <v>2.94</v>
      </c>
      <c r="CK54" s="217">
        <f t="shared" si="111"/>
        <v>4.9000000000000002E-2</v>
      </c>
      <c r="CL54" s="217">
        <f t="shared" si="48"/>
        <v>11.76</v>
      </c>
      <c r="CM54" s="217">
        <f t="shared" si="134"/>
        <v>0.88200000000000001</v>
      </c>
      <c r="CN54" s="541">
        <f t="shared" si="112"/>
        <v>24</v>
      </c>
      <c r="CO54" s="443">
        <f t="shared" si="168"/>
        <v>18.8</v>
      </c>
      <c r="CP54" s="443">
        <f t="shared" si="169"/>
        <v>42.8</v>
      </c>
      <c r="CQ54" s="443"/>
      <c r="CR54" s="217">
        <f t="shared" si="113"/>
        <v>0.43925233644859818</v>
      </c>
      <c r="CS54" s="172">
        <f t="shared" si="114"/>
        <v>32.688545968267775</v>
      </c>
      <c r="CT54" s="172">
        <f t="shared" si="51"/>
        <v>2.6355140186915893</v>
      </c>
      <c r="CU54" s="217">
        <f t="shared" si="52"/>
        <v>8.1721364920669437</v>
      </c>
      <c r="CV54" s="217">
        <f t="shared" si="53"/>
        <v>1.816030331570432</v>
      </c>
      <c r="CW54" s="443">
        <f t="shared" si="54"/>
        <v>4</v>
      </c>
      <c r="CX54" s="217">
        <f t="shared" si="55"/>
        <v>2.3983936170212758</v>
      </c>
      <c r="CY54" s="217">
        <f t="shared" si="56"/>
        <v>1.1991968085106379</v>
      </c>
      <c r="CZ54" s="217">
        <f t="shared" si="57"/>
        <v>1.5308895427795377</v>
      </c>
      <c r="DA54" s="197">
        <f t="shared" si="58"/>
        <v>350</v>
      </c>
      <c r="DB54" s="443">
        <f t="shared" si="115"/>
        <v>350</v>
      </c>
      <c r="DD54" s="217">
        <f t="shared" si="59"/>
        <v>2.5100133511348464</v>
      </c>
      <c r="DE54" s="173">
        <f t="shared" si="60"/>
        <v>1.6021361815754336</v>
      </c>
      <c r="DF54" s="173">
        <f t="shared" si="61"/>
        <v>2.8149682442633783</v>
      </c>
      <c r="DG54" s="173"/>
      <c r="DH54" s="173">
        <f t="shared" si="62"/>
        <v>0.85106382978723416</v>
      </c>
      <c r="DI54" s="545">
        <f t="shared" si="63"/>
        <v>1295.4374999999998</v>
      </c>
      <c r="DJ54" s="528">
        <f t="shared" si="64"/>
        <v>0.79432624113475192</v>
      </c>
      <c r="DL54" s="173">
        <f t="shared" si="65"/>
        <v>2.4535688292770592</v>
      </c>
      <c r="DM54" s="173">
        <f t="shared" si="66"/>
        <v>2.3983936170212758</v>
      </c>
      <c r="DN54" s="173">
        <f t="shared" si="67"/>
        <v>1.9889335434725499</v>
      </c>
      <c r="DP54" s="545">
        <f t="shared" si="68"/>
        <v>2940</v>
      </c>
      <c r="DQ54" s="460">
        <f t="shared" si="69"/>
        <v>350</v>
      </c>
      <c r="DS54">
        <f t="shared" si="116"/>
        <v>2940</v>
      </c>
      <c r="DT54" s="460">
        <f t="shared" si="70"/>
        <v>350</v>
      </c>
      <c r="DU54" s="460"/>
      <c r="DV54" s="5">
        <f t="shared" si="117"/>
        <v>2.8571428571428572</v>
      </c>
      <c r="DW54" s="5">
        <f t="shared" si="71"/>
        <v>1.1991968085106379</v>
      </c>
      <c r="DX54" s="5">
        <f t="shared" si="118"/>
        <v>1.6579460486322193</v>
      </c>
      <c r="DY54" s="173">
        <f t="shared" si="119"/>
        <v>0.41971888297872328</v>
      </c>
      <c r="EA54" s="5">
        <f t="shared" si="72"/>
        <v>88.140965425531874</v>
      </c>
      <c r="EB54" s="5">
        <f t="shared" si="73"/>
        <v>0.32644802009456259</v>
      </c>
      <c r="EC54" s="5">
        <f t="shared" si="74"/>
        <v>0.67699463652482272</v>
      </c>
      <c r="ED54" s="5"/>
      <c r="EE54" s="173">
        <f t="shared" si="120"/>
        <v>0.89709634349465339</v>
      </c>
      <c r="EF54" s="173">
        <f t="shared" si="75"/>
        <v>4.2192867603479884</v>
      </c>
      <c r="EG54" s="173">
        <f t="shared" si="76"/>
        <v>8.0394518001225199E-2</v>
      </c>
      <c r="EH54" s="173"/>
      <c r="EI54" s="528">
        <f t="shared" si="77"/>
        <v>9.8183385640400207E-3</v>
      </c>
      <c r="EJ54" s="528">
        <f t="shared" si="78"/>
        <v>0.71855872765957418</v>
      </c>
      <c r="EK54" s="528">
        <f t="shared" si="79"/>
        <v>4.3749999999999997E-2</v>
      </c>
      <c r="EL54" s="528">
        <f t="shared" si="80"/>
        <v>6.4114399999999988E-2</v>
      </c>
      <c r="EM54">
        <f t="shared" si="81"/>
        <v>1.0800000000000001E-2</v>
      </c>
      <c r="EN54" s="460">
        <f t="shared" si="121"/>
        <v>54.550000000000004</v>
      </c>
      <c r="EO54">
        <f t="shared" si="82"/>
        <v>0.85167924670154371</v>
      </c>
      <c r="EP54" s="460">
        <f t="shared" si="122"/>
        <v>851.67924670154366</v>
      </c>
      <c r="EQ54" s="173">
        <f t="shared" si="83"/>
        <v>1.8264749999999998</v>
      </c>
      <c r="ER54" s="173">
        <f t="shared" si="170"/>
        <v>2.1743749999999999E-2</v>
      </c>
      <c r="ES54" s="528"/>
      <c r="EU54" s="460">
        <f t="shared" si="123"/>
        <v>1848.2187499999998</v>
      </c>
      <c r="EV54" s="528">
        <f t="shared" si="85"/>
        <v>2.4143455485344315E-2</v>
      </c>
      <c r="EW54" s="528">
        <f t="shared" si="124"/>
        <v>0.53407142298143462</v>
      </c>
      <c r="EX54" s="528">
        <f t="shared" si="86"/>
        <v>3.2316392623246611E-5</v>
      </c>
      <c r="EY54" s="528">
        <f t="shared" si="87"/>
        <v>1.0208014175010935</v>
      </c>
      <c r="EZ54" s="528">
        <f t="shared" si="88"/>
        <v>1.793107727859411</v>
      </c>
      <c r="FA54" s="625">
        <f t="shared" si="89"/>
        <v>5.0332554493973489E-2</v>
      </c>
      <c r="FB54" s="460">
        <f t="shared" si="125"/>
        <v>1843.4402823533844</v>
      </c>
      <c r="FC54" s="173">
        <f t="shared" si="126"/>
        <v>4.5433382790549288</v>
      </c>
      <c r="FD54" s="5">
        <f t="shared" si="127"/>
        <v>12.641999999999999</v>
      </c>
      <c r="FE54" s="173">
        <f t="shared" si="128"/>
        <v>0.73562706737101369</v>
      </c>
      <c r="FF54" s="5">
        <f t="shared" si="129"/>
        <v>73.562706737101365</v>
      </c>
      <c r="FG54">
        <f t="shared" si="130"/>
        <v>49</v>
      </c>
      <c r="FI54" s="562">
        <f t="shared" si="90"/>
        <v>-50</v>
      </c>
      <c r="FJ54">
        <f t="shared" si="91"/>
        <v>-50</v>
      </c>
      <c r="FL54">
        <f t="shared" si="92"/>
        <v>0.57306566405530612</v>
      </c>
    </row>
    <row r="55" spans="5:168">
      <c r="E55" s="170">
        <v>50</v>
      </c>
      <c r="F55" s="217">
        <f t="shared" si="174"/>
        <v>3</v>
      </c>
      <c r="G55" s="217">
        <f t="shared" si="171"/>
        <v>0.05</v>
      </c>
      <c r="H55" s="217">
        <f t="shared" si="135"/>
        <v>12</v>
      </c>
      <c r="I55" s="217">
        <f t="shared" si="175"/>
        <v>0.9</v>
      </c>
      <c r="J55" s="541">
        <f t="shared" si="136"/>
        <v>23.930636562034739</v>
      </c>
      <c r="K55" s="443">
        <f t="shared" si="137"/>
        <v>19.429683902030565</v>
      </c>
      <c r="L55" s="172">
        <f t="shared" si="138"/>
        <v>43.360320464065303</v>
      </c>
      <c r="M55" s="443"/>
      <c r="N55" s="217">
        <f t="shared" si="139"/>
        <v>0.44809825421223165</v>
      </c>
      <c r="O55" s="172">
        <f t="shared" si="172"/>
        <v>33.250469660884242</v>
      </c>
      <c r="P55" s="172">
        <f t="shared" si="140"/>
        <v>2.680819116408792</v>
      </c>
      <c r="Q55" s="217">
        <f t="shared" si="6"/>
        <v>8.3126174152210606</v>
      </c>
      <c r="R55" s="217">
        <f t="shared" si="141"/>
        <v>1.847248314493569</v>
      </c>
      <c r="S55" s="443">
        <f t="shared" si="142"/>
        <v>4</v>
      </c>
      <c r="T55" s="217">
        <f t="shared" si="143"/>
        <v>2.4059810527762795</v>
      </c>
      <c r="U55" s="217">
        <f t="shared" si="10"/>
        <v>1.2064774189550638</v>
      </c>
      <c r="V55" s="217">
        <f t="shared" si="11"/>
        <v>1.4859620351465426</v>
      </c>
      <c r="W55" s="197">
        <f t="shared" si="12"/>
        <v>350</v>
      </c>
      <c r="X55" s="443">
        <f t="shared" si="95"/>
        <v>345.7289308448465</v>
      </c>
      <c r="Z55" s="217">
        <f t="shared" si="13"/>
        <v>2.5531610632464683</v>
      </c>
      <c r="AA55" s="173">
        <f t="shared" si="14"/>
        <v>1.5768621308221953</v>
      </c>
      <c r="AB55" s="173">
        <f t="shared" si="144"/>
        <v>2.8181880961661614</v>
      </c>
      <c r="AC55" s="173"/>
      <c r="AD55" s="173">
        <f t="shared" si="16"/>
        <v>0.82348225944776532</v>
      </c>
      <c r="AE55" s="545">
        <f t="shared" si="145"/>
        <v>1366.1496493615239</v>
      </c>
      <c r="AF55" s="528">
        <f t="shared" si="146"/>
        <v>0.76858344215124763</v>
      </c>
      <c r="AH55" s="173">
        <f t="shared" si="147"/>
        <v>2.4784787961282104</v>
      </c>
      <c r="AI55" s="173">
        <f t="shared" si="148"/>
        <v>2.4059810527762795</v>
      </c>
      <c r="AJ55" s="173">
        <f t="shared" si="149"/>
        <v>1.9945538662540341</v>
      </c>
      <c r="AL55" s="545">
        <f t="shared" si="150"/>
        <v>3000</v>
      </c>
      <c r="AM55" s="460">
        <f t="shared" si="151"/>
        <v>345.7289308448465</v>
      </c>
      <c r="AO55">
        <f t="shared" si="96"/>
        <v>3000</v>
      </c>
      <c r="AP55" s="460">
        <f t="shared" si="24"/>
        <v>345.7289308448465</v>
      </c>
      <c r="AQ55" s="460"/>
      <c r="AR55" s="5">
        <f t="shared" si="97"/>
        <v>2.8924394541016065</v>
      </c>
      <c r="AS55" s="5">
        <f t="shared" si="25"/>
        <v>1.2064774189550638</v>
      </c>
      <c r="AT55" s="5">
        <f t="shared" si="98"/>
        <v>1.6859620351465427</v>
      </c>
      <c r="AU55" s="173">
        <f t="shared" si="99"/>
        <v>0.41711414814378417</v>
      </c>
      <c r="AW55" s="5">
        <f t="shared" si="152"/>
        <v>90.485806421629775</v>
      </c>
      <c r="AX55" s="5">
        <f t="shared" si="153"/>
        <v>0.33513261637640662</v>
      </c>
      <c r="AY55" s="5">
        <f t="shared" si="28"/>
        <v>0.70452034603261349</v>
      </c>
      <c r="AZ55" s="5"/>
      <c r="BA55" s="173">
        <f t="shared" si="100"/>
        <v>0.89713755300800258</v>
      </c>
      <c r="BB55" s="173">
        <f t="shared" si="154"/>
        <v>4.2421236563884017</v>
      </c>
      <c r="BC55" s="173">
        <f t="shared" si="155"/>
        <v>8.082965345280603E-2</v>
      </c>
      <c r="BD55" s="173"/>
      <c r="BE55" s="528">
        <f t="shared" si="31"/>
        <v>9.8192406260096763E-3</v>
      </c>
      <c r="BF55" s="528">
        <f t="shared" si="156"/>
        <v>0.6762724280899326</v>
      </c>
      <c r="BG55" s="528">
        <f t="shared" si="157"/>
        <v>0.20683783482572157</v>
      </c>
      <c r="BH55" s="528">
        <f t="shared" si="34"/>
        <v>6.5001097536556945E-2</v>
      </c>
      <c r="BI55">
        <f t="shared" si="35"/>
        <v>1.0768786452915633E-2</v>
      </c>
      <c r="BJ55" s="460">
        <f t="shared" si="101"/>
        <v>217.60662127863719</v>
      </c>
      <c r="BK55">
        <f t="shared" si="158"/>
        <v>0.75550659707604539</v>
      </c>
      <c r="BL55" s="460">
        <f t="shared" si="102"/>
        <v>755.50659707604541</v>
      </c>
      <c r="BM55" s="173">
        <f t="shared" si="159"/>
        <v>1.8637499999999996</v>
      </c>
      <c r="BN55" s="173">
        <f t="shared" si="160"/>
        <v>2.2187499999999999E-2</v>
      </c>
      <c r="BO55" s="528"/>
      <c r="BQ55" s="460">
        <f t="shared" si="103"/>
        <v>1885.9374999999995</v>
      </c>
      <c r="BR55" s="528">
        <f t="shared" si="39"/>
        <v>2.4145673670515601E-2</v>
      </c>
      <c r="BS55" s="528">
        <f t="shared" si="104"/>
        <v>0.53986839348270299</v>
      </c>
      <c r="BT55" s="528">
        <f t="shared" si="161"/>
        <v>3.2667164386503593E-5</v>
      </c>
      <c r="BU55" s="528">
        <f t="shared" si="41"/>
        <v>0.99779154491125022</v>
      </c>
      <c r="BV55" s="528">
        <f t="shared" si="162"/>
        <v>1.777413016043726</v>
      </c>
      <c r="BW55" s="625">
        <f t="shared" si="163"/>
        <v>5.0033413993417895E-2</v>
      </c>
      <c r="BX55" s="460">
        <f t="shared" si="105"/>
        <v>1827.446430037144</v>
      </c>
      <c r="BY55" s="173">
        <f t="shared" si="106"/>
        <v>4.4688905271131887</v>
      </c>
      <c r="BZ55" s="5">
        <f t="shared" si="107"/>
        <v>12.9</v>
      </c>
      <c r="CA55" s="173">
        <f t="shared" si="108"/>
        <v>0.74270719709257427</v>
      </c>
      <c r="CB55" s="5">
        <f t="shared" si="109"/>
        <v>74.270719709257421</v>
      </c>
      <c r="CC55">
        <f t="shared" si="173"/>
        <v>50</v>
      </c>
      <c r="CE55" s="562">
        <f t="shared" si="164"/>
        <v>-50</v>
      </c>
      <c r="CF55">
        <f t="shared" si="165"/>
        <v>-50</v>
      </c>
      <c r="CG55" s="173">
        <f t="shared" si="166"/>
        <v>0.57171542553191479</v>
      </c>
      <c r="CH55" s="173">
        <f t="shared" si="167"/>
        <v>0.14826978579538672</v>
      </c>
      <c r="CI55" s="170">
        <v>50</v>
      </c>
      <c r="CJ55" s="217">
        <f t="shared" si="133"/>
        <v>3</v>
      </c>
      <c r="CK55" s="217">
        <f t="shared" si="111"/>
        <v>0.05</v>
      </c>
      <c r="CL55" s="217">
        <f t="shared" si="48"/>
        <v>12</v>
      </c>
      <c r="CM55" s="217">
        <f t="shared" si="134"/>
        <v>0.9</v>
      </c>
      <c r="CN55" s="541">
        <f t="shared" si="112"/>
        <v>24</v>
      </c>
      <c r="CO55" s="443">
        <f t="shared" si="168"/>
        <v>18.8</v>
      </c>
      <c r="CP55" s="443">
        <f t="shared" si="169"/>
        <v>42.8</v>
      </c>
      <c r="CQ55" s="443"/>
      <c r="CR55" s="217">
        <f t="shared" si="113"/>
        <v>0.43925233644859818</v>
      </c>
      <c r="CS55" s="172">
        <f t="shared" si="114"/>
        <v>32.688545968267775</v>
      </c>
      <c r="CT55" s="172">
        <f t="shared" si="51"/>
        <v>2.6355140186915893</v>
      </c>
      <c r="CU55" s="217">
        <f t="shared" si="52"/>
        <v>8.1721364920669437</v>
      </c>
      <c r="CV55" s="217">
        <f t="shared" si="53"/>
        <v>1.816030331570432</v>
      </c>
      <c r="CW55" s="443">
        <f t="shared" si="54"/>
        <v>4</v>
      </c>
      <c r="CX55" s="217">
        <f t="shared" si="55"/>
        <v>2.4473404255319147</v>
      </c>
      <c r="CY55" s="217">
        <f t="shared" si="56"/>
        <v>1.2236702127659576</v>
      </c>
      <c r="CZ55" s="217">
        <f t="shared" si="57"/>
        <v>1.5621321865097326</v>
      </c>
      <c r="DA55" s="197">
        <f t="shared" si="58"/>
        <v>350</v>
      </c>
      <c r="DB55" s="443">
        <f t="shared" si="115"/>
        <v>350</v>
      </c>
      <c r="DD55" s="217">
        <f t="shared" si="59"/>
        <v>2.5100133511348464</v>
      </c>
      <c r="DE55" s="173">
        <f t="shared" si="60"/>
        <v>1.6021361815754336</v>
      </c>
      <c r="DF55" s="173">
        <f t="shared" si="61"/>
        <v>2.8149682442633783</v>
      </c>
      <c r="DG55" s="173"/>
      <c r="DH55" s="173">
        <f t="shared" si="62"/>
        <v>0.85106382978723416</v>
      </c>
      <c r="DI55" s="545">
        <f t="shared" si="63"/>
        <v>1321.8749999999998</v>
      </c>
      <c r="DJ55" s="528">
        <f t="shared" si="64"/>
        <v>0.79432624113475192</v>
      </c>
      <c r="DL55" s="173">
        <f t="shared" si="65"/>
        <v>2.4784787961282104</v>
      </c>
      <c r="DM55" s="173">
        <f t="shared" si="66"/>
        <v>2.4473404255319147</v>
      </c>
      <c r="DN55" s="173">
        <f t="shared" si="67"/>
        <v>2.0251904386656157</v>
      </c>
      <c r="DP55" s="545">
        <f t="shared" si="68"/>
        <v>3000</v>
      </c>
      <c r="DQ55" s="460">
        <f t="shared" si="69"/>
        <v>350</v>
      </c>
      <c r="DS55">
        <f t="shared" si="116"/>
        <v>3000</v>
      </c>
      <c r="DT55" s="460">
        <f t="shared" si="70"/>
        <v>350</v>
      </c>
      <c r="DU55" s="460"/>
      <c r="DV55" s="5">
        <f t="shared" si="117"/>
        <v>2.8571428571428572</v>
      </c>
      <c r="DW55" s="5">
        <f t="shared" si="71"/>
        <v>1.2236702127659576</v>
      </c>
      <c r="DX55" s="5">
        <f t="shared" si="118"/>
        <v>1.6334726443768997</v>
      </c>
      <c r="DY55" s="173">
        <f t="shared" si="119"/>
        <v>0.42828457446808516</v>
      </c>
      <c r="EA55" s="5">
        <f t="shared" si="72"/>
        <v>91.775265957446805</v>
      </c>
      <c r="EB55" s="5">
        <f t="shared" si="73"/>
        <v>0.33990839243498827</v>
      </c>
      <c r="EC55" s="5">
        <f t="shared" si="74"/>
        <v>0.68061360182370811</v>
      </c>
      <c r="ED55" s="5"/>
      <c r="EE55" s="173">
        <f t="shared" si="120"/>
        <v>0.92469811641796784</v>
      </c>
      <c r="EF55" s="173">
        <f t="shared" si="75"/>
        <v>4.2734999482372258</v>
      </c>
      <c r="EG55" s="173">
        <f t="shared" si="76"/>
        <v>8.1427499013709284E-2</v>
      </c>
      <c r="EH55" s="173"/>
      <c r="EI55" s="528">
        <f t="shared" si="77"/>
        <v>1.0431812599384638E-2</v>
      </c>
      <c r="EJ55" s="528">
        <f t="shared" si="78"/>
        <v>0.73322319148936166</v>
      </c>
      <c r="EK55" s="528">
        <f t="shared" si="79"/>
        <v>4.3749999999999997E-2</v>
      </c>
      <c r="EL55" s="528">
        <f t="shared" si="80"/>
        <v>6.4114399999999988E-2</v>
      </c>
      <c r="EM55">
        <f t="shared" si="81"/>
        <v>1.0800000000000001E-2</v>
      </c>
      <c r="EN55" s="460">
        <f t="shared" si="121"/>
        <v>54.550000000000004</v>
      </c>
      <c r="EO55">
        <f t="shared" si="82"/>
        <v>0.86728564654374773</v>
      </c>
      <c r="EP55" s="460">
        <f t="shared" si="122"/>
        <v>867.2856465437477</v>
      </c>
      <c r="EQ55" s="173">
        <f t="shared" si="83"/>
        <v>1.8637499999999996</v>
      </c>
      <c r="ER55" s="173">
        <f t="shared" si="170"/>
        <v>2.2187499999999999E-2</v>
      </c>
      <c r="ES55" s="528"/>
      <c r="EU55" s="460">
        <f t="shared" si="123"/>
        <v>1885.9374999999995</v>
      </c>
      <c r="EV55" s="528">
        <f t="shared" si="85"/>
        <v>2.5651998195208126E-2</v>
      </c>
      <c r="EW55" s="528">
        <f t="shared" si="124"/>
        <v>0.54788405422750708</v>
      </c>
      <c r="EX55" s="528">
        <f t="shared" si="86"/>
        <v>3.3152187978138132E-5</v>
      </c>
      <c r="EY55" s="528">
        <f t="shared" si="87"/>
        <v>1.0736829960133629</v>
      </c>
      <c r="EZ55" s="528">
        <f t="shared" si="88"/>
        <v>1.8707491373075535</v>
      </c>
      <c r="FA55" s="625">
        <f t="shared" si="89"/>
        <v>5.2407907636373922E-2</v>
      </c>
      <c r="FB55" s="460">
        <f t="shared" si="125"/>
        <v>1923.1570449439275</v>
      </c>
      <c r="FC55" s="173">
        <f t="shared" si="126"/>
        <v>4.6763801914876746</v>
      </c>
      <c r="FD55" s="5">
        <f t="shared" si="127"/>
        <v>12.9</v>
      </c>
      <c r="FE55" s="173">
        <f t="shared" si="128"/>
        <v>0.73393951766288779</v>
      </c>
      <c r="FF55" s="5">
        <f t="shared" si="129"/>
        <v>73.393951766288779</v>
      </c>
      <c r="FG55">
        <f t="shared" si="130"/>
        <v>50</v>
      </c>
      <c r="FI55" s="562">
        <f t="shared" si="90"/>
        <v>-50</v>
      </c>
      <c r="FJ55">
        <f t="shared" si="91"/>
        <v>-50</v>
      </c>
      <c r="FL55">
        <f t="shared" si="92"/>
        <v>0.57171542553191479</v>
      </c>
    </row>
    <row r="56" spans="5:168">
      <c r="E56" s="170">
        <v>51</v>
      </c>
      <c r="F56" s="217">
        <f t="shared" si="174"/>
        <v>3.06</v>
      </c>
      <c r="G56" s="217">
        <f t="shared" si="171"/>
        <v>5.1000000000000004E-2</v>
      </c>
      <c r="H56" s="217">
        <f t="shared" si="135"/>
        <v>12.24</v>
      </c>
      <c r="I56" s="217">
        <f t="shared" si="175"/>
        <v>0.91800000000000004</v>
      </c>
      <c r="J56" s="541">
        <f t="shared" si="136"/>
        <v>23.928531143767099</v>
      </c>
      <c r="K56" s="443">
        <f t="shared" si="137"/>
        <v>19.452046831957226</v>
      </c>
      <c r="L56" s="172">
        <f t="shared" si="138"/>
        <v>43.380577975724322</v>
      </c>
      <c r="M56" s="443"/>
      <c r="N56" s="217">
        <f t="shared" si="139"/>
        <v>0.44840451048952251</v>
      </c>
      <c r="O56" s="172">
        <f t="shared" si="172"/>
        <v>33.270267579082734</v>
      </c>
      <c r="P56" s="172">
        <f t="shared" si="140"/>
        <v>2.6824153235635451</v>
      </c>
      <c r="Q56" s="217">
        <f t="shared" si="6"/>
        <v>8.3175668947706836</v>
      </c>
      <c r="R56" s="217">
        <f t="shared" si="141"/>
        <v>1.8483481988379298</v>
      </c>
      <c r="S56" s="443">
        <f t="shared" si="142"/>
        <v>4</v>
      </c>
      <c r="T56" s="217">
        <f t="shared" si="143"/>
        <v>2.452640328366416</v>
      </c>
      <c r="U56" s="217">
        <f t="shared" si="10"/>
        <v>1.2299828921201188</v>
      </c>
      <c r="V56" s="217">
        <f t="shared" si="11"/>
        <v>1.5130378923437764</v>
      </c>
      <c r="W56" s="197">
        <f t="shared" si="12"/>
        <v>350</v>
      </c>
      <c r="X56" s="443">
        <f t="shared" si="95"/>
        <v>339.78693092449953</v>
      </c>
      <c r="Z56" s="217">
        <f t="shared" si="13"/>
        <v>2.5546812605367095</v>
      </c>
      <c r="AA56" s="173">
        <f t="shared" si="14"/>
        <v>1.5759871128870788</v>
      </c>
      <c r="AB56" s="173">
        <f t="shared" si="144"/>
        <v>2.8183013208979806</v>
      </c>
      <c r="AC56" s="173"/>
      <c r="AD56" s="173">
        <f t="shared" si="16"/>
        <v>0.82253554796681072</v>
      </c>
      <c r="AE56" s="545">
        <f t="shared" si="145"/>
        <v>1395.0764837294319</v>
      </c>
      <c r="AF56" s="528">
        <f t="shared" si="146"/>
        <v>0.76769984476902342</v>
      </c>
      <c r="AH56" s="173">
        <f t="shared" si="147"/>
        <v>2.5031408841122555</v>
      </c>
      <c r="AI56" s="173">
        <f t="shared" si="148"/>
        <v>2.452640328366416</v>
      </c>
      <c r="AJ56" s="173">
        <f t="shared" si="149"/>
        <v>2.0291162926170982</v>
      </c>
      <c r="AL56" s="545">
        <f t="shared" si="150"/>
        <v>3060</v>
      </c>
      <c r="AM56" s="460">
        <f t="shared" si="151"/>
        <v>339.78693092449953</v>
      </c>
      <c r="AO56">
        <f t="shared" si="96"/>
        <v>3060</v>
      </c>
      <c r="AP56" s="460">
        <f t="shared" si="24"/>
        <v>339.78693092449953</v>
      </c>
      <c r="AQ56" s="460"/>
      <c r="AR56" s="5">
        <f t="shared" si="97"/>
        <v>2.9430207844638949</v>
      </c>
      <c r="AS56" s="5">
        <f t="shared" si="25"/>
        <v>1.2299828921201188</v>
      </c>
      <c r="AT56" s="5">
        <f t="shared" si="98"/>
        <v>1.7130378923437761</v>
      </c>
      <c r="AU56" s="173">
        <f t="shared" si="99"/>
        <v>0.41793211200313501</v>
      </c>
      <c r="AW56" s="5">
        <f t="shared" si="152"/>
        <v>94.093691247189099</v>
      </c>
      <c r="AX56" s="5">
        <f t="shared" si="153"/>
        <v>0.34849515276736698</v>
      </c>
      <c r="AY56" s="5">
        <f t="shared" si="28"/>
        <v>0.73021559062382635</v>
      </c>
      <c r="AZ56" s="5"/>
      <c r="BA56" s="173">
        <f t="shared" si="100"/>
        <v>0.91543203973039333</v>
      </c>
      <c r="BB56" s="173">
        <f t="shared" si="154"/>
        <v>4.3213560354650875</v>
      </c>
      <c r="BC56" s="173">
        <f t="shared" si="155"/>
        <v>8.2339351486564502E-2</v>
      </c>
      <c r="BD56" s="173"/>
      <c r="BE56" s="528">
        <f t="shared" si="31"/>
        <v>1.0223792996252369E-2</v>
      </c>
      <c r="BF56" s="528">
        <f t="shared" si="156"/>
        <v>0.67785552755504175</v>
      </c>
      <c r="BG56" s="528">
        <f t="shared" si="157"/>
        <v>0.20326505397179817</v>
      </c>
      <c r="BH56" s="528">
        <f t="shared" si="34"/>
        <v>6.3943637620306623E-2</v>
      </c>
      <c r="BI56">
        <f t="shared" si="35"/>
        <v>1.0767839014695194E-2</v>
      </c>
      <c r="BJ56" s="460">
        <f t="shared" si="101"/>
        <v>214.03289298649335</v>
      </c>
      <c r="BK56">
        <f t="shared" si="158"/>
        <v>0.75662134659031155</v>
      </c>
      <c r="BL56" s="460">
        <f t="shared" si="102"/>
        <v>756.62134659031153</v>
      </c>
      <c r="BM56" s="173">
        <f t="shared" si="159"/>
        <v>1.9010249999999997</v>
      </c>
      <c r="BN56" s="173">
        <f t="shared" si="160"/>
        <v>2.2631250000000002E-2</v>
      </c>
      <c r="BO56" s="528"/>
      <c r="BQ56" s="460">
        <f t="shared" si="103"/>
        <v>1923.6562499999998</v>
      </c>
      <c r="BR56" s="528">
        <f t="shared" si="39"/>
        <v>2.5140474580948452E-2</v>
      </c>
      <c r="BS56" s="528">
        <f t="shared" si="104"/>
        <v>0.56022353955751614</v>
      </c>
      <c r="BT56" s="528">
        <f t="shared" si="161"/>
        <v>3.3898844016140059E-5</v>
      </c>
      <c r="BU56" s="528">
        <f t="shared" si="41"/>
        <v>1.0024699055230695</v>
      </c>
      <c r="BV56" s="528">
        <f t="shared" si="162"/>
        <v>1.813282668819274</v>
      </c>
      <c r="BW56" s="625">
        <f t="shared" si="163"/>
        <v>5.1099236302412851E-2</v>
      </c>
      <c r="BX56" s="460">
        <f t="shared" si="105"/>
        <v>1864.3819051216867</v>
      </c>
      <c r="BY56" s="173">
        <f t="shared" si="106"/>
        <v>4.5446595017119984</v>
      </c>
      <c r="BZ56" s="5">
        <f t="shared" si="107"/>
        <v>13.157999999999999</v>
      </c>
      <c r="CA56" s="173">
        <f t="shared" si="108"/>
        <v>0.74327814974509954</v>
      </c>
      <c r="CB56" s="5">
        <f t="shared" si="109"/>
        <v>74.327814974509948</v>
      </c>
      <c r="CC56">
        <f t="shared" si="173"/>
        <v>51</v>
      </c>
      <c r="CE56" s="562">
        <f t="shared" si="164"/>
        <v>-50</v>
      </c>
      <c r="CF56">
        <f t="shared" si="165"/>
        <v>-50</v>
      </c>
      <c r="CG56" s="173">
        <f t="shared" si="166"/>
        <v>0.56314973404255331</v>
      </c>
      <c r="CH56" s="173">
        <f t="shared" si="167"/>
        <v>0.14974514338503958</v>
      </c>
      <c r="CI56" s="170">
        <v>51</v>
      </c>
      <c r="CJ56" s="217">
        <f t="shared" si="133"/>
        <v>3.06</v>
      </c>
      <c r="CK56" s="217">
        <f t="shared" si="111"/>
        <v>5.1000000000000004E-2</v>
      </c>
      <c r="CL56" s="217">
        <f t="shared" si="48"/>
        <v>12.24</v>
      </c>
      <c r="CM56" s="217">
        <f t="shared" si="134"/>
        <v>0.91800000000000004</v>
      </c>
      <c r="CN56" s="541">
        <f t="shared" si="112"/>
        <v>24</v>
      </c>
      <c r="CO56" s="443">
        <f t="shared" si="168"/>
        <v>18.8</v>
      </c>
      <c r="CP56" s="443">
        <f t="shared" si="169"/>
        <v>42.8</v>
      </c>
      <c r="CQ56" s="443"/>
      <c r="CR56" s="217">
        <f t="shared" si="113"/>
        <v>0.43925233644859818</v>
      </c>
      <c r="CS56" s="172">
        <f t="shared" si="114"/>
        <v>32.688545968267775</v>
      </c>
      <c r="CT56" s="172">
        <f t="shared" si="51"/>
        <v>2.6355140186915893</v>
      </c>
      <c r="CU56" s="217">
        <f t="shared" si="52"/>
        <v>8.1721364920669437</v>
      </c>
      <c r="CV56" s="217">
        <f t="shared" si="53"/>
        <v>1.816030331570432</v>
      </c>
      <c r="CW56" s="443">
        <f t="shared" si="54"/>
        <v>4</v>
      </c>
      <c r="CX56" s="217">
        <f t="shared" si="55"/>
        <v>2.4962872340425526</v>
      </c>
      <c r="CY56" s="217">
        <f t="shared" si="56"/>
        <v>1.2481436170212763</v>
      </c>
      <c r="CZ56" s="217">
        <f t="shared" si="57"/>
        <v>1.5933748302399271</v>
      </c>
      <c r="DA56" s="197">
        <f t="shared" si="58"/>
        <v>350</v>
      </c>
      <c r="DB56" s="443">
        <f t="shared" si="115"/>
        <v>350</v>
      </c>
      <c r="DD56" s="217">
        <f t="shared" si="59"/>
        <v>2.5100133511348464</v>
      </c>
      <c r="DE56" s="173">
        <f t="shared" si="60"/>
        <v>1.6021361815754336</v>
      </c>
      <c r="DF56" s="173">
        <f t="shared" si="61"/>
        <v>2.8149682442633783</v>
      </c>
      <c r="DG56" s="173"/>
      <c r="DH56" s="173">
        <f t="shared" si="62"/>
        <v>0.85106382978723416</v>
      </c>
      <c r="DI56" s="545">
        <f t="shared" si="63"/>
        <v>1348.3124999999998</v>
      </c>
      <c r="DJ56" s="528">
        <f t="shared" si="64"/>
        <v>0.79432624113475192</v>
      </c>
      <c r="DL56" s="173">
        <f t="shared" si="65"/>
        <v>2.5031408841122555</v>
      </c>
      <c r="DM56" s="173">
        <f t="shared" si="66"/>
        <v>2.4962872340425526</v>
      </c>
      <c r="DN56" s="173">
        <f t="shared" si="67"/>
        <v>2.0614473338586805</v>
      </c>
      <c r="DP56" s="545">
        <f t="shared" si="68"/>
        <v>3060</v>
      </c>
      <c r="DQ56" s="460">
        <f t="shared" si="69"/>
        <v>350</v>
      </c>
      <c r="DS56">
        <f t="shared" si="116"/>
        <v>3060</v>
      </c>
      <c r="DT56" s="460">
        <f t="shared" si="70"/>
        <v>350</v>
      </c>
      <c r="DU56" s="460"/>
      <c r="DV56" s="5">
        <f t="shared" si="117"/>
        <v>2.8571428571428572</v>
      </c>
      <c r="DW56" s="5">
        <f t="shared" si="71"/>
        <v>1.2481436170212763</v>
      </c>
      <c r="DX56" s="5">
        <f t="shared" si="118"/>
        <v>1.6089992401215809</v>
      </c>
      <c r="DY56" s="173">
        <f t="shared" si="119"/>
        <v>0.43685026595744669</v>
      </c>
      <c r="EA56" s="5">
        <f t="shared" si="72"/>
        <v>95.482986702127633</v>
      </c>
      <c r="EB56" s="5">
        <f t="shared" si="73"/>
        <v>0.35364069148936167</v>
      </c>
      <c r="EC56" s="5">
        <f t="shared" si="74"/>
        <v>0.68382467705167171</v>
      </c>
      <c r="ED56" s="5"/>
      <c r="EE56" s="173">
        <f t="shared" si="120"/>
        <v>0.95257730571225219</v>
      </c>
      <c r="EF56" s="173">
        <f t="shared" si="75"/>
        <v>4.3261927124711876</v>
      </c>
      <c r="EG56" s="173">
        <f t="shared" si="76"/>
        <v>8.2431509791680721E-2</v>
      </c>
      <c r="EH56" s="173"/>
      <c r="EI56" s="528">
        <f t="shared" si="77"/>
        <v>1.1070322984967764E-2</v>
      </c>
      <c r="EJ56" s="528">
        <f t="shared" si="78"/>
        <v>0.7478876553191488</v>
      </c>
      <c r="EK56" s="528">
        <f t="shared" si="79"/>
        <v>4.3749999999999997E-2</v>
      </c>
      <c r="EL56" s="528">
        <f t="shared" si="80"/>
        <v>6.4114399999999988E-2</v>
      </c>
      <c r="EM56">
        <f t="shared" si="81"/>
        <v>1.0800000000000001E-2</v>
      </c>
      <c r="EN56" s="460">
        <f t="shared" si="121"/>
        <v>54.550000000000004</v>
      </c>
      <c r="EO56">
        <f t="shared" si="82"/>
        <v>0.88293375388081619</v>
      </c>
      <c r="EP56" s="460">
        <f t="shared" si="122"/>
        <v>882.9337538808162</v>
      </c>
      <c r="EQ56" s="173">
        <f t="shared" si="83"/>
        <v>1.9010249999999997</v>
      </c>
      <c r="ER56" s="173">
        <f t="shared" si="170"/>
        <v>2.2631250000000002E-2</v>
      </c>
      <c r="ES56" s="528"/>
      <c r="EU56" s="460">
        <f t="shared" si="123"/>
        <v>1923.6562499999998</v>
      </c>
      <c r="EV56" s="528">
        <f t="shared" si="85"/>
        <v>2.7222105700740407E-2</v>
      </c>
      <c r="EW56" s="528">
        <f t="shared" si="124"/>
        <v>0.56147830156316436</v>
      </c>
      <c r="EX56" s="528">
        <f t="shared" si="86"/>
        <v>3.3974769032679772E-5</v>
      </c>
      <c r="EY56" s="528">
        <f t="shared" si="87"/>
        <v>1.1281750855979427</v>
      </c>
      <c r="EZ56" s="528">
        <f t="shared" si="88"/>
        <v>1.9500506693804336</v>
      </c>
      <c r="FA56" s="625">
        <f t="shared" si="89"/>
        <v>5.452518710488341E-2</v>
      </c>
      <c r="FB56" s="460">
        <f t="shared" si="125"/>
        <v>2004.575856485317</v>
      </c>
      <c r="FC56" s="173">
        <f t="shared" si="126"/>
        <v>4.8111658603661329</v>
      </c>
      <c r="FD56" s="5">
        <f t="shared" si="127"/>
        <v>13.157999999999999</v>
      </c>
      <c r="FE56" s="173">
        <f t="shared" si="128"/>
        <v>0.73225435739463407</v>
      </c>
      <c r="FF56" s="5">
        <f t="shared" si="129"/>
        <v>73.225435739463407</v>
      </c>
      <c r="FG56">
        <f t="shared" si="130"/>
        <v>51</v>
      </c>
      <c r="FI56" s="562">
        <f t="shared" si="90"/>
        <v>-50</v>
      </c>
      <c r="FJ56">
        <f t="shared" si="91"/>
        <v>-50</v>
      </c>
      <c r="FL56">
        <f t="shared" si="92"/>
        <v>0.56314973404255331</v>
      </c>
    </row>
    <row r="57" spans="5:168">
      <c r="E57" s="170">
        <v>52</v>
      </c>
      <c r="F57" s="217">
        <f t="shared" si="174"/>
        <v>3.12</v>
      </c>
      <c r="G57" s="217">
        <f t="shared" si="171"/>
        <v>5.2000000000000005E-2</v>
      </c>
      <c r="H57" s="217">
        <f t="shared" si="135"/>
        <v>12.48</v>
      </c>
      <c r="I57" s="217">
        <f t="shared" si="175"/>
        <v>0.93600000000000005</v>
      </c>
      <c r="J57" s="541">
        <f t="shared" si="136"/>
        <v>23.92691889591169</v>
      </c>
      <c r="K57" s="443">
        <f t="shared" si="137"/>
        <v>19.467680000000001</v>
      </c>
      <c r="L57" s="172">
        <f t="shared" si="138"/>
        <v>43.394598895911692</v>
      </c>
      <c r="M57" s="443"/>
      <c r="N57" s="217">
        <f t="shared" si="139"/>
        <v>0.44861988577647843</v>
      </c>
      <c r="O57" s="172">
        <f t="shared" si="172"/>
        <v>33.284005029665011</v>
      </c>
      <c r="P57" s="172">
        <f t="shared" si="140"/>
        <v>2.6835229055167416</v>
      </c>
      <c r="Q57" s="217">
        <f t="shared" si="6"/>
        <v>8.3210012574162526</v>
      </c>
      <c r="R57" s="217">
        <f t="shared" si="141"/>
        <v>1.849111390536945</v>
      </c>
      <c r="S57" s="443">
        <f t="shared" si="142"/>
        <v>4</v>
      </c>
      <c r="T57" s="217">
        <f t="shared" si="143"/>
        <v>2.4996991776033681</v>
      </c>
      <c r="U57" s="217">
        <f t="shared" si="10"/>
        <v>1.2536670626808453</v>
      </c>
      <c r="V57" s="217">
        <f t="shared" si="11"/>
        <v>1.5408302443455213</v>
      </c>
      <c r="W57" s="197">
        <f t="shared" si="12"/>
        <v>350</v>
      </c>
      <c r="X57" s="443">
        <f t="shared" si="95"/>
        <v>333.94586719232433</v>
      </c>
      <c r="Z57" s="217">
        <f t="shared" si="13"/>
        <v>2.5557361004921346</v>
      </c>
      <c r="AA57" s="173">
        <f t="shared" si="14"/>
        <v>1.5753717549243471</v>
      </c>
      <c r="AB57" s="173">
        <f t="shared" si="144"/>
        <v>2.8183641260290608</v>
      </c>
      <c r="AC57" s="173"/>
      <c r="AD57" s="173">
        <f t="shared" si="16"/>
        <v>0.82187502568359461</v>
      </c>
      <c r="AE57" s="545">
        <f t="shared" si="145"/>
        <v>1423.5740999999998</v>
      </c>
      <c r="AF57" s="528">
        <f t="shared" si="146"/>
        <v>0.76708335730468835</v>
      </c>
      <c r="AH57" s="173">
        <f t="shared" si="147"/>
        <v>2.5275623490967396</v>
      </c>
      <c r="AI57" s="173">
        <f t="shared" si="148"/>
        <v>2.4996991776033681</v>
      </c>
      <c r="AJ57" s="173">
        <f t="shared" si="149"/>
        <v>2.0639746994592847</v>
      </c>
      <c r="AL57" s="545">
        <f t="shared" si="150"/>
        <v>3120</v>
      </c>
      <c r="AM57" s="460">
        <f t="shared" si="151"/>
        <v>333.94586719232433</v>
      </c>
      <c r="AO57">
        <f t="shared" si="96"/>
        <v>3120</v>
      </c>
      <c r="AP57" s="460">
        <f t="shared" si="24"/>
        <v>333.94586719232433</v>
      </c>
      <c r="AQ57" s="460"/>
      <c r="AR57" s="5">
        <f t="shared" si="97"/>
        <v>2.994497307026367</v>
      </c>
      <c r="AS57" s="5">
        <f t="shared" si="25"/>
        <v>1.2536670626808453</v>
      </c>
      <c r="AT57" s="5">
        <f t="shared" si="98"/>
        <v>1.7408302443455217</v>
      </c>
      <c r="AU57" s="173">
        <f t="shared" si="99"/>
        <v>0.41865693441740892</v>
      </c>
      <c r="AW57" s="5">
        <f t="shared" si="152"/>
        <v>97.786030889105945</v>
      </c>
      <c r="AX57" s="5">
        <f t="shared" si="153"/>
        <v>0.36217048477446645</v>
      </c>
      <c r="AY57" s="5">
        <f t="shared" si="28"/>
        <v>0.75666384877857795</v>
      </c>
      <c r="AZ57" s="5"/>
      <c r="BA57" s="173">
        <f t="shared" si="100"/>
        <v>0.93380514939018977</v>
      </c>
      <c r="BB57" s="173">
        <f t="shared" si="154"/>
        <v>4.4015268910855925</v>
      </c>
      <c r="BC57" s="173">
        <f t="shared" si="155"/>
        <v>8.386693130311737E-2</v>
      </c>
      <c r="BD57" s="173"/>
      <c r="BE57" s="528">
        <f t="shared" si="31"/>
        <v>1.0638303095737142E-2</v>
      </c>
      <c r="BF57" s="528">
        <f t="shared" si="156"/>
        <v>0.67920483839232504</v>
      </c>
      <c r="BG57" s="528">
        <f t="shared" si="157"/>
        <v>0.19975739199839099</v>
      </c>
      <c r="BH57" s="528">
        <f t="shared" si="34"/>
        <v>6.2885052824009094E-2</v>
      </c>
      <c r="BI57">
        <f t="shared" si="35"/>
        <v>1.076711350316026E-2</v>
      </c>
      <c r="BJ57" s="460">
        <f t="shared" si="101"/>
        <v>210.52450550155123</v>
      </c>
      <c r="BK57">
        <f t="shared" si="158"/>
        <v>0.75751527783287675</v>
      </c>
      <c r="BL57" s="460">
        <f t="shared" si="102"/>
        <v>757.51527783287679</v>
      </c>
      <c r="BM57" s="173">
        <f t="shared" si="159"/>
        <v>1.9382999999999997</v>
      </c>
      <c r="BN57" s="173">
        <f t="shared" si="160"/>
        <v>2.3075000000000002E-2</v>
      </c>
      <c r="BO57" s="528"/>
      <c r="BQ57" s="460">
        <f t="shared" si="103"/>
        <v>1961.3749999999995</v>
      </c>
      <c r="BR57" s="528">
        <f t="shared" si="39"/>
        <v>2.6159761710829038E-2</v>
      </c>
      <c r="BS57" s="528">
        <f t="shared" si="104"/>
        <v>0.58120316918848802</v>
      </c>
      <c r="BT57" s="528">
        <f t="shared" si="161"/>
        <v>3.5168310831009043E-5</v>
      </c>
      <c r="BU57" s="528">
        <f t="shared" si="41"/>
        <v>1.0066524514946233</v>
      </c>
      <c r="BV57" s="528">
        <f t="shared" si="162"/>
        <v>1.8497067643354894</v>
      </c>
      <c r="BW57" s="625">
        <f t="shared" si="163"/>
        <v>5.2166485204789809E-2</v>
      </c>
      <c r="BX57" s="460">
        <f t="shared" si="105"/>
        <v>1901.8732495402792</v>
      </c>
      <c r="BY57" s="173">
        <f t="shared" si="106"/>
        <v>4.6207635273731551</v>
      </c>
      <c r="BZ57" s="5">
        <f t="shared" si="107"/>
        <v>13.416</v>
      </c>
      <c r="CA57" s="173">
        <f t="shared" si="108"/>
        <v>0.74381415377761428</v>
      </c>
      <c r="CB57" s="5">
        <f t="shared" si="109"/>
        <v>74.381415377761428</v>
      </c>
      <c r="CC57">
        <f t="shared" si="173"/>
        <v>52</v>
      </c>
      <c r="CE57" s="562">
        <f t="shared" si="164"/>
        <v>-50</v>
      </c>
      <c r="CF57">
        <f t="shared" si="165"/>
        <v>-50</v>
      </c>
      <c r="CG57" s="173">
        <f t="shared" si="166"/>
        <v>0.56074766355140193</v>
      </c>
      <c r="CH57" s="173">
        <f t="shared" si="167"/>
        <v>0.15015627428312001</v>
      </c>
      <c r="CI57" s="170">
        <v>52</v>
      </c>
      <c r="CJ57" s="217">
        <f t="shared" si="133"/>
        <v>3.12</v>
      </c>
      <c r="CK57" s="217">
        <f t="shared" si="111"/>
        <v>5.2000000000000005E-2</v>
      </c>
      <c r="CL57" s="217">
        <f t="shared" si="48"/>
        <v>12.48</v>
      </c>
      <c r="CM57" s="217">
        <f t="shared" si="134"/>
        <v>0.93600000000000005</v>
      </c>
      <c r="CN57" s="541">
        <f t="shared" si="112"/>
        <v>24</v>
      </c>
      <c r="CO57" s="443">
        <f t="shared" si="168"/>
        <v>18.8</v>
      </c>
      <c r="CP57" s="443">
        <f t="shared" si="169"/>
        <v>42.8</v>
      </c>
      <c r="CQ57" s="443"/>
      <c r="CR57" s="217">
        <f t="shared" si="113"/>
        <v>0.43925233644859818</v>
      </c>
      <c r="CS57" s="172">
        <f t="shared" si="114"/>
        <v>32.688545968267775</v>
      </c>
      <c r="CT57" s="172">
        <f t="shared" si="51"/>
        <v>2.6355140186915893</v>
      </c>
      <c r="CU57" s="217">
        <f t="shared" si="52"/>
        <v>8.1721364920669437</v>
      </c>
      <c r="CV57" s="217">
        <f t="shared" si="53"/>
        <v>1.816030331570432</v>
      </c>
      <c r="CW57" s="443">
        <f t="shared" si="54"/>
        <v>4</v>
      </c>
      <c r="CX57" s="217">
        <f t="shared" si="55"/>
        <v>2.545234042553191</v>
      </c>
      <c r="CY57" s="217">
        <f t="shared" si="56"/>
        <v>1.2726170212765955</v>
      </c>
      <c r="CZ57" s="217">
        <f t="shared" si="57"/>
        <v>1.624617473970122</v>
      </c>
      <c r="DA57" s="197">
        <f t="shared" si="58"/>
        <v>350</v>
      </c>
      <c r="DB57" s="443">
        <f t="shared" si="115"/>
        <v>345.15673537665919</v>
      </c>
      <c r="DD57" s="217">
        <f t="shared" si="59"/>
        <v>2.5100133511348464</v>
      </c>
      <c r="DE57" s="173">
        <f t="shared" si="60"/>
        <v>1.6021361815754336</v>
      </c>
      <c r="DF57" s="173">
        <f t="shared" si="61"/>
        <v>2.8149682442633783</v>
      </c>
      <c r="DG57" s="173"/>
      <c r="DH57" s="173">
        <f t="shared" si="62"/>
        <v>0.85106382978723416</v>
      </c>
      <c r="DI57" s="545">
        <f t="shared" si="63"/>
        <v>1374.7499999999998</v>
      </c>
      <c r="DJ57" s="528">
        <f t="shared" si="64"/>
        <v>0.79432624113475192</v>
      </c>
      <c r="DL57" s="173">
        <f t="shared" si="65"/>
        <v>2.5275623490967396</v>
      </c>
      <c r="DM57" s="173">
        <f t="shared" si="66"/>
        <v>2.545234042553191</v>
      </c>
      <c r="DN57" s="173">
        <f t="shared" si="67"/>
        <v>2.0977042290517462</v>
      </c>
      <c r="DP57" s="545">
        <f t="shared" si="68"/>
        <v>3120</v>
      </c>
      <c r="DQ57" s="460">
        <f t="shared" si="69"/>
        <v>345.15673537665919</v>
      </c>
      <c r="DS57">
        <f t="shared" si="116"/>
        <v>3120</v>
      </c>
      <c r="DT57" s="460">
        <f t="shared" si="70"/>
        <v>345.15673537665919</v>
      </c>
      <c r="DU57" s="460"/>
      <c r="DV57" s="5">
        <f t="shared" si="117"/>
        <v>2.8972344952467175</v>
      </c>
      <c r="DW57" s="5">
        <f t="shared" si="71"/>
        <v>1.2726170212765955</v>
      </c>
      <c r="DX57" s="5">
        <f t="shared" si="118"/>
        <v>1.624617473970122</v>
      </c>
      <c r="DY57" s="173">
        <f t="shared" si="119"/>
        <v>0.43925233644859812</v>
      </c>
      <c r="EA57" s="5">
        <f t="shared" si="72"/>
        <v>99.264127659574456</v>
      </c>
      <c r="EB57" s="5">
        <f t="shared" si="73"/>
        <v>0.36764491725768317</v>
      </c>
      <c r="EC57" s="5">
        <f t="shared" si="74"/>
        <v>0.70400090538705284</v>
      </c>
      <c r="ED57" s="5"/>
      <c r="EE57" s="173">
        <f t="shared" si="120"/>
        <v>0.97392190986999683</v>
      </c>
      <c r="EF57" s="173">
        <f t="shared" si="75"/>
        <v>4.4016025395589384</v>
      </c>
      <c r="EG57" s="173">
        <f t="shared" si="76"/>
        <v>8.3868372713217593E-2</v>
      </c>
      <c r="EH57" s="173"/>
      <c r="EI57" s="528">
        <f t="shared" si="77"/>
        <v>1.157199141560283E-2</v>
      </c>
      <c r="EJ57" s="528">
        <f t="shared" si="78"/>
        <v>0.752</v>
      </c>
      <c r="EK57" s="528">
        <f t="shared" si="79"/>
        <v>4.3144591922082393E-2</v>
      </c>
      <c r="EL57" s="528">
        <f t="shared" si="80"/>
        <v>6.3227191413237932E-2</v>
      </c>
      <c r="EM57">
        <f t="shared" si="81"/>
        <v>1.0800000000000001E-2</v>
      </c>
      <c r="EN57" s="460">
        <f t="shared" si="121"/>
        <v>53.944591922082395</v>
      </c>
      <c r="EO57">
        <f t="shared" si="82"/>
        <v>0.88630511291473713</v>
      </c>
      <c r="EP57" s="460">
        <f t="shared" si="122"/>
        <v>886.30511291473715</v>
      </c>
      <c r="EQ57" s="173">
        <f t="shared" si="83"/>
        <v>1.9382999999999997</v>
      </c>
      <c r="ER57" s="173">
        <f t="shared" si="170"/>
        <v>2.3075000000000002E-2</v>
      </c>
      <c r="ES57" s="528"/>
      <c r="EU57" s="460">
        <f t="shared" si="123"/>
        <v>1961.3749999999995</v>
      </c>
      <c r="EV57" s="528">
        <f t="shared" si="85"/>
        <v>2.8455716595744664E-2</v>
      </c>
      <c r="EW57" s="528">
        <f t="shared" si="124"/>
        <v>0.58122314748755088</v>
      </c>
      <c r="EX57" s="528">
        <f t="shared" si="86"/>
        <v>3.5169519707815908E-5</v>
      </c>
      <c r="EY57" s="528">
        <f t="shared" si="87"/>
        <v>1.1437475956681535</v>
      </c>
      <c r="EZ57" s="528">
        <f t="shared" si="88"/>
        <v>1.9972112137429465</v>
      </c>
      <c r="FA57" s="625">
        <f t="shared" si="89"/>
        <v>5.5899999999999998E-2</v>
      </c>
      <c r="FB57" s="460">
        <f t="shared" si="125"/>
        <v>2053.1112137429463</v>
      </c>
      <c r="FC57" s="173">
        <f t="shared" si="126"/>
        <v>4.900791326657683</v>
      </c>
      <c r="FD57" s="5">
        <f t="shared" si="127"/>
        <v>13.416</v>
      </c>
      <c r="FE57" s="173">
        <f t="shared" si="128"/>
        <v>0.73244269483349822</v>
      </c>
      <c r="FF57" s="5">
        <f t="shared" si="129"/>
        <v>73.244269483349825</v>
      </c>
      <c r="FG57">
        <f t="shared" si="130"/>
        <v>52</v>
      </c>
      <c r="FI57" s="562">
        <f t="shared" si="90"/>
        <v>-50</v>
      </c>
      <c r="FJ57">
        <f t="shared" si="91"/>
        <v>-50</v>
      </c>
      <c r="FL57">
        <f t="shared" si="92"/>
        <v>0.56074766355140193</v>
      </c>
    </row>
    <row r="58" spans="5:168">
      <c r="E58" s="170">
        <v>53</v>
      </c>
      <c r="F58" s="217">
        <f t="shared" si="174"/>
        <v>3.18</v>
      </c>
      <c r="G58" s="217">
        <f t="shared" si="171"/>
        <v>5.3000000000000005E-2</v>
      </c>
      <c r="H58" s="217">
        <f t="shared" si="135"/>
        <v>12.72</v>
      </c>
      <c r="I58" s="217">
        <f t="shared" si="175"/>
        <v>0.95400000000000007</v>
      </c>
      <c r="J58" s="541">
        <f t="shared" si="136"/>
        <v>23.925513490063839</v>
      </c>
      <c r="K58" s="443">
        <f t="shared" si="137"/>
        <v>19.480520000000002</v>
      </c>
      <c r="L58" s="172">
        <f t="shared" si="138"/>
        <v>43.406033490063841</v>
      </c>
      <c r="M58" s="443"/>
      <c r="N58" s="217">
        <f t="shared" si="139"/>
        <v>0.44879751577529714</v>
      </c>
      <c r="O58" s="172">
        <f t="shared" si="172"/>
        <v>33.29522796275662</v>
      </c>
      <c r="P58" s="172">
        <f t="shared" si="140"/>
        <v>2.6844277544972526</v>
      </c>
      <c r="Q58" s="217">
        <f t="shared" si="6"/>
        <v>8.323806990689155</v>
      </c>
      <c r="R58" s="217">
        <f t="shared" si="141"/>
        <v>1.8497348868198122</v>
      </c>
      <c r="S58" s="443">
        <f t="shared" si="142"/>
        <v>4</v>
      </c>
      <c r="T58" s="217">
        <f t="shared" si="143"/>
        <v>2.5469115302305663</v>
      </c>
      <c r="U58" s="217">
        <f t="shared" si="10"/>
        <v>1.2774203728358622</v>
      </c>
      <c r="V58" s="217">
        <f t="shared" si="11"/>
        <v>1.5688974607847632</v>
      </c>
      <c r="W58" s="197">
        <f t="shared" si="12"/>
        <v>350</v>
      </c>
      <c r="X58" s="443">
        <f t="shared" si="95"/>
        <v>328.2651563679666</v>
      </c>
      <c r="Z58" s="217">
        <f t="shared" si="13"/>
        <v>2.5565978614259546</v>
      </c>
      <c r="AA58" s="173">
        <f t="shared" si="14"/>
        <v>1.5748642406420079</v>
      </c>
      <c r="AB58" s="173">
        <f t="shared" si="144"/>
        <v>2.8184061847630968</v>
      </c>
      <c r="AC58" s="173"/>
      <c r="AD58" s="173">
        <f t="shared" si="16"/>
        <v>0.82133331143111177</v>
      </c>
      <c r="AE58" s="545">
        <f t="shared" si="145"/>
        <v>1451.9075062499999</v>
      </c>
      <c r="AF58" s="528">
        <f t="shared" si="146"/>
        <v>0.76657775733570443</v>
      </c>
      <c r="AH58" s="173">
        <f t="shared" si="147"/>
        <v>2.5517500997214779</v>
      </c>
      <c r="AI58" s="173">
        <f t="shared" si="148"/>
        <v>2.5469115302305663</v>
      </c>
      <c r="AJ58" s="173">
        <f t="shared" si="149"/>
        <v>2.0989468125164685</v>
      </c>
      <c r="AL58" s="545">
        <f t="shared" si="150"/>
        <v>3180</v>
      </c>
      <c r="AM58" s="460">
        <f t="shared" si="151"/>
        <v>328.2651563679666</v>
      </c>
      <c r="AO58">
        <f t="shared" si="96"/>
        <v>3180</v>
      </c>
      <c r="AP58" s="460">
        <f t="shared" si="24"/>
        <v>328.2651563679666</v>
      </c>
      <c r="AQ58" s="460"/>
      <c r="AR58" s="5">
        <f t="shared" si="97"/>
        <v>3.046317833620626</v>
      </c>
      <c r="AS58" s="5">
        <f t="shared" si="25"/>
        <v>1.2774203728358622</v>
      </c>
      <c r="AT58" s="5">
        <f t="shared" si="98"/>
        <v>1.7688974607847638</v>
      </c>
      <c r="AU58" s="173">
        <f t="shared" si="99"/>
        <v>0.41933259843659049</v>
      </c>
      <c r="AW58" s="5">
        <f t="shared" si="152"/>
        <v>101.55491964045105</v>
      </c>
      <c r="AX58" s="5">
        <f t="shared" si="153"/>
        <v>0.37612933200167059</v>
      </c>
      <c r="AY58" s="5">
        <f t="shared" si="28"/>
        <v>0.78369532558226662</v>
      </c>
      <c r="AZ58" s="5"/>
      <c r="BA58" s="173">
        <f t="shared" si="100"/>
        <v>0.95220957625331115</v>
      </c>
      <c r="BB58" s="173">
        <f t="shared" si="154"/>
        <v>4.4820525723502307</v>
      </c>
      <c r="BC58" s="173">
        <f t="shared" si="155"/>
        <v>8.5401271986673327E-2</v>
      </c>
      <c r="BD58" s="173"/>
      <c r="BE58" s="528">
        <f t="shared" si="31"/>
        <v>1.1061777540723825E-2</v>
      </c>
      <c r="BF58" s="528">
        <f t="shared" si="156"/>
        <v>0.68044028817339852</v>
      </c>
      <c r="BG58" s="528">
        <f t="shared" si="157"/>
        <v>0.19634781067499249</v>
      </c>
      <c r="BH58" s="528">
        <f t="shared" si="34"/>
        <v>6.1847904461802758E-2</v>
      </c>
      <c r="BI58">
        <f t="shared" si="35"/>
        <v>1.0766481070528727E-2</v>
      </c>
      <c r="BJ58" s="460">
        <f t="shared" si="101"/>
        <v>207.1142917455212</v>
      </c>
      <c r="BK58">
        <f t="shared" si="158"/>
        <v>0.75832975177587825</v>
      </c>
      <c r="BL58" s="460">
        <f t="shared" si="102"/>
        <v>758.32975177587821</v>
      </c>
      <c r="BM58" s="173">
        <f t="shared" si="159"/>
        <v>1.9755749999999999</v>
      </c>
      <c r="BN58" s="173">
        <f t="shared" si="160"/>
        <v>2.3518750000000001E-2</v>
      </c>
      <c r="BO58" s="528"/>
      <c r="BQ58" s="460">
        <f t="shared" si="103"/>
        <v>1999.09375</v>
      </c>
      <c r="BR58" s="528">
        <f t="shared" si="39"/>
        <v>2.720109231325531E-2</v>
      </c>
      <c r="BS58" s="528">
        <f t="shared" si="104"/>
        <v>0.60266385783933951</v>
      </c>
      <c r="BT58" s="528">
        <f t="shared" si="161"/>
        <v>3.6466886284708776E-5</v>
      </c>
      <c r="BU58" s="528">
        <f t="shared" si="41"/>
        <v>1.0105705103833194</v>
      </c>
      <c r="BV58" s="528">
        <f t="shared" si="162"/>
        <v>1.8867242919146259</v>
      </c>
      <c r="BW58" s="625">
        <f t="shared" si="163"/>
        <v>5.3234418543187022E-2</v>
      </c>
      <c r="BX58" s="460">
        <f t="shared" si="105"/>
        <v>1939.9587104578129</v>
      </c>
      <c r="BY58" s="173">
        <f t="shared" si="106"/>
        <v>4.6973822122336912</v>
      </c>
      <c r="BZ58" s="5">
        <f t="shared" si="107"/>
        <v>13.674000000000001</v>
      </c>
      <c r="CA58" s="173">
        <f t="shared" si="108"/>
        <v>0.74430980979179373</v>
      </c>
      <c r="CB58" s="5">
        <f t="shared" si="109"/>
        <v>74.430980979179367</v>
      </c>
      <c r="CC58">
        <f t="shared" si="173"/>
        <v>53</v>
      </c>
      <c r="CE58" s="562">
        <f t="shared" si="164"/>
        <v>-50</v>
      </c>
      <c r="CF58">
        <f t="shared" si="165"/>
        <v>-50</v>
      </c>
      <c r="CG58" s="173">
        <f t="shared" si="166"/>
        <v>0.56074766355140182</v>
      </c>
      <c r="CH58" s="173">
        <f t="shared" si="167"/>
        <v>0.15015627428311998</v>
      </c>
      <c r="CI58" s="170">
        <v>53</v>
      </c>
      <c r="CJ58" s="217">
        <f t="shared" si="133"/>
        <v>3.18</v>
      </c>
      <c r="CK58" s="217">
        <f t="shared" si="111"/>
        <v>5.3000000000000005E-2</v>
      </c>
      <c r="CL58" s="217">
        <f t="shared" si="48"/>
        <v>12.72</v>
      </c>
      <c r="CM58" s="217">
        <f t="shared" si="134"/>
        <v>0.95400000000000007</v>
      </c>
      <c r="CN58" s="541">
        <f t="shared" si="112"/>
        <v>24</v>
      </c>
      <c r="CO58" s="443">
        <f t="shared" si="168"/>
        <v>18.8</v>
      </c>
      <c r="CP58" s="443">
        <f t="shared" si="169"/>
        <v>42.8</v>
      </c>
      <c r="CQ58" s="443"/>
      <c r="CR58" s="217">
        <f t="shared" si="113"/>
        <v>0.43925233644859818</v>
      </c>
      <c r="CS58" s="172">
        <f t="shared" si="114"/>
        <v>32.688545968267775</v>
      </c>
      <c r="CT58" s="172">
        <f t="shared" si="51"/>
        <v>2.6355140186915893</v>
      </c>
      <c r="CU58" s="217">
        <f t="shared" si="52"/>
        <v>8.1721364920669437</v>
      </c>
      <c r="CV58" s="217">
        <f t="shared" si="53"/>
        <v>1.816030331570432</v>
      </c>
      <c r="CW58" s="443">
        <f t="shared" si="54"/>
        <v>4</v>
      </c>
      <c r="CX58" s="217">
        <f t="shared" si="55"/>
        <v>2.5941808510638293</v>
      </c>
      <c r="CY58" s="217">
        <f t="shared" si="56"/>
        <v>1.2970904255319149</v>
      </c>
      <c r="CZ58" s="217">
        <f t="shared" si="57"/>
        <v>1.6558601177003167</v>
      </c>
      <c r="DA58" s="197">
        <f t="shared" si="58"/>
        <v>350</v>
      </c>
      <c r="DB58" s="443">
        <f t="shared" si="115"/>
        <v>338.64434414313729</v>
      </c>
      <c r="DD58" s="217">
        <f t="shared" si="59"/>
        <v>2.5100133511348464</v>
      </c>
      <c r="DE58" s="173">
        <f t="shared" si="60"/>
        <v>1.6021361815754336</v>
      </c>
      <c r="DF58" s="173">
        <f t="shared" si="61"/>
        <v>2.8149682442633783</v>
      </c>
      <c r="DG58" s="173"/>
      <c r="DH58" s="173">
        <f t="shared" si="62"/>
        <v>0.85106382978723416</v>
      </c>
      <c r="DI58" s="545">
        <f t="shared" si="63"/>
        <v>1401.1874999999998</v>
      </c>
      <c r="DJ58" s="528">
        <f t="shared" si="64"/>
        <v>0.79432624113475192</v>
      </c>
      <c r="DL58" s="173">
        <f t="shared" si="65"/>
        <v>2.5517500997214779</v>
      </c>
      <c r="DM58" s="173">
        <f t="shared" si="66"/>
        <v>2.5941808510638293</v>
      </c>
      <c r="DN58" s="173">
        <f t="shared" si="67"/>
        <v>2.1339611242448115</v>
      </c>
      <c r="DP58" s="545">
        <f t="shared" si="68"/>
        <v>3180</v>
      </c>
      <c r="DQ58" s="460">
        <f t="shared" si="69"/>
        <v>338.64434414313729</v>
      </c>
      <c r="DS58">
        <f t="shared" si="116"/>
        <v>3180</v>
      </c>
      <c r="DT58" s="460">
        <f t="shared" si="70"/>
        <v>338.64434414313729</v>
      </c>
      <c r="DU58" s="460"/>
      <c r="DV58" s="5">
        <f t="shared" si="117"/>
        <v>2.9529505432322316</v>
      </c>
      <c r="DW58" s="5">
        <f t="shared" si="71"/>
        <v>1.2970904255319149</v>
      </c>
      <c r="DX58" s="5">
        <f t="shared" si="118"/>
        <v>1.6558601177003167</v>
      </c>
      <c r="DY58" s="173">
        <f t="shared" si="119"/>
        <v>0.43925233644859818</v>
      </c>
      <c r="EA58" s="5">
        <f t="shared" si="72"/>
        <v>103.11868882978723</v>
      </c>
      <c r="EB58" s="5">
        <f t="shared" si="73"/>
        <v>0.38192106973995277</v>
      </c>
      <c r="EC58" s="5">
        <f t="shared" si="74"/>
        <v>0.73133821865097315</v>
      </c>
      <c r="ED58" s="5"/>
      <c r="EE58" s="173">
        <f t="shared" si="120"/>
        <v>0.99265117736749697</v>
      </c>
      <c r="EF58" s="173">
        <f t="shared" si="75"/>
        <v>4.486248742242763</v>
      </c>
      <c r="EG58" s="173">
        <f t="shared" si="76"/>
        <v>8.5481226034625629E-2</v>
      </c>
      <c r="EH58" s="173"/>
      <c r="EI58" s="528">
        <f t="shared" si="77"/>
        <v>1.2021347591134749E-2</v>
      </c>
      <c r="EJ58" s="528">
        <f t="shared" si="78"/>
        <v>0.752</v>
      </c>
      <c r="EK58" s="528">
        <f t="shared" si="79"/>
        <v>4.2330543017892158E-2</v>
      </c>
      <c r="EL58" s="528">
        <f t="shared" si="80"/>
        <v>6.203422553751646E-2</v>
      </c>
      <c r="EM58">
        <f t="shared" si="81"/>
        <v>1.0800000000000001E-2</v>
      </c>
      <c r="EN58" s="460">
        <f t="shared" si="121"/>
        <v>53.130543017892165</v>
      </c>
      <c r="EO58">
        <f t="shared" si="82"/>
        <v>0.88495956538997123</v>
      </c>
      <c r="EP58" s="460">
        <f t="shared" si="122"/>
        <v>884.9595653899712</v>
      </c>
      <c r="EQ58" s="173">
        <f t="shared" si="83"/>
        <v>1.9755749999999999</v>
      </c>
      <c r="ER58" s="173">
        <f t="shared" si="170"/>
        <v>2.3518750000000001E-2</v>
      </c>
      <c r="ES58" s="528"/>
      <c r="EU58" s="460">
        <f t="shared" si="123"/>
        <v>1999.09375</v>
      </c>
      <c r="EV58" s="528">
        <f t="shared" si="85"/>
        <v>2.9560690797872335E-2</v>
      </c>
      <c r="EW58" s="528">
        <f t="shared" si="124"/>
        <v>0.60379283331824318</v>
      </c>
      <c r="EX58" s="528">
        <f t="shared" si="86"/>
        <v>3.6535200021913795E-5</v>
      </c>
      <c r="EY58" s="528">
        <f t="shared" si="87"/>
        <v>1.1437475956681542</v>
      </c>
      <c r="EZ58" s="528">
        <f t="shared" si="88"/>
        <v>2.0321213038761403</v>
      </c>
      <c r="FA58" s="625">
        <f t="shared" si="89"/>
        <v>5.6974999999999998E-2</v>
      </c>
      <c r="FB58" s="460">
        <f t="shared" si="125"/>
        <v>2089.0963038761402</v>
      </c>
      <c r="FC58" s="173">
        <f t="shared" si="126"/>
        <v>4.9731496192661115</v>
      </c>
      <c r="FD58" s="5">
        <f t="shared" si="127"/>
        <v>13.674000000000001</v>
      </c>
      <c r="FE58" s="173">
        <f t="shared" si="128"/>
        <v>0.73330242311522587</v>
      </c>
      <c r="FF58" s="5">
        <f t="shared" si="129"/>
        <v>73.330242311522582</v>
      </c>
      <c r="FG58">
        <f t="shared" si="130"/>
        <v>53</v>
      </c>
      <c r="FI58" s="562">
        <f t="shared" si="90"/>
        <v>-50</v>
      </c>
      <c r="FJ58">
        <f t="shared" si="91"/>
        <v>-50</v>
      </c>
      <c r="FL58">
        <f t="shared" si="92"/>
        <v>0.56074766355140182</v>
      </c>
    </row>
    <row r="59" spans="5:168">
      <c r="E59" s="170">
        <v>54</v>
      </c>
      <c r="F59" s="217">
        <f t="shared" si="174"/>
        <v>3.24</v>
      </c>
      <c r="G59" s="217">
        <f t="shared" si="171"/>
        <v>5.4000000000000006E-2</v>
      </c>
      <c r="H59" s="217">
        <f t="shared" si="135"/>
        <v>12.96</v>
      </c>
      <c r="I59" s="217">
        <f t="shared" si="175"/>
        <v>0.97200000000000009</v>
      </c>
      <c r="J59" s="541">
        <f t="shared" si="136"/>
        <v>23.924108084215987</v>
      </c>
      <c r="K59" s="443">
        <f t="shared" si="137"/>
        <v>19.493359999999999</v>
      </c>
      <c r="L59" s="172">
        <f t="shared" si="138"/>
        <v>43.417468084215983</v>
      </c>
      <c r="M59" s="443"/>
      <c r="N59" s="217">
        <f t="shared" si="139"/>
        <v>0.44897505221145378</v>
      </c>
      <c r="O59" s="172">
        <f t="shared" si="172"/>
        <v>33.306442406894071</v>
      </c>
      <c r="P59" s="172">
        <f t="shared" si="140"/>
        <v>2.6853319190558342</v>
      </c>
      <c r="Q59" s="217">
        <f t="shared" si="6"/>
        <v>8.3266106017235177</v>
      </c>
      <c r="R59" s="217">
        <f t="shared" si="141"/>
        <v>1.8503579114941151</v>
      </c>
      <c r="S59" s="443">
        <f t="shared" si="142"/>
        <v>4</v>
      </c>
      <c r="T59" s="217">
        <f t="shared" si="143"/>
        <v>2.5940927267007101</v>
      </c>
      <c r="U59" s="217">
        <f t="shared" si="10"/>
        <v>1.301160846240536</v>
      </c>
      <c r="V59" s="217">
        <f t="shared" si="11"/>
        <v>1.5969085227179165</v>
      </c>
      <c r="W59" s="197">
        <f t="shared" si="12"/>
        <v>350</v>
      </c>
      <c r="X59" s="443">
        <f t="shared" si="95"/>
        <v>322.78166848671702</v>
      </c>
      <c r="Z59" s="217">
        <f t="shared" si="13"/>
        <v>2.5574589705293653</v>
      </c>
      <c r="AA59" s="173">
        <f t="shared" si="14"/>
        <v>1.5743569936815607</v>
      </c>
      <c r="AB59" s="173">
        <f t="shared" si="144"/>
        <v>2.8184473914145851</v>
      </c>
      <c r="AC59" s="173"/>
      <c r="AD59" s="173">
        <f t="shared" si="16"/>
        <v>0.82079231081763238</v>
      </c>
      <c r="AE59" s="545">
        <f t="shared" si="145"/>
        <v>1480.2770250000001</v>
      </c>
      <c r="AF59" s="528">
        <f t="shared" si="146"/>
        <v>0.76607282342979033</v>
      </c>
      <c r="AH59" s="173">
        <f t="shared" si="147"/>
        <v>2.5757107202257234</v>
      </c>
      <c r="AI59" s="173">
        <f t="shared" si="148"/>
        <v>2.5940927267007101</v>
      </c>
      <c r="AJ59" s="173">
        <f t="shared" si="149"/>
        <v>2.1338958469387972</v>
      </c>
      <c r="AL59" s="545">
        <f t="shared" si="150"/>
        <v>3240</v>
      </c>
      <c r="AM59" s="460">
        <f t="shared" si="151"/>
        <v>322.78166848671702</v>
      </c>
      <c r="AO59">
        <f t="shared" si="96"/>
        <v>3240</v>
      </c>
      <c r="AP59" s="460">
        <f t="shared" si="24"/>
        <v>322.78166848671702</v>
      </c>
      <c r="AQ59" s="460"/>
      <c r="AR59" s="5">
        <f t="shared" si="97"/>
        <v>3.0980693689584529</v>
      </c>
      <c r="AS59" s="5">
        <f t="shared" si="25"/>
        <v>1.301160846240536</v>
      </c>
      <c r="AT59" s="5">
        <f t="shared" si="98"/>
        <v>1.7969085227179169</v>
      </c>
      <c r="AU59" s="173">
        <f t="shared" si="99"/>
        <v>0.41999086891910886</v>
      </c>
      <c r="AW59" s="5">
        <f t="shared" si="152"/>
        <v>105.39402854548341</v>
      </c>
      <c r="AX59" s="5">
        <f t="shared" si="153"/>
        <v>0.39034825387216082</v>
      </c>
      <c r="AY59" s="5">
        <f t="shared" si="28"/>
        <v>0.81117389944234042</v>
      </c>
      <c r="AZ59" s="5"/>
      <c r="BA59" s="173">
        <f t="shared" si="100"/>
        <v>0.97061007025555657</v>
      </c>
      <c r="BB59" s="173">
        <f t="shared" si="154"/>
        <v>4.5624936744589055</v>
      </c>
      <c r="BC59" s="173">
        <f t="shared" si="155"/>
        <v>8.6934001094419691E-2</v>
      </c>
      <c r="BD59" s="173"/>
      <c r="BE59" s="528">
        <f t="shared" si="31"/>
        <v>1.1493423683474255E-2</v>
      </c>
      <c r="BF59" s="528">
        <f t="shared" si="156"/>
        <v>0.68164793591409634</v>
      </c>
      <c r="BG59" s="528">
        <f t="shared" si="157"/>
        <v>0.1930565881119948</v>
      </c>
      <c r="BH59" s="528">
        <f t="shared" si="34"/>
        <v>6.0846814914207743E-2</v>
      </c>
      <c r="BI59">
        <f t="shared" si="35"/>
        <v>1.0765848637897195E-2</v>
      </c>
      <c r="BJ59" s="460">
        <f t="shared" si="101"/>
        <v>203.82243674989201</v>
      </c>
      <c r="BK59">
        <f t="shared" si="158"/>
        <v>0.75916455391390969</v>
      </c>
      <c r="BL59" s="460">
        <f t="shared" si="102"/>
        <v>759.16455391390969</v>
      </c>
      <c r="BM59" s="173">
        <f t="shared" si="159"/>
        <v>2.0128499999999998</v>
      </c>
      <c r="BN59" s="173">
        <f t="shared" si="160"/>
        <v>2.3962500000000001E-2</v>
      </c>
      <c r="BO59" s="528"/>
      <c r="BQ59" s="460">
        <f t="shared" si="103"/>
        <v>2036.8125</v>
      </c>
      <c r="BR59" s="528">
        <f t="shared" si="39"/>
        <v>2.8262517254444893E-2</v>
      </c>
      <c r="BS59" s="528">
        <f t="shared" si="104"/>
        <v>0.62449045588432572</v>
      </c>
      <c r="BT59" s="528">
        <f t="shared" si="161"/>
        <v>3.7787602731422826E-5</v>
      </c>
      <c r="BU59" s="528">
        <f t="shared" si="41"/>
        <v>1.0143921969714873</v>
      </c>
      <c r="BV59" s="528">
        <f t="shared" si="162"/>
        <v>1.9243484936595736</v>
      </c>
      <c r="BW59" s="625">
        <f t="shared" si="163"/>
        <v>5.4302504828869197E-2</v>
      </c>
      <c r="BX59" s="460">
        <f t="shared" si="105"/>
        <v>1978.6509984884428</v>
      </c>
      <c r="BY59" s="173">
        <f t="shared" si="106"/>
        <v>4.7746280524023526</v>
      </c>
      <c r="BZ59" s="5">
        <f t="shared" si="107"/>
        <v>13.932</v>
      </c>
      <c r="CA59" s="173">
        <f t="shared" si="108"/>
        <v>0.74476276328222701</v>
      </c>
      <c r="CB59" s="5">
        <f t="shared" si="109"/>
        <v>74.476276328222696</v>
      </c>
      <c r="CC59">
        <f t="shared" si="173"/>
        <v>54</v>
      </c>
      <c r="CE59" s="562">
        <f t="shared" si="164"/>
        <v>-50</v>
      </c>
      <c r="CF59">
        <f t="shared" si="165"/>
        <v>-50</v>
      </c>
      <c r="CG59" s="173">
        <f t="shared" si="166"/>
        <v>0.56074766355140182</v>
      </c>
      <c r="CH59" s="173">
        <f t="shared" si="167"/>
        <v>0.15015627428311998</v>
      </c>
      <c r="CI59" s="170">
        <v>54</v>
      </c>
      <c r="CJ59" s="217">
        <f t="shared" si="133"/>
        <v>3.24</v>
      </c>
      <c r="CK59" s="217">
        <f t="shared" si="111"/>
        <v>5.4000000000000006E-2</v>
      </c>
      <c r="CL59" s="217">
        <f t="shared" si="48"/>
        <v>12.96</v>
      </c>
      <c r="CM59" s="217">
        <f t="shared" si="134"/>
        <v>0.97200000000000009</v>
      </c>
      <c r="CN59" s="541">
        <f t="shared" si="112"/>
        <v>24</v>
      </c>
      <c r="CO59" s="443">
        <f t="shared" si="168"/>
        <v>18.8</v>
      </c>
      <c r="CP59" s="443">
        <f t="shared" si="169"/>
        <v>42.8</v>
      </c>
      <c r="CQ59" s="443"/>
      <c r="CR59" s="217">
        <f t="shared" si="113"/>
        <v>0.43925233644859818</v>
      </c>
      <c r="CS59" s="172">
        <f t="shared" si="114"/>
        <v>32.688545968267775</v>
      </c>
      <c r="CT59" s="172">
        <f t="shared" si="51"/>
        <v>2.6355140186915893</v>
      </c>
      <c r="CU59" s="217">
        <f t="shared" si="52"/>
        <v>8.1721364920669437</v>
      </c>
      <c r="CV59" s="217">
        <f t="shared" si="53"/>
        <v>1.816030331570432</v>
      </c>
      <c r="CW59" s="443">
        <f t="shared" si="54"/>
        <v>4</v>
      </c>
      <c r="CX59" s="217">
        <f t="shared" si="55"/>
        <v>2.6431276595744677</v>
      </c>
      <c r="CY59" s="217">
        <f t="shared" si="56"/>
        <v>1.3215638297872341</v>
      </c>
      <c r="CZ59" s="217">
        <f t="shared" si="57"/>
        <v>1.6871027614305114</v>
      </c>
      <c r="DA59" s="197">
        <f t="shared" si="58"/>
        <v>350</v>
      </c>
      <c r="DB59" s="443">
        <f t="shared" si="115"/>
        <v>332.37315258493101</v>
      </c>
      <c r="DD59" s="217">
        <f t="shared" si="59"/>
        <v>2.5100133511348464</v>
      </c>
      <c r="DE59" s="173">
        <f t="shared" si="60"/>
        <v>1.6021361815754336</v>
      </c>
      <c r="DF59" s="173">
        <f t="shared" si="61"/>
        <v>2.8149682442633783</v>
      </c>
      <c r="DG59" s="173"/>
      <c r="DH59" s="173">
        <f t="shared" si="62"/>
        <v>0.85106382978723416</v>
      </c>
      <c r="DI59" s="545">
        <f t="shared" si="63"/>
        <v>1427.6249999999998</v>
      </c>
      <c r="DJ59" s="528">
        <f t="shared" si="64"/>
        <v>0.79432624113475192</v>
      </c>
      <c r="DL59" s="173">
        <f t="shared" si="65"/>
        <v>2.5757107202257234</v>
      </c>
      <c r="DM59" s="173">
        <f t="shared" si="66"/>
        <v>2.6431276595744677</v>
      </c>
      <c r="DN59" s="173">
        <f t="shared" si="67"/>
        <v>2.1702180194378773</v>
      </c>
      <c r="DP59" s="545">
        <f t="shared" si="68"/>
        <v>3240</v>
      </c>
      <c r="DQ59" s="460">
        <f t="shared" si="69"/>
        <v>332.37315258493101</v>
      </c>
      <c r="DS59">
        <f t="shared" si="116"/>
        <v>3240</v>
      </c>
      <c r="DT59" s="460">
        <f t="shared" si="70"/>
        <v>332.37315258493101</v>
      </c>
      <c r="DU59" s="460"/>
      <c r="DV59" s="5">
        <f t="shared" si="117"/>
        <v>3.0086665912177453</v>
      </c>
      <c r="DW59" s="5">
        <f t="shared" si="71"/>
        <v>1.3215638297872341</v>
      </c>
      <c r="DX59" s="5">
        <f t="shared" si="118"/>
        <v>1.6871027614305112</v>
      </c>
      <c r="DY59" s="173">
        <f t="shared" si="119"/>
        <v>0.43925233644859818</v>
      </c>
      <c r="EA59" s="5">
        <f t="shared" si="72"/>
        <v>107.04667021276597</v>
      </c>
      <c r="EB59" s="5">
        <f t="shared" si="73"/>
        <v>0.39646914893617025</v>
      </c>
      <c r="EC59" s="5">
        <f t="shared" si="74"/>
        <v>0.75919624264372998</v>
      </c>
      <c r="ED59" s="5"/>
      <c r="EE59" s="173">
        <f t="shared" si="120"/>
        <v>1.011380444864997</v>
      </c>
      <c r="EF59" s="173">
        <f t="shared" si="75"/>
        <v>4.5708949449265894</v>
      </c>
      <c r="EG59" s="173">
        <f t="shared" si="76"/>
        <v>8.7094079356033666E-2</v>
      </c>
      <c r="EH59" s="173"/>
      <c r="EI59" s="528">
        <f t="shared" si="77"/>
        <v>1.2479262931914894E-2</v>
      </c>
      <c r="EJ59" s="528">
        <f t="shared" si="78"/>
        <v>0.75199999999999989</v>
      </c>
      <c r="EK59" s="528">
        <f t="shared" si="79"/>
        <v>4.1546644073116375E-2</v>
      </c>
      <c r="EL59" s="528">
        <f t="shared" si="80"/>
        <v>6.0885443583117996E-2</v>
      </c>
      <c r="EM59">
        <f t="shared" si="81"/>
        <v>1.0800000000000001E-2</v>
      </c>
      <c r="EN59" s="460">
        <f t="shared" si="121"/>
        <v>52.346644073116373</v>
      </c>
      <c r="EO59">
        <f t="shared" si="82"/>
        <v>0.88370098941097874</v>
      </c>
      <c r="EP59" s="460">
        <f t="shared" si="122"/>
        <v>883.70098941097876</v>
      </c>
      <c r="EQ59" s="173">
        <f t="shared" si="83"/>
        <v>2.0128499999999998</v>
      </c>
      <c r="ER59" s="173">
        <f t="shared" si="170"/>
        <v>2.3962500000000001E-2</v>
      </c>
      <c r="ES59" s="528"/>
      <c r="EU59" s="460">
        <f t="shared" si="123"/>
        <v>2036.8125</v>
      </c>
      <c r="EV59" s="528">
        <f t="shared" si="85"/>
        <v>3.0686712127659579E-2</v>
      </c>
      <c r="EW59" s="528">
        <f t="shared" si="124"/>
        <v>0.62679241792666351</v>
      </c>
      <c r="EX59" s="528">
        <f t="shared" si="86"/>
        <v>3.7926893294375451E-5</v>
      </c>
      <c r="EY59" s="528">
        <f t="shared" si="87"/>
        <v>1.1437475956681515</v>
      </c>
      <c r="EZ59" s="528">
        <f t="shared" si="88"/>
        <v>2.0678399492993593</v>
      </c>
      <c r="FA59" s="625">
        <f t="shared" si="89"/>
        <v>5.8049999999999997E-2</v>
      </c>
      <c r="FB59" s="460">
        <f t="shared" si="125"/>
        <v>2125.8899492993596</v>
      </c>
      <c r="FC59" s="173">
        <f t="shared" si="126"/>
        <v>5.0464034387103371</v>
      </c>
      <c r="FD59" s="5">
        <f t="shared" si="127"/>
        <v>13.932</v>
      </c>
      <c r="FE59" s="173">
        <f t="shared" si="128"/>
        <v>0.734097578070389</v>
      </c>
      <c r="FF59" s="5">
        <f t="shared" si="129"/>
        <v>73.409757807038901</v>
      </c>
      <c r="FG59">
        <f t="shared" si="130"/>
        <v>54</v>
      </c>
      <c r="FI59" s="562">
        <f t="shared" si="90"/>
        <v>-50</v>
      </c>
      <c r="FJ59">
        <f t="shared" si="91"/>
        <v>-50</v>
      </c>
      <c r="FL59">
        <f t="shared" si="92"/>
        <v>0.56074766355140182</v>
      </c>
    </row>
    <row r="60" spans="5:168">
      <c r="E60" s="170">
        <v>55</v>
      </c>
      <c r="F60" s="217">
        <f t="shared" si="174"/>
        <v>3.3000000000000003</v>
      </c>
      <c r="G60" s="217">
        <f t="shared" si="171"/>
        <v>5.5000000000000007E-2</v>
      </c>
      <c r="H60" s="217">
        <f t="shared" si="135"/>
        <v>13.200000000000001</v>
      </c>
      <c r="I60" s="217">
        <f t="shared" si="175"/>
        <v>0.9900000000000001</v>
      </c>
      <c r="J60" s="541">
        <f t="shared" si="136"/>
        <v>23.922702678368136</v>
      </c>
      <c r="K60" s="443">
        <f t="shared" si="137"/>
        <v>19.5062</v>
      </c>
      <c r="L60" s="172">
        <f t="shared" si="138"/>
        <v>43.428902678368132</v>
      </c>
      <c r="M60" s="443"/>
      <c r="N60" s="217">
        <f t="shared" si="139"/>
        <v>0.44915249515885208</v>
      </c>
      <c r="O60" s="172">
        <f t="shared" si="172"/>
        <v>33.317648368782635</v>
      </c>
      <c r="P60" s="172">
        <f t="shared" si="140"/>
        <v>2.6862353997331003</v>
      </c>
      <c r="Q60" s="217">
        <f t="shared" si="6"/>
        <v>8.3294120921956587</v>
      </c>
      <c r="R60" s="217">
        <f t="shared" si="141"/>
        <v>1.8509804649323687</v>
      </c>
      <c r="S60" s="443">
        <f t="shared" si="142"/>
        <v>4</v>
      </c>
      <c r="T60" s="217">
        <f t="shared" si="143"/>
        <v>2.6412428340066354</v>
      </c>
      <c r="U60" s="217">
        <f t="shared" si="10"/>
        <v>1.3248885142371238</v>
      </c>
      <c r="V60" s="217">
        <f t="shared" si="11"/>
        <v>1.6248635822497268</v>
      </c>
      <c r="W60" s="197">
        <f t="shared" si="12"/>
        <v>350</v>
      </c>
      <c r="X60" s="443">
        <f t="shared" si="95"/>
        <v>317.48530340383718</v>
      </c>
      <c r="Z60" s="217">
        <f t="shared" si="13"/>
        <v>2.5583194283172381</v>
      </c>
      <c r="AA60" s="173">
        <f t="shared" si="14"/>
        <v>1.5738500138318512</v>
      </c>
      <c r="AB60" s="173">
        <f t="shared" si="144"/>
        <v>2.8184877473503658</v>
      </c>
      <c r="AC60" s="173"/>
      <c r="AD60" s="173">
        <f t="shared" si="16"/>
        <v>0.82025202243389295</v>
      </c>
      <c r="AE60" s="545">
        <f t="shared" si="145"/>
        <v>1508.6826562499998</v>
      </c>
      <c r="AF60" s="528">
        <f t="shared" si="146"/>
        <v>0.76556855427163362</v>
      </c>
      <c r="AH60" s="173">
        <f t="shared" si="147"/>
        <v>2.5994504913813721</v>
      </c>
      <c r="AI60" s="173">
        <f t="shared" si="148"/>
        <v>2.6412428340066354</v>
      </c>
      <c r="AJ60" s="173">
        <f t="shared" si="149"/>
        <v>2.168821852350594</v>
      </c>
      <c r="AL60" s="545">
        <f t="shared" si="150"/>
        <v>3300.0000000000005</v>
      </c>
      <c r="AM60" s="460">
        <f t="shared" si="151"/>
        <v>317.48530340383718</v>
      </c>
      <c r="AO60">
        <f t="shared" si="96"/>
        <v>3300.0000000000005</v>
      </c>
      <c r="AP60">
        <f t="shared" si="24"/>
        <v>317.48530340383718</v>
      </c>
      <c r="AR60" s="5">
        <f t="shared" si="97"/>
        <v>3.1497520964868508</v>
      </c>
      <c r="AS60" s="5">
        <f t="shared" si="25"/>
        <v>1.3248885142371238</v>
      </c>
      <c r="AT60" s="5">
        <f t="shared" si="98"/>
        <v>1.824863582249727</v>
      </c>
      <c r="AU60" s="173">
        <f t="shared" si="99"/>
        <v>0.42063263191883227</v>
      </c>
      <c r="AW60" s="5">
        <f t="shared" si="152"/>
        <v>109.30330242456273</v>
      </c>
      <c r="AX60" s="5">
        <f t="shared" si="153"/>
        <v>0.40482704601689895</v>
      </c>
      <c r="AY60" s="5">
        <f t="shared" si="28"/>
        <v>0.83909831069790686</v>
      </c>
      <c r="AZ60" s="5"/>
      <c r="BA60" s="173">
        <f t="shared" si="100"/>
        <v>0.98900658933989427</v>
      </c>
      <c r="BB60" s="173">
        <f t="shared" si="154"/>
        <v>4.6428506225770176</v>
      </c>
      <c r="BC60" s="173">
        <f t="shared" si="155"/>
        <v>8.8465126727481025E-2</v>
      </c>
      <c r="BD60" s="173"/>
      <c r="BE60" s="528">
        <f t="shared" si="31"/>
        <v>1.1933235211844308E-2</v>
      </c>
      <c r="BF60" s="528">
        <f t="shared" si="156"/>
        <v>0.68282920255028789</v>
      </c>
      <c r="BG60" s="528">
        <f t="shared" si="157"/>
        <v>0.1898776629520374</v>
      </c>
      <c r="BH60" s="528">
        <f t="shared" si="34"/>
        <v>5.987993753384091E-2</v>
      </c>
      <c r="BI60">
        <f t="shared" si="35"/>
        <v>1.0765216205265661E-2</v>
      </c>
      <c r="BJ60" s="460">
        <f t="shared" si="101"/>
        <v>200.64287915730304</v>
      </c>
      <c r="BK60">
        <f t="shared" si="158"/>
        <v>0.76001925929136038</v>
      </c>
      <c r="BL60" s="460">
        <f t="shared" si="102"/>
        <v>760.01925929136041</v>
      </c>
      <c r="BM60" s="173">
        <f t="shared" si="159"/>
        <v>2.050125</v>
      </c>
      <c r="BN60" s="173">
        <f t="shared" si="160"/>
        <v>2.4406250000000001E-2</v>
      </c>
      <c r="BO60" s="528"/>
      <c r="BQ60" s="460">
        <f t="shared" si="103"/>
        <v>2074.53125</v>
      </c>
      <c r="BR60" s="528">
        <f t="shared" si="39"/>
        <v>2.9344021012731907E-2</v>
      </c>
      <c r="BS60" s="528">
        <f t="shared" si="104"/>
        <v>0.64668185710691406</v>
      </c>
      <c r="BT60" s="528">
        <f t="shared" si="161"/>
        <v>3.9130393234546393E-5</v>
      </c>
      <c r="BU60" s="528">
        <f t="shared" si="41"/>
        <v>1.018122181961707</v>
      </c>
      <c r="BV60" s="528">
        <f t="shared" si="162"/>
        <v>1.9625898588903168</v>
      </c>
      <c r="BW60" s="625">
        <f t="shared" si="163"/>
        <v>5.5370736287249644E-2</v>
      </c>
      <c r="BX60" s="460">
        <f t="shared" si="105"/>
        <v>2017.9605951775663</v>
      </c>
      <c r="BY60" s="173">
        <f t="shared" si="106"/>
        <v>4.8525111044689266</v>
      </c>
      <c r="BZ60" s="5">
        <f t="shared" si="107"/>
        <v>14.190000000000001</v>
      </c>
      <c r="CA60" s="173">
        <f t="shared" si="108"/>
        <v>0.74517483131044981</v>
      </c>
      <c r="CB60" s="5">
        <f t="shared" si="109"/>
        <v>74.517483131044983</v>
      </c>
      <c r="CC60">
        <f t="shared" si="173"/>
        <v>55.000000000000007</v>
      </c>
      <c r="CE60" s="562">
        <f t="shared" si="164"/>
        <v>-50</v>
      </c>
      <c r="CF60">
        <f t="shared" si="165"/>
        <v>-50</v>
      </c>
      <c r="CG60" s="173">
        <f t="shared" si="166"/>
        <v>0.56074766355140193</v>
      </c>
      <c r="CH60" s="173">
        <f t="shared" si="167"/>
        <v>0.15015627428311998</v>
      </c>
      <c r="CI60" s="170">
        <v>55</v>
      </c>
      <c r="CJ60" s="217">
        <f t="shared" si="133"/>
        <v>3.3000000000000003</v>
      </c>
      <c r="CK60" s="217">
        <f t="shared" si="111"/>
        <v>5.5000000000000007E-2</v>
      </c>
      <c r="CL60" s="217">
        <f t="shared" si="48"/>
        <v>13.200000000000001</v>
      </c>
      <c r="CM60" s="217">
        <f t="shared" si="134"/>
        <v>0.9900000000000001</v>
      </c>
      <c r="CN60" s="541">
        <f t="shared" si="112"/>
        <v>24</v>
      </c>
      <c r="CO60" s="443">
        <f t="shared" si="168"/>
        <v>18.8</v>
      </c>
      <c r="CP60" s="443">
        <f t="shared" si="169"/>
        <v>42.8</v>
      </c>
      <c r="CQ60" s="443"/>
      <c r="CR60" s="217">
        <f t="shared" si="113"/>
        <v>0.43925233644859818</v>
      </c>
      <c r="CS60" s="172">
        <f t="shared" si="114"/>
        <v>32.688545968267775</v>
      </c>
      <c r="CT60" s="172">
        <f t="shared" si="51"/>
        <v>2.6355140186915893</v>
      </c>
      <c r="CU60" s="217">
        <f t="shared" si="52"/>
        <v>8.1721364920669437</v>
      </c>
      <c r="CV60" s="217">
        <f t="shared" si="53"/>
        <v>1.816030331570432</v>
      </c>
      <c r="CW60" s="443">
        <f t="shared" si="54"/>
        <v>4</v>
      </c>
      <c r="CX60" s="217">
        <f t="shared" si="55"/>
        <v>2.6920744680851061</v>
      </c>
      <c r="CY60" s="217">
        <f t="shared" si="56"/>
        <v>1.346037234042553</v>
      </c>
      <c r="CZ60" s="217">
        <f t="shared" si="57"/>
        <v>1.7183454051607061</v>
      </c>
      <c r="DA60" s="197">
        <f t="shared" si="58"/>
        <v>350</v>
      </c>
      <c r="DB60" s="443">
        <f t="shared" si="115"/>
        <v>326.3300043561141</v>
      </c>
      <c r="DD60" s="217">
        <f t="shared" si="59"/>
        <v>2.5100133511348464</v>
      </c>
      <c r="DE60" s="173">
        <f t="shared" si="60"/>
        <v>1.6021361815754336</v>
      </c>
      <c r="DF60" s="173">
        <f t="shared" si="61"/>
        <v>2.8149682442633783</v>
      </c>
      <c r="DG60" s="173"/>
      <c r="DH60" s="173">
        <f t="shared" si="62"/>
        <v>0.85106382978723416</v>
      </c>
      <c r="DI60" s="545">
        <f t="shared" si="63"/>
        <v>1454.0624999999998</v>
      </c>
      <c r="DJ60" s="528">
        <f t="shared" si="64"/>
        <v>0.79432624113475192</v>
      </c>
      <c r="DL60" s="173">
        <f t="shared" si="65"/>
        <v>2.5994504913813721</v>
      </c>
      <c r="DM60" s="173">
        <f t="shared" si="66"/>
        <v>2.6920744680851061</v>
      </c>
      <c r="DN60" s="173">
        <f t="shared" si="67"/>
        <v>2.2064749146309426</v>
      </c>
      <c r="DP60" s="545">
        <f t="shared" si="68"/>
        <v>3300.0000000000005</v>
      </c>
      <c r="DQ60" s="460">
        <f t="shared" si="69"/>
        <v>326.3300043561141</v>
      </c>
      <c r="DS60">
        <f t="shared" si="116"/>
        <v>3300.0000000000005</v>
      </c>
      <c r="DT60">
        <f t="shared" si="70"/>
        <v>326.3300043561141</v>
      </c>
      <c r="DV60" s="5">
        <f t="shared" si="117"/>
        <v>3.0643826392032594</v>
      </c>
      <c r="DW60" s="5">
        <f t="shared" si="71"/>
        <v>1.346037234042553</v>
      </c>
      <c r="DX60" s="5">
        <f t="shared" si="118"/>
        <v>1.7183454051607063</v>
      </c>
      <c r="DY60" s="173">
        <f t="shared" si="119"/>
        <v>0.43925233644859807</v>
      </c>
      <c r="EA60" s="5">
        <f t="shared" si="72"/>
        <v>111.04807180851064</v>
      </c>
      <c r="EB60" s="5">
        <f t="shared" si="73"/>
        <v>0.41128915484633571</v>
      </c>
      <c r="EC60" s="5">
        <f t="shared" si="74"/>
        <v>0.78757497736532367</v>
      </c>
      <c r="ED60" s="5"/>
      <c r="EE60" s="173">
        <f t="shared" si="120"/>
        <v>1.0301097123624967</v>
      </c>
      <c r="EF60" s="173">
        <f t="shared" si="75"/>
        <v>4.6555411476104158</v>
      </c>
      <c r="EG60" s="173">
        <f t="shared" si="76"/>
        <v>8.8706932677441702E-2</v>
      </c>
      <c r="EH60" s="173"/>
      <c r="EI60" s="528">
        <f t="shared" si="77"/>
        <v>1.2945737437943257E-2</v>
      </c>
      <c r="EJ60" s="528">
        <f t="shared" si="78"/>
        <v>0.75199999999999989</v>
      </c>
      <c r="EK60" s="528">
        <f t="shared" si="79"/>
        <v>4.0791250544514261E-2</v>
      </c>
      <c r="EL60" s="528">
        <f t="shared" si="80"/>
        <v>5.9778435517970401E-2</v>
      </c>
      <c r="EM60">
        <f t="shared" si="81"/>
        <v>1.0800000000000001E-2</v>
      </c>
      <c r="EN60" s="460">
        <f t="shared" si="121"/>
        <v>51.59125054451426</v>
      </c>
      <c r="EO60">
        <f t="shared" si="82"/>
        <v>0.88252533866551941</v>
      </c>
      <c r="EP60" s="460">
        <f t="shared" si="122"/>
        <v>882.52533866551937</v>
      </c>
      <c r="EQ60" s="173">
        <f t="shared" si="83"/>
        <v>2.050125</v>
      </c>
      <c r="ER60" s="173">
        <f t="shared" si="170"/>
        <v>2.4406250000000001E-2</v>
      </c>
      <c r="ES60" s="528"/>
      <c r="EU60" s="460">
        <f t="shared" si="123"/>
        <v>2074.53125</v>
      </c>
      <c r="EV60" s="528">
        <f t="shared" si="85"/>
        <v>3.1833780585106372E-2</v>
      </c>
      <c r="EW60" s="528">
        <f t="shared" si="124"/>
        <v>0.6502219013128111</v>
      </c>
      <c r="EX60" s="528">
        <f t="shared" si="86"/>
        <v>3.9344599525200875E-5</v>
      </c>
      <c r="EY60" s="528">
        <f t="shared" si="87"/>
        <v>1.1437475956681535</v>
      </c>
      <c r="EZ60" s="528">
        <f t="shared" si="88"/>
        <v>2.1043761912388756</v>
      </c>
      <c r="FA60" s="625">
        <f t="shared" si="89"/>
        <v>5.9124999999999997E-2</v>
      </c>
      <c r="FB60" s="460">
        <f t="shared" si="125"/>
        <v>2163.5011912388754</v>
      </c>
      <c r="FC60" s="173">
        <f t="shared" si="126"/>
        <v>5.1205577799043951</v>
      </c>
      <c r="FD60" s="5">
        <f t="shared" si="127"/>
        <v>14.190000000000001</v>
      </c>
      <c r="FE60" s="173">
        <f t="shared" si="128"/>
        <v>0.73483118207837983</v>
      </c>
      <c r="FF60" s="5">
        <f t="shared" si="129"/>
        <v>73.48311820783799</v>
      </c>
      <c r="FG60">
        <f t="shared" si="130"/>
        <v>55.000000000000007</v>
      </c>
      <c r="FI60" s="562">
        <f t="shared" si="90"/>
        <v>-50</v>
      </c>
      <c r="FJ60">
        <f t="shared" si="91"/>
        <v>-50</v>
      </c>
      <c r="FL60">
        <f t="shared" si="92"/>
        <v>0.56074766355140193</v>
      </c>
    </row>
    <row r="61" spans="5:168">
      <c r="E61" s="170">
        <v>56</v>
      </c>
      <c r="F61" s="217">
        <f t="shared" si="174"/>
        <v>3.3600000000000003</v>
      </c>
      <c r="G61" s="217">
        <f t="shared" si="171"/>
        <v>5.6000000000000008E-2</v>
      </c>
      <c r="H61" s="217">
        <f t="shared" si="135"/>
        <v>13.440000000000001</v>
      </c>
      <c r="I61" s="217">
        <f t="shared" si="175"/>
        <v>1.0080000000000002</v>
      </c>
      <c r="J61" s="541">
        <f t="shared" si="136"/>
        <v>23.921297272520281</v>
      </c>
      <c r="K61" s="443">
        <f t="shared" si="137"/>
        <v>19.51904</v>
      </c>
      <c r="L61" s="172">
        <f t="shared" si="138"/>
        <v>43.440337272520281</v>
      </c>
      <c r="M61" s="443"/>
      <c r="N61" s="217">
        <f t="shared" si="139"/>
        <v>0.44932984469131776</v>
      </c>
      <c r="O61" s="172">
        <f t="shared" si="172"/>
        <v>33.328845855120562</v>
      </c>
      <c r="P61" s="172">
        <f t="shared" si="140"/>
        <v>2.6871381970690957</v>
      </c>
      <c r="Q61" s="217">
        <f t="shared" si="6"/>
        <v>8.3322114637801405</v>
      </c>
      <c r="R61" s="217">
        <f t="shared" si="141"/>
        <v>1.8516025475066979</v>
      </c>
      <c r="S61" s="443">
        <f t="shared" si="142"/>
        <v>4</v>
      </c>
      <c r="T61" s="217">
        <f t="shared" si="143"/>
        <v>2.6883619189661827</v>
      </c>
      <c r="U61" s="217">
        <f t="shared" si="10"/>
        <v>1.3486034080874636</v>
      </c>
      <c r="V61" s="217">
        <f t="shared" si="11"/>
        <v>1.6527627909771276</v>
      </c>
      <c r="W61" s="197">
        <f t="shared" si="12"/>
        <v>350</v>
      </c>
      <c r="X61" s="443">
        <f t="shared" si="95"/>
        <v>312.36663905934608</v>
      </c>
      <c r="Z61" s="217">
        <f t="shared" si="13"/>
        <v>2.5591792353039002</v>
      </c>
      <c r="AA61" s="173">
        <f t="shared" si="14"/>
        <v>1.5733433008819491</v>
      </c>
      <c r="AB61" s="173">
        <f t="shared" si="144"/>
        <v>2.8185272539351063</v>
      </c>
      <c r="AC61" s="173"/>
      <c r="AD61" s="173">
        <f t="shared" si="16"/>
        <v>0.81971244487433825</v>
      </c>
      <c r="AE61" s="545">
        <f t="shared" si="145"/>
        <v>1537.1243999999997</v>
      </c>
      <c r="AF61" s="528">
        <f t="shared" si="146"/>
        <v>0.76506494854938245</v>
      </c>
      <c r="AH61" s="173">
        <f t="shared" si="147"/>
        <v>2.6229754097208002</v>
      </c>
      <c r="AI61" s="173">
        <f t="shared" si="148"/>
        <v>2.6883619189661827</v>
      </c>
      <c r="AJ61" s="173">
        <f t="shared" si="149"/>
        <v>2.2037248782465548</v>
      </c>
      <c r="AL61" s="545">
        <f t="shared" si="150"/>
        <v>3360.0000000000005</v>
      </c>
      <c r="AM61" s="460">
        <f t="shared" si="151"/>
        <v>312.36663905934608</v>
      </c>
      <c r="AO61">
        <f t="shared" si="96"/>
        <v>3360.0000000000005</v>
      </c>
      <c r="AP61">
        <f t="shared" si="24"/>
        <v>312.36663905934608</v>
      </c>
      <c r="AR61" s="5">
        <f t="shared" si="97"/>
        <v>3.2013661990645916</v>
      </c>
      <c r="AS61" s="5">
        <f t="shared" si="25"/>
        <v>1.3486034080874636</v>
      </c>
      <c r="AT61" s="5">
        <f t="shared" si="98"/>
        <v>1.852762790977128</v>
      </c>
      <c r="AU61" s="173">
        <f t="shared" si="99"/>
        <v>0.42125871400826076</v>
      </c>
      <c r="AW61" s="5">
        <f t="shared" si="152"/>
        <v>113.28268627934695</v>
      </c>
      <c r="AX61" s="5">
        <f t="shared" si="153"/>
        <v>0.41956550473832205</v>
      </c>
      <c r="AY61" s="5">
        <f t="shared" si="28"/>
        <v>0.86746730424112872</v>
      </c>
      <c r="AZ61" s="5"/>
      <c r="BA61" s="173">
        <f t="shared" si="100"/>
        <v>1.0073990950310663</v>
      </c>
      <c r="BB61" s="173">
        <f t="shared" si="154"/>
        <v>4.7231238235384305</v>
      </c>
      <c r="BC61" s="173">
        <f t="shared" si="155"/>
        <v>8.9994656637691711E-2</v>
      </c>
      <c r="BD61" s="173"/>
      <c r="BE61" s="528">
        <f t="shared" si="31"/>
        <v>1.2381205827366817E-2</v>
      </c>
      <c r="BF61" s="528">
        <f t="shared" si="156"/>
        <v>0.68398541362169341</v>
      </c>
      <c r="BG61" s="528">
        <f t="shared" si="157"/>
        <v>0.18680538077391656</v>
      </c>
      <c r="BH61" s="528">
        <f t="shared" si="34"/>
        <v>5.8945549650074286E-2</v>
      </c>
      <c r="BI61">
        <f t="shared" si="35"/>
        <v>1.0764583772634126E-2</v>
      </c>
      <c r="BJ61" s="460">
        <f t="shared" si="101"/>
        <v>197.56996454655069</v>
      </c>
      <c r="BK61">
        <f t="shared" si="158"/>
        <v>0.76089347168823918</v>
      </c>
      <c r="BL61" s="460">
        <f t="shared" si="102"/>
        <v>760.89347168823917</v>
      </c>
      <c r="BM61" s="173">
        <f t="shared" si="159"/>
        <v>2.0873999999999997</v>
      </c>
      <c r="BN61" s="173">
        <f t="shared" si="160"/>
        <v>2.4850000000000004E-2</v>
      </c>
      <c r="BO61" s="528"/>
      <c r="BQ61" s="460">
        <f t="shared" si="103"/>
        <v>2112.2499999999995</v>
      </c>
      <c r="BR61" s="528">
        <f t="shared" si="39"/>
        <v>3.0445588100082337E-2</v>
      </c>
      <c r="BS61" s="528">
        <f t="shared" si="104"/>
        <v>0.66923695957428841</v>
      </c>
      <c r="BT61" s="528">
        <f t="shared" si="161"/>
        <v>4.0495191116680151E-5</v>
      </c>
      <c r="BU61" s="528">
        <f t="shared" si="41"/>
        <v>1.0217648388764333</v>
      </c>
      <c r="BV61" s="528">
        <f t="shared" si="162"/>
        <v>2.0014587569566356</v>
      </c>
      <c r="BW61" s="625">
        <f t="shared" si="163"/>
        <v>5.6439105665725478E-2</v>
      </c>
      <c r="BX61" s="460">
        <f t="shared" si="105"/>
        <v>2057.8978626223611</v>
      </c>
      <c r="BY61" s="173">
        <f t="shared" si="106"/>
        <v>4.9310413343105992</v>
      </c>
      <c r="BZ61" s="5">
        <f t="shared" si="107"/>
        <v>14.448000000000002</v>
      </c>
      <c r="CA61" s="173">
        <f t="shared" si="108"/>
        <v>0.74554771573864254</v>
      </c>
      <c r="CB61" s="5">
        <f t="shared" si="109"/>
        <v>74.554771573864258</v>
      </c>
      <c r="CC61">
        <f t="shared" si="173"/>
        <v>56.000000000000007</v>
      </c>
      <c r="CE61" s="562">
        <f t="shared" si="164"/>
        <v>-50</v>
      </c>
      <c r="CF61">
        <f t="shared" si="165"/>
        <v>-50</v>
      </c>
      <c r="CG61" s="173">
        <f t="shared" si="166"/>
        <v>0.56074766355140182</v>
      </c>
      <c r="CH61" s="173">
        <f t="shared" si="167"/>
        <v>0.15015627428312001</v>
      </c>
      <c r="CI61" s="170">
        <v>56</v>
      </c>
      <c r="CJ61" s="217">
        <f t="shared" si="133"/>
        <v>3.3600000000000003</v>
      </c>
      <c r="CK61" s="217">
        <f t="shared" si="111"/>
        <v>5.6000000000000008E-2</v>
      </c>
      <c r="CL61" s="217">
        <f t="shared" si="48"/>
        <v>13.440000000000001</v>
      </c>
      <c r="CM61" s="217">
        <f t="shared" si="134"/>
        <v>1.0080000000000002</v>
      </c>
      <c r="CN61" s="541">
        <f t="shared" si="112"/>
        <v>24</v>
      </c>
      <c r="CO61" s="443">
        <f t="shared" si="168"/>
        <v>18.8</v>
      </c>
      <c r="CP61" s="443">
        <f t="shared" si="169"/>
        <v>42.8</v>
      </c>
      <c r="CQ61" s="443"/>
      <c r="CR61" s="217">
        <f t="shared" si="113"/>
        <v>0.43925233644859818</v>
      </c>
      <c r="CS61" s="172">
        <f t="shared" si="114"/>
        <v>32.688545968267775</v>
      </c>
      <c r="CT61" s="172">
        <f t="shared" si="51"/>
        <v>2.6355140186915893</v>
      </c>
      <c r="CU61" s="217">
        <f t="shared" si="52"/>
        <v>8.1721364920669437</v>
      </c>
      <c r="CV61" s="217">
        <f t="shared" si="53"/>
        <v>1.816030331570432</v>
      </c>
      <c r="CW61" s="443">
        <f t="shared" si="54"/>
        <v>4</v>
      </c>
      <c r="CX61" s="217">
        <f t="shared" si="55"/>
        <v>2.7410212765957445</v>
      </c>
      <c r="CY61" s="217">
        <f t="shared" si="56"/>
        <v>1.3705106382978725</v>
      </c>
      <c r="CZ61" s="217">
        <f t="shared" si="57"/>
        <v>1.7495880488909008</v>
      </c>
      <c r="DA61" s="197">
        <f t="shared" si="58"/>
        <v>350</v>
      </c>
      <c r="DB61" s="443">
        <f t="shared" si="115"/>
        <v>320.50268284975493</v>
      </c>
      <c r="DD61" s="217">
        <f t="shared" si="59"/>
        <v>2.5100133511348464</v>
      </c>
      <c r="DE61" s="173">
        <f t="shared" si="60"/>
        <v>1.6021361815754336</v>
      </c>
      <c r="DF61" s="173">
        <f t="shared" si="61"/>
        <v>2.8149682442633783</v>
      </c>
      <c r="DG61" s="173"/>
      <c r="DH61" s="173">
        <f t="shared" si="62"/>
        <v>0.85106382978723416</v>
      </c>
      <c r="DI61" s="545">
        <f t="shared" si="63"/>
        <v>1480.4999999999998</v>
      </c>
      <c r="DJ61" s="528">
        <f t="shared" si="64"/>
        <v>0.79432624113475192</v>
      </c>
      <c r="DL61" s="173">
        <f t="shared" si="65"/>
        <v>2.6229754097208002</v>
      </c>
      <c r="DM61" s="173">
        <f t="shared" si="66"/>
        <v>2.7410212765957445</v>
      </c>
      <c r="DN61" s="173">
        <f t="shared" si="67"/>
        <v>2.2427318098240079</v>
      </c>
      <c r="DP61" s="545">
        <f t="shared" si="68"/>
        <v>3360.0000000000005</v>
      </c>
      <c r="DQ61" s="460">
        <f t="shared" si="69"/>
        <v>320.50268284975493</v>
      </c>
      <c r="DS61">
        <f t="shared" si="116"/>
        <v>3360.0000000000005</v>
      </c>
      <c r="DT61">
        <f t="shared" si="70"/>
        <v>320.50268284975493</v>
      </c>
      <c r="DV61" s="5">
        <f t="shared" si="117"/>
        <v>3.120098687188773</v>
      </c>
      <c r="DW61" s="5">
        <f t="shared" si="71"/>
        <v>1.3705106382978725</v>
      </c>
      <c r="DX61" s="5">
        <f t="shared" si="118"/>
        <v>1.7495880488909006</v>
      </c>
      <c r="DY61" s="173">
        <f t="shared" si="119"/>
        <v>0.43925233644859818</v>
      </c>
      <c r="EA61" s="5">
        <f t="shared" si="72"/>
        <v>115.1228936170213</v>
      </c>
      <c r="EB61" s="5">
        <f t="shared" si="73"/>
        <v>0.42638108747044934</v>
      </c>
      <c r="EC61" s="5">
        <f t="shared" si="74"/>
        <v>0.81647442281575355</v>
      </c>
      <c r="ED61" s="5"/>
      <c r="EE61" s="173">
        <f t="shared" si="120"/>
        <v>1.0488389798599969</v>
      </c>
      <c r="EF61" s="173">
        <f t="shared" si="75"/>
        <v>4.7401873502942413</v>
      </c>
      <c r="EG61" s="173">
        <f t="shared" si="76"/>
        <v>9.0319785998849725E-2</v>
      </c>
      <c r="EH61" s="173"/>
      <c r="EI61" s="528">
        <f t="shared" si="77"/>
        <v>1.3420771109219859E-2</v>
      </c>
      <c r="EJ61" s="528">
        <f t="shared" si="78"/>
        <v>0.752</v>
      </c>
      <c r="EK61" s="528">
        <f t="shared" si="79"/>
        <v>4.0062835356219365E-2</v>
      </c>
      <c r="EL61" s="528">
        <f t="shared" si="80"/>
        <v>5.8710963455149499E-2</v>
      </c>
      <c r="EM61">
        <f t="shared" si="81"/>
        <v>1.0800000000000001E-2</v>
      </c>
      <c r="EN61" s="460">
        <f t="shared" si="121"/>
        <v>50.862835356219371</v>
      </c>
      <c r="EO61">
        <f t="shared" si="82"/>
        <v>0.88142885661231452</v>
      </c>
      <c r="EP61" s="460">
        <f t="shared" si="122"/>
        <v>881.42885661231446</v>
      </c>
      <c r="EQ61" s="173">
        <f t="shared" si="83"/>
        <v>2.0873999999999997</v>
      </c>
      <c r="ER61" s="173">
        <f t="shared" si="170"/>
        <v>2.4850000000000004E-2</v>
      </c>
      <c r="ES61" s="528"/>
      <c r="EU61" s="460">
        <f t="shared" si="123"/>
        <v>2112.2499999999995</v>
      </c>
      <c r="EV61" s="528">
        <f t="shared" si="85"/>
        <v>3.3001896170212763E-2</v>
      </c>
      <c r="EW61" s="528">
        <f t="shared" si="124"/>
        <v>0.67408128347668628</v>
      </c>
      <c r="EX61" s="528">
        <f t="shared" si="86"/>
        <v>4.0788318714390061E-5</v>
      </c>
      <c r="EY61" s="528">
        <f t="shared" si="87"/>
        <v>1.1437475956681535</v>
      </c>
      <c r="EZ61" s="528">
        <f t="shared" si="88"/>
        <v>2.141739333196552</v>
      </c>
      <c r="FA61" s="625">
        <f t="shared" si="89"/>
        <v>6.0199999999999997E-2</v>
      </c>
      <c r="FB61" s="460">
        <f t="shared" si="125"/>
        <v>2201.9393331965521</v>
      </c>
      <c r="FC61" s="173">
        <f t="shared" si="126"/>
        <v>5.195618189808866</v>
      </c>
      <c r="FD61" s="5">
        <f t="shared" si="127"/>
        <v>14.448000000000002</v>
      </c>
      <c r="FE61" s="173">
        <f t="shared" si="128"/>
        <v>0.73550604885487136</v>
      </c>
      <c r="FF61" s="5">
        <f t="shared" si="129"/>
        <v>73.550604885487132</v>
      </c>
      <c r="FG61">
        <f t="shared" si="130"/>
        <v>56.000000000000007</v>
      </c>
      <c r="FI61" s="562">
        <f t="shared" si="90"/>
        <v>-50</v>
      </c>
      <c r="FJ61">
        <f t="shared" si="91"/>
        <v>-50</v>
      </c>
      <c r="FL61">
        <f t="shared" si="92"/>
        <v>0.56074766355140182</v>
      </c>
    </row>
    <row r="62" spans="5:168">
      <c r="E62" s="170">
        <v>57</v>
      </c>
      <c r="F62" s="217">
        <f t="shared" si="174"/>
        <v>3.42</v>
      </c>
      <c r="G62" s="217">
        <f t="shared" si="171"/>
        <v>5.6999999999999995E-2</v>
      </c>
      <c r="H62" s="217">
        <f t="shared" si="135"/>
        <v>13.68</v>
      </c>
      <c r="I62" s="217">
        <f t="shared" si="175"/>
        <v>1.0259999999999998</v>
      </c>
      <c r="J62" s="541">
        <f t="shared" si="136"/>
        <v>23.91989186667243</v>
      </c>
      <c r="K62" s="443">
        <f t="shared" si="137"/>
        <v>19.531880000000001</v>
      </c>
      <c r="L62" s="172">
        <f t="shared" si="138"/>
        <v>43.451771866672431</v>
      </c>
      <c r="M62" s="443"/>
      <c r="N62" s="217">
        <f t="shared" si="139"/>
        <v>0.44950710088259899</v>
      </c>
      <c r="O62" s="172">
        <f t="shared" si="172"/>
        <v>33.34003487259902</v>
      </c>
      <c r="P62" s="172">
        <f t="shared" si="140"/>
        <v>2.6880403116032956</v>
      </c>
      <c r="Q62" s="217">
        <f t="shared" si="6"/>
        <v>8.335008718149755</v>
      </c>
      <c r="R62" s="217">
        <f t="shared" si="141"/>
        <v>1.8522241595888345</v>
      </c>
      <c r="S62" s="443">
        <f t="shared" si="142"/>
        <v>4</v>
      </c>
      <c r="T62" s="217">
        <f t="shared" si="143"/>
        <v>2.7354500482227757</v>
      </c>
      <c r="U62" s="217">
        <f t="shared" si="10"/>
        <v>1.3723055589732378</v>
      </c>
      <c r="V62" s="217">
        <f t="shared" si="11"/>
        <v>1.680606299991261</v>
      </c>
      <c r="W62" s="197">
        <f t="shared" si="12"/>
        <v>350</v>
      </c>
      <c r="X62" s="443">
        <f t="shared" si="95"/>
        <v>307.41687551236959</v>
      </c>
      <c r="Z62" s="217">
        <f t="shared" si="13"/>
        <v>2.5600383920031389</v>
      </c>
      <c r="AA62" s="173">
        <f t="shared" si="14"/>
        <v>1.5728368546211458</v>
      </c>
      <c r="AB62" s="173">
        <f t="shared" si="144"/>
        <v>2.8185659125313145</v>
      </c>
      <c r="AC62" s="173"/>
      <c r="AD62" s="173">
        <f t="shared" si="16"/>
        <v>0.81917357673710878</v>
      </c>
      <c r="AE62" s="545">
        <f t="shared" si="145"/>
        <v>1565.6022562499995</v>
      </c>
      <c r="AF62" s="528">
        <f t="shared" si="146"/>
        <v>0.764562004954635</v>
      </c>
      <c r="AH62" s="173">
        <f t="shared" si="147"/>
        <v>2.646291205226126</v>
      </c>
      <c r="AI62" s="173">
        <f t="shared" si="148"/>
        <v>2.7354500482227757</v>
      </c>
      <c r="AJ62" s="173">
        <f t="shared" si="149"/>
        <v>2.2386049739921794</v>
      </c>
      <c r="AL62" s="545">
        <f t="shared" si="150"/>
        <v>3420</v>
      </c>
      <c r="AM62" s="460">
        <f t="shared" si="151"/>
        <v>307.41687551236959</v>
      </c>
      <c r="AO62">
        <f t="shared" si="96"/>
        <v>3420</v>
      </c>
      <c r="AP62">
        <f t="shared" si="24"/>
        <v>307.41687551236959</v>
      </c>
      <c r="AR62" s="5">
        <f t="shared" si="97"/>
        <v>3.2529118589644987</v>
      </c>
      <c r="AS62" s="5">
        <f t="shared" si="25"/>
        <v>1.3723055589732378</v>
      </c>
      <c r="AT62" s="5">
        <f t="shared" si="98"/>
        <v>1.8806062999912609</v>
      </c>
      <c r="AU62" s="173">
        <f t="shared" si="99"/>
        <v>0.4218698871878086</v>
      </c>
      <c r="AW62" s="5">
        <f t="shared" si="152"/>
        <v>117.33212529221181</v>
      </c>
      <c r="AX62" s="5">
        <f t="shared" si="153"/>
        <v>0.43456342700819195</v>
      </c>
      <c r="AY62" s="5">
        <f t="shared" si="28"/>
        <v>0.89627962949829187</v>
      </c>
      <c r="AZ62" s="5"/>
      <c r="BA62" s="173">
        <f t="shared" si="100"/>
        <v>1.0257875521347719</v>
      </c>
      <c r="BB62" s="173">
        <f t="shared" si="154"/>
        <v>4.8033136673081804</v>
      </c>
      <c r="BC62" s="173">
        <f t="shared" si="155"/>
        <v>9.1522598255466686E-2</v>
      </c>
      <c r="BD62" s="173"/>
      <c r="BE62" s="528">
        <f t="shared" si="31"/>
        <v>1.2837329245798699E-2</v>
      </c>
      <c r="BF62" s="528">
        <f t="shared" si="156"/>
        <v>0.68511780714539727</v>
      </c>
      <c r="BG62" s="528">
        <f t="shared" si="157"/>
        <v>0.18383446050615446</v>
      </c>
      <c r="BH62" s="528">
        <f t="shared" si="34"/>
        <v>5.8042042336627339E-2</v>
      </c>
      <c r="BI62">
        <f t="shared" si="35"/>
        <v>1.0763951340002593E-2</v>
      </c>
      <c r="BJ62" s="460">
        <f t="shared" si="101"/>
        <v>194.59841184615706</v>
      </c>
      <c r="BK62">
        <f t="shared" si="158"/>
        <v>0.76178682126192976</v>
      </c>
      <c r="BL62" s="460">
        <f t="shared" si="102"/>
        <v>761.78682126192973</v>
      </c>
      <c r="BM62" s="173">
        <f t="shared" si="159"/>
        <v>2.1246749999999994</v>
      </c>
      <c r="BN62" s="173">
        <f t="shared" si="160"/>
        <v>2.5293749999999997E-2</v>
      </c>
      <c r="BO62" s="528"/>
      <c r="BQ62" s="460">
        <f t="shared" si="103"/>
        <v>2149.9687499999991</v>
      </c>
      <c r="BR62" s="528">
        <f t="shared" si="39"/>
        <v>3.1567203063439422E-2</v>
      </c>
      <c r="BS62" s="528">
        <f t="shared" si="104"/>
        <v>0.69215466559648675</v>
      </c>
      <c r="BT62" s="528">
        <f t="shared" si="161"/>
        <v>4.188192995715777E-5</v>
      </c>
      <c r="BU62" s="528">
        <f t="shared" si="41"/>
        <v>1.025324267267284</v>
      </c>
      <c r="BV62" s="528">
        <f t="shared" si="162"/>
        <v>2.0409654634933272</v>
      </c>
      <c r="BW62" s="625">
        <f t="shared" si="163"/>
        <v>5.750760619059591E-2</v>
      </c>
      <c r="BX62" s="460">
        <f t="shared" si="105"/>
        <v>2098.4730696839229</v>
      </c>
      <c r="BY62" s="173">
        <f t="shared" si="106"/>
        <v>5.0102286409458525</v>
      </c>
      <c r="BZ62" s="5">
        <f t="shared" si="107"/>
        <v>14.706</v>
      </c>
      <c r="CA62" s="173">
        <f t="shared" si="108"/>
        <v>0.74588301179766126</v>
      </c>
      <c r="CB62" s="5">
        <f t="shared" si="109"/>
        <v>74.58830117976612</v>
      </c>
      <c r="CC62">
        <f t="shared" si="173"/>
        <v>56.999999999999993</v>
      </c>
      <c r="CE62" s="562">
        <f t="shared" si="164"/>
        <v>-50</v>
      </c>
      <c r="CF62">
        <f t="shared" si="165"/>
        <v>-50</v>
      </c>
      <c r="CG62" s="173">
        <f t="shared" si="166"/>
        <v>0.56074766355140182</v>
      </c>
      <c r="CH62" s="173">
        <f t="shared" si="167"/>
        <v>0.15015627428311998</v>
      </c>
      <c r="CI62" s="170">
        <v>57</v>
      </c>
      <c r="CJ62" s="217">
        <f t="shared" si="133"/>
        <v>3.42</v>
      </c>
      <c r="CK62" s="217">
        <f t="shared" si="111"/>
        <v>5.6999999999999995E-2</v>
      </c>
      <c r="CL62" s="217">
        <f t="shared" si="48"/>
        <v>13.68</v>
      </c>
      <c r="CM62" s="217">
        <f t="shared" si="134"/>
        <v>1.0259999999999998</v>
      </c>
      <c r="CN62" s="541">
        <f t="shared" si="112"/>
        <v>24</v>
      </c>
      <c r="CO62" s="443">
        <f t="shared" si="168"/>
        <v>18.8</v>
      </c>
      <c r="CP62" s="443">
        <f t="shared" si="169"/>
        <v>42.8</v>
      </c>
      <c r="CQ62" s="443"/>
      <c r="CR62" s="217">
        <f t="shared" si="113"/>
        <v>0.43925233644859818</v>
      </c>
      <c r="CS62" s="172">
        <f t="shared" si="114"/>
        <v>32.688545968267775</v>
      </c>
      <c r="CT62" s="172">
        <f t="shared" si="51"/>
        <v>2.6355140186915893</v>
      </c>
      <c r="CU62" s="217">
        <f t="shared" si="52"/>
        <v>8.1721364920669437</v>
      </c>
      <c r="CV62" s="217">
        <f t="shared" si="53"/>
        <v>1.816030331570432</v>
      </c>
      <c r="CW62" s="443">
        <f t="shared" si="54"/>
        <v>4</v>
      </c>
      <c r="CX62" s="217">
        <f t="shared" si="55"/>
        <v>2.7899680851063824</v>
      </c>
      <c r="CY62" s="217">
        <f t="shared" si="56"/>
        <v>1.3949840425531912</v>
      </c>
      <c r="CZ62" s="217">
        <f t="shared" si="57"/>
        <v>1.7808306926210951</v>
      </c>
      <c r="DA62" s="197">
        <f t="shared" si="58"/>
        <v>350</v>
      </c>
      <c r="DB62" s="443">
        <f t="shared" si="115"/>
        <v>314.87982876467157</v>
      </c>
      <c r="DD62" s="217">
        <f t="shared" si="59"/>
        <v>2.5100133511348464</v>
      </c>
      <c r="DE62" s="173">
        <f t="shared" si="60"/>
        <v>1.6021361815754336</v>
      </c>
      <c r="DF62" s="173">
        <f t="shared" si="61"/>
        <v>2.8149682442633783</v>
      </c>
      <c r="DG62" s="173"/>
      <c r="DH62" s="173">
        <f t="shared" si="62"/>
        <v>0.85106382978723416</v>
      </c>
      <c r="DI62" s="545">
        <f t="shared" si="63"/>
        <v>1506.9374999999993</v>
      </c>
      <c r="DJ62" s="528">
        <f t="shared" si="64"/>
        <v>0.79432624113475192</v>
      </c>
      <c r="DL62" s="173">
        <f t="shared" si="65"/>
        <v>2.646291205226126</v>
      </c>
      <c r="DM62" s="173">
        <f t="shared" si="66"/>
        <v>2.7899680851063824</v>
      </c>
      <c r="DN62" s="173">
        <f t="shared" si="67"/>
        <v>2.2789887050170732</v>
      </c>
      <c r="DP62" s="545">
        <f t="shared" si="68"/>
        <v>3420</v>
      </c>
      <c r="DQ62" s="460">
        <f t="shared" si="69"/>
        <v>314.87982876467157</v>
      </c>
      <c r="DS62">
        <f t="shared" si="116"/>
        <v>3420</v>
      </c>
      <c r="DT62">
        <f t="shared" si="70"/>
        <v>314.87982876467157</v>
      </c>
      <c r="DV62" s="5">
        <f t="shared" si="117"/>
        <v>3.1758147351742858</v>
      </c>
      <c r="DW62" s="5">
        <f t="shared" si="71"/>
        <v>1.3949840425531912</v>
      </c>
      <c r="DX62" s="5">
        <f t="shared" si="118"/>
        <v>1.7808306926210946</v>
      </c>
      <c r="DY62" s="173">
        <f t="shared" si="119"/>
        <v>0.43925233644859818</v>
      </c>
      <c r="EA62" s="5">
        <f t="shared" si="72"/>
        <v>119.27113563829786</v>
      </c>
      <c r="EB62" s="5">
        <f t="shared" si="73"/>
        <v>0.44174494680851056</v>
      </c>
      <c r="EC62" s="5">
        <f t="shared" si="74"/>
        <v>0.84589457899501974</v>
      </c>
      <c r="ED62" s="5"/>
      <c r="EE62" s="173">
        <f t="shared" si="120"/>
        <v>1.0675682473574968</v>
      </c>
      <c r="EF62" s="173">
        <f t="shared" si="75"/>
        <v>4.8248335529780659</v>
      </c>
      <c r="EG62" s="173">
        <f t="shared" si="76"/>
        <v>9.1932639320257747E-2</v>
      </c>
      <c r="EH62" s="173"/>
      <c r="EI62" s="528">
        <f t="shared" si="77"/>
        <v>1.390436394574468E-2</v>
      </c>
      <c r="EJ62" s="528">
        <f t="shared" si="78"/>
        <v>0.752</v>
      </c>
      <c r="EK62" s="528">
        <f t="shared" si="79"/>
        <v>3.935997859558394E-2</v>
      </c>
      <c r="EL62" s="528">
        <f t="shared" si="80"/>
        <v>5.7680946552427594E-2</v>
      </c>
      <c r="EM62">
        <f t="shared" si="81"/>
        <v>1.0800000000000001E-2</v>
      </c>
      <c r="EN62" s="460">
        <f t="shared" si="121"/>
        <v>50.159978595583937</v>
      </c>
      <c r="EO62">
        <f t="shared" si="82"/>
        <v>0.8804080510767005</v>
      </c>
      <c r="EP62" s="460">
        <f t="shared" si="122"/>
        <v>880.40805107670053</v>
      </c>
      <c r="EQ62" s="173">
        <f t="shared" si="83"/>
        <v>2.1246749999999994</v>
      </c>
      <c r="ER62" s="173">
        <f t="shared" si="170"/>
        <v>2.5293749999999997E-2</v>
      </c>
      <c r="ES62" s="528"/>
      <c r="EU62" s="460">
        <f t="shared" si="123"/>
        <v>2149.9687499999991</v>
      </c>
      <c r="EV62" s="528">
        <f t="shared" si="85"/>
        <v>3.4191058882978721E-2</v>
      </c>
      <c r="EW62" s="528">
        <f t="shared" si="124"/>
        <v>0.69837056441828838</v>
      </c>
      <c r="EX62" s="528">
        <f t="shared" si="86"/>
        <v>4.2258050861943008E-5</v>
      </c>
      <c r="EY62" s="528">
        <f t="shared" si="87"/>
        <v>1.1437475956681544</v>
      </c>
      <c r="EZ62" s="528">
        <f t="shared" si="88"/>
        <v>2.17993894725433</v>
      </c>
      <c r="FA62" s="625">
        <f t="shared" si="89"/>
        <v>6.1274999999999996E-2</v>
      </c>
      <c r="FB62" s="460">
        <f t="shared" si="125"/>
        <v>2241.2139472543304</v>
      </c>
      <c r="FC62" s="173">
        <f t="shared" si="126"/>
        <v>5.2715907483310307</v>
      </c>
      <c r="FD62" s="5">
        <f t="shared" si="127"/>
        <v>14.706</v>
      </c>
      <c r="FE62" s="173">
        <f t="shared" si="128"/>
        <v>0.73612480029547944</v>
      </c>
      <c r="FF62" s="5">
        <f t="shared" si="129"/>
        <v>73.612480029547939</v>
      </c>
      <c r="FG62">
        <f t="shared" si="130"/>
        <v>56.999999999999993</v>
      </c>
      <c r="FI62" s="562">
        <f t="shared" si="90"/>
        <v>-50</v>
      </c>
      <c r="FJ62">
        <f t="shared" si="91"/>
        <v>-50</v>
      </c>
      <c r="FL62">
        <f t="shared" si="92"/>
        <v>0.56074766355140182</v>
      </c>
    </row>
    <row r="63" spans="5:168">
      <c r="E63" s="170">
        <v>58</v>
      </c>
      <c r="F63" s="217">
        <f t="shared" si="174"/>
        <v>3.4799999999999995</v>
      </c>
      <c r="G63" s="217">
        <f t="shared" si="171"/>
        <v>5.7999999999999996E-2</v>
      </c>
      <c r="H63" s="217">
        <f t="shared" si="135"/>
        <v>13.919999999999998</v>
      </c>
      <c r="I63" s="217">
        <f t="shared" si="175"/>
        <v>1.044</v>
      </c>
      <c r="J63" s="541">
        <f t="shared" si="136"/>
        <v>23.918486460824578</v>
      </c>
      <c r="K63" s="443">
        <f t="shared" si="137"/>
        <v>19.544720000000002</v>
      </c>
      <c r="L63" s="172">
        <f t="shared" si="138"/>
        <v>43.46320646082458</v>
      </c>
      <c r="M63" s="443"/>
      <c r="N63" s="217">
        <f t="shared" si="139"/>
        <v>0.44968426380636622</v>
      </c>
      <c r="O63" s="172">
        <f t="shared" si="172"/>
        <v>33.35121542790214</v>
      </c>
      <c r="P63" s="172">
        <f t="shared" si="140"/>
        <v>2.6889417438746102</v>
      </c>
      <c r="Q63" s="217">
        <f t="shared" si="6"/>
        <v>8.3378038569755351</v>
      </c>
      <c r="R63" s="217">
        <f t="shared" si="141"/>
        <v>1.852845301550119</v>
      </c>
      <c r="S63" s="443">
        <f t="shared" si="142"/>
        <v>4</v>
      </c>
      <c r="T63" s="217">
        <f t="shared" si="143"/>
        <v>2.7825072882459958</v>
      </c>
      <c r="U63" s="217">
        <f t="shared" si="10"/>
        <v>1.395994997996242</v>
      </c>
      <c r="V63" s="217">
        <f t="shared" si="11"/>
        <v>1.7083942598794941</v>
      </c>
      <c r="W63" s="197">
        <f t="shared" si="12"/>
        <v>350</v>
      </c>
      <c r="X63" s="443">
        <f t="shared" si="95"/>
        <v>302.62778442841847</v>
      </c>
      <c r="Z63" s="217">
        <f t="shared" si="13"/>
        <v>2.5608968989281995</v>
      </c>
      <c r="AA63" s="173">
        <f t="shared" si="14"/>
        <v>1.5723306748389536</v>
      </c>
      <c r="AB63" s="173">
        <f t="shared" si="144"/>
        <v>2.8186037244993312</v>
      </c>
      <c r="AC63" s="173"/>
      <c r="AD63" s="173">
        <f t="shared" si="16"/>
        <v>0.81863541662402939</v>
      </c>
      <c r="AE63" s="545">
        <f t="shared" si="145"/>
        <v>1594.1162249999991</v>
      </c>
      <c r="AF63" s="528">
        <f t="shared" si="146"/>
        <v>0.76405972218242757</v>
      </c>
      <c r="AH63" s="173">
        <f t="shared" si="147"/>
        <v>2.6694033576277461</v>
      </c>
      <c r="AI63" s="173">
        <f t="shared" si="148"/>
        <v>2.7825072882459958</v>
      </c>
      <c r="AJ63" s="173">
        <f t="shared" si="149"/>
        <v>2.2734621888241944</v>
      </c>
      <c r="AL63" s="545">
        <f t="shared" si="150"/>
        <v>3479.9999999999995</v>
      </c>
      <c r="AM63" s="460">
        <f t="shared" si="151"/>
        <v>302.62778442841847</v>
      </c>
      <c r="AO63">
        <f t="shared" si="96"/>
        <v>3479.9999999999995</v>
      </c>
      <c r="AP63">
        <f t="shared" si="24"/>
        <v>302.62778442841847</v>
      </c>
      <c r="AR63" s="5">
        <f t="shared" si="97"/>
        <v>3.3043892578757363</v>
      </c>
      <c r="AS63" s="5">
        <f t="shared" si="25"/>
        <v>1.395994997996242</v>
      </c>
      <c r="AT63" s="5">
        <f t="shared" si="98"/>
        <v>1.9083942598794943</v>
      </c>
      <c r="AU63" s="173">
        <f t="shared" si="99"/>
        <v>0.4224668733167572</v>
      </c>
      <c r="AW63" s="5">
        <f t="shared" si="152"/>
        <v>121.45156482567306</v>
      </c>
      <c r="AX63" s="5">
        <f t="shared" si="153"/>
        <v>0.44982061046545574</v>
      </c>
      <c r="AY63" s="5">
        <f t="shared" si="28"/>
        <v>0.92553404041097298</v>
      </c>
      <c r="AZ63" s="5"/>
      <c r="BA63" s="173">
        <f t="shared" si="100"/>
        <v>1.0441719284664808</v>
      </c>
      <c r="BB63" s="173">
        <f t="shared" si="154"/>
        <v>4.8834205283045105</v>
      </c>
      <c r="BC63" s="173">
        <f t="shared" si="155"/>
        <v>9.3048958714991359E-2</v>
      </c>
      <c r="BD63" s="173"/>
      <c r="BE63" s="528">
        <f t="shared" si="31"/>
        <v>1.3301599197608394E-2</v>
      </c>
      <c r="BF63" s="528">
        <f t="shared" si="156"/>
        <v>0.68622754072221315</v>
      </c>
      <c r="BG63" s="528">
        <f t="shared" si="157"/>
        <v>0.18095996411301163</v>
      </c>
      <c r="BH63" s="528">
        <f t="shared" si="34"/>
        <v>5.7167911176138515E-2</v>
      </c>
      <c r="BI63">
        <f t="shared" si="35"/>
        <v>1.0763318907371059E-2</v>
      </c>
      <c r="BJ63" s="460">
        <f t="shared" si="101"/>
        <v>191.72328302038269</v>
      </c>
      <c r="BK63">
        <f t="shared" si="158"/>
        <v>0.76269896241870472</v>
      </c>
      <c r="BL63" s="460">
        <f t="shared" si="102"/>
        <v>762.6989624187047</v>
      </c>
      <c r="BM63" s="173">
        <f t="shared" si="159"/>
        <v>2.1619499999999996</v>
      </c>
      <c r="BN63" s="173">
        <f t="shared" si="160"/>
        <v>2.5737499999999996E-2</v>
      </c>
      <c r="BO63" s="528"/>
      <c r="BQ63" s="460">
        <f t="shared" si="103"/>
        <v>2187.6874999999995</v>
      </c>
      <c r="BR63" s="528">
        <f t="shared" si="39"/>
        <v>3.2708850485922279E-2</v>
      </c>
      <c r="BS63" s="528">
        <f t="shared" si="104"/>
        <v>0.71543388168797706</v>
      </c>
      <c r="BT63" s="528">
        <f t="shared" si="161"/>
        <v>4.3290543589720837E-5</v>
      </c>
      <c r="BU63" s="528">
        <f t="shared" si="41"/>
        <v>1.0288043137879337</v>
      </c>
      <c r="BV63" s="528">
        <f t="shared" si="162"/>
        <v>2.0811201846581371</v>
      </c>
      <c r="BW63" s="625">
        <f t="shared" si="163"/>
        <v>5.8576231528177619E-2</v>
      </c>
      <c r="BX63" s="460">
        <f t="shared" si="105"/>
        <v>2139.6964161863148</v>
      </c>
      <c r="BY63" s="173">
        <f t="shared" si="106"/>
        <v>5.0900828786050187</v>
      </c>
      <c r="BZ63" s="5">
        <f t="shared" si="107"/>
        <v>14.963999999999999</v>
      </c>
      <c r="CA63" s="173">
        <f t="shared" si="108"/>
        <v>0.74618221589003986</v>
      </c>
      <c r="CB63" s="5">
        <f t="shared" si="109"/>
        <v>74.61822158900398</v>
      </c>
      <c r="CC63">
        <f t="shared" si="173"/>
        <v>57.999999999999993</v>
      </c>
      <c r="CE63" s="562">
        <f t="shared" si="164"/>
        <v>-50</v>
      </c>
      <c r="CF63">
        <f t="shared" si="165"/>
        <v>-50</v>
      </c>
      <c r="CG63" s="173">
        <f t="shared" si="166"/>
        <v>0.56074766355140182</v>
      </c>
      <c r="CH63" s="173">
        <f t="shared" si="167"/>
        <v>0.15015627428312001</v>
      </c>
      <c r="CI63" s="170">
        <v>58</v>
      </c>
      <c r="CJ63" s="217">
        <f t="shared" si="133"/>
        <v>3.4799999999999995</v>
      </c>
      <c r="CK63" s="217">
        <f t="shared" si="111"/>
        <v>5.7999999999999996E-2</v>
      </c>
      <c r="CL63" s="217">
        <f t="shared" si="48"/>
        <v>13.919999999999998</v>
      </c>
      <c r="CM63" s="217">
        <f t="shared" si="134"/>
        <v>1.044</v>
      </c>
      <c r="CN63" s="541">
        <f t="shared" si="112"/>
        <v>24</v>
      </c>
      <c r="CO63" s="443">
        <f t="shared" si="168"/>
        <v>18.8</v>
      </c>
      <c r="CP63" s="443">
        <f t="shared" si="169"/>
        <v>42.8</v>
      </c>
      <c r="CQ63" s="443"/>
      <c r="CR63" s="217">
        <f t="shared" si="113"/>
        <v>0.43925233644859818</v>
      </c>
      <c r="CS63" s="172">
        <f t="shared" si="114"/>
        <v>32.688545968267775</v>
      </c>
      <c r="CT63" s="172">
        <f t="shared" si="51"/>
        <v>2.6355140186915893</v>
      </c>
      <c r="CU63" s="217">
        <f t="shared" si="52"/>
        <v>8.1721364920669437</v>
      </c>
      <c r="CV63" s="217">
        <f t="shared" si="53"/>
        <v>1.816030331570432</v>
      </c>
      <c r="CW63" s="443">
        <f t="shared" si="54"/>
        <v>4</v>
      </c>
      <c r="CX63" s="217">
        <f t="shared" si="55"/>
        <v>2.8389148936170203</v>
      </c>
      <c r="CY63" s="217">
        <f t="shared" si="56"/>
        <v>1.4194574468085102</v>
      </c>
      <c r="CZ63" s="217">
        <f t="shared" si="57"/>
        <v>1.8120733363512895</v>
      </c>
      <c r="DA63" s="197">
        <f t="shared" si="58"/>
        <v>350</v>
      </c>
      <c r="DB63" s="443">
        <f t="shared" si="115"/>
        <v>309.45086619976348</v>
      </c>
      <c r="DD63" s="217">
        <f t="shared" si="59"/>
        <v>2.5100133511348464</v>
      </c>
      <c r="DE63" s="173">
        <f t="shared" si="60"/>
        <v>1.6021361815754336</v>
      </c>
      <c r="DF63" s="173">
        <f t="shared" si="61"/>
        <v>2.8149682442633783</v>
      </c>
      <c r="DG63" s="173"/>
      <c r="DH63" s="173">
        <f t="shared" si="62"/>
        <v>0.85106382978723416</v>
      </c>
      <c r="DI63" s="545">
        <f t="shared" si="63"/>
        <v>1533.3749999999993</v>
      </c>
      <c r="DJ63" s="528">
        <f t="shared" si="64"/>
        <v>0.79432624113475192</v>
      </c>
      <c r="DL63" s="173">
        <f t="shared" si="65"/>
        <v>2.6694033576277461</v>
      </c>
      <c r="DM63" s="173">
        <f t="shared" si="66"/>
        <v>2.8389148936170203</v>
      </c>
      <c r="DN63" s="173">
        <f t="shared" si="67"/>
        <v>2.3152456002101385</v>
      </c>
      <c r="DP63" s="545">
        <f t="shared" si="68"/>
        <v>3479.9999999999995</v>
      </c>
      <c r="DQ63" s="460">
        <f t="shared" si="69"/>
        <v>309.45086619976348</v>
      </c>
      <c r="DS63">
        <f t="shared" si="116"/>
        <v>3479.9999999999995</v>
      </c>
      <c r="DT63">
        <f t="shared" si="70"/>
        <v>309.45086619976348</v>
      </c>
      <c r="DV63" s="5">
        <f t="shared" si="117"/>
        <v>3.2315307831597995</v>
      </c>
      <c r="DW63" s="5">
        <f t="shared" si="71"/>
        <v>1.4194574468085102</v>
      </c>
      <c r="DX63" s="5">
        <f t="shared" si="118"/>
        <v>1.8120733363512893</v>
      </c>
      <c r="DY63" s="173">
        <f t="shared" si="119"/>
        <v>0.43925233644859818</v>
      </c>
      <c r="EA63" s="5">
        <f t="shared" si="72"/>
        <v>123.49279787234038</v>
      </c>
      <c r="EB63" s="5">
        <f t="shared" si="73"/>
        <v>0.45738073286051995</v>
      </c>
      <c r="EC63" s="5">
        <f t="shared" si="74"/>
        <v>0.87583544590312301</v>
      </c>
      <c r="ED63" s="5"/>
      <c r="EE63" s="173">
        <f t="shared" si="120"/>
        <v>1.0862975148549965</v>
      </c>
      <c r="EF63" s="173">
        <f t="shared" si="75"/>
        <v>4.9094797556618914</v>
      </c>
      <c r="EG63" s="173">
        <f t="shared" si="76"/>
        <v>9.354549264166577E-2</v>
      </c>
      <c r="EH63" s="173"/>
      <c r="EI63" s="528">
        <f t="shared" si="77"/>
        <v>1.4396515947517723E-2</v>
      </c>
      <c r="EJ63" s="528">
        <f t="shared" si="78"/>
        <v>0.752</v>
      </c>
      <c r="EK63" s="528">
        <f t="shared" si="79"/>
        <v>3.8681358274970434E-2</v>
      </c>
      <c r="EL63" s="528">
        <f t="shared" si="80"/>
        <v>5.6686447473937467E-2</v>
      </c>
      <c r="EM63">
        <f t="shared" si="81"/>
        <v>1.0800000000000001E-2</v>
      </c>
      <c r="EN63" s="460">
        <f t="shared" si="121"/>
        <v>49.481358274970439</v>
      </c>
      <c r="EO63">
        <f t="shared" si="82"/>
        <v>0.87945967147434911</v>
      </c>
      <c r="EP63" s="460">
        <f t="shared" si="122"/>
        <v>879.45967147434908</v>
      </c>
      <c r="EQ63" s="173">
        <f t="shared" si="83"/>
        <v>2.1619499999999996</v>
      </c>
      <c r="ER63" s="173">
        <f t="shared" si="170"/>
        <v>2.5737499999999996E-2</v>
      </c>
      <c r="ES63" s="528"/>
      <c r="EU63" s="460">
        <f t="shared" si="123"/>
        <v>2187.6874999999995</v>
      </c>
      <c r="EV63" s="528">
        <f t="shared" si="85"/>
        <v>3.5401268723404239E-2</v>
      </c>
      <c r="EW63" s="528">
        <f t="shared" si="124"/>
        <v>0.72308974413761828</v>
      </c>
      <c r="EX63" s="528">
        <f t="shared" si="86"/>
        <v>4.3753795967859725E-5</v>
      </c>
      <c r="EY63" s="528">
        <f t="shared" si="87"/>
        <v>1.1437475956681533</v>
      </c>
      <c r="EZ63" s="528">
        <f t="shared" si="88"/>
        <v>2.218984880613335</v>
      </c>
      <c r="FA63" s="625">
        <f t="shared" si="89"/>
        <v>6.2349999999999982E-2</v>
      </c>
      <c r="FB63" s="460">
        <f t="shared" si="125"/>
        <v>2281.3348806133349</v>
      </c>
      <c r="FC63" s="173">
        <f t="shared" si="126"/>
        <v>5.3484820520876841</v>
      </c>
      <c r="FD63" s="5">
        <f t="shared" si="127"/>
        <v>14.963999999999999</v>
      </c>
      <c r="FE63" s="173">
        <f t="shared" si="128"/>
        <v>0.73668988170069671</v>
      </c>
      <c r="FF63" s="5">
        <f t="shared" si="129"/>
        <v>73.668988170069667</v>
      </c>
      <c r="FG63">
        <f t="shared" si="130"/>
        <v>57.999999999999993</v>
      </c>
      <c r="FI63" s="562">
        <f t="shared" si="90"/>
        <v>-50</v>
      </c>
      <c r="FJ63">
        <f t="shared" si="91"/>
        <v>-50</v>
      </c>
      <c r="FL63">
        <f t="shared" si="92"/>
        <v>0.56074766355140182</v>
      </c>
    </row>
    <row r="64" spans="5:168">
      <c r="E64" s="170">
        <v>59</v>
      </c>
      <c r="F64" s="217">
        <f t="shared" si="174"/>
        <v>3.54</v>
      </c>
      <c r="G64" s="217">
        <f t="shared" si="171"/>
        <v>5.8999999999999997E-2</v>
      </c>
      <c r="H64" s="217">
        <f t="shared" si="135"/>
        <v>14.16</v>
      </c>
      <c r="I64" s="217">
        <f t="shared" si="175"/>
        <v>1.0619999999999998</v>
      </c>
      <c r="J64" s="541">
        <f t="shared" si="136"/>
        <v>23.917081054976727</v>
      </c>
      <c r="K64" s="443">
        <f t="shared" si="137"/>
        <v>19.557560000000002</v>
      </c>
      <c r="L64" s="172">
        <f t="shared" si="138"/>
        <v>43.474641054976729</v>
      </c>
      <c r="M64" s="443"/>
      <c r="N64" s="217">
        <f t="shared" si="139"/>
        <v>0.44986133353621249</v>
      </c>
      <c r="O64" s="172">
        <f t="shared" si="172"/>
        <v>33.362387527707021</v>
      </c>
      <c r="P64" s="172">
        <f t="shared" si="140"/>
        <v>2.6898424944213786</v>
      </c>
      <c r="Q64" s="217">
        <f t="shared" si="6"/>
        <v>8.3405968819267553</v>
      </c>
      <c r="R64" s="217">
        <f t="shared" si="141"/>
        <v>1.8534659737615011</v>
      </c>
      <c r="S64" s="443">
        <f t="shared" si="142"/>
        <v>4</v>
      </c>
      <c r="T64" s="217">
        <f t="shared" si="143"/>
        <v>2.8295337053321514</v>
      </c>
      <c r="U64" s="217">
        <f t="shared" si="10"/>
        <v>1.4196717561786454</v>
      </c>
      <c r="V64" s="217">
        <f t="shared" si="11"/>
        <v>1.7361268207274227</v>
      </c>
      <c r="W64" s="197">
        <f t="shared" si="12"/>
        <v>350</v>
      </c>
      <c r="X64" s="443">
        <f t="shared" si="95"/>
        <v>297.99166340965729</v>
      </c>
      <c r="Z64" s="217">
        <f t="shared" si="13"/>
        <v>2.5617547565917889</v>
      </c>
      <c r="AA64" s="173">
        <f t="shared" si="14"/>
        <v>1.5718247613251071</v>
      </c>
      <c r="AB64" s="173">
        <f t="shared" si="144"/>
        <v>2.8186406911973427</v>
      </c>
      <c r="AC64" s="173"/>
      <c r="AD64" s="173">
        <f t="shared" si="16"/>
        <v>0.81809796314059635</v>
      </c>
      <c r="AE64" s="545">
        <f t="shared" si="145"/>
        <v>1622.6663062499999</v>
      </c>
      <c r="AF64" s="528">
        <f t="shared" si="146"/>
        <v>0.76355809893122328</v>
      </c>
      <c r="AH64" s="173">
        <f t="shared" si="147"/>
        <v>2.6923171114434918</v>
      </c>
      <c r="AI64" s="173">
        <f t="shared" si="148"/>
        <v>2.8295337053321514</v>
      </c>
      <c r="AJ64" s="173">
        <f t="shared" si="149"/>
        <v>2.3082965718509763</v>
      </c>
      <c r="AL64" s="545">
        <f t="shared" si="150"/>
        <v>3540</v>
      </c>
      <c r="AM64" s="460">
        <f t="shared" si="151"/>
        <v>297.99166340965729</v>
      </c>
      <c r="AO64">
        <f t="shared" si="96"/>
        <v>3540</v>
      </c>
      <c r="AP64">
        <f t="shared" si="24"/>
        <v>297.99166340965729</v>
      </c>
      <c r="AR64" s="5">
        <f t="shared" si="97"/>
        <v>3.3557985769060683</v>
      </c>
      <c r="AS64" s="5">
        <f t="shared" si="25"/>
        <v>1.4196717561786454</v>
      </c>
      <c r="AT64" s="5">
        <f t="shared" si="98"/>
        <v>1.9361268207274229</v>
      </c>
      <c r="AU64" s="173">
        <f t="shared" si="99"/>
        <v>0.42305034811938391</v>
      </c>
      <c r="AW64" s="5">
        <f t="shared" si="152"/>
        <v>125.64095042181012</v>
      </c>
      <c r="AX64" s="5">
        <f t="shared" si="153"/>
        <v>0.46533685341411152</v>
      </c>
      <c r="AY64" s="5">
        <f t="shared" si="28"/>
        <v>0.95522929541728807</v>
      </c>
      <c r="AZ64" s="5"/>
      <c r="BA64" s="173">
        <f t="shared" si="100"/>
        <v>1.0625521946065282</v>
      </c>
      <c r="BB64" s="173">
        <f t="shared" si="154"/>
        <v>4.9634447665957406</v>
      </c>
      <c r="BC64" s="173">
        <f t="shared" si="155"/>
        <v>9.4573744877026952E-2</v>
      </c>
      <c r="BD64" s="173"/>
      <c r="BE64" s="528">
        <f t="shared" si="31"/>
        <v>1.3774009428410422E-2</v>
      </c>
      <c r="BF64" s="528">
        <f t="shared" si="156"/>
        <v>0.68731569796171665</v>
      </c>
      <c r="BG64" s="528">
        <f t="shared" si="157"/>
        <v>0.17817726918690291</v>
      </c>
      <c r="BH64" s="528">
        <f t="shared" si="34"/>
        <v>5.6321747910198616E-2</v>
      </c>
      <c r="BI64">
        <f t="shared" si="35"/>
        <v>1.0762686474739526E-2</v>
      </c>
      <c r="BJ64" s="460">
        <f t="shared" si="101"/>
        <v>188.93995566164241</v>
      </c>
      <c r="BK64">
        <f t="shared" si="158"/>
        <v>0.76362957188930525</v>
      </c>
      <c r="BL64" s="460">
        <f t="shared" si="102"/>
        <v>763.62957188930523</v>
      </c>
      <c r="BM64" s="173">
        <f t="shared" si="159"/>
        <v>2.1992249999999998</v>
      </c>
      <c r="BN64" s="173">
        <f t="shared" si="160"/>
        <v>2.6181249999999996E-2</v>
      </c>
      <c r="BO64" s="528"/>
      <c r="BQ64" s="460">
        <f t="shared" si="103"/>
        <v>2225.40625</v>
      </c>
      <c r="BR64" s="528">
        <f t="shared" si="39"/>
        <v>3.3870514987894479E-2</v>
      </c>
      <c r="BS64" s="528">
        <f t="shared" si="104"/>
        <v>0.73907351853139935</v>
      </c>
      <c r="BT64" s="528">
        <f t="shared" si="161"/>
        <v>4.4720966100324908E-5</v>
      </c>
      <c r="BU64" s="528">
        <f t="shared" si="41"/>
        <v>1.0322085913560277</v>
      </c>
      <c r="BV64" s="528">
        <f t="shared" si="162"/>
        <v>2.1219330795808404</v>
      </c>
      <c r="BW64" s="625">
        <f t="shared" si="163"/>
        <v>5.9644975749648499E-2</v>
      </c>
      <c r="BX64" s="460">
        <f t="shared" si="105"/>
        <v>2181.578055330489</v>
      </c>
      <c r="BY64" s="173">
        <f t="shared" si="106"/>
        <v>5.170613877219794</v>
      </c>
      <c r="BZ64" s="5">
        <f t="shared" si="107"/>
        <v>15.222</v>
      </c>
      <c r="CA64" s="173">
        <f t="shared" si="108"/>
        <v>0.7464467327066987</v>
      </c>
      <c r="CB64" s="5">
        <f t="shared" si="109"/>
        <v>74.64467327066987</v>
      </c>
      <c r="CC64">
        <f t="shared" si="173"/>
        <v>59</v>
      </c>
      <c r="CE64" s="562">
        <f t="shared" si="164"/>
        <v>-50</v>
      </c>
      <c r="CF64">
        <f t="shared" si="165"/>
        <v>-50</v>
      </c>
      <c r="CG64" s="173">
        <f t="shared" si="166"/>
        <v>0.56074766355140171</v>
      </c>
      <c r="CH64" s="173">
        <f t="shared" si="167"/>
        <v>0.15015627428311998</v>
      </c>
      <c r="CI64" s="170">
        <v>59</v>
      </c>
      <c r="CJ64" s="217">
        <f t="shared" si="133"/>
        <v>3.54</v>
      </c>
      <c r="CK64" s="217">
        <f t="shared" si="111"/>
        <v>5.8999999999999997E-2</v>
      </c>
      <c r="CL64" s="217">
        <f t="shared" si="48"/>
        <v>14.16</v>
      </c>
      <c r="CM64" s="217">
        <f t="shared" si="134"/>
        <v>1.0619999999999998</v>
      </c>
      <c r="CN64" s="541">
        <f t="shared" si="112"/>
        <v>24</v>
      </c>
      <c r="CO64" s="443">
        <f t="shared" si="168"/>
        <v>18.8</v>
      </c>
      <c r="CP64" s="443">
        <f t="shared" si="169"/>
        <v>42.8</v>
      </c>
      <c r="CQ64" s="443"/>
      <c r="CR64" s="217">
        <f t="shared" si="113"/>
        <v>0.43925233644859818</v>
      </c>
      <c r="CS64" s="172">
        <f t="shared" si="114"/>
        <v>32.688545968267775</v>
      </c>
      <c r="CT64" s="172">
        <f t="shared" si="51"/>
        <v>2.6355140186915893</v>
      </c>
      <c r="CU64" s="217">
        <f t="shared" si="52"/>
        <v>8.1721364920669437</v>
      </c>
      <c r="CV64" s="217">
        <f t="shared" si="53"/>
        <v>1.816030331570432</v>
      </c>
      <c r="CW64" s="443">
        <f t="shared" si="54"/>
        <v>4</v>
      </c>
      <c r="CX64" s="217">
        <f t="shared" si="55"/>
        <v>2.8878617021276591</v>
      </c>
      <c r="CY64" s="217">
        <f t="shared" si="56"/>
        <v>1.4439308510638298</v>
      </c>
      <c r="CZ64" s="217">
        <f t="shared" si="57"/>
        <v>1.8433159800814845</v>
      </c>
      <c r="DA64" s="197">
        <f t="shared" si="58"/>
        <v>350</v>
      </c>
      <c r="DB64" s="443">
        <f t="shared" si="115"/>
        <v>304.20593626417417</v>
      </c>
      <c r="DD64" s="217">
        <f t="shared" si="59"/>
        <v>2.5100133511348464</v>
      </c>
      <c r="DE64" s="173">
        <f t="shared" si="60"/>
        <v>1.6021361815754336</v>
      </c>
      <c r="DF64" s="173">
        <f t="shared" si="61"/>
        <v>2.8149682442633783</v>
      </c>
      <c r="DG64" s="173"/>
      <c r="DH64" s="173">
        <f t="shared" si="62"/>
        <v>0.85106382978723416</v>
      </c>
      <c r="DI64" s="545">
        <f t="shared" si="63"/>
        <v>1559.8124999999998</v>
      </c>
      <c r="DJ64" s="528">
        <f t="shared" si="64"/>
        <v>0.79432624113475192</v>
      </c>
      <c r="DL64" s="173">
        <f t="shared" si="65"/>
        <v>2.6923171114434918</v>
      </c>
      <c r="DM64" s="173">
        <f t="shared" si="66"/>
        <v>2.8878617021276591</v>
      </c>
      <c r="DN64" s="173">
        <f t="shared" si="67"/>
        <v>2.3515024954032042</v>
      </c>
      <c r="DP64" s="545">
        <f t="shared" si="68"/>
        <v>3540</v>
      </c>
      <c r="DQ64" s="460">
        <f t="shared" si="69"/>
        <v>304.20593626417417</v>
      </c>
      <c r="DS64">
        <f t="shared" si="116"/>
        <v>3540</v>
      </c>
      <c r="DT64">
        <f t="shared" si="70"/>
        <v>304.20593626417417</v>
      </c>
      <c r="DV64" s="5">
        <f t="shared" si="117"/>
        <v>3.287246831145314</v>
      </c>
      <c r="DW64" s="5">
        <f t="shared" si="71"/>
        <v>1.4439308510638298</v>
      </c>
      <c r="DX64" s="5">
        <f t="shared" si="118"/>
        <v>1.8433159800814842</v>
      </c>
      <c r="DY64" s="173">
        <f t="shared" si="119"/>
        <v>0.43925233644859824</v>
      </c>
      <c r="EA64" s="5">
        <f t="shared" si="72"/>
        <v>127.78788031914895</v>
      </c>
      <c r="EB64" s="5">
        <f t="shared" si="73"/>
        <v>0.47328844562647748</v>
      </c>
      <c r="EC64" s="5">
        <f t="shared" si="74"/>
        <v>0.90629702354006292</v>
      </c>
      <c r="ED64" s="5"/>
      <c r="EE64" s="173">
        <f t="shared" si="120"/>
        <v>1.1050267823524966</v>
      </c>
      <c r="EF64" s="173">
        <f t="shared" si="75"/>
        <v>4.9941259583457169</v>
      </c>
      <c r="EG64" s="173">
        <f t="shared" si="76"/>
        <v>9.5158345963073807E-2</v>
      </c>
      <c r="EH64" s="173"/>
      <c r="EI64" s="528">
        <f t="shared" si="77"/>
        <v>1.4897227114539006E-2</v>
      </c>
      <c r="EJ64" s="528">
        <f t="shared" si="78"/>
        <v>0.752</v>
      </c>
      <c r="EK64" s="528">
        <f t="shared" si="79"/>
        <v>3.8025742033021767E-2</v>
      </c>
      <c r="EL64" s="528">
        <f t="shared" si="80"/>
        <v>5.5725660228616476E-2</v>
      </c>
      <c r="EM64">
        <f t="shared" si="81"/>
        <v>1.0800000000000001E-2</v>
      </c>
      <c r="EN64" s="460">
        <f t="shared" si="121"/>
        <v>48.825742033021768</v>
      </c>
      <c r="EO64">
        <f t="shared" si="82"/>
        <v>0.87858068835125203</v>
      </c>
      <c r="EP64" s="460">
        <f t="shared" si="122"/>
        <v>878.58068835125198</v>
      </c>
      <c r="EQ64" s="173">
        <f t="shared" si="83"/>
        <v>2.1992249999999998</v>
      </c>
      <c r="ER64" s="173">
        <f t="shared" si="170"/>
        <v>2.6181249999999996E-2</v>
      </c>
      <c r="ES64" s="528"/>
      <c r="EU64" s="460">
        <f t="shared" si="123"/>
        <v>2225.40625</v>
      </c>
      <c r="EV64" s="528">
        <f t="shared" si="85"/>
        <v>3.6632525691489358E-2</v>
      </c>
      <c r="EW64" s="528">
        <f t="shared" si="124"/>
        <v>0.74823882263467578</v>
      </c>
      <c r="EX64" s="528">
        <f t="shared" si="86"/>
        <v>4.527555403214023E-5</v>
      </c>
      <c r="EY64" s="528">
        <f t="shared" si="87"/>
        <v>1.1437475956681544</v>
      </c>
      <c r="EZ64" s="528">
        <f t="shared" si="88"/>
        <v>2.2588872623764384</v>
      </c>
      <c r="FA64" s="625">
        <f t="shared" si="89"/>
        <v>6.3424999999999995E-2</v>
      </c>
      <c r="FB64" s="460">
        <f t="shared" si="125"/>
        <v>2322.3122623764384</v>
      </c>
      <c r="FC64" s="173">
        <f t="shared" si="126"/>
        <v>5.4262992007276898</v>
      </c>
      <c r="FD64" s="5">
        <f t="shared" si="127"/>
        <v>15.222</v>
      </c>
      <c r="FE64" s="173">
        <f t="shared" si="128"/>
        <v>0.73720357555955718</v>
      </c>
      <c r="FF64" s="5">
        <f t="shared" si="129"/>
        <v>73.720357555955715</v>
      </c>
      <c r="FG64">
        <f t="shared" si="130"/>
        <v>59</v>
      </c>
      <c r="FI64" s="562">
        <f t="shared" si="90"/>
        <v>-50</v>
      </c>
      <c r="FJ64">
        <f t="shared" si="91"/>
        <v>-50</v>
      </c>
      <c r="FL64">
        <f t="shared" si="92"/>
        <v>0.56074766355140171</v>
      </c>
    </row>
    <row r="65" spans="5:168">
      <c r="E65" s="170">
        <v>60</v>
      </c>
      <c r="F65" s="217">
        <f t="shared" si="174"/>
        <v>3.5999999999999996</v>
      </c>
      <c r="G65" s="217">
        <f t="shared" si="171"/>
        <v>0.06</v>
      </c>
      <c r="H65" s="217">
        <f t="shared" si="135"/>
        <v>14.399999999999999</v>
      </c>
      <c r="I65" s="217">
        <f t="shared" si="175"/>
        <v>1.08</v>
      </c>
      <c r="J65" s="541">
        <f t="shared" si="136"/>
        <v>23.915675649128875</v>
      </c>
      <c r="K65" s="443">
        <f t="shared" si="137"/>
        <v>19.570399999999999</v>
      </c>
      <c r="L65" s="172">
        <f t="shared" si="138"/>
        <v>43.486075649128878</v>
      </c>
      <c r="M65" s="443"/>
      <c r="N65" s="217">
        <f t="shared" si="139"/>
        <v>0.45003831014565321</v>
      </c>
      <c r="O65" s="172">
        <f t="shared" si="172"/>
        <v>33.373551178683748</v>
      </c>
      <c r="P65" s="172">
        <f t="shared" si="140"/>
        <v>2.6907425637813769</v>
      </c>
      <c r="Q65" s="217">
        <f t="shared" si="6"/>
        <v>8.3433877946709369</v>
      </c>
      <c r="R65" s="217">
        <f t="shared" si="141"/>
        <v>1.8540861765935415</v>
      </c>
      <c r="S65" s="443">
        <f t="shared" si="142"/>
        <v>4</v>
      </c>
      <c r="T65" s="217">
        <f t="shared" si="143"/>
        <v>2.8765293656048456</v>
      </c>
      <c r="U65" s="217">
        <f t="shared" si="10"/>
        <v>1.443335864463251</v>
      </c>
      <c r="V65" s="217">
        <f t="shared" si="11"/>
        <v>1.7638041321208637</v>
      </c>
      <c r="W65" s="197">
        <f t="shared" si="12"/>
        <v>350</v>
      </c>
      <c r="X65" s="443">
        <f t="shared" si="95"/>
        <v>293.50129463496268</v>
      </c>
      <c r="Z65" s="217">
        <f t="shared" si="13"/>
        <v>2.5626119655060733</v>
      </c>
      <c r="AA65" s="173">
        <f t="shared" si="14"/>
        <v>1.5713191138695621</v>
      </c>
      <c r="AB65" s="173">
        <f t="shared" si="144"/>
        <v>2.8186768139813778</v>
      </c>
      <c r="AC65" s="173"/>
      <c r="AD65" s="173">
        <f t="shared" si="16"/>
        <v>0.81756121489596556</v>
      </c>
      <c r="AE65" s="545">
        <f t="shared" si="145"/>
        <v>1651.2524999999994</v>
      </c>
      <c r="AF65" s="528">
        <f t="shared" si="146"/>
        <v>0.76305713390290131</v>
      </c>
      <c r="AH65" s="173">
        <f t="shared" si="147"/>
        <v>2.7150374898753369</v>
      </c>
      <c r="AI65" s="173">
        <f t="shared" si="148"/>
        <v>2.8765293656048456</v>
      </c>
      <c r="AJ65" s="173">
        <f t="shared" si="149"/>
        <v>2.3431081720529718</v>
      </c>
      <c r="AL65" s="545">
        <f t="shared" si="150"/>
        <v>3599.9999999999995</v>
      </c>
      <c r="AM65" s="460">
        <f t="shared" si="151"/>
        <v>293.50129463496268</v>
      </c>
      <c r="AO65">
        <f t="shared" si="96"/>
        <v>3599.9999999999995</v>
      </c>
      <c r="AP65">
        <f t="shared" si="24"/>
        <v>293.50129463496268</v>
      </c>
      <c r="AR65" s="5">
        <f t="shared" si="97"/>
        <v>3.4071399965841147</v>
      </c>
      <c r="AS65" s="5">
        <f t="shared" si="25"/>
        <v>1.443335864463251</v>
      </c>
      <c r="AT65" s="5">
        <f t="shared" si="98"/>
        <v>1.9638041321208637</v>
      </c>
      <c r="AU65" s="173">
        <f t="shared" si="99"/>
        <v>0.42362094481303719</v>
      </c>
      <c r="AW65" s="5">
        <f t="shared" si="152"/>
        <v>129.90022780169258</v>
      </c>
      <c r="AX65" s="5">
        <f t="shared" si="153"/>
        <v>0.48111195482108365</v>
      </c>
      <c r="AY65" s="5">
        <f t="shared" si="28"/>
        <v>0.98536415743323302</v>
      </c>
      <c r="AZ65" s="5"/>
      <c r="BA65" s="173">
        <f t="shared" si="100"/>
        <v>1.0809283236785654</v>
      </c>
      <c r="BB65" s="173">
        <f t="shared" si="154"/>
        <v>5.0433867289856487</v>
      </c>
      <c r="BC65" s="173">
        <f t="shared" si="155"/>
        <v>9.6096963349591405E-2</v>
      </c>
      <c r="BD65" s="173"/>
      <c r="BE65" s="528">
        <f t="shared" si="31"/>
        <v>1.4254553699352751E-2</v>
      </c>
      <c r="BF65" s="528">
        <f t="shared" si="156"/>
        <v>0.68838329430095546</v>
      </c>
      <c r="BG65" s="528">
        <f t="shared" si="157"/>
        <v>0.1754820441272294</v>
      </c>
      <c r="BH65" s="528">
        <f t="shared" si="34"/>
        <v>5.5502232877359087E-2</v>
      </c>
      <c r="BI65">
        <f t="shared" si="35"/>
        <v>1.0762054042107994E-2</v>
      </c>
      <c r="BJ65" s="460">
        <f t="shared" si="101"/>
        <v>186.24409816933741</v>
      </c>
      <c r="BK65">
        <f t="shared" si="158"/>
        <v>0.76457834698611604</v>
      </c>
      <c r="BL65" s="460">
        <f t="shared" si="102"/>
        <v>764.578346986116</v>
      </c>
      <c r="BM65" s="173">
        <f t="shared" si="159"/>
        <v>2.2364999999999995</v>
      </c>
      <c r="BN65" s="173">
        <f t="shared" si="160"/>
        <v>2.6624999999999999E-2</v>
      </c>
      <c r="BO65" s="528"/>
      <c r="BQ65" s="460">
        <f t="shared" si="103"/>
        <v>2263.1249999999995</v>
      </c>
      <c r="BR65" s="528">
        <f t="shared" si="39"/>
        <v>3.5052181227916604E-2</v>
      </c>
      <c r="BS65" s="528">
        <f t="shared" si="104"/>
        <v>0.7630724909432568</v>
      </c>
      <c r="BT65" s="528">
        <f t="shared" si="161"/>
        <v>4.6173131825063567E-5</v>
      </c>
      <c r="BU65" s="528">
        <f t="shared" si="41"/>
        <v>1.035540496602753</v>
      </c>
      <c r="BV65" s="528">
        <f t="shared" si="162"/>
        <v>2.1634142812253696</v>
      </c>
      <c r="BW65" s="625">
        <f t="shared" si="163"/>
        <v>6.0713833299208972E-2</v>
      </c>
      <c r="BX65" s="460">
        <f t="shared" si="105"/>
        <v>2224.1281145245785</v>
      </c>
      <c r="BY65" s="173">
        <f t="shared" si="106"/>
        <v>5.2518314615106938</v>
      </c>
      <c r="BZ65" s="5">
        <f t="shared" si="107"/>
        <v>15.479999999999999</v>
      </c>
      <c r="CA65" s="173">
        <f t="shared" si="108"/>
        <v>0.74667788172690441</v>
      </c>
      <c r="CB65" s="5">
        <f t="shared" si="109"/>
        <v>74.667788172690436</v>
      </c>
      <c r="CC65">
        <f t="shared" si="173"/>
        <v>60</v>
      </c>
      <c r="CE65" s="562">
        <f t="shared" si="164"/>
        <v>-50</v>
      </c>
      <c r="CF65">
        <f t="shared" si="165"/>
        <v>-50</v>
      </c>
      <c r="CG65" s="173">
        <f t="shared" si="166"/>
        <v>0.56074766355140193</v>
      </c>
      <c r="CH65" s="173">
        <f t="shared" si="167"/>
        <v>0.15015627428311998</v>
      </c>
      <c r="CI65" s="170">
        <v>60</v>
      </c>
      <c r="CJ65" s="217">
        <f t="shared" si="133"/>
        <v>3.5999999999999996</v>
      </c>
      <c r="CK65" s="217">
        <f t="shared" si="111"/>
        <v>0.06</v>
      </c>
      <c r="CL65" s="217">
        <f t="shared" si="48"/>
        <v>14.399999999999999</v>
      </c>
      <c r="CM65" s="217">
        <f t="shared" si="134"/>
        <v>1.08</v>
      </c>
      <c r="CN65" s="541">
        <f t="shared" si="112"/>
        <v>24</v>
      </c>
      <c r="CO65" s="443">
        <f t="shared" si="168"/>
        <v>18.8</v>
      </c>
      <c r="CP65" s="443">
        <f t="shared" si="169"/>
        <v>42.8</v>
      </c>
      <c r="CQ65" s="443"/>
      <c r="CR65" s="217">
        <f t="shared" si="113"/>
        <v>0.43925233644859818</v>
      </c>
      <c r="CS65" s="172">
        <f t="shared" si="114"/>
        <v>32.688545968267775</v>
      </c>
      <c r="CT65" s="172">
        <f t="shared" si="51"/>
        <v>2.6355140186915893</v>
      </c>
      <c r="CU65" s="217">
        <f t="shared" si="52"/>
        <v>8.1721364920669437</v>
      </c>
      <c r="CV65" s="217">
        <f t="shared" si="53"/>
        <v>1.816030331570432</v>
      </c>
      <c r="CW65" s="443">
        <f t="shared" si="54"/>
        <v>4</v>
      </c>
      <c r="CX65" s="217">
        <f t="shared" si="55"/>
        <v>2.9368085106382971</v>
      </c>
      <c r="CY65" s="217">
        <f t="shared" si="56"/>
        <v>1.4684042553191485</v>
      </c>
      <c r="CZ65" s="217">
        <f t="shared" si="57"/>
        <v>1.8745586238116789</v>
      </c>
      <c r="DA65" s="197">
        <f t="shared" si="58"/>
        <v>350</v>
      </c>
      <c r="DB65" s="443">
        <f t="shared" si="115"/>
        <v>299.13583732643792</v>
      </c>
      <c r="DD65" s="217">
        <f t="shared" si="59"/>
        <v>2.5100133511348464</v>
      </c>
      <c r="DE65" s="173">
        <f t="shared" si="60"/>
        <v>1.6021361815754336</v>
      </c>
      <c r="DF65" s="173">
        <f t="shared" si="61"/>
        <v>2.8149682442633783</v>
      </c>
      <c r="DG65" s="173"/>
      <c r="DH65" s="173">
        <f t="shared" si="62"/>
        <v>0.85106382978723416</v>
      </c>
      <c r="DI65" s="545">
        <f t="shared" si="63"/>
        <v>1586.2499999999993</v>
      </c>
      <c r="DJ65" s="528">
        <f t="shared" si="64"/>
        <v>0.79432624113475192</v>
      </c>
      <c r="DL65" s="173">
        <f t="shared" si="65"/>
        <v>2.7150374898753369</v>
      </c>
      <c r="DM65" s="173">
        <f t="shared" si="66"/>
        <v>2.9368085106382971</v>
      </c>
      <c r="DN65" s="173">
        <f t="shared" si="67"/>
        <v>2.3877593905962691</v>
      </c>
      <c r="DP65" s="545">
        <f t="shared" si="68"/>
        <v>3599.9999999999995</v>
      </c>
      <c r="DQ65" s="460">
        <f t="shared" si="69"/>
        <v>299.13583732643792</v>
      </c>
      <c r="DS65">
        <f t="shared" si="116"/>
        <v>3599.9999999999995</v>
      </c>
      <c r="DT65">
        <f t="shared" si="70"/>
        <v>299.13583732643792</v>
      </c>
      <c r="DV65" s="5">
        <f t="shared" si="117"/>
        <v>3.3429628791308281</v>
      </c>
      <c r="DW65" s="5">
        <f t="shared" si="71"/>
        <v>1.4684042553191485</v>
      </c>
      <c r="DX65" s="5">
        <f t="shared" si="118"/>
        <v>1.8745586238116796</v>
      </c>
      <c r="DY65" s="173">
        <f t="shared" si="119"/>
        <v>0.43925233644859807</v>
      </c>
      <c r="EA65" s="5">
        <f t="shared" si="72"/>
        <v>132.15638297872337</v>
      </c>
      <c r="EB65" s="5">
        <f t="shared" si="73"/>
        <v>0.48946808510638284</v>
      </c>
      <c r="EC65" s="5">
        <f t="shared" si="74"/>
        <v>0.93727931190583968</v>
      </c>
      <c r="ED65" s="5"/>
      <c r="EE65" s="173">
        <f t="shared" si="120"/>
        <v>1.1237560498499963</v>
      </c>
      <c r="EF65" s="173">
        <f t="shared" si="75"/>
        <v>5.0787721610295433</v>
      </c>
      <c r="EG65" s="173">
        <f t="shared" si="76"/>
        <v>9.6771199284481843E-2</v>
      </c>
      <c r="EH65" s="173"/>
      <c r="EI65" s="528">
        <f t="shared" si="77"/>
        <v>1.5406497446808502E-2</v>
      </c>
      <c r="EJ65" s="528">
        <f t="shared" si="78"/>
        <v>0.75199999999999967</v>
      </c>
      <c r="EK65" s="528">
        <f t="shared" si="79"/>
        <v>3.7391979665804737E-2</v>
      </c>
      <c r="EL65" s="528">
        <f t="shared" si="80"/>
        <v>5.4796899224806198E-2</v>
      </c>
      <c r="EM65">
        <f t="shared" si="81"/>
        <v>1.0800000000000001E-2</v>
      </c>
      <c r="EN65" s="460">
        <f t="shared" si="121"/>
        <v>48.191979665804737</v>
      </c>
      <c r="EO65">
        <f t="shared" si="82"/>
        <v>0.87776827496973864</v>
      </c>
      <c r="EP65" s="460">
        <f t="shared" si="122"/>
        <v>877.76827496973863</v>
      </c>
      <c r="EQ65" s="173">
        <f t="shared" si="83"/>
        <v>2.2364999999999995</v>
      </c>
      <c r="ER65" s="173">
        <f t="shared" si="170"/>
        <v>2.6624999999999999E-2</v>
      </c>
      <c r="ES65" s="528"/>
      <c r="EU65" s="460">
        <f t="shared" si="123"/>
        <v>2263.1249999999995</v>
      </c>
      <c r="EV65" s="528">
        <f t="shared" si="85"/>
        <v>3.7884829787234023E-2</v>
      </c>
      <c r="EW65" s="528">
        <f t="shared" si="124"/>
        <v>0.77381779990946087</v>
      </c>
      <c r="EX65" s="528">
        <f t="shared" si="86"/>
        <v>4.6823325054784503E-5</v>
      </c>
      <c r="EY65" s="528">
        <f t="shared" si="87"/>
        <v>1.1437475956681531</v>
      </c>
      <c r="EZ65" s="528">
        <f t="shared" si="88"/>
        <v>2.2996565105834441</v>
      </c>
      <c r="FA65" s="625">
        <f t="shared" si="89"/>
        <v>6.4499999999999988E-2</v>
      </c>
      <c r="FB65" s="460">
        <f t="shared" si="125"/>
        <v>2364.1565105834438</v>
      </c>
      <c r="FC65" s="173">
        <f t="shared" si="126"/>
        <v>5.5050497855531821</v>
      </c>
      <c r="FD65" s="5">
        <f t="shared" si="127"/>
        <v>15.479999999999999</v>
      </c>
      <c r="FE65" s="173">
        <f t="shared" si="128"/>
        <v>0.73766801404764626</v>
      </c>
      <c r="FF65" s="5">
        <f t="shared" si="129"/>
        <v>73.766801404764621</v>
      </c>
      <c r="FG65">
        <f t="shared" si="130"/>
        <v>60</v>
      </c>
      <c r="FI65" s="562">
        <f t="shared" si="90"/>
        <v>-50</v>
      </c>
      <c r="FJ65">
        <f t="shared" si="91"/>
        <v>-50</v>
      </c>
      <c r="FL65">
        <f t="shared" si="92"/>
        <v>0.56074766355140193</v>
      </c>
    </row>
    <row r="66" spans="5:168">
      <c r="E66" s="170">
        <v>61</v>
      </c>
      <c r="F66" s="217">
        <f t="shared" si="174"/>
        <v>3.66</v>
      </c>
      <c r="G66" s="217">
        <f t="shared" si="171"/>
        <v>6.0999999999999999E-2</v>
      </c>
      <c r="H66" s="217">
        <f t="shared" si="135"/>
        <v>14.64</v>
      </c>
      <c r="I66" s="217">
        <f t="shared" si="175"/>
        <v>1.0979999999999999</v>
      </c>
      <c r="J66" s="541">
        <f t="shared" si="136"/>
        <v>23.91427024328102</v>
      </c>
      <c r="K66" s="443">
        <f t="shared" si="137"/>
        <v>19.58324</v>
      </c>
      <c r="L66" s="172">
        <f t="shared" si="138"/>
        <v>43.49751024328102</v>
      </c>
      <c r="M66" s="443"/>
      <c r="N66" s="217">
        <f t="shared" si="139"/>
        <v>0.4502151937081269</v>
      </c>
      <c r="O66" s="172">
        <f t="shared" si="172"/>
        <v>33.384706387495385</v>
      </c>
      <c r="P66" s="172">
        <f t="shared" si="140"/>
        <v>2.6916419524918154</v>
      </c>
      <c r="Q66" s="217">
        <f t="shared" si="6"/>
        <v>8.3461765968738462</v>
      </c>
      <c r="R66" s="217">
        <f t="shared" si="141"/>
        <v>1.8547059104164103</v>
      </c>
      <c r="S66" s="443">
        <f t="shared" si="142"/>
        <v>4</v>
      </c>
      <c r="T66" s="217">
        <f t="shared" si="143"/>
        <v>2.9234943350155445</v>
      </c>
      <c r="U66" s="217">
        <f t="shared" si="10"/>
        <v>1.4669873537137597</v>
      </c>
      <c r="V66" s="217">
        <f t="shared" si="11"/>
        <v>1.7914263431478412</v>
      </c>
      <c r="W66" s="197">
        <f t="shared" si="12"/>
        <v>350</v>
      </c>
      <c r="X66" s="443">
        <f t="shared" si="95"/>
        <v>289.14990734262585</v>
      </c>
      <c r="Z66" s="217">
        <f t="shared" si="13"/>
        <v>2.5634685261826804</v>
      </c>
      <c r="AA66" s="173">
        <f t="shared" si="14"/>
        <v>1.5708137322624944</v>
      </c>
      <c r="AB66" s="173">
        <f t="shared" si="144"/>
        <v>2.8187120942053165</v>
      </c>
      <c r="AC66" s="173"/>
      <c r="AD66" s="173">
        <f t="shared" si="16"/>
        <v>0.81702517050294043</v>
      </c>
      <c r="AE66" s="545">
        <f t="shared" si="145"/>
        <v>1679.8748062499992</v>
      </c>
      <c r="AF66" s="528">
        <f t="shared" si="146"/>
        <v>0.76255682580274453</v>
      </c>
      <c r="AH66" s="173">
        <f t="shared" si="147"/>
        <v>2.7375693076679748</v>
      </c>
      <c r="AI66" s="173">
        <f t="shared" si="148"/>
        <v>2.9234943350155445</v>
      </c>
      <c r="AJ66" s="173">
        <f t="shared" si="149"/>
        <v>2.3778970382831193</v>
      </c>
      <c r="AL66" s="545">
        <f t="shared" si="150"/>
        <v>3660</v>
      </c>
      <c r="AM66" s="460">
        <f t="shared" si="151"/>
        <v>289.14990734262585</v>
      </c>
      <c r="AO66">
        <f t="shared" si="96"/>
        <v>3660</v>
      </c>
      <c r="AP66">
        <f t="shared" si="24"/>
        <v>289.14990734262585</v>
      </c>
      <c r="AR66" s="5">
        <f t="shared" si="97"/>
        <v>3.458413696861601</v>
      </c>
      <c r="AS66" s="5">
        <f t="shared" si="25"/>
        <v>1.4669873537137597</v>
      </c>
      <c r="AT66" s="5">
        <f t="shared" si="98"/>
        <v>1.9914263431478414</v>
      </c>
      <c r="AU66" s="173">
        <f t="shared" si="99"/>
        <v>0.42417925739913748</v>
      </c>
      <c r="AW66" s="5">
        <f t="shared" si="152"/>
        <v>134.22934286480901</v>
      </c>
      <c r="AX66" s="5">
        <f t="shared" si="153"/>
        <v>0.49714571431410737</v>
      </c>
      <c r="AY66" s="5">
        <f t="shared" si="28"/>
        <v>1.0159373938341156</v>
      </c>
      <c r="AZ66" s="5"/>
      <c r="BA66" s="173">
        <f t="shared" si="100"/>
        <v>1.0993002911488143</v>
      </c>
      <c r="BB66" s="173">
        <f t="shared" si="154"/>
        <v>5.1232467499992627</v>
      </c>
      <c r="BC66" s="173">
        <f t="shared" si="155"/>
        <v>9.7618620506742693E-2</v>
      </c>
      <c r="BD66" s="173"/>
      <c r="BE66" s="528">
        <f t="shared" si="31"/>
        <v>1.4743225787462389E-2</v>
      </c>
      <c r="BF66" s="528">
        <f t="shared" si="156"/>
        <v>0.68943128228256012</v>
      </c>
      <c r="BG66" s="528">
        <f t="shared" si="157"/>
        <v>0.17287022562528051</v>
      </c>
      <c r="BH66" s="528">
        <f t="shared" si="34"/>
        <v>5.4708128153705182E-2</v>
      </c>
      <c r="BI66">
        <f t="shared" si="35"/>
        <v>1.0761421609476459E-2</v>
      </c>
      <c r="BJ66" s="460">
        <f t="shared" si="101"/>
        <v>183.63164723475697</v>
      </c>
      <c r="BK66">
        <f t="shared" si="158"/>
        <v>0.76554500402225845</v>
      </c>
      <c r="BL66" s="460">
        <f t="shared" si="102"/>
        <v>765.54500402225847</v>
      </c>
      <c r="BM66" s="173">
        <f t="shared" si="159"/>
        <v>2.2737749999999997</v>
      </c>
      <c r="BN66" s="173">
        <f t="shared" si="160"/>
        <v>2.7068749999999999E-2</v>
      </c>
      <c r="BO66" s="528"/>
      <c r="BQ66" s="460">
        <f t="shared" si="103"/>
        <v>2300.84375</v>
      </c>
      <c r="BR66" s="528">
        <f t="shared" si="39"/>
        <v>3.6253833903596037E-2</v>
      </c>
      <c r="BS66" s="528">
        <f t="shared" si="104"/>
        <v>0.78742971784134019</v>
      </c>
      <c r="BT66" s="528">
        <f t="shared" si="161"/>
        <v>4.7646975348197224E-5</v>
      </c>
      <c r="BU66" s="528">
        <f t="shared" si="41"/>
        <v>1.0388032257855393</v>
      </c>
      <c r="BV66" s="528">
        <f t="shared" si="162"/>
        <v>2.2055739158438308</v>
      </c>
      <c r="BW66" s="625">
        <f t="shared" si="163"/>
        <v>6.1782798965201481E-2</v>
      </c>
      <c r="BX66" s="460">
        <f t="shared" si="105"/>
        <v>2267.3567148090324</v>
      </c>
      <c r="BY66" s="173">
        <f t="shared" si="106"/>
        <v>5.3337454688312906</v>
      </c>
      <c r="BZ66" s="5">
        <f t="shared" si="107"/>
        <v>15.738</v>
      </c>
      <c r="CA66" s="173">
        <f t="shared" si="108"/>
        <v>0.74687690316301469</v>
      </c>
      <c r="CB66" s="5">
        <f t="shared" si="109"/>
        <v>74.68769031630147</v>
      </c>
      <c r="CC66">
        <f t="shared" si="173"/>
        <v>61</v>
      </c>
      <c r="CE66" s="562">
        <f t="shared" si="164"/>
        <v>-50</v>
      </c>
      <c r="CF66">
        <f t="shared" si="165"/>
        <v>-50</v>
      </c>
      <c r="CG66" s="173">
        <f t="shared" si="166"/>
        <v>0.56074766355140193</v>
      </c>
      <c r="CH66" s="173">
        <f t="shared" si="167"/>
        <v>0.15015627428311998</v>
      </c>
      <c r="CI66" s="170">
        <v>61</v>
      </c>
      <c r="CJ66" s="217">
        <f t="shared" si="133"/>
        <v>3.66</v>
      </c>
      <c r="CK66" s="217">
        <f t="shared" si="111"/>
        <v>6.0999999999999999E-2</v>
      </c>
      <c r="CL66" s="217">
        <f t="shared" si="48"/>
        <v>14.64</v>
      </c>
      <c r="CM66" s="217">
        <f t="shared" si="134"/>
        <v>1.0979999999999999</v>
      </c>
      <c r="CN66" s="541">
        <f t="shared" si="112"/>
        <v>24</v>
      </c>
      <c r="CO66" s="443">
        <f t="shared" si="168"/>
        <v>18.8</v>
      </c>
      <c r="CP66" s="443">
        <f t="shared" si="169"/>
        <v>42.8</v>
      </c>
      <c r="CQ66" s="443"/>
      <c r="CR66" s="217">
        <f t="shared" si="113"/>
        <v>0.43925233644859818</v>
      </c>
      <c r="CS66" s="172">
        <f t="shared" si="114"/>
        <v>32.688545968267775</v>
      </c>
      <c r="CT66" s="172">
        <f t="shared" si="51"/>
        <v>2.6355140186915893</v>
      </c>
      <c r="CU66" s="217">
        <f t="shared" si="52"/>
        <v>8.1721364920669437</v>
      </c>
      <c r="CV66" s="217">
        <f t="shared" si="53"/>
        <v>1.816030331570432</v>
      </c>
      <c r="CW66" s="443">
        <f t="shared" si="54"/>
        <v>4</v>
      </c>
      <c r="CX66" s="217">
        <f t="shared" si="55"/>
        <v>2.9857553191489354</v>
      </c>
      <c r="CY66" s="217">
        <f t="shared" si="56"/>
        <v>1.4928776595744677</v>
      </c>
      <c r="CZ66" s="217">
        <f t="shared" si="57"/>
        <v>1.9058012675418736</v>
      </c>
      <c r="DA66" s="197">
        <f t="shared" si="58"/>
        <v>350</v>
      </c>
      <c r="DB66" s="443">
        <f t="shared" si="115"/>
        <v>294.23197114075867</v>
      </c>
      <c r="DD66" s="217">
        <f t="shared" si="59"/>
        <v>2.5100133511348464</v>
      </c>
      <c r="DE66" s="173">
        <f t="shared" si="60"/>
        <v>1.6021361815754336</v>
      </c>
      <c r="DF66" s="173">
        <f t="shared" si="61"/>
        <v>2.8149682442633783</v>
      </c>
      <c r="DG66" s="173"/>
      <c r="DH66" s="173">
        <f t="shared" si="62"/>
        <v>0.85106382978723416</v>
      </c>
      <c r="DI66" s="545">
        <f t="shared" si="63"/>
        <v>1612.6874999999998</v>
      </c>
      <c r="DJ66" s="528">
        <f t="shared" si="64"/>
        <v>0.79432624113475192</v>
      </c>
      <c r="DL66" s="173">
        <f t="shared" si="65"/>
        <v>2.7375693076679748</v>
      </c>
      <c r="DM66" s="173">
        <f t="shared" si="66"/>
        <v>2.9857553191489354</v>
      </c>
      <c r="DN66" s="173">
        <f t="shared" si="67"/>
        <v>2.4240162857893348</v>
      </c>
      <c r="DP66" s="545">
        <f t="shared" si="68"/>
        <v>3660</v>
      </c>
      <c r="DQ66" s="460">
        <f t="shared" si="69"/>
        <v>294.23197114075867</v>
      </c>
      <c r="DS66">
        <f t="shared" si="116"/>
        <v>3660</v>
      </c>
      <c r="DT66">
        <f t="shared" si="70"/>
        <v>294.23197114075867</v>
      </c>
      <c r="DV66" s="5">
        <f t="shared" si="117"/>
        <v>3.3986789271163413</v>
      </c>
      <c r="DW66" s="5">
        <f t="shared" si="71"/>
        <v>1.4928776595744677</v>
      </c>
      <c r="DX66" s="5">
        <f t="shared" si="118"/>
        <v>1.9058012675418736</v>
      </c>
      <c r="DY66" s="173">
        <f t="shared" si="119"/>
        <v>0.43925233644859812</v>
      </c>
      <c r="EA66" s="5">
        <f t="shared" si="72"/>
        <v>136.5983058510638</v>
      </c>
      <c r="EB66" s="5">
        <f t="shared" si="73"/>
        <v>0.50591965130023631</v>
      </c>
      <c r="EC66" s="5">
        <f t="shared" si="74"/>
        <v>0.9687823110004522</v>
      </c>
      <c r="ED66" s="5"/>
      <c r="EE66" s="173">
        <f t="shared" si="120"/>
        <v>1.1424853173474963</v>
      </c>
      <c r="EF66" s="173">
        <f t="shared" si="75"/>
        <v>5.1634183637133697</v>
      </c>
      <c r="EG66" s="173">
        <f t="shared" si="76"/>
        <v>9.838405260588988E-2</v>
      </c>
      <c r="EH66" s="173"/>
      <c r="EI66" s="528">
        <f t="shared" si="77"/>
        <v>1.5924326944326231E-2</v>
      </c>
      <c r="EJ66" s="528">
        <f t="shared" si="78"/>
        <v>0.752</v>
      </c>
      <c r="EK66" s="528">
        <f t="shared" si="79"/>
        <v>3.6778996392594833E-2</v>
      </c>
      <c r="EL66" s="528">
        <f t="shared" si="80"/>
        <v>5.3898589401448732E-2</v>
      </c>
      <c r="EM66">
        <f t="shared" si="81"/>
        <v>1.0800000000000001E-2</v>
      </c>
      <c r="EN66" s="460">
        <f t="shared" si="121"/>
        <v>47.578996392594831</v>
      </c>
      <c r="EO66">
        <f t="shared" si="82"/>
        <v>0.87701979070573899</v>
      </c>
      <c r="EP66" s="460">
        <f t="shared" si="122"/>
        <v>877.01979070573896</v>
      </c>
      <c r="EQ66" s="173">
        <f t="shared" si="83"/>
        <v>2.2737749999999997</v>
      </c>
      <c r="ER66" s="173">
        <f t="shared" si="170"/>
        <v>2.7068749999999999E-2</v>
      </c>
      <c r="ES66" s="528"/>
      <c r="EU66" s="460">
        <f t="shared" si="123"/>
        <v>2300.84375</v>
      </c>
      <c r="EV66" s="528">
        <f t="shared" si="85"/>
        <v>3.9158181010638275E-2</v>
      </c>
      <c r="EW66" s="528">
        <f t="shared" si="124"/>
        <v>0.79982667596197354</v>
      </c>
      <c r="EX66" s="528">
        <f t="shared" si="86"/>
        <v>4.8397109035792538E-5</v>
      </c>
      <c r="EY66" s="528">
        <f t="shared" si="87"/>
        <v>1.1437475956681546</v>
      </c>
      <c r="EZ66" s="528">
        <f t="shared" si="88"/>
        <v>2.3413033395086087</v>
      </c>
      <c r="FA66" s="625">
        <f t="shared" si="89"/>
        <v>6.5574999999999981E-2</v>
      </c>
      <c r="FB66" s="460">
        <f t="shared" si="125"/>
        <v>2406.8783395086084</v>
      </c>
      <c r="FC66" s="173">
        <f t="shared" si="126"/>
        <v>5.5847418802143478</v>
      </c>
      <c r="FD66" s="5">
        <f t="shared" si="127"/>
        <v>15.738</v>
      </c>
      <c r="FE66" s="173">
        <f t="shared" si="128"/>
        <v>0.73808519037617282</v>
      </c>
      <c r="FF66" s="5">
        <f t="shared" si="129"/>
        <v>73.808519037617287</v>
      </c>
      <c r="FG66">
        <f t="shared" si="130"/>
        <v>61</v>
      </c>
      <c r="FI66" s="562">
        <f t="shared" si="90"/>
        <v>-50</v>
      </c>
      <c r="FJ66">
        <f t="shared" si="91"/>
        <v>-50</v>
      </c>
      <c r="FL66">
        <f t="shared" si="92"/>
        <v>0.56074766355140193</v>
      </c>
    </row>
    <row r="67" spans="5:168">
      <c r="E67" s="170">
        <v>62</v>
      </c>
      <c r="F67" s="217">
        <f t="shared" si="174"/>
        <v>3.7199999999999998</v>
      </c>
      <c r="G67" s="217">
        <f t="shared" si="171"/>
        <v>6.2E-2</v>
      </c>
      <c r="H67" s="217">
        <f t="shared" si="135"/>
        <v>14.879999999999999</v>
      </c>
      <c r="I67" s="217">
        <f t="shared" si="175"/>
        <v>1.1160000000000001</v>
      </c>
      <c r="J67" s="541">
        <f t="shared" si="136"/>
        <v>23.912864837433169</v>
      </c>
      <c r="K67" s="443">
        <f t="shared" si="137"/>
        <v>19.596080000000001</v>
      </c>
      <c r="L67" s="172">
        <f t="shared" si="138"/>
        <v>43.50894483743317</v>
      </c>
      <c r="M67" s="443"/>
      <c r="N67" s="217">
        <f t="shared" si="139"/>
        <v>0.45039198429699451</v>
      </c>
      <c r="O67" s="172">
        <f t="shared" si="172"/>
        <v>33.395853160797991</v>
      </c>
      <c r="P67" s="172">
        <f t="shared" si="140"/>
        <v>2.6925406610893381</v>
      </c>
      <c r="Q67" s="217">
        <f t="shared" si="6"/>
        <v>8.3489632901994977</v>
      </c>
      <c r="R67" s="217">
        <f t="shared" si="141"/>
        <v>1.8553251755998883</v>
      </c>
      <c r="S67" s="443">
        <f t="shared" si="142"/>
        <v>4</v>
      </c>
      <c r="T67" s="217">
        <f t="shared" si="143"/>
        <v>2.9704286793441397</v>
      </c>
      <c r="U67" s="217">
        <f t="shared" si="10"/>
        <v>1.4906262547150273</v>
      </c>
      <c r="V67" s="217">
        <f t="shared" si="11"/>
        <v>1.8189936024005655</v>
      </c>
      <c r="W67" s="197">
        <f t="shared" si="12"/>
        <v>350</v>
      </c>
      <c r="X67" s="443">
        <f t="shared" si="95"/>
        <v>284.93114374553869</v>
      </c>
      <c r="Z67" s="217">
        <f t="shared" si="13"/>
        <v>2.5643244391327031</v>
      </c>
      <c r="AA67" s="173">
        <f t="shared" si="14"/>
        <v>1.5703086162943016</v>
      </c>
      <c r="AB67" s="173">
        <f t="shared" si="144"/>
        <v>2.818746533220895</v>
      </c>
      <c r="AC67" s="173"/>
      <c r="AD67" s="173">
        <f t="shared" si="16"/>
        <v>0.8164898285779606</v>
      </c>
      <c r="AE67" s="545">
        <f t="shared" si="145"/>
        <v>1708.5332249999994</v>
      </c>
      <c r="AF67" s="528">
        <f t="shared" si="146"/>
        <v>0.76205717333942991</v>
      </c>
      <c r="AH67" s="173">
        <f t="shared" si="147"/>
        <v>2.7599171830225009</v>
      </c>
      <c r="AI67" s="173">
        <f t="shared" si="148"/>
        <v>2.9704286793441397</v>
      </c>
      <c r="AJ67" s="173">
        <f t="shared" si="149"/>
        <v>2.4126632192672641</v>
      </c>
      <c r="AL67" s="545">
        <f t="shared" si="150"/>
        <v>3719.9999999999995</v>
      </c>
      <c r="AM67" s="460">
        <f t="shared" si="151"/>
        <v>284.93114374553869</v>
      </c>
      <c r="AO67">
        <f t="shared" si="96"/>
        <v>3719.9999999999995</v>
      </c>
      <c r="AP67">
        <f t="shared" si="24"/>
        <v>284.93114374553869</v>
      </c>
      <c r="AR67" s="5">
        <f t="shared" si="97"/>
        <v>3.509619857115593</v>
      </c>
      <c r="AS67" s="5">
        <f t="shared" si="25"/>
        <v>1.4906262547150273</v>
      </c>
      <c r="AT67" s="5">
        <f t="shared" si="98"/>
        <v>2.0189936024005659</v>
      </c>
      <c r="AU67" s="173">
        <f t="shared" si="99"/>
        <v>0.42472584365308141</v>
      </c>
      <c r="AW67" s="5">
        <f t="shared" si="152"/>
        <v>138.62824168849752</v>
      </c>
      <c r="AX67" s="5">
        <f t="shared" si="153"/>
        <v>0.51343793217962053</v>
      </c>
      <c r="AY67" s="5">
        <f t="shared" si="28"/>
        <v>1.0469477764360731</v>
      </c>
      <c r="AZ67" s="5"/>
      <c r="BA67" s="173">
        <f t="shared" si="100"/>
        <v>1.117668074643875</v>
      </c>
      <c r="BB67" s="173">
        <f t="shared" si="154"/>
        <v>5.2030251527796052</v>
      </c>
      <c r="BC67" s="173">
        <f t="shared" si="155"/>
        <v>9.9138722505665453E-2</v>
      </c>
      <c r="BD67" s="173"/>
      <c r="BE67" s="528">
        <f t="shared" si="31"/>
        <v>1.5240019485953386E-2</v>
      </c>
      <c r="BF67" s="528">
        <f t="shared" si="156"/>
        <v>0.69046055634995462</v>
      </c>
      <c r="BG67" s="528">
        <f t="shared" si="157"/>
        <v>0.17033799820905768</v>
      </c>
      <c r="BH67" s="528">
        <f t="shared" si="34"/>
        <v>5.3938271321002894E-2</v>
      </c>
      <c r="BI67">
        <f t="shared" si="35"/>
        <v>1.0760789176844926E-2</v>
      </c>
      <c r="BJ67" s="460">
        <f t="shared" si="101"/>
        <v>181.0987873859026</v>
      </c>
      <c r="BK67">
        <f t="shared" si="158"/>
        <v>0.76652927687531169</v>
      </c>
      <c r="BL67" s="460">
        <f t="shared" si="102"/>
        <v>766.52927687531167</v>
      </c>
      <c r="BM67" s="173">
        <f t="shared" si="159"/>
        <v>2.3110499999999994</v>
      </c>
      <c r="BN67" s="173">
        <f t="shared" si="160"/>
        <v>2.7512499999999999E-2</v>
      </c>
      <c r="BO67" s="528"/>
      <c r="BQ67" s="460">
        <f t="shared" si="103"/>
        <v>2338.5624999999991</v>
      </c>
      <c r="BR67" s="528">
        <f t="shared" si="39"/>
        <v>3.7475457752344392E-2</v>
      </c>
      <c r="BS67" s="528">
        <f t="shared" si="104"/>
        <v>0.81214412221371701</v>
      </c>
      <c r="BT67" s="528">
        <f t="shared" si="161"/>
        <v>4.914243150027669E-5</v>
      </c>
      <c r="BU67" s="528">
        <f t="shared" si="41"/>
        <v>1.0419997893191861</v>
      </c>
      <c r="BV67" s="528">
        <f t="shared" si="162"/>
        <v>2.2484221211813269</v>
      </c>
      <c r="BW67" s="625">
        <f t="shared" si="163"/>
        <v>6.2851867853871979E-2</v>
      </c>
      <c r="BX67" s="460">
        <f t="shared" si="105"/>
        <v>2311.2739890351991</v>
      </c>
      <c r="BY67" s="173">
        <f t="shared" si="106"/>
        <v>5.41636576591051</v>
      </c>
      <c r="BZ67" s="5">
        <f t="shared" si="107"/>
        <v>15.995999999999999</v>
      </c>
      <c r="CA67" s="173">
        <f t="shared" si="108"/>
        <v>0.74704496340457538</v>
      </c>
      <c r="CB67" s="5">
        <f t="shared" si="109"/>
        <v>74.704496340457538</v>
      </c>
      <c r="CC67">
        <f t="shared" si="173"/>
        <v>62</v>
      </c>
      <c r="CE67" s="562">
        <f t="shared" si="164"/>
        <v>-50</v>
      </c>
      <c r="CF67">
        <f t="shared" si="165"/>
        <v>-50</v>
      </c>
      <c r="CG67" s="173">
        <f t="shared" si="166"/>
        <v>0.56074766355140171</v>
      </c>
      <c r="CH67" s="173">
        <f t="shared" si="167"/>
        <v>0.15015627428312001</v>
      </c>
      <c r="CI67" s="170">
        <v>62</v>
      </c>
      <c r="CJ67" s="217">
        <f t="shared" si="133"/>
        <v>3.7199999999999998</v>
      </c>
      <c r="CK67" s="217">
        <f t="shared" si="111"/>
        <v>6.2E-2</v>
      </c>
      <c r="CL67" s="217">
        <f t="shared" si="48"/>
        <v>14.879999999999999</v>
      </c>
      <c r="CM67" s="217">
        <f t="shared" si="134"/>
        <v>1.1160000000000001</v>
      </c>
      <c r="CN67" s="541">
        <f t="shared" si="112"/>
        <v>24</v>
      </c>
      <c r="CO67" s="443">
        <f t="shared" si="168"/>
        <v>18.8</v>
      </c>
      <c r="CP67" s="443">
        <f t="shared" si="169"/>
        <v>42.8</v>
      </c>
      <c r="CQ67" s="443"/>
      <c r="CR67" s="217">
        <f t="shared" si="113"/>
        <v>0.43925233644859818</v>
      </c>
      <c r="CS67" s="172">
        <f t="shared" si="114"/>
        <v>32.688545968267775</v>
      </c>
      <c r="CT67" s="172">
        <f t="shared" si="51"/>
        <v>2.6355140186915893</v>
      </c>
      <c r="CU67" s="217">
        <f t="shared" si="52"/>
        <v>8.1721364920669437</v>
      </c>
      <c r="CV67" s="217">
        <f t="shared" si="53"/>
        <v>1.816030331570432</v>
      </c>
      <c r="CW67" s="443">
        <f t="shared" si="54"/>
        <v>4</v>
      </c>
      <c r="CX67" s="217">
        <f t="shared" si="55"/>
        <v>3.0347021276595738</v>
      </c>
      <c r="CY67" s="217">
        <f t="shared" si="56"/>
        <v>1.5173510638297869</v>
      </c>
      <c r="CZ67" s="217">
        <f t="shared" si="57"/>
        <v>1.9370439112720683</v>
      </c>
      <c r="DA67" s="197">
        <f t="shared" si="58"/>
        <v>350</v>
      </c>
      <c r="DB67" s="443">
        <f t="shared" si="115"/>
        <v>289.48629418687551</v>
      </c>
      <c r="DD67" s="217">
        <f t="shared" si="59"/>
        <v>2.5100133511348464</v>
      </c>
      <c r="DE67" s="173">
        <f t="shared" si="60"/>
        <v>1.6021361815754336</v>
      </c>
      <c r="DF67" s="173">
        <f t="shared" si="61"/>
        <v>2.8149682442633783</v>
      </c>
      <c r="DG67" s="173"/>
      <c r="DH67" s="173">
        <f t="shared" si="62"/>
        <v>0.85106382978723416</v>
      </c>
      <c r="DI67" s="545">
        <f t="shared" si="63"/>
        <v>1639.1249999999993</v>
      </c>
      <c r="DJ67" s="528">
        <f t="shared" si="64"/>
        <v>0.79432624113475192</v>
      </c>
      <c r="DL67" s="173">
        <f t="shared" si="65"/>
        <v>2.7599171830225009</v>
      </c>
      <c r="DM67" s="173">
        <f t="shared" si="66"/>
        <v>3.0347021276595738</v>
      </c>
      <c r="DN67" s="173">
        <f t="shared" si="67"/>
        <v>2.4602731809824006</v>
      </c>
      <c r="DP67" s="545">
        <f t="shared" si="68"/>
        <v>3719.9999999999995</v>
      </c>
      <c r="DQ67" s="460">
        <f t="shared" si="69"/>
        <v>289.48629418687551</v>
      </c>
      <c r="DS67">
        <f t="shared" si="116"/>
        <v>3719.9999999999995</v>
      </c>
      <c r="DT67">
        <f t="shared" si="70"/>
        <v>289.48629418687551</v>
      </c>
      <c r="DV67" s="5">
        <f t="shared" si="117"/>
        <v>3.4543949751018546</v>
      </c>
      <c r="DW67" s="5">
        <f t="shared" si="71"/>
        <v>1.5173510638297869</v>
      </c>
      <c r="DX67" s="5">
        <f t="shared" si="118"/>
        <v>1.9370439112720677</v>
      </c>
      <c r="DY67" s="173">
        <f t="shared" si="119"/>
        <v>0.43925233644859824</v>
      </c>
      <c r="EA67" s="5">
        <f t="shared" si="72"/>
        <v>141.11364893617016</v>
      </c>
      <c r="EB67" s="5">
        <f t="shared" si="73"/>
        <v>0.5226431442080377</v>
      </c>
      <c r="EC67" s="5">
        <f t="shared" si="74"/>
        <v>1.0008060208239016</v>
      </c>
      <c r="ED67" s="5"/>
      <c r="EE67" s="173">
        <f t="shared" si="120"/>
        <v>1.1612145848449964</v>
      </c>
      <c r="EF67" s="173">
        <f t="shared" si="75"/>
        <v>5.2480645663971943</v>
      </c>
      <c r="EG67" s="173">
        <f t="shared" si="76"/>
        <v>9.9996905927297874E-2</v>
      </c>
      <c r="EH67" s="173"/>
      <c r="EI67" s="528">
        <f t="shared" si="77"/>
        <v>1.6450715607092194E-2</v>
      </c>
      <c r="EJ67" s="528">
        <f t="shared" si="78"/>
        <v>0.752</v>
      </c>
      <c r="EK67" s="528">
        <f t="shared" si="79"/>
        <v>3.6185786773359437E-2</v>
      </c>
      <c r="EL67" s="528">
        <f t="shared" si="80"/>
        <v>5.3029257314328601E-2</v>
      </c>
      <c r="EM67">
        <f t="shared" si="81"/>
        <v>1.0800000000000001E-2</v>
      </c>
      <c r="EN67" s="460">
        <f t="shared" si="121"/>
        <v>46.985786773359436</v>
      </c>
      <c r="EO67">
        <f t="shared" si="82"/>
        <v>0.8763327660527902</v>
      </c>
      <c r="EP67" s="460">
        <f t="shared" si="122"/>
        <v>876.33276605279025</v>
      </c>
      <c r="EQ67" s="173">
        <f t="shared" si="83"/>
        <v>2.3110499999999994</v>
      </c>
      <c r="ER67" s="173">
        <f t="shared" si="170"/>
        <v>2.7512499999999999E-2</v>
      </c>
      <c r="ES67" s="528"/>
      <c r="EU67" s="460">
        <f t="shared" si="123"/>
        <v>2338.5624999999991</v>
      </c>
      <c r="EV67" s="528">
        <f t="shared" si="85"/>
        <v>4.0452579361702122E-2</v>
      </c>
      <c r="EW67" s="528">
        <f t="shared" si="124"/>
        <v>0.82626545079221314</v>
      </c>
      <c r="EX67" s="528">
        <f t="shared" si="86"/>
        <v>4.9996905975164308E-5</v>
      </c>
      <c r="EY67" s="528">
        <f t="shared" si="87"/>
        <v>1.1437475956681533</v>
      </c>
      <c r="EZ67" s="528">
        <f t="shared" si="88"/>
        <v>2.3838387672305195</v>
      </c>
      <c r="FA67" s="625">
        <f t="shared" si="89"/>
        <v>6.6650000000000001E-2</v>
      </c>
      <c r="FB67" s="460">
        <f t="shared" si="125"/>
        <v>2450.4887672305194</v>
      </c>
      <c r="FC67" s="173">
        <f t="shared" si="126"/>
        <v>5.665384033283309</v>
      </c>
      <c r="FD67" s="5">
        <f t="shared" si="127"/>
        <v>15.995999999999999</v>
      </c>
      <c r="FE67" s="173">
        <f t="shared" si="128"/>
        <v>0.73845696911248637</v>
      </c>
      <c r="FF67" s="5">
        <f t="shared" si="129"/>
        <v>73.845696911248638</v>
      </c>
      <c r="FG67">
        <f t="shared" si="130"/>
        <v>62</v>
      </c>
      <c r="FI67" s="562">
        <f t="shared" si="90"/>
        <v>-50</v>
      </c>
      <c r="FJ67">
        <f t="shared" si="91"/>
        <v>-50</v>
      </c>
      <c r="FL67">
        <f t="shared" si="92"/>
        <v>0.56074766355140171</v>
      </c>
    </row>
    <row r="68" spans="5:168">
      <c r="E68" s="170">
        <v>63</v>
      </c>
      <c r="F68" s="217">
        <f t="shared" si="174"/>
        <v>3.7800000000000002</v>
      </c>
      <c r="G68" s="217">
        <f t="shared" si="171"/>
        <v>6.3E-2</v>
      </c>
      <c r="H68" s="217">
        <f t="shared" si="135"/>
        <v>15.120000000000001</v>
      </c>
      <c r="I68" s="217">
        <f t="shared" si="175"/>
        <v>1.1339999999999999</v>
      </c>
      <c r="J68" s="541">
        <f t="shared" si="136"/>
        <v>23.911459431585318</v>
      </c>
      <c r="K68" s="443">
        <f t="shared" si="137"/>
        <v>19.608920000000001</v>
      </c>
      <c r="L68" s="172">
        <f t="shared" si="138"/>
        <v>43.520379431585319</v>
      </c>
      <c r="M68" s="443"/>
      <c r="N68" s="217">
        <f t="shared" si="139"/>
        <v>0.45056868198554001</v>
      </c>
      <c r="O68" s="172">
        <f t="shared" si="172"/>
        <v>33.40699150524064</v>
      </c>
      <c r="P68" s="172">
        <f t="shared" si="140"/>
        <v>2.6934386901100265</v>
      </c>
      <c r="Q68" s="217">
        <f t="shared" si="6"/>
        <v>8.35174787631016</v>
      </c>
      <c r="R68" s="217">
        <f t="shared" si="141"/>
        <v>1.8559439725133688</v>
      </c>
      <c r="S68" s="443">
        <f t="shared" si="142"/>
        <v>4</v>
      </c>
      <c r="T68" s="217">
        <f t="shared" si="143"/>
        <v>3.0173324641995154</v>
      </c>
      <c r="U68" s="217">
        <f t="shared" si="10"/>
        <v>1.5142525981733277</v>
      </c>
      <c r="V68" s="217">
        <f t="shared" si="11"/>
        <v>1.8465060579773995</v>
      </c>
      <c r="W68" s="197">
        <f t="shared" si="12"/>
        <v>350</v>
      </c>
      <c r="X68" s="443">
        <f t="shared" si="95"/>
        <v>280.83902801798592</v>
      </c>
      <c r="Z68" s="217">
        <f t="shared" si="13"/>
        <v>2.5651797048666918</v>
      </c>
      <c r="AA68" s="173">
        <f t="shared" si="14"/>
        <v>1.5698037657556001</v>
      </c>
      <c r="AB68" s="173">
        <f t="shared" si="144"/>
        <v>2.8187801323777002</v>
      </c>
      <c r="AC68" s="173"/>
      <c r="AD68" s="173">
        <f t="shared" si="16"/>
        <v>0.81595518774108933</v>
      </c>
      <c r="AE68" s="545">
        <f t="shared" si="145"/>
        <v>1737.2277562499996</v>
      </c>
      <c r="AF68" s="528">
        <f t="shared" si="146"/>
        <v>0.76155817522501679</v>
      </c>
      <c r="AH68" s="173">
        <f t="shared" si="147"/>
        <v>2.7820855486487113</v>
      </c>
      <c r="AI68" s="173">
        <f t="shared" si="148"/>
        <v>3.0173324641995154</v>
      </c>
      <c r="AJ68" s="173">
        <f t="shared" si="149"/>
        <v>2.4474067636045795</v>
      </c>
      <c r="AL68" s="545">
        <f t="shared" si="150"/>
        <v>3780.0000000000005</v>
      </c>
      <c r="AM68" s="460">
        <f t="shared" si="151"/>
        <v>280.83902801798592</v>
      </c>
      <c r="AO68">
        <f t="shared" si="96"/>
        <v>3780.0000000000005</v>
      </c>
      <c r="AP68">
        <f t="shared" si="24"/>
        <v>280.83902801798592</v>
      </c>
      <c r="AR68" s="5">
        <f t="shared" si="97"/>
        <v>3.5607586561507274</v>
      </c>
      <c r="AS68" s="5">
        <f t="shared" si="25"/>
        <v>1.5142525981733277</v>
      </c>
      <c r="AT68" s="5">
        <f t="shared" si="98"/>
        <v>2.0465060579773997</v>
      </c>
      <c r="AU68" s="173">
        <f t="shared" si="99"/>
        <v>0.42526122784470716</v>
      </c>
      <c r="AW68" s="5">
        <f t="shared" si="152"/>
        <v>143.09687052737945</v>
      </c>
      <c r="AX68" s="5">
        <f t="shared" si="153"/>
        <v>0.52998840936066471</v>
      </c>
      <c r="AY68" s="5">
        <f t="shared" si="28"/>
        <v>1.0783940814776791</v>
      </c>
      <c r="AZ68" s="5"/>
      <c r="BA68" s="173">
        <f t="shared" si="100"/>
        <v>1.1360316537851227</v>
      </c>
      <c r="BB68" s="173">
        <f t="shared" si="154"/>
        <v>5.2827222499046389</v>
      </c>
      <c r="BC68" s="173">
        <f t="shared" si="155"/>
        <v>0.10065727530223705</v>
      </c>
      <c r="BD68" s="173"/>
      <c r="BE68" s="528">
        <f t="shared" si="31"/>
        <v>1.5744928604501482E-2</v>
      </c>
      <c r="BF68" s="528">
        <f t="shared" si="156"/>
        <v>0.6914719572104403</v>
      </c>
      <c r="BG68" s="528">
        <f t="shared" si="157"/>
        <v>0.16788177563144804</v>
      </c>
      <c r="BH68" s="528">
        <f t="shared" si="34"/>
        <v>5.3191569796438916E-2</v>
      </c>
      <c r="BI68">
        <f t="shared" si="35"/>
        <v>1.0760156744213392E-2</v>
      </c>
      <c r="BJ68" s="460">
        <f t="shared" si="101"/>
        <v>178.64193237566144</v>
      </c>
      <c r="BK68">
        <f t="shared" si="158"/>
        <v>0.76753091568046294</v>
      </c>
      <c r="BL68" s="460">
        <f t="shared" si="102"/>
        <v>767.53091568046295</v>
      </c>
      <c r="BM68" s="173">
        <f t="shared" si="159"/>
        <v>2.348325</v>
      </c>
      <c r="BN68" s="173">
        <f t="shared" si="160"/>
        <v>2.7956249999999998E-2</v>
      </c>
      <c r="BO68" s="528"/>
      <c r="BQ68" s="460">
        <f t="shared" si="103"/>
        <v>2376.28125</v>
      </c>
      <c r="BR68" s="528">
        <f t="shared" si="39"/>
        <v>3.8717037552052823E-2</v>
      </c>
      <c r="BS68" s="528">
        <f t="shared" si="104"/>
        <v>0.83721463108912586</v>
      </c>
      <c r="BT68" s="528">
        <f t="shared" si="161"/>
        <v>5.0659435356351701E-5</v>
      </c>
      <c r="BU68" s="528">
        <f t="shared" si="41"/>
        <v>1.04513302506301</v>
      </c>
      <c r="BV68" s="528">
        <f t="shared" si="162"/>
        <v>2.2919690635729566</v>
      </c>
      <c r="BW68" s="625">
        <f t="shared" si="163"/>
        <v>6.3921035365496398E-2</v>
      </c>
      <c r="BX68" s="460">
        <f t="shared" si="105"/>
        <v>2355.8900989384529</v>
      </c>
      <c r="BY68" s="173">
        <f t="shared" si="106"/>
        <v>5.4997022646189153</v>
      </c>
      <c r="BZ68" s="5">
        <f t="shared" si="107"/>
        <v>16.254000000000001</v>
      </c>
      <c r="CA68" s="173">
        <f t="shared" si="108"/>
        <v>0.74718316001024576</v>
      </c>
      <c r="CB68" s="5">
        <f t="shared" si="109"/>
        <v>74.718316001024576</v>
      </c>
      <c r="CC68">
        <f t="shared" si="173"/>
        <v>63</v>
      </c>
      <c r="CE68" s="562">
        <f t="shared" si="164"/>
        <v>-50</v>
      </c>
      <c r="CF68">
        <f t="shared" si="165"/>
        <v>-50</v>
      </c>
      <c r="CG68" s="173">
        <f t="shared" si="166"/>
        <v>0.56074766355140193</v>
      </c>
      <c r="CH68" s="173">
        <f t="shared" si="167"/>
        <v>0.15015627428311995</v>
      </c>
      <c r="CI68" s="170">
        <v>63</v>
      </c>
      <c r="CJ68" s="217">
        <f t="shared" si="133"/>
        <v>3.7800000000000002</v>
      </c>
      <c r="CK68" s="217">
        <f t="shared" si="111"/>
        <v>6.3E-2</v>
      </c>
      <c r="CL68" s="217">
        <f t="shared" si="48"/>
        <v>15.120000000000001</v>
      </c>
      <c r="CM68" s="217">
        <f t="shared" si="134"/>
        <v>1.1339999999999999</v>
      </c>
      <c r="CN68" s="541">
        <f t="shared" si="112"/>
        <v>24</v>
      </c>
      <c r="CO68" s="443">
        <f t="shared" si="168"/>
        <v>18.8</v>
      </c>
      <c r="CP68" s="443">
        <f t="shared" si="169"/>
        <v>42.8</v>
      </c>
      <c r="CQ68" s="443"/>
      <c r="CR68" s="217">
        <f t="shared" si="113"/>
        <v>0.43925233644859818</v>
      </c>
      <c r="CS68" s="172">
        <f t="shared" si="114"/>
        <v>32.688545968267775</v>
      </c>
      <c r="CT68" s="172">
        <f t="shared" si="51"/>
        <v>2.6355140186915893</v>
      </c>
      <c r="CU68" s="217">
        <f t="shared" si="52"/>
        <v>8.1721364920669437</v>
      </c>
      <c r="CV68" s="217">
        <f t="shared" si="53"/>
        <v>1.816030331570432</v>
      </c>
      <c r="CW68" s="443">
        <f t="shared" si="54"/>
        <v>4</v>
      </c>
      <c r="CX68" s="217">
        <f t="shared" si="55"/>
        <v>3.0836489361702126</v>
      </c>
      <c r="CY68" s="217">
        <f t="shared" si="56"/>
        <v>1.5418244680851063</v>
      </c>
      <c r="CZ68" s="217">
        <f t="shared" si="57"/>
        <v>1.9682865550022637</v>
      </c>
      <c r="DA68" s="197">
        <f t="shared" si="58"/>
        <v>350</v>
      </c>
      <c r="DB68" s="443">
        <f t="shared" si="115"/>
        <v>284.89127364422654</v>
      </c>
      <c r="DD68" s="217">
        <f t="shared" si="59"/>
        <v>2.5100133511348464</v>
      </c>
      <c r="DE68" s="173">
        <f t="shared" si="60"/>
        <v>1.6021361815754336</v>
      </c>
      <c r="DF68" s="173">
        <f t="shared" si="61"/>
        <v>2.8149682442633783</v>
      </c>
      <c r="DG68" s="173"/>
      <c r="DH68" s="173">
        <f t="shared" si="62"/>
        <v>0.85106382978723416</v>
      </c>
      <c r="DI68" s="545">
        <f t="shared" si="63"/>
        <v>1665.5624999999998</v>
      </c>
      <c r="DJ68" s="528">
        <f t="shared" si="64"/>
        <v>0.79432624113475192</v>
      </c>
      <c r="DL68" s="173">
        <f t="shared" si="65"/>
        <v>2.7820855486487113</v>
      </c>
      <c r="DM68" s="173">
        <f t="shared" si="66"/>
        <v>3.0836489361702126</v>
      </c>
      <c r="DN68" s="173">
        <f t="shared" si="67"/>
        <v>2.4965300761754659</v>
      </c>
      <c r="DP68" s="545">
        <f t="shared" si="68"/>
        <v>3780.0000000000005</v>
      </c>
      <c r="DQ68" s="460">
        <f t="shared" si="69"/>
        <v>284.89127364422654</v>
      </c>
      <c r="DS68">
        <f t="shared" si="116"/>
        <v>3780.0000000000005</v>
      </c>
      <c r="DT68">
        <f t="shared" si="70"/>
        <v>284.89127364422654</v>
      </c>
      <c r="DV68" s="5">
        <f t="shared" si="117"/>
        <v>3.5101110230873704</v>
      </c>
      <c r="DW68" s="5">
        <f t="shared" si="71"/>
        <v>1.5418244680851063</v>
      </c>
      <c r="DX68" s="5">
        <f t="shared" si="118"/>
        <v>1.9682865550022641</v>
      </c>
      <c r="DY68" s="173">
        <f t="shared" si="119"/>
        <v>0.43925233644859801</v>
      </c>
      <c r="EA68" s="5">
        <f t="shared" si="72"/>
        <v>145.70241223404255</v>
      </c>
      <c r="EB68" s="5">
        <f t="shared" si="73"/>
        <v>0.53963856382978714</v>
      </c>
      <c r="EC68" s="5">
        <f t="shared" si="74"/>
        <v>1.0333504413761885</v>
      </c>
      <c r="ED68" s="5"/>
      <c r="EE68" s="173">
        <f t="shared" si="120"/>
        <v>1.1799438523424961</v>
      </c>
      <c r="EF68" s="173">
        <f t="shared" si="75"/>
        <v>5.3327107690810216</v>
      </c>
      <c r="EG68" s="173">
        <f t="shared" si="76"/>
        <v>0.10160975924870597</v>
      </c>
      <c r="EH68" s="173"/>
      <c r="EI68" s="528">
        <f t="shared" si="77"/>
        <v>1.6985663435106373E-2</v>
      </c>
      <c r="EJ68" s="528">
        <f t="shared" si="78"/>
        <v>0.75199999999999989</v>
      </c>
      <c r="EK68" s="528">
        <f t="shared" si="79"/>
        <v>3.561140920552832E-2</v>
      </c>
      <c r="EL68" s="528">
        <f t="shared" si="80"/>
        <v>5.2187523071243996E-2</v>
      </c>
      <c r="EM68">
        <f t="shared" si="81"/>
        <v>1.0800000000000001E-2</v>
      </c>
      <c r="EN68" s="460">
        <f t="shared" si="121"/>
        <v>46.411409205528315</v>
      </c>
      <c r="EO68">
        <f t="shared" si="82"/>
        <v>0.87570488905427257</v>
      </c>
      <c r="EP68" s="460">
        <f t="shared" si="122"/>
        <v>875.7048890542726</v>
      </c>
      <c r="EQ68" s="173">
        <f t="shared" si="83"/>
        <v>2.348325</v>
      </c>
      <c r="ER68" s="173">
        <f t="shared" si="170"/>
        <v>2.7956249999999998E-2</v>
      </c>
      <c r="ES68" s="528"/>
      <c r="EU68" s="460">
        <f t="shared" si="123"/>
        <v>2376.28125</v>
      </c>
      <c r="EV68" s="528">
        <f t="shared" si="85"/>
        <v>4.1768024840425508E-2</v>
      </c>
      <c r="EW68" s="528">
        <f t="shared" si="124"/>
        <v>0.85313412440018099</v>
      </c>
      <c r="EX68" s="528">
        <f t="shared" si="86"/>
        <v>5.1622715872899942E-5</v>
      </c>
      <c r="EY68" s="528">
        <f t="shared" si="87"/>
        <v>1.1437475956681531</v>
      </c>
      <c r="EZ68" s="528">
        <f t="shared" si="88"/>
        <v>2.4272741234850086</v>
      </c>
      <c r="FA68" s="625">
        <f t="shared" si="89"/>
        <v>6.7724999999999994E-2</v>
      </c>
      <c r="FB68" s="460">
        <f t="shared" si="125"/>
        <v>2494.9991234850086</v>
      </c>
      <c r="FC68" s="173">
        <f t="shared" si="126"/>
        <v>5.7469852625392814</v>
      </c>
      <c r="FD68" s="5">
        <f t="shared" si="127"/>
        <v>16.254000000000001</v>
      </c>
      <c r="FE68" s="173">
        <f t="shared" si="128"/>
        <v>0.73878509557821581</v>
      </c>
      <c r="FF68" s="5">
        <f t="shared" si="129"/>
        <v>73.878509557821587</v>
      </c>
      <c r="FG68">
        <f t="shared" si="130"/>
        <v>63</v>
      </c>
      <c r="FI68" s="562">
        <f t="shared" si="90"/>
        <v>-50</v>
      </c>
      <c r="FJ68">
        <f t="shared" si="91"/>
        <v>-50</v>
      </c>
      <c r="FL68">
        <f t="shared" si="92"/>
        <v>0.56074766355140193</v>
      </c>
    </row>
    <row r="69" spans="5:168">
      <c r="E69" s="170">
        <v>64</v>
      </c>
      <c r="F69" s="217">
        <f t="shared" si="174"/>
        <v>3.84</v>
      </c>
      <c r="G69" s="217">
        <f t="shared" si="171"/>
        <v>6.4000000000000001E-2</v>
      </c>
      <c r="H69" s="217">
        <f t="shared" ref="H69:H105" si="176">F69*Vout</f>
        <v>15.36</v>
      </c>
      <c r="I69" s="217">
        <f t="shared" si="175"/>
        <v>1.1520000000000001</v>
      </c>
      <c r="J69" s="541">
        <f t="shared" ref="J69:J105" si="177">Vin-(F69/CG69/Nps+G69/CH69/(Nps/Nsec1sec2))*(Rdcr_pri+RON/1000)</f>
        <v>23.910054025737466</v>
      </c>
      <c r="K69" s="443">
        <f t="shared" ref="K69:K105" si="178">MAX((S69+Vfwd2+Rdcr_sec*F69/CG69)*Nps,(Vout2+Vfwd22+Rdcr_sec2*G69/CH69)*Nps/Nsec1sec2)</f>
        <v>19.621760000000002</v>
      </c>
      <c r="L69" s="172">
        <f t="shared" ref="L69:L105" si="179">MAX((Vout+Vfwd2+F69/CG69*Rdcr_sec)*Nps+J69, (Vout2+Vfwd22+G69/CH69*Rdcr_sec2)*Nps/Nsec1sec2+J69)</f>
        <v>43.531814025737468</v>
      </c>
      <c r="M69" s="443"/>
      <c r="N69" s="217">
        <f t="shared" ref="N69:N105" si="180">MAX((Vout+Vfwd2+F69/CG69*Rdcr_sec)*Nps/((Vout+Vfwd2+F69/CG69*Rdcr_sec)*Nps+J69), (Vout2+Vfwd22+G69/CH69*Rdcr_sec2)*Nps/Nsec1sec2/((Vout2+Vfwd22+G69/CH69*Rdcr_sec2)*Nps/Nsec1sec2+J69))</f>
        <v>0.45074528684697035</v>
      </c>
      <c r="O69" s="172">
        <f t="shared" si="172"/>
        <v>33.418121427465401</v>
      </c>
      <c r="P69" s="172">
        <f t="shared" ref="P69:P105" si="181">N69*J69*Isw_max*0.5*Efficiency*(Pout2/Pout_total)</f>
        <v>2.6943360400893979</v>
      </c>
      <c r="Q69" s="217">
        <f t="shared" ref="Q69:Q105" si="182">O69/Vout</f>
        <v>8.3545303568663503</v>
      </c>
      <c r="R69" s="217">
        <f t="shared" ref="R69:R105" si="183">O69/Vout2</f>
        <v>1.8565623015258557</v>
      </c>
      <c r="S69" s="443">
        <f t="shared" ref="S69:S105" si="184">MIN(Vout,O69/F69)</f>
        <v>4</v>
      </c>
      <c r="T69" s="217">
        <f t="shared" ref="T69:T105" si="185">MIN(2*(Vout*F69+Vout2*G69)/(Efficiency*J69*N69), Isw_max)</f>
        <v>3.0642057550201001</v>
      </c>
      <c r="U69" s="217">
        <f t="shared" ref="U69:U105" si="186">L*T69/J69*1000000</f>
        <v>1.537866414716605</v>
      </c>
      <c r="V69" s="217">
        <f t="shared" ref="V69:V105" si="187">L*T69/K69*1000000</f>
        <v>1.873963857484813</v>
      </c>
      <c r="W69" s="197">
        <f t="shared" ref="W69:W105" si="188">IF(1/((350000*L)*(1/J69+1/K69))&gt;Isw_min, 350, 0.001/((Isw_min*L)*(1/J69+1/K69)))</f>
        <v>350</v>
      </c>
      <c r="X69" s="443">
        <f t="shared" si="95"/>
        <v>276.86793803588614</v>
      </c>
      <c r="Z69" s="217">
        <f t="shared" ref="Z69:Z105" si="189">1/((W69*1000*L)*(1/J69+1/K69))</f>
        <v>2.566034323894665</v>
      </c>
      <c r="AA69" s="173">
        <f t="shared" ref="AA69:AA105" si="190">L*Z69/K69*1000000</f>
        <v>1.5692991804372278</v>
      </c>
      <c r="AB69" s="173">
        <f t="shared" ref="AB69:AB100" si="191">0.5*AA69*Z69*Nps*W69/1000*(Pout/Pout_total)</f>
        <v>2.8188128930231855</v>
      </c>
      <c r="AC69" s="173"/>
      <c r="AD69" s="173">
        <f t="shared" ref="AD69:AD105" si="192">L*Isw_min/K69*1000000</f>
        <v>0.8154212466160019</v>
      </c>
      <c r="AE69" s="545">
        <f t="shared" ref="AE69:AE100" si="193">MAX(10, F69/(0.5*AD69/1000000*Isw_min*Nps)/1000*Pout_total/Pout)</f>
        <v>1765.9583999999995</v>
      </c>
      <c r="AF69" s="528">
        <f t="shared" ref="AF69:AF105" si="194">0.5*AD69/1000000*Isw_min*Nps*W69*1000*(Pout/Pout_total)</f>
        <v>0.76105983017493517</v>
      </c>
      <c r="AH69" s="173">
        <f t="shared" ref="AH69:AH105" si="195">SQRT((H69+I69)/(0.5*L*Fsw_DCM))</f>
        <v>2.8040786620309253</v>
      </c>
      <c r="AI69" s="173">
        <f t="shared" ref="AI69:AI100" si="196">MAX(IF(F69&gt;AB69,T69,AH69),Isw_min)</f>
        <v>3.0642057550201001</v>
      </c>
      <c r="AJ69" s="173">
        <f t="shared" ref="AJ69:AJ100" si="197">IF(F69&gt;AF69, (AI69-Isw_min)/1.08*0.8+1.2, AE69*0.2/350+1)</f>
        <v>2.4821277197679752</v>
      </c>
      <c r="AL69" s="545">
        <f t="shared" ref="AL69:AL105" si="198">F69*1000</f>
        <v>3840</v>
      </c>
      <c r="AM69" s="460">
        <f t="shared" ref="AM69:AM105" si="199">IF(F69&gt;AF69, X69, AE69)</f>
        <v>276.86793803588614</v>
      </c>
      <c r="AO69">
        <f t="shared" si="96"/>
        <v>3840</v>
      </c>
      <c r="AP69">
        <f t="shared" ref="AP69:AP105" si="200">IF(H69&gt;O69, "",AM69)</f>
        <v>276.86793803588614</v>
      </c>
      <c r="AR69" s="5">
        <f t="shared" si="97"/>
        <v>3.6118302722014182</v>
      </c>
      <c r="AS69" s="5">
        <f t="shared" ref="AS69:AS105" si="201">L*AI69/J69*1000000</f>
        <v>1.537866414716605</v>
      </c>
      <c r="AT69" s="5">
        <f t="shared" si="98"/>
        <v>2.0739638574848129</v>
      </c>
      <c r="AU69" s="173">
        <f t="shared" si="99"/>
        <v>0.42578590321722737</v>
      </c>
      <c r="AW69" s="5">
        <f t="shared" ref="AW69:AW105" si="202">F69*AS69/Vout_ripple*1000</f>
        <v>147.6351758127941</v>
      </c>
      <c r="AX69" s="5">
        <f t="shared" ref="AX69:AX105" si="203">G69*AS69/Vout_ripple2*1000</f>
        <v>0.5467969474547929</v>
      </c>
      <c r="AY69" s="5">
        <f t="shared" ref="AY69:AY105" si="204">H69/Efficiency/J69*AT69/Vinripple1</f>
        <v>1.1102750896016351</v>
      </c>
      <c r="AZ69" s="5"/>
      <c r="BA69" s="173">
        <f t="shared" si="100"/>
        <v>1.1543910100379529</v>
      </c>
      <c r="BB69" s="173">
        <f t="shared" ref="BB69:BB105" si="205">AI69*Npri_sec1*SQRT((1-AU69)/3)*(Pout/Pout_total)</f>
        <v>5.362338344132576</v>
      </c>
      <c r="BC69" s="173">
        <f t="shared" ref="BC69:BC105" si="206">AI69*Npri_sec2*SQRT((1-AU69)/3)*(Pout2/Pout_total)</f>
        <v>0.10217428466522882</v>
      </c>
      <c r="BD69" s="173"/>
      <c r="BE69" s="528">
        <f t="shared" ref="BE69:BE105" si="207">Rdson*BA69^2</f>
        <v>1.6257946969488627E-2</v>
      </c>
      <c r="BF69" s="528">
        <f t="shared" ref="BF69:BF105" si="208">0.5*L69*AI69*AM69*1000*Tfall</f>
        <v>0.6924662758109118</v>
      </c>
      <c r="BG69" s="528">
        <f t="shared" ref="BG69:BG105" si="209">Qg*Vdd*AM69*1000*0+Qg*J69*AM69*1000</f>
        <v>0.16549818391081428</v>
      </c>
      <c r="BH69" s="528">
        <f t="shared" ref="BH69:BH105" si="210">0.5*(Coss+Csw)*L69^2*AM69*1000</f>
        <v>5.2466995665784028E-2</v>
      </c>
      <c r="BI69">
        <f t="shared" ref="BI69:BI105" si="211">J69*IQ</f>
        <v>1.0759524311581859E-2</v>
      </c>
      <c r="BJ69" s="460">
        <f t="shared" si="101"/>
        <v>176.25770822239613</v>
      </c>
      <c r="BK69">
        <f t="shared" ref="BK69:BK105" si="212">(BF69+BG69*0+BH69+BI69*0+BE69*(1+RdsonTC*(Ta-25)))/(1-BE69*RdsonTC*ThetaJA)</f>
        <v>0.76854968563967963</v>
      </c>
      <c r="BL69" s="460">
        <f t="shared" si="102"/>
        <v>768.54968563967964</v>
      </c>
      <c r="BM69" s="173">
        <f t="shared" ref="BM69:BM105" si="213">Vfwd2*F69*(1+Diode_TC/1000*(Ta-25))</f>
        <v>2.3855999999999997</v>
      </c>
      <c r="BN69" s="173">
        <f t="shared" ref="BN69:BN105" si="214">Vfwd22*G69*(1+Diode_TC/1000*(Ta-25))</f>
        <v>2.8399999999999998E-2</v>
      </c>
      <c r="BO69" s="528"/>
      <c r="BQ69" s="460">
        <f t="shared" si="103"/>
        <v>2413.9999999999995</v>
      </c>
      <c r="BR69" s="528">
        <f t="shared" ref="BR69:BR105" si="215">Rdcr_pri*BA69^2</f>
        <v>3.9978558121693347E-2</v>
      </c>
      <c r="BS69" s="528">
        <f t="shared" ref="BS69:BS105" si="216">Rdcr_sec*BB69^2</f>
        <v>0.86264017550863481</v>
      </c>
      <c r="BT69" s="528">
        <f t="shared" ref="BT69:BT105" si="217">Rdcr_sec2*BC69^2</f>
        <v>5.2197922234256073E-5</v>
      </c>
      <c r="BU69" s="528">
        <f t="shared" ref="BU69:BU105" si="218">AI69^2.5*AM69^2.5*k_core</f>
        <v>1.0482056104863025</v>
      </c>
      <c r="BV69" s="528">
        <f t="shared" ref="BV69:BV100" si="219">(BU69+(BR69+BS69+BT69)*(1+Ltc*(Ta-25)))/(1-(BR69+BS69+BT69)*Ltc*ThetaCa)</f>
        <v>2.3362249540592392</v>
      </c>
      <c r="BW69" s="625">
        <f t="shared" ref="BW69:BW105" si="220">0.5*Lleak*0.000000001*AI69^2*AM69*1000</f>
        <v>6.4990297172626207E-2</v>
      </c>
      <c r="BX69" s="460">
        <f t="shared" si="105"/>
        <v>2401.2152512318658</v>
      </c>
      <c r="BY69" s="173">
        <f t="shared" si="106"/>
        <v>5.5837649368715443</v>
      </c>
      <c r="BZ69" s="5">
        <f t="shared" si="107"/>
        <v>16.512</v>
      </c>
      <c r="CA69" s="173">
        <f t="shared" si="108"/>
        <v>0.74729252629069065</v>
      </c>
      <c r="CB69" s="5">
        <f t="shared" si="109"/>
        <v>74.729252629069066</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0.56074766355140182</v>
      </c>
      <c r="CH69" s="173">
        <f t="shared" ref="CH69:CH105" si="224">MIN(SQRT(2*DT69*1000*Ls2_*(CM69+CK69*Vfwd22))/(Vout2+Vfwd22), 1-DY69)</f>
        <v>0.15015627428312001</v>
      </c>
      <c r="CI69" s="170">
        <v>64</v>
      </c>
      <c r="CJ69" s="217">
        <f t="shared" si="133"/>
        <v>3.84</v>
      </c>
      <c r="CK69" s="217">
        <f t="shared" si="111"/>
        <v>6.4000000000000001E-2</v>
      </c>
      <c r="CL69" s="217">
        <f t="shared" ref="CL69:CL105" si="225">CJ69*Vout</f>
        <v>15.36</v>
      </c>
      <c r="CM69" s="217">
        <f t="shared" si="134"/>
        <v>1.1520000000000001</v>
      </c>
      <c r="CN69" s="541">
        <f t="shared" si="112"/>
        <v>24</v>
      </c>
      <c r="CO69" s="443">
        <f t="shared" ref="CO69:CO105" si="226">(CW69+Vfwd2)*Nps</f>
        <v>18.8</v>
      </c>
      <c r="CP69" s="443">
        <f t="shared" ref="CP69:CP105" si="227">(Vout+Vfwd2)*Nps+CN69</f>
        <v>42.8</v>
      </c>
      <c r="CQ69" s="443"/>
      <c r="CR69" s="217">
        <f t="shared" ref="CR69:CR105" si="228">(Vout+Vfwd1)*Nps/((Vout+Vfwd1)*Nps+CN69)</f>
        <v>0.43925233644859818</v>
      </c>
      <c r="CS69" s="172">
        <f t="shared" si="114"/>
        <v>32.688545968267775</v>
      </c>
      <c r="CT69" s="172">
        <f t="shared" ref="CT69:CT105" si="229">CR69*CN69*Isw_max*0.5*Efficiency*(Pout2/Pout_total)</f>
        <v>2.6355140186915893</v>
      </c>
      <c r="CU69" s="217">
        <f t="shared" ref="CU69:CU105" si="230">CS69/Vout</f>
        <v>8.1721364920669437</v>
      </c>
      <c r="CV69" s="217">
        <f t="shared" ref="CV69:CV105" si="231">CS69/Vout2</f>
        <v>1.816030331570432</v>
      </c>
      <c r="CW69" s="443">
        <f t="shared" ref="CW69:CW105" si="232">MIN(Vout,CS69/CJ69)</f>
        <v>4</v>
      </c>
      <c r="CX69" s="217">
        <f t="shared" ref="CX69:CX105" si="233">MIN(2*(Vout*CJ69+Vout2*CK69)/(Efficiency*CN69*CR69), Isw_max)</f>
        <v>3.1325957446808506</v>
      </c>
      <c r="CY69" s="217">
        <f t="shared" ref="CY69:CY105" si="234">L*CX69/CN69*1000000</f>
        <v>1.5662978723404253</v>
      </c>
      <c r="CZ69" s="217">
        <f t="shared" ref="CZ69:CZ105" si="235">L*CX69/CO69*1000000</f>
        <v>1.9995291987324577</v>
      </c>
      <c r="DA69" s="197">
        <f t="shared" ref="DA69:DA105" si="236">IF(1/((350000*L)*(1/CN69+1/CO69))&gt;Isw_min, 350, 0.001/((Isw_min*L)*(1/CN69+1/CO69)))</f>
        <v>350</v>
      </c>
      <c r="DB69" s="443">
        <f t="shared" si="115"/>
        <v>280.43984749353558</v>
      </c>
      <c r="DD69" s="217">
        <f t="shared" ref="DD69:DD105" si="237">1/((DA69*1000*L)*(1/CN69+1/CO69))</f>
        <v>2.5100133511348464</v>
      </c>
      <c r="DE69" s="173">
        <f t="shared" ref="DE69:DE105" si="238">L*DD69/CO69*1000000</f>
        <v>1.6021361815754336</v>
      </c>
      <c r="DF69" s="173">
        <f t="shared" ref="DF69:DF105" si="239">0.5*DE69*DD69*Nps*DA69/1000*(Pout/Pout_total)</f>
        <v>2.8149682442633783</v>
      </c>
      <c r="DG69" s="173"/>
      <c r="DH69" s="173">
        <f t="shared" ref="DH69:DH105" si="240">L*Isw_min/CO69*1000000</f>
        <v>0.85106382978723416</v>
      </c>
      <c r="DI69" s="545">
        <f t="shared" ref="DI69:DI105" si="241">MAX(10, CJ69/(0.5*DH69/1000000*Isw_min*Nps)/1000*Pout_total/Pout)</f>
        <v>1691.9999999999993</v>
      </c>
      <c r="DJ69" s="528">
        <f t="shared" ref="DJ69:DJ105" si="242">0.5*DH69/1000000*Isw_min*Nps*DA69*1000*(Pout/Pout_total)</f>
        <v>0.79432624113475192</v>
      </c>
      <c r="DL69" s="173">
        <f t="shared" ref="DL69:DL105" si="243">SQRT((CL69+CM69)/(0.5*L*Fsw_DCM))</f>
        <v>2.8040786620309253</v>
      </c>
      <c r="DM69" s="173">
        <f t="shared" ref="DM69:DM105" si="244">MAX(IF(CJ69&gt;DF69,CX69,DL69),Isw_min)</f>
        <v>3.1325957446808506</v>
      </c>
      <c r="DN69" s="173">
        <f t="shared" ref="DN69:DN105" si="245">IF(CJ69&gt;DJ69, (DM69-Isw_min)/1.08*0.8+1.2, DI69*0.2/350+1)</f>
        <v>2.5327869713685311</v>
      </c>
      <c r="DP69" s="545">
        <f t="shared" ref="DP69:DP105" si="246">CJ69*1000</f>
        <v>3840</v>
      </c>
      <c r="DQ69" s="460">
        <f t="shared" ref="DQ69:DQ105" si="247">IF(CJ69&gt;DJ69, DB69, DI69)</f>
        <v>280.43984749353558</v>
      </c>
      <c r="DS69">
        <f t="shared" si="116"/>
        <v>3840</v>
      </c>
      <c r="DT69">
        <f t="shared" ref="DT69:DT90" si="248">IF(CL69&gt;CS69, "",DQ69)</f>
        <v>280.43984749353558</v>
      </c>
      <c r="DV69" s="5">
        <f t="shared" si="117"/>
        <v>3.5658270710728828</v>
      </c>
      <c r="DW69" s="5">
        <f t="shared" ref="DW69:DW105" si="249">L*DM69/CN69*1000000</f>
        <v>1.5662978723404253</v>
      </c>
      <c r="DX69" s="5">
        <f t="shared" si="118"/>
        <v>1.9995291987324575</v>
      </c>
      <c r="DY69" s="173">
        <f t="shared" si="119"/>
        <v>0.43925233644859818</v>
      </c>
      <c r="EA69" s="5">
        <f t="shared" ref="EA69:EA105" si="250">CJ69*DW69/Vout_ripple*1000</f>
        <v>150.3645957446808</v>
      </c>
      <c r="EB69" s="5">
        <f t="shared" ref="EB69:EB105" si="251">CK69*DW69/Vout_ripple2*1000</f>
        <v>0.55690591016548452</v>
      </c>
      <c r="EC69" s="5">
        <f t="shared" ref="EC69:EC105" si="252">CL69/Efficiency/CN69*DX69/Vinripple1</f>
        <v>1.0664155726573106</v>
      </c>
      <c r="ED69" s="5"/>
      <c r="EE69" s="173">
        <f t="shared" si="120"/>
        <v>1.1986731198399962</v>
      </c>
      <c r="EF69" s="173">
        <f t="shared" ref="EF69:EF105" si="253">DM69*Npri_sec1*SQRT((1-DY69)/3)*(Pout/Pout_total)</f>
        <v>5.4173569717648462</v>
      </c>
      <c r="EG69" s="173">
        <f t="shared" ref="EG69:EG105" si="254">DM69*Npri_sec2*SQRT((1-DY69)/3)*(Pout2/Pout_total)</f>
        <v>0.10322261257011396</v>
      </c>
      <c r="EH69" s="173"/>
      <c r="EI69" s="528">
        <f t="shared" ref="EI69:EI105" si="255">Rdson*EE69^2</f>
        <v>1.7529170428368789E-2</v>
      </c>
      <c r="EJ69" s="528">
        <f t="shared" ref="EJ69:EJ105" si="256">0.5*CP69*DM69*DQ69*1000*Trise</f>
        <v>0.752</v>
      </c>
      <c r="EK69" s="528">
        <f t="shared" ref="EK69:EK105" si="257">Qg*Vdd*DQ69*1000</f>
        <v>3.5054980936691946E-2</v>
      </c>
      <c r="EL69" s="528">
        <f t="shared" ref="EL69:EL105" si="258">0.5*(Coss+Csw)*CP69^2*DQ69*1000</f>
        <v>5.1372093023255815E-2</v>
      </c>
      <c r="EM69">
        <f t="shared" ref="EM69:EM105" si="259">CN69*IQ</f>
        <v>1.0800000000000001E-2</v>
      </c>
      <c r="EN69" s="460">
        <f t="shared" si="121"/>
        <v>45.854980936691952</v>
      </c>
      <c r="EO69">
        <f t="shared" ref="EO69:EO105" si="260">(EJ69+EK69+EL69+EM69+EI69*(1+RdsonTC*(Ta-25)))/(1-EI69*RdsonTC*ThetaJA)</f>
        <v>0.87513399300765116</v>
      </c>
      <c r="EP69" s="460">
        <f t="shared" si="122"/>
        <v>875.13399300765116</v>
      </c>
      <c r="EQ69" s="173">
        <f t="shared" ref="EQ69:EQ105" si="261">Vfwd2*CJ69*(1+Diode_TC/1000*(Ta-25))</f>
        <v>2.3855999999999997</v>
      </c>
      <c r="ER69" s="173">
        <f t="shared" ref="ER69:ER105" si="262">Vfwd22*CK69*(1+Diode_TC/1000*(Ta-25))</f>
        <v>2.8399999999999998E-2</v>
      </c>
      <c r="ES69" s="528"/>
      <c r="EU69" s="460">
        <f t="shared" si="123"/>
        <v>2413.9999999999995</v>
      </c>
      <c r="EV69" s="528">
        <f t="shared" ref="EV69:EV105" si="263">Rdcr_pri*EE69^2</f>
        <v>4.3104517446808502E-2</v>
      </c>
      <c r="EW69" s="528">
        <f t="shared" si="124"/>
        <v>0.88043269678587555</v>
      </c>
      <c r="EX69" s="528">
        <f t="shared" ref="EX69:EX105" si="264">Rdcr_sec2*EG69^2</f>
        <v>5.3274538728999248E-5</v>
      </c>
      <c r="EY69" s="528">
        <f t="shared" ref="EY69:EY105" si="265">DM69^2.5*DQ69^2.5*k_core</f>
        <v>1.1437475956681529</v>
      </c>
      <c r="EZ69" s="528">
        <f t="shared" ref="EZ69:EZ105" si="266">(EY69+(EV69+EW69+EX69)*(1+Ltc*(Ta-25)))/(1-(EV69+EW69+EX69)*Ltc*ThetaCa)</f>
        <v>2.4716210578120958</v>
      </c>
      <c r="FA69" s="625">
        <f t="shared" ref="FA69:FA105" si="267">0.5*Lleak*0.000000001*DM69^2*DQ69*1000</f>
        <v>6.8799999999999986E-2</v>
      </c>
      <c r="FB69" s="460">
        <f t="shared" si="125"/>
        <v>2540.421057812096</v>
      </c>
      <c r="FC69" s="173">
        <f t="shared" si="126"/>
        <v>5.8295550508197467</v>
      </c>
      <c r="FD69" s="5">
        <f t="shared" si="127"/>
        <v>16.512</v>
      </c>
      <c r="FE69" s="173">
        <f t="shared" si="128"/>
        <v>0.7390712044188773</v>
      </c>
      <c r="FF69" s="5">
        <f t="shared" si="129"/>
        <v>73.907120441887727</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0.56074766355140182</v>
      </c>
    </row>
    <row r="70" spans="5:168">
      <c r="E70" s="170">
        <v>65</v>
      </c>
      <c r="F70" s="217">
        <f t="shared" si="174"/>
        <v>3.9000000000000004</v>
      </c>
      <c r="G70" s="217">
        <f t="shared" ref="G70:G105" si="271">IF(PLOT_TYPE=1, E70/100*Iout2, min_I*EXP(Q70*rr/100))</f>
        <v>6.5000000000000002E-2</v>
      </c>
      <c r="H70" s="217">
        <f t="shared" si="176"/>
        <v>15.600000000000001</v>
      </c>
      <c r="I70" s="217">
        <f t="shared" si="175"/>
        <v>1.17</v>
      </c>
      <c r="J70" s="541">
        <f t="shared" si="177"/>
        <v>23.908648619889615</v>
      </c>
      <c r="K70" s="443">
        <f t="shared" si="178"/>
        <v>19.634600000000002</v>
      </c>
      <c r="L70" s="172">
        <f t="shared" si="179"/>
        <v>43.543248619889617</v>
      </c>
      <c r="M70" s="443"/>
      <c r="N70" s="217">
        <f t="shared" si="180"/>
        <v>0.45092179895441564</v>
      </c>
      <c r="O70" s="172">
        <f t="shared" ref="O70:O101" si="272">N70*J70*Isw_max*0.5*Efficiency*Pout/(Pout+Pout2)</f>
        <v>33.429242934107386</v>
      </c>
      <c r="P70" s="172">
        <f t="shared" si="181"/>
        <v>2.695232711562408</v>
      </c>
      <c r="Q70" s="217">
        <f t="shared" si="182"/>
        <v>8.3573107335268464</v>
      </c>
      <c r="R70" s="217">
        <f t="shared" si="183"/>
        <v>1.8571801630059659</v>
      </c>
      <c r="S70" s="443">
        <f t="shared" si="184"/>
        <v>4</v>
      </c>
      <c r="T70" s="217">
        <f t="shared" si="185"/>
        <v>3.1110486170744323</v>
      </c>
      <c r="U70" s="217">
        <f t="shared" si="186"/>
        <v>1.5614677348947359</v>
      </c>
      <c r="V70" s="217">
        <f t="shared" si="187"/>
        <v>1.9013671480393379</v>
      </c>
      <c r="W70" s="197">
        <f t="shared" si="188"/>
        <v>350</v>
      </c>
      <c r="X70" s="443">
        <f t="shared" ref="X70:X105" si="273">MIN(1/(U70+V70+0.2)*1000, 350)</f>
        <v>273.01257958943563</v>
      </c>
      <c r="Z70" s="217">
        <f t="shared" si="189"/>
        <v>2.5668882967261029</v>
      </c>
      <c r="AA70" s="173">
        <f t="shared" si="190"/>
        <v>1.5687948601302413</v>
      </c>
      <c r="AB70" s="173">
        <f t="shared" si="191"/>
        <v>2.8188448165026658</v>
      </c>
      <c r="AC70" s="173"/>
      <c r="AD70" s="173">
        <f t="shared" si="192"/>
        <v>0.81488800382997362</v>
      </c>
      <c r="AE70" s="545">
        <f t="shared" si="193"/>
        <v>1794.7251562499998</v>
      </c>
      <c r="AF70" s="528">
        <f t="shared" si="194"/>
        <v>0.76056213690797536</v>
      </c>
      <c r="AH70" s="173">
        <f t="shared" si="195"/>
        <v>2.8259006149746821</v>
      </c>
      <c r="AI70" s="173">
        <f t="shared" si="196"/>
        <v>3.1110486170744323</v>
      </c>
      <c r="AJ70" s="173">
        <f t="shared" si="197"/>
        <v>2.5168261361045179</v>
      </c>
      <c r="AL70" s="545">
        <f t="shared" si="198"/>
        <v>3900.0000000000005</v>
      </c>
      <c r="AM70" s="460">
        <f t="shared" si="199"/>
        <v>273.01257958943563</v>
      </c>
      <c r="AO70">
        <f t="shared" ref="AO70:AO105" si="274">IF(H70&gt;O70, "",AL70)</f>
        <v>3900.0000000000005</v>
      </c>
      <c r="AP70">
        <f t="shared" si="200"/>
        <v>273.01257958943563</v>
      </c>
      <c r="AR70" s="5">
        <f t="shared" ref="AR70:AR133" si="275">1/AM70*1000</f>
        <v>3.6628348829340736</v>
      </c>
      <c r="AS70" s="5">
        <f t="shared" si="201"/>
        <v>1.5614677348947359</v>
      </c>
      <c r="AT70" s="5">
        <f t="shared" ref="AT70:AT105" si="276">AR70-AS70</f>
        <v>2.1013671480393379</v>
      </c>
      <c r="AU70" s="173">
        <f t="shared" ref="AU70:AU105" si="277">AS70/AR70</f>
        <v>0.42630033424928493</v>
      </c>
      <c r="AW70" s="5">
        <f t="shared" si="202"/>
        <v>152.24310415223678</v>
      </c>
      <c r="AX70" s="5">
        <f t="shared" si="203"/>
        <v>0.56386334871198807</v>
      </c>
      <c r="AY70" s="5">
        <f t="shared" si="204"/>
        <v>1.1425895858365547</v>
      </c>
      <c r="AZ70" s="5"/>
      <c r="BA70" s="173">
        <f t="shared" ref="BA70:BA105" si="278">AI70*SQRT(AU70/3)</f>
        <v>1.172746126574352</v>
      </c>
      <c r="BB70" s="173">
        <f t="shared" si="205"/>
        <v>5.4418737290828059</v>
      </c>
      <c r="BC70" s="173">
        <f t="shared" si="206"/>
        <v>0.10368975618928049</v>
      </c>
      <c r="BD70" s="173"/>
      <c r="BE70" s="528">
        <f t="shared" si="207"/>
        <v>1.6779068424220781E-2</v>
      </c>
      <c r="BF70" s="528">
        <f t="shared" si="208"/>
        <v>0.69344425696574241</v>
      </c>
      <c r="BG70" s="528">
        <f t="shared" si="209"/>
        <v>0.16318404585533658</v>
      </c>
      <c r="BH70" s="528">
        <f t="shared" si="210"/>
        <v>5.1763580968594944E-2</v>
      </c>
      <c r="BI70">
        <f t="shared" si="211"/>
        <v>1.0758891878950327E-2</v>
      </c>
      <c r="BJ70" s="460">
        <f t="shared" ref="BJ70:BJ105" si="279">(BG70+BI70)*1000</f>
        <v>173.94293773428691</v>
      </c>
      <c r="BK70">
        <f t="shared" si="212"/>
        <v>0.76958536593505855</v>
      </c>
      <c r="BL70" s="460">
        <f t="shared" ref="BL70:BL105" si="280">BK70*1000</f>
        <v>769.58536593505858</v>
      </c>
      <c r="BM70" s="173">
        <f t="shared" si="213"/>
        <v>2.4228749999999999</v>
      </c>
      <c r="BN70" s="173">
        <f t="shared" si="214"/>
        <v>2.8843749999999998E-2</v>
      </c>
      <c r="BO70" s="528"/>
      <c r="BQ70" s="460">
        <f t="shared" ref="BQ70:BQ105" si="281">SUM(BM70:BP70)*1000</f>
        <v>2451.71875</v>
      </c>
      <c r="BR70" s="528">
        <f t="shared" si="215"/>
        <v>4.1260004321854379E-2</v>
      </c>
      <c r="BS70" s="528">
        <f t="shared" si="216"/>
        <v>0.88841969049844804</v>
      </c>
      <c r="BT70" s="528">
        <f t="shared" si="217"/>
        <v>5.3757827692962156E-5</v>
      </c>
      <c r="BU70" s="528">
        <f t="shared" si="218"/>
        <v>1.0512200738207744</v>
      </c>
      <c r="BV70" s="528">
        <f t="shared" si="219"/>
        <v>2.3812000636328481</v>
      </c>
      <c r="BW70" s="625">
        <f t="shared" si="220"/>
        <v>6.6059649200237658E-2</v>
      </c>
      <c r="BX70" s="460">
        <f t="shared" ref="BX70:BX105" si="282">(BV70+BW70)*1000</f>
        <v>2447.2597128330858</v>
      </c>
      <c r="BY70" s="173">
        <f t="shared" ref="BY70:BY104" si="283">SUM(BK70,BM70:BP70,BV70:BW70)</f>
        <v>5.6685638287681446</v>
      </c>
      <c r="BZ70" s="5">
        <f t="shared" ref="BZ70:BZ105" si="284">MIN(H70+I70,O70+P70)</f>
        <v>16.770000000000003</v>
      </c>
      <c r="CA70" s="173">
        <f t="shared" ref="CA70:CA105" si="285">BZ70/(BZ70+BY70)</f>
        <v>0.74737403552091142</v>
      </c>
      <c r="CB70" s="5">
        <f t="shared" ref="CB70:CB105" si="286">CA70*100</f>
        <v>74.737403552091138</v>
      </c>
      <c r="CC70">
        <f t="shared" ref="CC70:CC105" si="287">F70/Iout*100</f>
        <v>65</v>
      </c>
      <c r="CE70" s="562">
        <f t="shared" si="221"/>
        <v>-50</v>
      </c>
      <c r="CF70">
        <f t="shared" si="222"/>
        <v>-50</v>
      </c>
      <c r="CG70" s="173">
        <f t="shared" si="223"/>
        <v>0.56074766355140182</v>
      </c>
      <c r="CH70" s="173">
        <f t="shared" si="224"/>
        <v>0.15015627428311998</v>
      </c>
      <c r="CI70" s="170">
        <v>65</v>
      </c>
      <c r="CJ70" s="217">
        <f t="shared" si="133"/>
        <v>3.9000000000000004</v>
      </c>
      <c r="CK70" s="217">
        <f t="shared" ref="CK70:CK105" si="288">IF(PLOT_TYPE=1, CI70/100*Iout2, min_I*EXP(CU70*rr/100))</f>
        <v>6.5000000000000002E-2</v>
      </c>
      <c r="CL70" s="217">
        <f t="shared" si="225"/>
        <v>15.600000000000001</v>
      </c>
      <c r="CM70" s="217">
        <f t="shared" si="134"/>
        <v>1.17</v>
      </c>
      <c r="CN70" s="541">
        <f t="shared" ref="CN70:CN105" si="289">Vin</f>
        <v>24</v>
      </c>
      <c r="CO70" s="443">
        <f t="shared" si="226"/>
        <v>18.8</v>
      </c>
      <c r="CP70" s="443">
        <f t="shared" si="227"/>
        <v>42.8</v>
      </c>
      <c r="CQ70" s="443"/>
      <c r="CR70" s="217">
        <f t="shared" si="228"/>
        <v>0.43925233644859818</v>
      </c>
      <c r="CS70" s="172">
        <f t="shared" ref="CS70:CS105" si="290">CR70*CN70*Isw_max*0.5*Efficiency*Pout/(Pout+Pout2)</f>
        <v>32.688545968267775</v>
      </c>
      <c r="CT70" s="172">
        <f t="shared" si="229"/>
        <v>2.6355140186915893</v>
      </c>
      <c r="CU70" s="217">
        <f t="shared" si="230"/>
        <v>8.1721364920669437</v>
      </c>
      <c r="CV70" s="217">
        <f t="shared" si="231"/>
        <v>1.816030331570432</v>
      </c>
      <c r="CW70" s="443">
        <f t="shared" si="232"/>
        <v>4</v>
      </c>
      <c r="CX70" s="217">
        <f t="shared" si="233"/>
        <v>3.1815425531914894</v>
      </c>
      <c r="CY70" s="217">
        <f t="shared" si="234"/>
        <v>1.5907712765957449</v>
      </c>
      <c r="CZ70" s="217">
        <f t="shared" si="235"/>
        <v>2.0307718424626526</v>
      </c>
      <c r="DA70" s="197">
        <f t="shared" si="236"/>
        <v>350</v>
      </c>
      <c r="DB70" s="443">
        <f t="shared" ref="DB70:DB105" si="291">MIN(1/(CY70+CZ70)*1000, 350)</f>
        <v>276.12538830132729</v>
      </c>
      <c r="DD70" s="217">
        <f t="shared" si="237"/>
        <v>2.5100133511348464</v>
      </c>
      <c r="DE70" s="173">
        <f t="shared" si="238"/>
        <v>1.6021361815754336</v>
      </c>
      <c r="DF70" s="173">
        <f t="shared" si="239"/>
        <v>2.8149682442633783</v>
      </c>
      <c r="DG70" s="173"/>
      <c r="DH70" s="173">
        <f t="shared" si="240"/>
        <v>0.85106382978723416</v>
      </c>
      <c r="DI70" s="545">
        <f t="shared" si="241"/>
        <v>1718.4374999999998</v>
      </c>
      <c r="DJ70" s="528">
        <f t="shared" si="242"/>
        <v>0.79432624113475192</v>
      </c>
      <c r="DL70" s="173">
        <f t="shared" si="243"/>
        <v>2.8259006149746821</v>
      </c>
      <c r="DM70" s="173">
        <f t="shared" si="244"/>
        <v>3.1815425531914894</v>
      </c>
      <c r="DN70" s="173">
        <f t="shared" si="245"/>
        <v>2.5690438665615969</v>
      </c>
      <c r="DP70" s="545">
        <f t="shared" si="246"/>
        <v>3900.0000000000005</v>
      </c>
      <c r="DQ70" s="460">
        <f t="shared" si="247"/>
        <v>276.12538830132729</v>
      </c>
      <c r="DS70">
        <f t="shared" ref="DS70:DS90" si="292">IF(CL70&gt;CS70, "",DP70)</f>
        <v>3900.0000000000005</v>
      </c>
      <c r="DT70">
        <f t="shared" si="248"/>
        <v>276.12538830132729</v>
      </c>
      <c r="DV70" s="5">
        <f t="shared" ref="DV70:DV105" si="293">1/DQ70*1000</f>
        <v>3.6215431190583978</v>
      </c>
      <c r="DW70" s="5">
        <f t="shared" si="249"/>
        <v>1.5907712765957449</v>
      </c>
      <c r="DX70" s="5">
        <f t="shared" ref="DX70:DX105" si="294">DV70-DW70</f>
        <v>2.0307718424626531</v>
      </c>
      <c r="DY70" s="173">
        <f t="shared" ref="DY70:DY105" si="295">DW70/DV70</f>
        <v>0.43925233644859818</v>
      </c>
      <c r="EA70" s="5">
        <f t="shared" si="250"/>
        <v>155.10019946808515</v>
      </c>
      <c r="EB70" s="5">
        <f t="shared" si="251"/>
        <v>0.57444518321513016</v>
      </c>
      <c r="EC70" s="5">
        <f t="shared" si="252"/>
        <v>1.1000014146672703</v>
      </c>
      <c r="ED70" s="5"/>
      <c r="EE70" s="173">
        <f t="shared" ref="EE70:EE105" si="296">DM70*SQRT(DY70/3)</f>
        <v>1.2174023873374964</v>
      </c>
      <c r="EF70" s="173">
        <f t="shared" si="253"/>
        <v>5.5020031744486726</v>
      </c>
      <c r="EG70" s="173">
        <f t="shared" si="254"/>
        <v>0.10483546589152203</v>
      </c>
      <c r="EH70" s="173"/>
      <c r="EI70" s="528">
        <f t="shared" si="255"/>
        <v>1.8081236586879431E-2</v>
      </c>
      <c r="EJ70" s="528">
        <f t="shared" si="256"/>
        <v>0.752</v>
      </c>
      <c r="EK70" s="528">
        <f t="shared" si="257"/>
        <v>3.4515673537665909E-2</v>
      </c>
      <c r="EL70" s="528">
        <f t="shared" si="258"/>
        <v>5.058175313059033E-2</v>
      </c>
      <c r="EM70">
        <f t="shared" si="259"/>
        <v>1.0800000000000001E-2</v>
      </c>
      <c r="EN70" s="460">
        <f t="shared" ref="EN70:EN105" si="297">(EK70+EM70)*1000</f>
        <v>45.315673537665916</v>
      </c>
      <c r="EO70">
        <f t="shared" si="260"/>
        <v>0.87461804530374232</v>
      </c>
      <c r="EP70" s="460">
        <f t="shared" ref="EP70:EP105" si="298">EO70*1000</f>
        <v>874.61804530374229</v>
      </c>
      <c r="EQ70" s="173">
        <f t="shared" si="261"/>
        <v>2.4228749999999999</v>
      </c>
      <c r="ER70" s="173">
        <f t="shared" si="262"/>
        <v>2.8843749999999998E-2</v>
      </c>
      <c r="ES70" s="528"/>
      <c r="EU70" s="460">
        <f t="shared" ref="EU70:EU105" si="299">SUM(EQ70:ET70)*1000</f>
        <v>2451.71875</v>
      </c>
      <c r="EV70" s="528">
        <f t="shared" si="263"/>
        <v>4.4462057180851063E-2</v>
      </c>
      <c r="EW70" s="528">
        <f t="shared" ref="EW70:EW105" si="300">Rdcr_sec*EF70^2</f>
        <v>0.90816116794929802</v>
      </c>
      <c r="EX70" s="528">
        <f t="shared" si="264"/>
        <v>5.4952374543462385E-5</v>
      </c>
      <c r="EY70" s="528">
        <f t="shared" si="265"/>
        <v>1.1437475956681544</v>
      </c>
      <c r="EZ70" s="528">
        <f t="shared" si="266"/>
        <v>2.5168915480086831</v>
      </c>
      <c r="FA70" s="625">
        <f t="shared" si="267"/>
        <v>6.987500000000002E-2</v>
      </c>
      <c r="FB70" s="460">
        <f t="shared" ref="FB70:FB105" si="301">(EZ70+FA70)*1000</f>
        <v>2586.766548008683</v>
      </c>
      <c r="FC70" s="173">
        <f t="shared" ref="FC70:FC105" si="302">SUM(EO70,EQ70:ET70,EZ70:FA70)</f>
        <v>5.9131033433124252</v>
      </c>
      <c r="FD70" s="5">
        <f t="shared" ref="FD70:FD105" si="303">MIN(CL70+CM70,CS70+CT70)</f>
        <v>16.770000000000003</v>
      </c>
      <c r="FE70" s="173">
        <f t="shared" ref="FE70:FE105" si="304">FD70/(FD70+FC70)</f>
        <v>0.73931682742803517</v>
      </c>
      <c r="FF70" s="5">
        <f t="shared" ref="FF70:FF105" si="305">FE70*100</f>
        <v>73.931682742803517</v>
      </c>
      <c r="FG70">
        <f t="shared" ref="FG70:FG105" si="306">CJ70/Iout*100</f>
        <v>65</v>
      </c>
      <c r="FI70" s="562">
        <f t="shared" si="268"/>
        <v>-50</v>
      </c>
      <c r="FJ70">
        <f t="shared" si="269"/>
        <v>-50</v>
      </c>
      <c r="FL70">
        <f t="shared" si="270"/>
        <v>0.56074766355140182</v>
      </c>
    </row>
    <row r="71" spans="5:168">
      <c r="E71" s="170">
        <v>66</v>
      </c>
      <c r="F71" s="217">
        <f t="shared" si="174"/>
        <v>3.96</v>
      </c>
      <c r="G71" s="217">
        <f t="shared" si="271"/>
        <v>6.6000000000000003E-2</v>
      </c>
      <c r="H71" s="217">
        <f t="shared" si="176"/>
        <v>15.84</v>
      </c>
      <c r="I71" s="217">
        <f t="shared" si="175"/>
        <v>1.1880000000000002</v>
      </c>
      <c r="J71" s="541">
        <f t="shared" si="177"/>
        <v>23.90724321404176</v>
      </c>
      <c r="K71" s="443">
        <f t="shared" si="178"/>
        <v>19.64744</v>
      </c>
      <c r="L71" s="172">
        <f t="shared" si="179"/>
        <v>43.554683214041759</v>
      </c>
      <c r="M71" s="443"/>
      <c r="N71" s="217">
        <f t="shared" si="180"/>
        <v>0.45109821838092917</v>
      </c>
      <c r="O71" s="172">
        <f t="shared" si="272"/>
        <v>33.440356031794721</v>
      </c>
      <c r="P71" s="172">
        <f t="shared" si="181"/>
        <v>2.6961287050634493</v>
      </c>
      <c r="Q71" s="217">
        <f t="shared" si="182"/>
        <v>8.3600890079486803</v>
      </c>
      <c r="R71" s="217">
        <f t="shared" si="183"/>
        <v>1.857797557321929</v>
      </c>
      <c r="S71" s="443">
        <f t="shared" si="184"/>
        <v>4</v>
      </c>
      <c r="T71" s="217">
        <f t="shared" si="185"/>
        <v>3.15786111546171</v>
      </c>
      <c r="U71" s="217">
        <f t="shared" si="186"/>
        <v>1.5850565891797819</v>
      </c>
      <c r="V71" s="217">
        <f t="shared" si="187"/>
        <v>1.9287160762695048</v>
      </c>
      <c r="W71" s="197">
        <f t="shared" si="188"/>
        <v>350</v>
      </c>
      <c r="X71" s="443">
        <f t="shared" si="273"/>
        <v>269.2679628194262</v>
      </c>
      <c r="Z71" s="217">
        <f t="shared" si="189"/>
        <v>2.5677416238699515</v>
      </c>
      <c r="AA71" s="173">
        <f t="shared" si="190"/>
        <v>1.568290804625917</v>
      </c>
      <c r="AB71" s="173">
        <f t="shared" si="191"/>
        <v>2.8188759041593254</v>
      </c>
      <c r="AC71" s="173"/>
      <c r="AD71" s="173">
        <f t="shared" si="192"/>
        <v>0.81435545801386866</v>
      </c>
      <c r="AE71" s="545">
        <f t="shared" si="193"/>
        <v>1823.5280249999994</v>
      </c>
      <c r="AF71" s="528">
        <f t="shared" si="194"/>
        <v>0.76006509414627743</v>
      </c>
      <c r="AH71" s="173">
        <f t="shared" si="195"/>
        <v>2.8475553424949314</v>
      </c>
      <c r="AI71" s="173">
        <f t="shared" si="196"/>
        <v>3.15786111546171</v>
      </c>
      <c r="AJ71" s="173">
        <f t="shared" si="197"/>
        <v>2.5515020608358343</v>
      </c>
      <c r="AL71" s="545">
        <f t="shared" si="198"/>
        <v>3960</v>
      </c>
      <c r="AM71" s="460">
        <f t="shared" si="199"/>
        <v>269.2679628194262</v>
      </c>
      <c r="AO71">
        <f t="shared" si="274"/>
        <v>3960</v>
      </c>
      <c r="AP71">
        <f t="shared" si="200"/>
        <v>269.2679628194262</v>
      </c>
      <c r="AR71" s="5">
        <f t="shared" si="275"/>
        <v>3.7137726654492869</v>
      </c>
      <c r="AS71" s="5">
        <f t="shared" si="201"/>
        <v>1.5850565891797819</v>
      </c>
      <c r="AT71" s="5">
        <f t="shared" si="276"/>
        <v>2.1287160762695052</v>
      </c>
      <c r="AU71" s="173">
        <f t="shared" si="277"/>
        <v>0.42680495872194807</v>
      </c>
      <c r="AW71" s="5">
        <f t="shared" si="202"/>
        <v>156.9206023287984</v>
      </c>
      <c r="AX71" s="5">
        <f t="shared" si="203"/>
        <v>0.58118741603258672</v>
      </c>
      <c r="AY71" s="5">
        <f t="shared" si="204"/>
        <v>1.1753363595788273</v>
      </c>
      <c r="AZ71" s="5"/>
      <c r="BA71" s="173">
        <f t="shared" si="278"/>
        <v>1.1910969881474309</v>
      </c>
      <c r="BB71" s="173">
        <f t="shared" si="205"/>
        <v>5.5213286898588381</v>
      </c>
      <c r="BC71" s="173">
        <f t="shared" si="206"/>
        <v>0.10520369530676975</v>
      </c>
      <c r="BD71" s="173"/>
      <c r="BE71" s="528">
        <f t="shared" si="207"/>
        <v>1.7308286829121347E-2</v>
      </c>
      <c r="BF71" s="528">
        <f t="shared" si="208"/>
        <v>0.69440660267183418</v>
      </c>
      <c r="BG71" s="528">
        <f t="shared" si="209"/>
        <v>0.16093636692183941</v>
      </c>
      <c r="BH71" s="528">
        <f t="shared" si="210"/>
        <v>5.1080413389978825E-2</v>
      </c>
      <c r="BI71">
        <f t="shared" si="211"/>
        <v>1.0758259446318792E-2</v>
      </c>
      <c r="BJ71" s="460">
        <f t="shared" si="279"/>
        <v>171.6946263681582</v>
      </c>
      <c r="BK71">
        <f t="shared" si="212"/>
        <v>0.7706377487358782</v>
      </c>
      <c r="BL71" s="460">
        <f t="shared" si="280"/>
        <v>770.63774873587818</v>
      </c>
      <c r="BM71" s="173">
        <f t="shared" si="213"/>
        <v>2.4601499999999996</v>
      </c>
      <c r="BN71" s="173">
        <f t="shared" si="214"/>
        <v>2.9287500000000001E-2</v>
      </c>
      <c r="BO71" s="528"/>
      <c r="BQ71" s="460">
        <f t="shared" si="281"/>
        <v>2489.4374999999995</v>
      </c>
      <c r="BR71" s="528">
        <f t="shared" si="215"/>
        <v>4.2561361055216435E-2</v>
      </c>
      <c r="BS71" s="528">
        <f t="shared" si="216"/>
        <v>0.91455211504374934</v>
      </c>
      <c r="BT71" s="528">
        <f t="shared" si="217"/>
        <v>5.5339087530998237E-5</v>
      </c>
      <c r="BU71" s="528">
        <f t="shared" si="218"/>
        <v>1.0541788042968587</v>
      </c>
      <c r="BV71" s="528">
        <f t="shared" si="219"/>
        <v>2.4269047377178672</v>
      </c>
      <c r="BW71" s="625">
        <f t="shared" si="220"/>
        <v>6.7129087607592342E-2</v>
      </c>
      <c r="BX71" s="460">
        <f t="shared" si="282"/>
        <v>2494.0338253254595</v>
      </c>
      <c r="BY71" s="173">
        <f t="shared" si="283"/>
        <v>5.7541090740613381</v>
      </c>
      <c r="BZ71" s="5">
        <f t="shared" si="284"/>
        <v>17.027999999999999</v>
      </c>
      <c r="CA71" s="173">
        <f t="shared" si="285"/>
        <v>0.74742860481636864</v>
      </c>
      <c r="CB71" s="5">
        <f t="shared" si="286"/>
        <v>74.742860481636868</v>
      </c>
      <c r="CC71">
        <f t="shared" si="287"/>
        <v>66</v>
      </c>
      <c r="CE71" s="562">
        <f t="shared" si="221"/>
        <v>-50</v>
      </c>
      <c r="CF71">
        <f t="shared" si="222"/>
        <v>-50</v>
      </c>
      <c r="CG71" s="173">
        <f t="shared" si="223"/>
        <v>0.56074766355140193</v>
      </c>
      <c r="CH71" s="173">
        <f t="shared" si="224"/>
        <v>0.15015627428312001</v>
      </c>
      <c r="CI71" s="170">
        <v>66</v>
      </c>
      <c r="CJ71" s="217">
        <f t="shared" si="133"/>
        <v>3.96</v>
      </c>
      <c r="CK71" s="217">
        <f t="shared" si="288"/>
        <v>6.6000000000000003E-2</v>
      </c>
      <c r="CL71" s="217">
        <f t="shared" si="225"/>
        <v>15.84</v>
      </c>
      <c r="CM71" s="217">
        <f t="shared" si="134"/>
        <v>1.1880000000000002</v>
      </c>
      <c r="CN71" s="541">
        <f t="shared" si="289"/>
        <v>24</v>
      </c>
      <c r="CO71" s="443">
        <f t="shared" si="226"/>
        <v>18.8</v>
      </c>
      <c r="CP71" s="443">
        <f t="shared" si="227"/>
        <v>42.8</v>
      </c>
      <c r="CQ71" s="443"/>
      <c r="CR71" s="217">
        <f t="shared" si="228"/>
        <v>0.43925233644859818</v>
      </c>
      <c r="CS71" s="172">
        <f t="shared" si="290"/>
        <v>32.688545968267775</v>
      </c>
      <c r="CT71" s="172">
        <f t="shared" si="229"/>
        <v>2.6355140186915893</v>
      </c>
      <c r="CU71" s="217">
        <f t="shared" si="230"/>
        <v>8.1721364920669437</v>
      </c>
      <c r="CV71" s="217">
        <f t="shared" si="231"/>
        <v>1.816030331570432</v>
      </c>
      <c r="CW71" s="443">
        <f t="shared" si="232"/>
        <v>4</v>
      </c>
      <c r="CX71" s="217">
        <f t="shared" si="233"/>
        <v>3.2304893617021269</v>
      </c>
      <c r="CY71" s="217">
        <f t="shared" si="234"/>
        <v>1.6152446808510634</v>
      </c>
      <c r="CZ71" s="217">
        <f t="shared" si="235"/>
        <v>2.0620144861928469</v>
      </c>
      <c r="DA71" s="197">
        <f t="shared" si="236"/>
        <v>350</v>
      </c>
      <c r="DB71" s="443">
        <f t="shared" si="291"/>
        <v>271.9416702967618</v>
      </c>
      <c r="DD71" s="217">
        <f t="shared" si="237"/>
        <v>2.5100133511348464</v>
      </c>
      <c r="DE71" s="173">
        <f t="shared" si="238"/>
        <v>1.6021361815754336</v>
      </c>
      <c r="DF71" s="173">
        <f t="shared" si="239"/>
        <v>2.8149682442633783</v>
      </c>
      <c r="DG71" s="173"/>
      <c r="DH71" s="173">
        <f t="shared" si="240"/>
        <v>0.85106382978723416</v>
      </c>
      <c r="DI71" s="545">
        <f t="shared" si="241"/>
        <v>1744.8749999999993</v>
      </c>
      <c r="DJ71" s="528">
        <f t="shared" si="242"/>
        <v>0.79432624113475192</v>
      </c>
      <c r="DL71" s="173">
        <f t="shared" si="243"/>
        <v>2.8475553424949314</v>
      </c>
      <c r="DM71" s="173">
        <f t="shared" si="244"/>
        <v>3.2304893617021269</v>
      </c>
      <c r="DN71" s="173">
        <f t="shared" si="245"/>
        <v>2.6053007617546617</v>
      </c>
      <c r="DP71" s="545">
        <f t="shared" si="246"/>
        <v>3960</v>
      </c>
      <c r="DQ71" s="460">
        <f t="shared" si="247"/>
        <v>271.9416702967618</v>
      </c>
      <c r="DS71">
        <f t="shared" si="292"/>
        <v>3960</v>
      </c>
      <c r="DT71">
        <f t="shared" si="248"/>
        <v>271.9416702967618</v>
      </c>
      <c r="DV71" s="5">
        <f t="shared" si="293"/>
        <v>3.6772591670439105</v>
      </c>
      <c r="DW71" s="5">
        <f t="shared" si="249"/>
        <v>1.6152446808510634</v>
      </c>
      <c r="DX71" s="5">
        <f t="shared" si="294"/>
        <v>2.0620144861928473</v>
      </c>
      <c r="DY71" s="173">
        <f t="shared" si="295"/>
        <v>0.43925233644859812</v>
      </c>
      <c r="EA71" s="5">
        <f t="shared" si="250"/>
        <v>159.90922340425527</v>
      </c>
      <c r="EB71" s="5">
        <f t="shared" si="251"/>
        <v>0.59225638297872329</v>
      </c>
      <c r="EC71" s="5">
        <f t="shared" si="252"/>
        <v>1.1341079674060659</v>
      </c>
      <c r="ED71" s="5"/>
      <c r="EE71" s="173">
        <f t="shared" si="296"/>
        <v>1.2361316548349959</v>
      </c>
      <c r="EF71" s="173">
        <f t="shared" si="253"/>
        <v>5.5866493771324981</v>
      </c>
      <c r="EG71" s="173">
        <f t="shared" si="254"/>
        <v>0.10644831921293003</v>
      </c>
      <c r="EH71" s="173"/>
      <c r="EI71" s="528">
        <f t="shared" si="255"/>
        <v>1.8641861910638286E-2</v>
      </c>
      <c r="EJ71" s="528">
        <f t="shared" si="256"/>
        <v>0.75199999999999989</v>
      </c>
      <c r="EK71" s="528">
        <f t="shared" si="257"/>
        <v>3.3992708787095219E-2</v>
      </c>
      <c r="EL71" s="528">
        <f t="shared" si="258"/>
        <v>4.9815362931642009E-2</v>
      </c>
      <c r="EM71">
        <f t="shared" si="259"/>
        <v>1.0800000000000001E-2</v>
      </c>
      <c r="EN71" s="460">
        <f t="shared" si="297"/>
        <v>44.792708787095222</v>
      </c>
      <c r="EO71">
        <f t="shared" si="260"/>
        <v>0.87415513728062799</v>
      </c>
      <c r="EP71" s="460">
        <f t="shared" si="298"/>
        <v>874.15513728062797</v>
      </c>
      <c r="EQ71" s="173">
        <f t="shared" si="261"/>
        <v>2.4601499999999996</v>
      </c>
      <c r="ER71" s="173">
        <f t="shared" si="262"/>
        <v>2.9287500000000001E-2</v>
      </c>
      <c r="ES71" s="528"/>
      <c r="EU71" s="460">
        <f t="shared" si="299"/>
        <v>2489.4374999999995</v>
      </c>
      <c r="EV71" s="528">
        <f t="shared" si="263"/>
        <v>4.5840644042553162E-2</v>
      </c>
      <c r="EW71" s="528">
        <f t="shared" si="300"/>
        <v>0.93631953789044775</v>
      </c>
      <c r="EX71" s="528">
        <f t="shared" si="264"/>
        <v>5.6656223316289242E-5</v>
      </c>
      <c r="EY71" s="528">
        <f t="shared" si="265"/>
        <v>1.1437475956681524</v>
      </c>
      <c r="EZ71" s="528">
        <f t="shared" si="266"/>
        <v>2.5630979088991013</v>
      </c>
      <c r="FA71" s="625">
        <f t="shared" si="267"/>
        <v>7.0949999999999985E-2</v>
      </c>
      <c r="FB71" s="460">
        <f t="shared" si="301"/>
        <v>2634.047908899101</v>
      </c>
      <c r="FC71" s="173">
        <f t="shared" si="302"/>
        <v>5.9976405461797286</v>
      </c>
      <c r="FD71" s="5">
        <f t="shared" si="303"/>
        <v>17.027999999999999</v>
      </c>
      <c r="FE71" s="173">
        <f t="shared" si="304"/>
        <v>0.73952340069971167</v>
      </c>
      <c r="FF71" s="5">
        <f t="shared" si="305"/>
        <v>73.952340069971171</v>
      </c>
      <c r="FG71">
        <f t="shared" si="306"/>
        <v>66</v>
      </c>
      <c r="FI71" s="562">
        <f t="shared" si="268"/>
        <v>-50</v>
      </c>
      <c r="FJ71">
        <f t="shared" si="269"/>
        <v>-50</v>
      </c>
      <c r="FL71">
        <f t="shared" si="270"/>
        <v>0.56074766355140193</v>
      </c>
    </row>
    <row r="72" spans="5:168">
      <c r="E72" s="170">
        <v>67</v>
      </c>
      <c r="F72" s="217">
        <f t="shared" ref="F72:F103" si="307">IF(PLOT_TYPE=1, E72/100*Iout_max, min_I*EXP(O72*rr/100))</f>
        <v>4.0200000000000005</v>
      </c>
      <c r="G72" s="217">
        <f t="shared" si="271"/>
        <v>6.7000000000000004E-2</v>
      </c>
      <c r="H72" s="217">
        <f t="shared" si="176"/>
        <v>16.080000000000002</v>
      </c>
      <c r="I72" s="217">
        <f t="shared" ref="I72:I105" si="308">Vout2*G72</f>
        <v>1.206</v>
      </c>
      <c r="J72" s="541">
        <f t="shared" si="177"/>
        <v>23.905837808193908</v>
      </c>
      <c r="K72" s="443">
        <f t="shared" si="178"/>
        <v>19.66028</v>
      </c>
      <c r="L72" s="172">
        <f t="shared" si="179"/>
        <v>43.566117808193908</v>
      </c>
      <c r="M72" s="443"/>
      <c r="N72" s="217">
        <f t="shared" si="180"/>
        <v>0.45127454519948751</v>
      </c>
      <c r="O72" s="172">
        <f t="shared" si="272"/>
        <v>33.451460727148586</v>
      </c>
      <c r="P72" s="172">
        <f t="shared" si="181"/>
        <v>2.6970240211263548</v>
      </c>
      <c r="Q72" s="217">
        <f t="shared" si="182"/>
        <v>8.3628651817871464</v>
      </c>
      <c r="R72" s="217">
        <f t="shared" si="183"/>
        <v>1.858414484841588</v>
      </c>
      <c r="S72" s="443">
        <f t="shared" si="184"/>
        <v>4</v>
      </c>
      <c r="T72" s="217">
        <f t="shared" si="185"/>
        <v>3.2046433151123495</v>
      </c>
      <c r="U72" s="217">
        <f t="shared" si="186"/>
        <v>1.6086330079662468</v>
      </c>
      <c r="V72" s="217">
        <f t="shared" si="187"/>
        <v>1.9560107883177755</v>
      </c>
      <c r="W72" s="197">
        <f t="shared" si="188"/>
        <v>350</v>
      </c>
      <c r="X72" s="443">
        <f t="shared" si="273"/>
        <v>265.62938065669664</v>
      </c>
      <c r="Z72" s="217">
        <f t="shared" si="189"/>
        <v>2.568594305834623</v>
      </c>
      <c r="AA72" s="173">
        <f t="shared" si="190"/>
        <v>1.5677870137157497</v>
      </c>
      <c r="AB72" s="173">
        <f t="shared" si="191"/>
        <v>2.8189061573342196</v>
      </c>
      <c r="AC72" s="173"/>
      <c r="AD72" s="173">
        <f t="shared" si="192"/>
        <v>0.81382360780212715</v>
      </c>
      <c r="AE72" s="545">
        <f t="shared" si="193"/>
        <v>1852.3670062499996</v>
      </c>
      <c r="AF72" s="528">
        <f t="shared" si="194"/>
        <v>0.75956870061531878</v>
      </c>
      <c r="AH72" s="173">
        <f t="shared" si="195"/>
        <v>2.869046631100403</v>
      </c>
      <c r="AI72" s="173">
        <f t="shared" si="196"/>
        <v>3.2046433151123495</v>
      </c>
      <c r="AJ72" s="173">
        <f t="shared" si="197"/>
        <v>2.5861555420585303</v>
      </c>
      <c r="AL72" s="545">
        <f t="shared" si="198"/>
        <v>4020.0000000000005</v>
      </c>
      <c r="AM72" s="460">
        <f t="shared" si="199"/>
        <v>265.62938065669664</v>
      </c>
      <c r="AO72">
        <f t="shared" si="274"/>
        <v>4020.0000000000005</v>
      </c>
      <c r="AP72">
        <f t="shared" si="200"/>
        <v>265.62938065669664</v>
      </c>
      <c r="AR72" s="5">
        <f t="shared" si="275"/>
        <v>3.7646437962840222</v>
      </c>
      <c r="AS72" s="5">
        <f t="shared" si="201"/>
        <v>1.6086330079662468</v>
      </c>
      <c r="AT72" s="5">
        <f t="shared" si="276"/>
        <v>2.1560107883177757</v>
      </c>
      <c r="AU72" s="173">
        <f t="shared" si="277"/>
        <v>0.42730018960999305</v>
      </c>
      <c r="AW72" s="5">
        <f t="shared" si="202"/>
        <v>161.66761730060782</v>
      </c>
      <c r="AX72" s="5">
        <f t="shared" si="203"/>
        <v>0.59876895296521415</v>
      </c>
      <c r="AY72" s="5">
        <f t="shared" si="204"/>
        <v>1.2085142045745723</v>
      </c>
      <c r="AZ72" s="5"/>
      <c r="BA72" s="173">
        <f t="shared" si="278"/>
        <v>1.2094435809767343</v>
      </c>
      <c r="BB72" s="173">
        <f t="shared" si="205"/>
        <v>5.6007035036189468</v>
      </c>
      <c r="BC72" s="173">
        <f t="shared" si="206"/>
        <v>0.10671610729868534</v>
      </c>
      <c r="BD72" s="173"/>
      <c r="BE72" s="528">
        <f t="shared" si="207"/>
        <v>1.7845596061903082E-2</v>
      </c>
      <c r="BF72" s="528">
        <f t="shared" si="208"/>
        <v>0.69535397514185859</v>
      </c>
      <c r="BG72" s="528">
        <f t="shared" si="209"/>
        <v>0.15875232227674974</v>
      </c>
      <c r="BH72" s="528">
        <f t="shared" si="210"/>
        <v>5.0416632318598151E-2</v>
      </c>
      <c r="BI72">
        <f t="shared" si="211"/>
        <v>1.0757627013687258E-2</v>
      </c>
      <c r="BJ72" s="460">
        <f t="shared" si="279"/>
        <v>169.50994929043699</v>
      </c>
      <c r="BK72">
        <f t="shared" si="212"/>
        <v>0.77170663829005637</v>
      </c>
      <c r="BL72" s="460">
        <f t="shared" si="280"/>
        <v>771.70663829005639</v>
      </c>
      <c r="BM72" s="173">
        <f t="shared" si="213"/>
        <v>2.4974249999999998</v>
      </c>
      <c r="BN72" s="173">
        <f t="shared" si="214"/>
        <v>2.9731250000000001E-2</v>
      </c>
      <c r="BO72" s="528"/>
      <c r="BQ72" s="460">
        <f t="shared" si="281"/>
        <v>2527.15625</v>
      </c>
      <c r="BR72" s="528">
        <f t="shared" si="215"/>
        <v>4.388261326697479E-2</v>
      </c>
      <c r="BS72" s="528">
        <f t="shared" si="216"/>
        <v>0.94103639206348633</v>
      </c>
      <c r="BT72" s="528">
        <f t="shared" si="217"/>
        <v>5.6941637784922615E-5</v>
      </c>
      <c r="BU72" s="528">
        <f t="shared" si="218"/>
        <v>1.0570840615503538</v>
      </c>
      <c r="BV72" s="528">
        <f t="shared" si="219"/>
        <v>2.4733494099726738</v>
      </c>
      <c r="BW72" s="625">
        <f t="shared" si="220"/>
        <v>6.8198608771640301E-2</v>
      </c>
      <c r="BX72" s="460">
        <f t="shared" si="282"/>
        <v>2541.548018744314</v>
      </c>
      <c r="BY72" s="173">
        <f t="shared" si="283"/>
        <v>5.8404109070343697</v>
      </c>
      <c r="BZ72" s="5">
        <f t="shared" si="284"/>
        <v>17.286000000000001</v>
      </c>
      <c r="CA72" s="173">
        <f t="shared" si="285"/>
        <v>0.74745709870363464</v>
      </c>
      <c r="CB72" s="5">
        <f t="shared" si="286"/>
        <v>74.74570987036347</v>
      </c>
      <c r="CC72">
        <f t="shared" si="287"/>
        <v>67</v>
      </c>
      <c r="CE72" s="562">
        <f t="shared" si="221"/>
        <v>-50</v>
      </c>
      <c r="CF72">
        <f t="shared" si="222"/>
        <v>-50</v>
      </c>
      <c r="CG72" s="173">
        <f t="shared" si="223"/>
        <v>0.56074766355140193</v>
      </c>
      <c r="CH72" s="173">
        <f t="shared" si="224"/>
        <v>0.15015627428311998</v>
      </c>
      <c r="CI72" s="170">
        <v>67</v>
      </c>
      <c r="CJ72" s="217">
        <f t="shared" ref="CJ72:CJ105" si="309">IF(PLOT_TYPE=1, CI72/100*Iout_max, min_I*EXP(CS72*rr/100))</f>
        <v>4.0200000000000005</v>
      </c>
      <c r="CK72" s="217">
        <f t="shared" si="288"/>
        <v>6.7000000000000004E-2</v>
      </c>
      <c r="CL72" s="217">
        <f t="shared" si="225"/>
        <v>16.080000000000002</v>
      </c>
      <c r="CM72" s="217">
        <f t="shared" ref="CM72:CM105" si="310">Vout2*CK72</f>
        <v>1.206</v>
      </c>
      <c r="CN72" s="541">
        <f t="shared" si="289"/>
        <v>24</v>
      </c>
      <c r="CO72" s="443">
        <f t="shared" si="226"/>
        <v>18.8</v>
      </c>
      <c r="CP72" s="443">
        <f t="shared" si="227"/>
        <v>42.8</v>
      </c>
      <c r="CQ72" s="443"/>
      <c r="CR72" s="217">
        <f t="shared" si="228"/>
        <v>0.43925233644859818</v>
      </c>
      <c r="CS72" s="172">
        <f t="shared" si="290"/>
        <v>32.688545968267775</v>
      </c>
      <c r="CT72" s="172">
        <f t="shared" si="229"/>
        <v>2.6355140186915893</v>
      </c>
      <c r="CU72" s="217">
        <f t="shared" si="230"/>
        <v>8.1721364920669437</v>
      </c>
      <c r="CV72" s="217">
        <f t="shared" si="231"/>
        <v>1.816030331570432</v>
      </c>
      <c r="CW72" s="443">
        <f t="shared" si="232"/>
        <v>4</v>
      </c>
      <c r="CX72" s="217">
        <f t="shared" si="233"/>
        <v>3.2794361702127657</v>
      </c>
      <c r="CY72" s="217">
        <f t="shared" si="234"/>
        <v>1.6397180851063828</v>
      </c>
      <c r="CZ72" s="217">
        <f t="shared" si="235"/>
        <v>2.093257129923042</v>
      </c>
      <c r="DA72" s="197">
        <f t="shared" si="236"/>
        <v>350</v>
      </c>
      <c r="DB72" s="443">
        <f t="shared" si="291"/>
        <v>267.88283939681008</v>
      </c>
      <c r="DD72" s="217">
        <f t="shared" si="237"/>
        <v>2.5100133511348464</v>
      </c>
      <c r="DE72" s="173">
        <f t="shared" si="238"/>
        <v>1.6021361815754336</v>
      </c>
      <c r="DF72" s="173">
        <f t="shared" si="239"/>
        <v>2.8149682442633783</v>
      </c>
      <c r="DG72" s="173"/>
      <c r="DH72" s="173">
        <f t="shared" si="240"/>
        <v>0.85106382978723416</v>
      </c>
      <c r="DI72" s="545">
        <f t="shared" si="241"/>
        <v>1771.3124999999998</v>
      </c>
      <c r="DJ72" s="528">
        <f t="shared" si="242"/>
        <v>0.79432624113475192</v>
      </c>
      <c r="DL72" s="173">
        <f t="shared" si="243"/>
        <v>2.869046631100403</v>
      </c>
      <c r="DM72" s="173">
        <f t="shared" si="244"/>
        <v>3.2794361702127657</v>
      </c>
      <c r="DN72" s="173">
        <f t="shared" si="245"/>
        <v>2.6415576569477275</v>
      </c>
      <c r="DP72" s="545">
        <f t="shared" si="246"/>
        <v>4020.0000000000005</v>
      </c>
      <c r="DQ72" s="460">
        <f t="shared" si="247"/>
        <v>267.88283939681008</v>
      </c>
      <c r="DS72">
        <f t="shared" si="292"/>
        <v>4020.0000000000005</v>
      </c>
      <c r="DT72">
        <f t="shared" si="248"/>
        <v>267.88283939681008</v>
      </c>
      <c r="DV72" s="5">
        <f t="shared" si="293"/>
        <v>3.7329752150294246</v>
      </c>
      <c r="DW72" s="5">
        <f t="shared" si="249"/>
        <v>1.6397180851063828</v>
      </c>
      <c r="DX72" s="5">
        <f t="shared" si="294"/>
        <v>2.0932571299230416</v>
      </c>
      <c r="DY72" s="173">
        <f t="shared" si="295"/>
        <v>0.43925233644859812</v>
      </c>
      <c r="EA72" s="5">
        <f t="shared" si="250"/>
        <v>164.7916675531915</v>
      </c>
      <c r="EB72" s="5">
        <f t="shared" si="251"/>
        <v>0.61033950945626481</v>
      </c>
      <c r="EC72" s="5">
        <f t="shared" si="252"/>
        <v>1.1687352308736982</v>
      </c>
      <c r="ED72" s="5"/>
      <c r="EE72" s="173">
        <f t="shared" si="296"/>
        <v>1.254860922332496</v>
      </c>
      <c r="EF72" s="173">
        <f t="shared" si="253"/>
        <v>5.6712955798163245</v>
      </c>
      <c r="EG72" s="173">
        <f t="shared" si="254"/>
        <v>0.1080611725343381</v>
      </c>
      <c r="EH72" s="173"/>
      <c r="EI72" s="528">
        <f t="shared" si="255"/>
        <v>1.9211046399645382E-2</v>
      </c>
      <c r="EJ72" s="528">
        <f t="shared" si="256"/>
        <v>0.752</v>
      </c>
      <c r="EK72" s="528">
        <f t="shared" si="257"/>
        <v>3.3485354924601259E-2</v>
      </c>
      <c r="EL72" s="528">
        <f t="shared" si="258"/>
        <v>4.9071850052065255E-2</v>
      </c>
      <c r="EM72">
        <f t="shared" si="259"/>
        <v>1.0800000000000001E-2</v>
      </c>
      <c r="EN72" s="460">
        <f t="shared" si="297"/>
        <v>44.285354924601258</v>
      </c>
      <c r="EO72">
        <f t="shared" si="260"/>
        <v>0.87374347498620508</v>
      </c>
      <c r="EP72" s="460">
        <f t="shared" si="298"/>
        <v>873.74347498620511</v>
      </c>
      <c r="EQ72" s="173">
        <f t="shared" si="261"/>
        <v>2.4974249999999998</v>
      </c>
      <c r="ER72" s="173">
        <f t="shared" si="262"/>
        <v>2.9731250000000001E-2</v>
      </c>
      <c r="ES72" s="528"/>
      <c r="EU72" s="460">
        <f t="shared" si="299"/>
        <v>2527.15625</v>
      </c>
      <c r="EV72" s="528">
        <f t="shared" si="263"/>
        <v>4.7240278031914877E-2</v>
      </c>
      <c r="EW72" s="528">
        <f t="shared" si="300"/>
        <v>0.96490780660932551</v>
      </c>
      <c r="EX72" s="528">
        <f t="shared" si="264"/>
        <v>5.8386085047479936E-5</v>
      </c>
      <c r="EY72" s="528">
        <f t="shared" si="265"/>
        <v>1.1437475956681544</v>
      </c>
      <c r="EZ72" s="528">
        <f t="shared" si="266"/>
        <v>2.6102528014363764</v>
      </c>
      <c r="FA72" s="625">
        <f t="shared" si="267"/>
        <v>7.2024999999999992E-2</v>
      </c>
      <c r="FB72" s="460">
        <f t="shared" si="301"/>
        <v>2682.2778014363762</v>
      </c>
      <c r="FC72" s="173">
        <f t="shared" si="302"/>
        <v>6.0831775264225811</v>
      </c>
      <c r="FD72" s="5">
        <f t="shared" si="303"/>
        <v>17.286000000000001</v>
      </c>
      <c r="FE72" s="173">
        <f t="shared" si="304"/>
        <v>0.73969227117451697</v>
      </c>
      <c r="FF72" s="5">
        <f t="shared" si="305"/>
        <v>73.969227117451695</v>
      </c>
      <c r="FG72">
        <f t="shared" si="306"/>
        <v>67</v>
      </c>
      <c r="FI72" s="562">
        <f t="shared" si="268"/>
        <v>-50</v>
      </c>
      <c r="FJ72">
        <f t="shared" si="269"/>
        <v>-50</v>
      </c>
      <c r="FL72">
        <f t="shared" si="270"/>
        <v>0.56074766355140193</v>
      </c>
    </row>
    <row r="73" spans="5:168">
      <c r="E73" s="170">
        <v>68</v>
      </c>
      <c r="F73" s="217">
        <f t="shared" si="307"/>
        <v>4.08</v>
      </c>
      <c r="G73" s="217">
        <f t="shared" si="271"/>
        <v>6.8000000000000005E-2</v>
      </c>
      <c r="H73" s="217">
        <f t="shared" si="176"/>
        <v>16.32</v>
      </c>
      <c r="I73" s="217">
        <f t="shared" si="308"/>
        <v>1.2240000000000002</v>
      </c>
      <c r="J73" s="541">
        <f t="shared" si="177"/>
        <v>23.904432402346057</v>
      </c>
      <c r="K73" s="443">
        <f t="shared" si="178"/>
        <v>19.673120000000001</v>
      </c>
      <c r="L73" s="172">
        <f t="shared" si="179"/>
        <v>43.577552402346058</v>
      </c>
      <c r="M73" s="443"/>
      <c r="N73" s="217">
        <f t="shared" si="180"/>
        <v>0.45145077948299067</v>
      </c>
      <c r="O73" s="172">
        <f t="shared" si="272"/>
        <v>33.462557026783216</v>
      </c>
      <c r="P73" s="172">
        <f t="shared" si="181"/>
        <v>2.6979186602843965</v>
      </c>
      <c r="Q73" s="217">
        <f t="shared" si="182"/>
        <v>8.365639256695804</v>
      </c>
      <c r="R73" s="217">
        <f t="shared" si="183"/>
        <v>1.8590309459324008</v>
      </c>
      <c r="S73" s="443">
        <f t="shared" si="184"/>
        <v>4</v>
      </c>
      <c r="T73" s="217">
        <f t="shared" si="185"/>
        <v>3.2513952807885302</v>
      </c>
      <c r="U73" s="217">
        <f t="shared" si="186"/>
        <v>1.6321970215713273</v>
      </c>
      <c r="V73" s="217">
        <f t="shared" si="187"/>
        <v>1.9832514298424633</v>
      </c>
      <c r="W73" s="197">
        <f t="shared" si="188"/>
        <v>350</v>
      </c>
      <c r="X73" s="443">
        <f t="shared" si="273"/>
        <v>262.09238906882786</v>
      </c>
      <c r="Z73" s="217">
        <f t="shared" si="189"/>
        <v>2.5694463431279968</v>
      </c>
      <c r="AA73" s="173">
        <f t="shared" si="190"/>
        <v>1.5672834871914549</v>
      </c>
      <c r="AB73" s="173">
        <f t="shared" si="191"/>
        <v>2.8189355773662852</v>
      </c>
      <c r="AC73" s="173"/>
      <c r="AD73" s="173">
        <f t="shared" si="192"/>
        <v>0.81329245183275467</v>
      </c>
      <c r="AE73" s="545">
        <f t="shared" si="193"/>
        <v>1881.2420999999995</v>
      </c>
      <c r="AF73" s="528">
        <f t="shared" si="194"/>
        <v>0.75907295504390448</v>
      </c>
      <c r="AH73" s="173">
        <f t="shared" si="195"/>
        <v>2.8903781265235375</v>
      </c>
      <c r="AI73" s="173">
        <f t="shared" si="196"/>
        <v>3.2513952807885302</v>
      </c>
      <c r="AJ73" s="173">
        <f t="shared" si="197"/>
        <v>2.6207866277445904</v>
      </c>
      <c r="AL73" s="545">
        <f t="shared" si="198"/>
        <v>4080</v>
      </c>
      <c r="AM73" s="460">
        <f t="shared" si="199"/>
        <v>262.09238906882786</v>
      </c>
      <c r="AO73">
        <f t="shared" si="274"/>
        <v>4080</v>
      </c>
      <c r="AP73">
        <f t="shared" si="200"/>
        <v>262.09238906882786</v>
      </c>
      <c r="AR73" s="5">
        <f t="shared" si="275"/>
        <v>3.8154484514137907</v>
      </c>
      <c r="AS73" s="5">
        <f t="shared" si="201"/>
        <v>1.6321970215713273</v>
      </c>
      <c r="AT73" s="5">
        <f t="shared" si="276"/>
        <v>2.1832514298424632</v>
      </c>
      <c r="AU73" s="173">
        <f t="shared" si="277"/>
        <v>0.42778641681465435</v>
      </c>
      <c r="AW73" s="5">
        <f t="shared" si="202"/>
        <v>166.48409620027539</v>
      </c>
      <c r="AX73" s="5">
        <f t="shared" si="203"/>
        <v>0.6166077637047237</v>
      </c>
      <c r="AY73" s="5">
        <f t="shared" si="204"/>
        <v>1.2421219189016763</v>
      </c>
      <c r="AZ73" s="5"/>
      <c r="BA73" s="173">
        <f t="shared" si="278"/>
        <v>1.2277858926432508</v>
      </c>
      <c r="BB73" s="173">
        <f t="shared" si="205"/>
        <v>5.6799984400995855</v>
      </c>
      <c r="BC73" s="173">
        <f t="shared" si="206"/>
        <v>0.10822699730460021</v>
      </c>
      <c r="BD73" s="173"/>
      <c r="BE73" s="528">
        <f t="shared" si="207"/>
        <v>1.8390990017720165E-2</v>
      </c>
      <c r="BF73" s="528">
        <f t="shared" si="208"/>
        <v>0.69628699958324025</v>
      </c>
      <c r="BG73" s="528">
        <f t="shared" si="209"/>
        <v>0.15662924494162944</v>
      </c>
      <c r="BH73" s="528">
        <f t="shared" si="210"/>
        <v>4.9771425235100551E-2</v>
      </c>
      <c r="BI73">
        <f t="shared" si="211"/>
        <v>1.0756994581055725E-2</v>
      </c>
      <c r="BJ73" s="460">
        <f t="shared" si="279"/>
        <v>167.38623952268517</v>
      </c>
      <c r="BK73">
        <f t="shared" si="212"/>
        <v>0.77279185009175866</v>
      </c>
      <c r="BL73" s="460">
        <f t="shared" si="280"/>
        <v>772.79185009175865</v>
      </c>
      <c r="BM73" s="173">
        <f t="shared" si="213"/>
        <v>2.5347</v>
      </c>
      <c r="BN73" s="173">
        <f t="shared" si="214"/>
        <v>3.0175E-2</v>
      </c>
      <c r="BO73" s="528"/>
      <c r="BQ73" s="460">
        <f t="shared" si="281"/>
        <v>2564.875</v>
      </c>
      <c r="BR73" s="528">
        <f t="shared" si="215"/>
        <v>4.5223745945213521E-2</v>
      </c>
      <c r="BS73" s="528">
        <f t="shared" si="216"/>
        <v>0.96787146838601168</v>
      </c>
      <c r="BT73" s="528">
        <f t="shared" si="217"/>
        <v>5.8565414727849711E-5</v>
      </c>
      <c r="BU73" s="528">
        <f t="shared" si="218"/>
        <v>1.0599379842766383</v>
      </c>
      <c r="BV73" s="528">
        <f t="shared" si="219"/>
        <v>2.520544615498467</v>
      </c>
      <c r="BW73" s="625">
        <f t="shared" si="220"/>
        <v>6.9268209271813735E-2</v>
      </c>
      <c r="BX73" s="460">
        <f t="shared" si="282"/>
        <v>2589.8128247702807</v>
      </c>
      <c r="BY73" s="173">
        <f t="shared" si="283"/>
        <v>5.9274796748620382</v>
      </c>
      <c r="BZ73" s="5">
        <f t="shared" si="284"/>
        <v>17.544</v>
      </c>
      <c r="CA73" s="173">
        <f t="shared" si="285"/>
        <v>0.74746033241311283</v>
      </c>
      <c r="CB73" s="5">
        <f t="shared" si="286"/>
        <v>74.746033241311281</v>
      </c>
      <c r="CC73">
        <f t="shared" si="287"/>
        <v>68</v>
      </c>
      <c r="CE73" s="562">
        <f t="shared" si="221"/>
        <v>-50</v>
      </c>
      <c r="CF73">
        <f t="shared" si="222"/>
        <v>-50</v>
      </c>
      <c r="CG73" s="173">
        <f t="shared" si="223"/>
        <v>0.56074766355140193</v>
      </c>
      <c r="CH73" s="173">
        <f t="shared" si="224"/>
        <v>0.15015627428312001</v>
      </c>
      <c r="CI73" s="170">
        <v>68</v>
      </c>
      <c r="CJ73" s="217">
        <f t="shared" si="309"/>
        <v>4.08</v>
      </c>
      <c r="CK73" s="217">
        <f t="shared" si="288"/>
        <v>6.8000000000000005E-2</v>
      </c>
      <c r="CL73" s="217">
        <f t="shared" si="225"/>
        <v>16.32</v>
      </c>
      <c r="CM73" s="217">
        <f t="shared" si="310"/>
        <v>1.2240000000000002</v>
      </c>
      <c r="CN73" s="541">
        <f t="shared" si="289"/>
        <v>24</v>
      </c>
      <c r="CO73" s="443">
        <f t="shared" si="226"/>
        <v>18.8</v>
      </c>
      <c r="CP73" s="443">
        <f t="shared" si="227"/>
        <v>42.8</v>
      </c>
      <c r="CQ73" s="443"/>
      <c r="CR73" s="217">
        <f t="shared" si="228"/>
        <v>0.43925233644859818</v>
      </c>
      <c r="CS73" s="172">
        <f t="shared" si="290"/>
        <v>32.688545968267775</v>
      </c>
      <c r="CT73" s="172">
        <f t="shared" si="229"/>
        <v>2.6355140186915893</v>
      </c>
      <c r="CU73" s="217">
        <f t="shared" si="230"/>
        <v>8.1721364920669437</v>
      </c>
      <c r="CV73" s="217">
        <f t="shared" si="231"/>
        <v>1.816030331570432</v>
      </c>
      <c r="CW73" s="443">
        <f t="shared" si="232"/>
        <v>4</v>
      </c>
      <c r="CX73" s="217">
        <f t="shared" si="233"/>
        <v>3.3283829787234036</v>
      </c>
      <c r="CY73" s="217">
        <f t="shared" si="234"/>
        <v>1.6641914893617018</v>
      </c>
      <c r="CZ73" s="217">
        <f t="shared" si="235"/>
        <v>2.1244997736532363</v>
      </c>
      <c r="DA73" s="197">
        <f t="shared" si="236"/>
        <v>350</v>
      </c>
      <c r="DB73" s="443">
        <f t="shared" si="291"/>
        <v>263.94338587626879</v>
      </c>
      <c r="DD73" s="217">
        <f t="shared" si="237"/>
        <v>2.5100133511348464</v>
      </c>
      <c r="DE73" s="173">
        <f t="shared" si="238"/>
        <v>1.6021361815754336</v>
      </c>
      <c r="DF73" s="173">
        <f t="shared" si="239"/>
        <v>2.8149682442633783</v>
      </c>
      <c r="DG73" s="173"/>
      <c r="DH73" s="173">
        <f t="shared" si="240"/>
        <v>0.85106382978723416</v>
      </c>
      <c r="DI73" s="545">
        <f t="shared" si="241"/>
        <v>1797.7499999999993</v>
      </c>
      <c r="DJ73" s="528">
        <f t="shared" si="242"/>
        <v>0.79432624113475192</v>
      </c>
      <c r="DL73" s="173">
        <f t="shared" si="243"/>
        <v>2.8903781265235375</v>
      </c>
      <c r="DM73" s="173">
        <f t="shared" si="244"/>
        <v>3.3283829787234036</v>
      </c>
      <c r="DN73" s="173">
        <f t="shared" si="245"/>
        <v>2.6778145521407923</v>
      </c>
      <c r="DP73" s="545">
        <f t="shared" si="246"/>
        <v>4080</v>
      </c>
      <c r="DQ73" s="460">
        <f t="shared" si="247"/>
        <v>263.94338587626879</v>
      </c>
      <c r="DS73">
        <f t="shared" si="292"/>
        <v>4080</v>
      </c>
      <c r="DT73">
        <f t="shared" si="248"/>
        <v>263.94338587626879</v>
      </c>
      <c r="DV73" s="5">
        <f t="shared" si="293"/>
        <v>3.7886912630149383</v>
      </c>
      <c r="DW73" s="5">
        <f t="shared" si="249"/>
        <v>1.6641914893617018</v>
      </c>
      <c r="DX73" s="5">
        <f t="shared" si="294"/>
        <v>2.1244997736532367</v>
      </c>
      <c r="DY73" s="173">
        <f t="shared" si="295"/>
        <v>0.43925233644859812</v>
      </c>
      <c r="EA73" s="5">
        <f t="shared" si="250"/>
        <v>169.74753191489359</v>
      </c>
      <c r="EB73" s="5">
        <f t="shared" si="251"/>
        <v>0.62869456264775403</v>
      </c>
      <c r="EC73" s="5">
        <f t="shared" si="252"/>
        <v>1.2038832050701673</v>
      </c>
      <c r="ED73" s="5"/>
      <c r="EE73" s="173">
        <f t="shared" si="296"/>
        <v>1.2735901898299959</v>
      </c>
      <c r="EF73" s="173">
        <f t="shared" si="253"/>
        <v>5.75594178250015</v>
      </c>
      <c r="EG73" s="173">
        <f t="shared" si="254"/>
        <v>0.10967402585574609</v>
      </c>
      <c r="EH73" s="173"/>
      <c r="EI73" s="528">
        <f t="shared" si="255"/>
        <v>1.97887900539007E-2</v>
      </c>
      <c r="EJ73" s="528">
        <f t="shared" si="256"/>
        <v>0.752</v>
      </c>
      <c r="EK73" s="528">
        <f t="shared" si="257"/>
        <v>3.2992923234533594E-2</v>
      </c>
      <c r="EL73" s="528">
        <f t="shared" si="258"/>
        <v>4.8350205198358413E-2</v>
      </c>
      <c r="EM73">
        <f t="shared" si="259"/>
        <v>1.0800000000000001E-2</v>
      </c>
      <c r="EN73" s="460">
        <f t="shared" si="297"/>
        <v>43.792923234533596</v>
      </c>
      <c r="EO73">
        <f t="shared" si="260"/>
        <v>0.87338137075583711</v>
      </c>
      <c r="EP73" s="460">
        <f t="shared" si="298"/>
        <v>873.38137075583711</v>
      </c>
      <c r="EQ73" s="173">
        <f t="shared" si="261"/>
        <v>2.5347</v>
      </c>
      <c r="ER73" s="173">
        <f t="shared" si="262"/>
        <v>3.0175E-2</v>
      </c>
      <c r="ES73" s="528"/>
      <c r="EU73" s="460">
        <f t="shared" si="299"/>
        <v>2564.875</v>
      </c>
      <c r="EV73" s="528">
        <f t="shared" si="263"/>
        <v>4.8660959148936152E-2</v>
      </c>
      <c r="EW73" s="528">
        <f t="shared" si="300"/>
        <v>0.99392597410592998</v>
      </c>
      <c r="EX73" s="528">
        <f t="shared" si="264"/>
        <v>6.014195973703431E-5</v>
      </c>
      <c r="EY73" s="528">
        <f t="shared" si="265"/>
        <v>1.1437475956681544</v>
      </c>
      <c r="EZ73" s="528">
        <f t="shared" si="266"/>
        <v>2.6583692421475074</v>
      </c>
      <c r="FA73" s="625">
        <f t="shared" si="267"/>
        <v>7.3099999999999984E-2</v>
      </c>
      <c r="FB73" s="460">
        <f t="shared" si="301"/>
        <v>2731.4692421475074</v>
      </c>
      <c r="FC73" s="173">
        <f t="shared" si="302"/>
        <v>6.1697256129033438</v>
      </c>
      <c r="FD73" s="5">
        <f t="shared" si="303"/>
        <v>17.544</v>
      </c>
      <c r="FE73" s="173">
        <f t="shared" si="304"/>
        <v>0.73982470263777478</v>
      </c>
      <c r="FF73" s="5">
        <f t="shared" si="305"/>
        <v>73.982470263777472</v>
      </c>
      <c r="FG73">
        <f t="shared" si="306"/>
        <v>68</v>
      </c>
      <c r="FI73" s="562">
        <f t="shared" si="268"/>
        <v>-50</v>
      </c>
      <c r="FJ73">
        <f t="shared" si="269"/>
        <v>-50</v>
      </c>
      <c r="FL73">
        <f t="shared" si="270"/>
        <v>0.56074766355140193</v>
      </c>
    </row>
    <row r="74" spans="5:168">
      <c r="E74" s="170">
        <v>69</v>
      </c>
      <c r="F74" s="217">
        <f t="shared" si="307"/>
        <v>4.1399999999999997</v>
      </c>
      <c r="G74" s="217">
        <f t="shared" si="271"/>
        <v>6.8999999999999992E-2</v>
      </c>
      <c r="H74" s="217">
        <f t="shared" si="176"/>
        <v>16.559999999999999</v>
      </c>
      <c r="I74" s="217">
        <f t="shared" si="308"/>
        <v>1.2419999999999998</v>
      </c>
      <c r="J74" s="541">
        <f t="shared" si="177"/>
        <v>23.903026996498205</v>
      </c>
      <c r="K74" s="443">
        <f t="shared" si="178"/>
        <v>19.685960000000001</v>
      </c>
      <c r="L74" s="172">
        <f t="shared" si="179"/>
        <v>43.588986996498207</v>
      </c>
      <c r="M74" s="443"/>
      <c r="N74" s="217">
        <f t="shared" si="180"/>
        <v>0.45162692130426213</v>
      </c>
      <c r="O74" s="172">
        <f t="shared" si="272"/>
        <v>33.473644937305892</v>
      </c>
      <c r="P74" s="172">
        <f t="shared" si="181"/>
        <v>2.6988126230702871</v>
      </c>
      <c r="Q74" s="217">
        <f t="shared" si="182"/>
        <v>8.3684112343264729</v>
      </c>
      <c r="R74" s="217">
        <f t="shared" si="183"/>
        <v>1.8596469409614385</v>
      </c>
      <c r="S74" s="443">
        <f t="shared" si="184"/>
        <v>4</v>
      </c>
      <c r="T74" s="217">
        <f t="shared" si="185"/>
        <v>3.2981170770847488</v>
      </c>
      <c r="U74" s="217">
        <f t="shared" si="186"/>
        <v>1.6557486602351692</v>
      </c>
      <c r="V74" s="217">
        <f t="shared" si="187"/>
        <v>2.0104381460196494</v>
      </c>
      <c r="W74" s="197">
        <f t="shared" si="188"/>
        <v>350</v>
      </c>
      <c r="X74" s="443">
        <f t="shared" si="273"/>
        <v>258.65278893978268</v>
      </c>
      <c r="Z74" s="217">
        <f t="shared" si="189"/>
        <v>2.570297736257416</v>
      </c>
      <c r="AA74" s="173">
        <f t="shared" si="190"/>
        <v>1.5667802248449652</v>
      </c>
      <c r="AB74" s="173">
        <f t="shared" si="191"/>
        <v>2.8189641655923299</v>
      </c>
      <c r="AC74" s="173"/>
      <c r="AD74" s="173">
        <f t="shared" si="192"/>
        <v>0.81276198874731032</v>
      </c>
      <c r="AE74" s="545">
        <f t="shared" si="193"/>
        <v>1910.1533062499993</v>
      </c>
      <c r="AF74" s="528">
        <f t="shared" si="194"/>
        <v>0.75857785616415652</v>
      </c>
      <c r="AH74" s="173">
        <f t="shared" si="195"/>
        <v>2.9115533409406837</v>
      </c>
      <c r="AI74" s="173">
        <f t="shared" si="196"/>
        <v>3.2981170770847488</v>
      </c>
      <c r="AJ74" s="173">
        <f t="shared" si="197"/>
        <v>2.6553953657417892</v>
      </c>
      <c r="AL74" s="545">
        <f t="shared" si="198"/>
        <v>4140</v>
      </c>
      <c r="AM74" s="460">
        <f t="shared" si="199"/>
        <v>258.65278893978268</v>
      </c>
      <c r="AO74">
        <f t="shared" si="274"/>
        <v>4140</v>
      </c>
      <c r="AP74">
        <f t="shared" si="200"/>
        <v>258.65278893978268</v>
      </c>
      <c r="AR74" s="5">
        <f t="shared" si="275"/>
        <v>3.8661868062548184</v>
      </c>
      <c r="AS74" s="5">
        <f t="shared" si="201"/>
        <v>1.6557486602351692</v>
      </c>
      <c r="AT74" s="5">
        <f t="shared" si="276"/>
        <v>2.2104381460196492</v>
      </c>
      <c r="AU74" s="173">
        <f t="shared" si="277"/>
        <v>0.42826400875313514</v>
      </c>
      <c r="AW74" s="5">
        <f t="shared" si="202"/>
        <v>171.36998633434001</v>
      </c>
      <c r="AX74" s="5">
        <f t="shared" si="203"/>
        <v>0.6347036530901482</v>
      </c>
      <c r="AY74" s="5">
        <f t="shared" si="204"/>
        <v>1.2761583049519207</v>
      </c>
      <c r="AZ74" s="5"/>
      <c r="BA74" s="173">
        <f t="shared" si="278"/>
        <v>1.2461239119931902</v>
      </c>
      <c r="BB74" s="173">
        <f t="shared" si="205"/>
        <v>5.7592137620960768</v>
      </c>
      <c r="BC74" s="173">
        <f t="shared" si="206"/>
        <v>0.10973637033183066</v>
      </c>
      <c r="BD74" s="173"/>
      <c r="BE74" s="528">
        <f t="shared" si="207"/>
        <v>1.8944462609302784E-2</v>
      </c>
      <c r="BF74" s="528">
        <f t="shared" si="208"/>
        <v>0.69720626674741815</v>
      </c>
      <c r="BG74" s="528">
        <f t="shared" si="209"/>
        <v>0.15456461491867945</v>
      </c>
      <c r="BH74" s="528">
        <f t="shared" si="210"/>
        <v>4.9144024399106125E-2</v>
      </c>
      <c r="BI74">
        <f t="shared" si="211"/>
        <v>1.0756362148424192E-2</v>
      </c>
      <c r="BJ74" s="460">
        <f t="shared" si="279"/>
        <v>165.32097706710363</v>
      </c>
      <c r="BK74">
        <f t="shared" si="212"/>
        <v>0.77389321011782131</v>
      </c>
      <c r="BL74" s="460">
        <f t="shared" si="280"/>
        <v>773.89321011782135</v>
      </c>
      <c r="BM74" s="173">
        <f t="shared" si="213"/>
        <v>2.5719749999999997</v>
      </c>
      <c r="BN74" s="173">
        <f t="shared" si="214"/>
        <v>3.0618749999999993E-2</v>
      </c>
      <c r="BO74" s="528"/>
      <c r="BQ74" s="460">
        <f t="shared" si="281"/>
        <v>2602.5937499999995</v>
      </c>
      <c r="BR74" s="528">
        <f t="shared" si="215"/>
        <v>4.6584744121236359E-2</v>
      </c>
      <c r="BS74" s="528">
        <f t="shared" si="216"/>
        <v>0.99505629472550527</v>
      </c>
      <c r="BT74" s="528">
        <f t="shared" si="217"/>
        <v>6.0210354868023423E-5</v>
      </c>
      <c r="BU74" s="528">
        <f t="shared" si="218"/>
        <v>1.0627425982016407</v>
      </c>
      <c r="BV74" s="528">
        <f t="shared" si="219"/>
        <v>2.5685010035276656</v>
      </c>
      <c r="BW74" s="625">
        <f t="shared" si="220"/>
        <v>7.0337885876078338E-2</v>
      </c>
      <c r="BX74" s="460">
        <f t="shared" si="282"/>
        <v>2638.8388894037439</v>
      </c>
      <c r="BY74" s="173">
        <f t="shared" si="283"/>
        <v>6.0153258495215649</v>
      </c>
      <c r="BZ74" s="5">
        <f t="shared" si="284"/>
        <v>17.802</v>
      </c>
      <c r="CA74" s="173">
        <f t="shared" si="285"/>
        <v>0.74743907491854711</v>
      </c>
      <c r="CB74" s="5">
        <f t="shared" si="286"/>
        <v>74.743907491854713</v>
      </c>
      <c r="CC74">
        <f t="shared" si="287"/>
        <v>69</v>
      </c>
      <c r="CE74" s="562">
        <f t="shared" si="221"/>
        <v>-50</v>
      </c>
      <c r="CF74">
        <f t="shared" si="222"/>
        <v>-50</v>
      </c>
      <c r="CG74" s="173">
        <f t="shared" si="223"/>
        <v>0.56074766355140193</v>
      </c>
      <c r="CH74" s="173">
        <f t="shared" si="224"/>
        <v>0.15015627428311998</v>
      </c>
      <c r="CI74" s="170">
        <v>69</v>
      </c>
      <c r="CJ74" s="217">
        <f t="shared" si="309"/>
        <v>4.1399999999999997</v>
      </c>
      <c r="CK74" s="217">
        <f t="shared" si="288"/>
        <v>6.8999999999999992E-2</v>
      </c>
      <c r="CL74" s="217">
        <f t="shared" si="225"/>
        <v>16.559999999999999</v>
      </c>
      <c r="CM74" s="217">
        <f t="shared" si="310"/>
        <v>1.2419999999999998</v>
      </c>
      <c r="CN74" s="541">
        <f t="shared" si="289"/>
        <v>24</v>
      </c>
      <c r="CO74" s="443">
        <f t="shared" si="226"/>
        <v>18.8</v>
      </c>
      <c r="CP74" s="443">
        <f t="shared" si="227"/>
        <v>42.8</v>
      </c>
      <c r="CQ74" s="443"/>
      <c r="CR74" s="217">
        <f t="shared" si="228"/>
        <v>0.43925233644859818</v>
      </c>
      <c r="CS74" s="172">
        <f t="shared" si="290"/>
        <v>32.688545968267775</v>
      </c>
      <c r="CT74" s="172">
        <f t="shared" si="229"/>
        <v>2.6355140186915893</v>
      </c>
      <c r="CU74" s="217">
        <f t="shared" si="230"/>
        <v>8.1721364920669437</v>
      </c>
      <c r="CV74" s="217">
        <f t="shared" si="231"/>
        <v>1.816030331570432</v>
      </c>
      <c r="CW74" s="443">
        <f t="shared" si="232"/>
        <v>4</v>
      </c>
      <c r="CX74" s="217">
        <f t="shared" si="233"/>
        <v>3.377329787234042</v>
      </c>
      <c r="CY74" s="217">
        <f t="shared" si="234"/>
        <v>1.688664893617021</v>
      </c>
      <c r="CZ74" s="217">
        <f t="shared" si="235"/>
        <v>2.155742417383431</v>
      </c>
      <c r="DA74" s="197">
        <f t="shared" si="236"/>
        <v>350</v>
      </c>
      <c r="DB74" s="443">
        <f t="shared" si="291"/>
        <v>260.11811941429386</v>
      </c>
      <c r="DD74" s="217">
        <f t="shared" si="237"/>
        <v>2.5100133511348464</v>
      </c>
      <c r="DE74" s="173">
        <f t="shared" si="238"/>
        <v>1.6021361815754336</v>
      </c>
      <c r="DF74" s="173">
        <f t="shared" si="239"/>
        <v>2.8149682442633783</v>
      </c>
      <c r="DG74" s="173"/>
      <c r="DH74" s="173">
        <f t="shared" si="240"/>
        <v>0.85106382978723416</v>
      </c>
      <c r="DI74" s="545">
        <f t="shared" si="241"/>
        <v>1824.1874999999993</v>
      </c>
      <c r="DJ74" s="528">
        <f t="shared" si="242"/>
        <v>0.79432624113475192</v>
      </c>
      <c r="DL74" s="173">
        <f t="shared" si="243"/>
        <v>2.9115533409406837</v>
      </c>
      <c r="DM74" s="173">
        <f t="shared" si="244"/>
        <v>3.377329787234042</v>
      </c>
      <c r="DN74" s="173">
        <f t="shared" si="245"/>
        <v>2.7140714473338581</v>
      </c>
      <c r="DP74" s="545">
        <f t="shared" si="246"/>
        <v>4140</v>
      </c>
      <c r="DQ74" s="460">
        <f t="shared" si="247"/>
        <v>260.11811941429386</v>
      </c>
      <c r="DS74">
        <f t="shared" si="292"/>
        <v>4140</v>
      </c>
      <c r="DT74">
        <f t="shared" si="248"/>
        <v>260.11811941429386</v>
      </c>
      <c r="DV74" s="5">
        <f t="shared" si="293"/>
        <v>3.844407311000452</v>
      </c>
      <c r="DW74" s="5">
        <f t="shared" si="249"/>
        <v>1.688664893617021</v>
      </c>
      <c r="DX74" s="5">
        <f t="shared" si="294"/>
        <v>2.155742417383431</v>
      </c>
      <c r="DY74" s="173">
        <f t="shared" si="295"/>
        <v>0.43925233644859812</v>
      </c>
      <c r="EA74" s="5">
        <f t="shared" si="250"/>
        <v>174.77681648936166</v>
      </c>
      <c r="EB74" s="5">
        <f t="shared" si="251"/>
        <v>0.6473215425531913</v>
      </c>
      <c r="EC74" s="5">
        <f t="shared" si="252"/>
        <v>1.2395518899954725</v>
      </c>
      <c r="ED74" s="5"/>
      <c r="EE74" s="173">
        <f t="shared" si="296"/>
        <v>1.2923194573274959</v>
      </c>
      <c r="EF74" s="173">
        <f t="shared" si="253"/>
        <v>5.8405879851839755</v>
      </c>
      <c r="EG74" s="173">
        <f t="shared" si="254"/>
        <v>0.11128687917715413</v>
      </c>
      <c r="EH74" s="173"/>
      <c r="EI74" s="528">
        <f t="shared" si="255"/>
        <v>2.0375092873404246E-2</v>
      </c>
      <c r="EJ74" s="528">
        <f t="shared" si="256"/>
        <v>0.752</v>
      </c>
      <c r="EK74" s="528">
        <f t="shared" si="257"/>
        <v>3.2514764926786725E-2</v>
      </c>
      <c r="EL74" s="528">
        <f t="shared" si="258"/>
        <v>4.7649477586787996E-2</v>
      </c>
      <c r="EM74">
        <f t="shared" si="259"/>
        <v>1.0800000000000001E-2</v>
      </c>
      <c r="EN74" s="460">
        <f t="shared" si="297"/>
        <v>43.314764926786722</v>
      </c>
      <c r="EO74">
        <f t="shared" si="260"/>
        <v>0.87306723552241672</v>
      </c>
      <c r="EP74" s="460">
        <f t="shared" si="298"/>
        <v>873.06723552241669</v>
      </c>
      <c r="EQ74" s="173">
        <f t="shared" si="261"/>
        <v>2.5719749999999997</v>
      </c>
      <c r="ER74" s="173">
        <f t="shared" si="262"/>
        <v>3.0618749999999993E-2</v>
      </c>
      <c r="ES74" s="528"/>
      <c r="EU74" s="460">
        <f t="shared" si="299"/>
        <v>2602.5937499999995</v>
      </c>
      <c r="EV74" s="528">
        <f t="shared" si="263"/>
        <v>5.0102687393617E-2</v>
      </c>
      <c r="EW74" s="528">
        <f t="shared" si="300"/>
        <v>1.0233740403802623</v>
      </c>
      <c r="EX74" s="528">
        <f t="shared" si="264"/>
        <v>6.1923847384952514E-5</v>
      </c>
      <c r="EY74" s="528">
        <f t="shared" si="265"/>
        <v>1.1437475956681531</v>
      </c>
      <c r="EZ74" s="528">
        <f t="shared" si="266"/>
        <v>2.7074606129369188</v>
      </c>
      <c r="FA74" s="625">
        <f t="shared" si="267"/>
        <v>7.4174999999999991E-2</v>
      </c>
      <c r="FB74" s="460">
        <f t="shared" si="301"/>
        <v>2781.6356129369187</v>
      </c>
      <c r="FC74" s="173">
        <f t="shared" si="302"/>
        <v>6.2572965984593356</v>
      </c>
      <c r="FD74" s="5">
        <f t="shared" si="303"/>
        <v>17.802</v>
      </c>
      <c r="FE74" s="173">
        <f t="shared" si="304"/>
        <v>0.73992188122158042</v>
      </c>
      <c r="FF74" s="5">
        <f t="shared" si="305"/>
        <v>73.992188122158041</v>
      </c>
      <c r="FG74">
        <f t="shared" si="306"/>
        <v>69</v>
      </c>
      <c r="FI74" s="562">
        <f t="shared" si="268"/>
        <v>-50</v>
      </c>
      <c r="FJ74">
        <f t="shared" si="269"/>
        <v>-50</v>
      </c>
      <c r="FL74">
        <f t="shared" si="270"/>
        <v>0.56074766355140193</v>
      </c>
    </row>
    <row r="75" spans="5:168">
      <c r="E75" s="170">
        <v>70</v>
      </c>
      <c r="F75" s="217">
        <f t="shared" si="307"/>
        <v>4.1999999999999993</v>
      </c>
      <c r="G75" s="217">
        <f t="shared" si="271"/>
        <v>6.9999999999999993E-2</v>
      </c>
      <c r="H75" s="217">
        <f t="shared" si="176"/>
        <v>16.799999999999997</v>
      </c>
      <c r="I75" s="217">
        <f t="shared" si="308"/>
        <v>1.2599999999999998</v>
      </c>
      <c r="J75" s="541">
        <f t="shared" si="177"/>
        <v>23.901621590650354</v>
      </c>
      <c r="K75" s="443">
        <f t="shared" si="178"/>
        <v>19.698800000000002</v>
      </c>
      <c r="L75" s="172">
        <f t="shared" si="179"/>
        <v>43.600421590650356</v>
      </c>
      <c r="M75" s="443"/>
      <c r="N75" s="217">
        <f t="shared" si="180"/>
        <v>0.45180297073604903</v>
      </c>
      <c r="O75" s="172">
        <f t="shared" si="272"/>
        <v>33.484724465316958</v>
      </c>
      <c r="P75" s="172">
        <f t="shared" si="181"/>
        <v>2.69970591001618</v>
      </c>
      <c r="Q75" s="217">
        <f t="shared" si="182"/>
        <v>8.3711811163292396</v>
      </c>
      <c r="R75" s="217">
        <f t="shared" si="183"/>
        <v>1.8602624702953865</v>
      </c>
      <c r="S75" s="443">
        <f t="shared" si="184"/>
        <v>4</v>
      </c>
      <c r="T75" s="217">
        <f t="shared" si="185"/>
        <v>3.3448087684283649</v>
      </c>
      <c r="U75" s="217">
        <f t="shared" si="186"/>
        <v>1.6792879541211181</v>
      </c>
      <c r="V75" s="217">
        <f t="shared" si="187"/>
        <v>2.0375710815450878</v>
      </c>
      <c r="W75" s="197">
        <f t="shared" si="188"/>
        <v>350</v>
      </c>
      <c r="X75" s="443">
        <f t="shared" si="273"/>
        <v>255.30660942714096</v>
      </c>
      <c r="Z75" s="217">
        <f t="shared" si="189"/>
        <v>2.5711484857296947</v>
      </c>
      <c r="AA75" s="173">
        <f t="shared" si="190"/>
        <v>1.5662772264684313</v>
      </c>
      <c r="AB75" s="173">
        <f t="shared" si="191"/>
        <v>2.8189919233470491</v>
      </c>
      <c r="AC75" s="173"/>
      <c r="AD75" s="173">
        <f t="shared" si="192"/>
        <v>0.812232217190895</v>
      </c>
      <c r="AE75" s="545">
        <f t="shared" si="193"/>
        <v>1939.1006249999994</v>
      </c>
      <c r="AF75" s="528">
        <f t="shared" si="194"/>
        <v>0.7580834027115021</v>
      </c>
      <c r="AH75" s="173">
        <f t="shared" si="195"/>
        <v>2.9325756597230357</v>
      </c>
      <c r="AI75" s="173">
        <f t="shared" si="196"/>
        <v>3.3448087684283649</v>
      </c>
      <c r="AJ75" s="173">
        <f t="shared" si="197"/>
        <v>2.6899818037740975</v>
      </c>
      <c r="AL75" s="545">
        <f t="shared" si="198"/>
        <v>4199.9999999999991</v>
      </c>
      <c r="AM75" s="460">
        <f t="shared" si="199"/>
        <v>255.30660942714096</v>
      </c>
      <c r="AO75">
        <f t="shared" si="274"/>
        <v>4199.9999999999991</v>
      </c>
      <c r="AP75">
        <f t="shared" si="200"/>
        <v>255.30660942714096</v>
      </c>
      <c r="AR75" s="5">
        <f t="shared" si="275"/>
        <v>3.9168590356662061</v>
      </c>
      <c r="AS75" s="5">
        <f t="shared" si="201"/>
        <v>1.6792879541211181</v>
      </c>
      <c r="AT75" s="5">
        <f t="shared" si="276"/>
        <v>2.237571081545088</v>
      </c>
      <c r="AU75" s="173">
        <f t="shared" si="277"/>
        <v>0.42873331381850288</v>
      </c>
      <c r="AW75" s="5">
        <f t="shared" si="202"/>
        <v>176.32523518271736</v>
      </c>
      <c r="AX75" s="5">
        <f t="shared" si="203"/>
        <v>0.65305642660265706</v>
      </c>
      <c r="AY75" s="5">
        <f t="shared" si="204"/>
        <v>1.3106221694131863</v>
      </c>
      <c r="AZ75" s="5"/>
      <c r="BA75" s="173">
        <f t="shared" si="278"/>
        <v>1.2644576290496814</v>
      </c>
      <c r="BB75" s="173">
        <f t="shared" si="205"/>
        <v>5.8383497259046075</v>
      </c>
      <c r="BC75" s="173">
        <f t="shared" si="206"/>
        <v>0.11124423126385806</v>
      </c>
      <c r="BD75" s="173"/>
      <c r="BE75" s="528">
        <f t="shared" si="207"/>
        <v>1.9506007767075687E-2</v>
      </c>
      <c r="BF75" s="528">
        <f t="shared" si="208"/>
        <v>0.69811233527122618</v>
      </c>
      <c r="BG75" s="528">
        <f t="shared" si="209"/>
        <v>0.15255604920298724</v>
      </c>
      <c r="BH75" s="528">
        <f t="shared" si="210"/>
        <v>4.8533703806348888E-2</v>
      </c>
      <c r="BI75">
        <f t="shared" si="211"/>
        <v>1.075572971579266E-2</v>
      </c>
      <c r="BJ75" s="460">
        <f t="shared" si="279"/>
        <v>163.31177891877991</v>
      </c>
      <c r="BK75">
        <f t="shared" si="212"/>
        <v>0.7750105541264346</v>
      </c>
      <c r="BL75" s="460">
        <f t="shared" si="280"/>
        <v>775.01055412643461</v>
      </c>
      <c r="BM75" s="173">
        <f t="shared" si="213"/>
        <v>2.6092499999999994</v>
      </c>
      <c r="BN75" s="173">
        <f t="shared" si="214"/>
        <v>3.1062499999999996E-2</v>
      </c>
      <c r="BO75" s="528"/>
      <c r="BQ75" s="460">
        <f t="shared" si="281"/>
        <v>2640.3124999999995</v>
      </c>
      <c r="BR75" s="528">
        <f t="shared" si="215"/>
        <v>4.7965592869858249E-2</v>
      </c>
      <c r="BS75" s="528">
        <f t="shared" si="216"/>
        <v>1.0225898256591122</v>
      </c>
      <c r="BT75" s="528">
        <f t="shared" si="217"/>
        <v>6.1876394947433673E-5</v>
      </c>
      <c r="BU75" s="528">
        <f t="shared" si="218"/>
        <v>1.0654998234315767</v>
      </c>
      <c r="BV75" s="528">
        <f t="shared" si="219"/>
        <v>2.6172293496594672</v>
      </c>
      <c r="BW75" s="625">
        <f t="shared" si="220"/>
        <v>7.1407635528121502E-2</v>
      </c>
      <c r="BX75" s="460">
        <f t="shared" si="282"/>
        <v>2688.6369851875888</v>
      </c>
      <c r="BY75" s="173">
        <f t="shared" si="283"/>
        <v>6.103960039314023</v>
      </c>
      <c r="BZ75" s="5">
        <f t="shared" si="284"/>
        <v>18.059999999999995</v>
      </c>
      <c r="CA75" s="173">
        <f t="shared" si="285"/>
        <v>0.74739405174553053</v>
      </c>
      <c r="CB75" s="5">
        <f t="shared" si="286"/>
        <v>74.739405174553056</v>
      </c>
      <c r="CC75">
        <f t="shared" si="287"/>
        <v>69.999999999999986</v>
      </c>
      <c r="CE75" s="562">
        <f t="shared" si="221"/>
        <v>-50</v>
      </c>
      <c r="CF75">
        <f t="shared" si="222"/>
        <v>-50</v>
      </c>
      <c r="CG75" s="173">
        <f t="shared" si="223"/>
        <v>0.56074766355140193</v>
      </c>
      <c r="CH75" s="173">
        <f t="shared" si="224"/>
        <v>0.15015627428311998</v>
      </c>
      <c r="CI75" s="170">
        <v>70</v>
      </c>
      <c r="CJ75" s="217">
        <f t="shared" si="309"/>
        <v>4.1999999999999993</v>
      </c>
      <c r="CK75" s="217">
        <f t="shared" si="288"/>
        <v>6.9999999999999993E-2</v>
      </c>
      <c r="CL75" s="217">
        <f t="shared" si="225"/>
        <v>16.799999999999997</v>
      </c>
      <c r="CM75" s="217">
        <f t="shared" si="310"/>
        <v>1.2599999999999998</v>
      </c>
      <c r="CN75" s="541">
        <f t="shared" si="289"/>
        <v>24</v>
      </c>
      <c r="CO75" s="443">
        <f t="shared" si="226"/>
        <v>18.8</v>
      </c>
      <c r="CP75" s="443">
        <f t="shared" si="227"/>
        <v>42.8</v>
      </c>
      <c r="CQ75" s="443"/>
      <c r="CR75" s="217">
        <f t="shared" si="228"/>
        <v>0.43925233644859818</v>
      </c>
      <c r="CS75" s="172">
        <f t="shared" si="290"/>
        <v>32.688545968267775</v>
      </c>
      <c r="CT75" s="172">
        <f t="shared" si="229"/>
        <v>2.6355140186915893</v>
      </c>
      <c r="CU75" s="217">
        <f t="shared" si="230"/>
        <v>8.1721364920669437</v>
      </c>
      <c r="CV75" s="217">
        <f t="shared" si="231"/>
        <v>1.816030331570432</v>
      </c>
      <c r="CW75" s="443">
        <f t="shared" si="232"/>
        <v>4</v>
      </c>
      <c r="CX75" s="217">
        <f t="shared" si="233"/>
        <v>3.4262765957446795</v>
      </c>
      <c r="CY75" s="217">
        <f t="shared" si="234"/>
        <v>1.7131382978723397</v>
      </c>
      <c r="CZ75" s="217">
        <f t="shared" si="235"/>
        <v>2.1869850611136252</v>
      </c>
      <c r="DA75" s="197">
        <f t="shared" si="236"/>
        <v>350</v>
      </c>
      <c r="DB75" s="443">
        <f t="shared" si="291"/>
        <v>256.40214627980401</v>
      </c>
      <c r="DD75" s="217">
        <f t="shared" si="237"/>
        <v>2.5100133511348464</v>
      </c>
      <c r="DE75" s="173">
        <f t="shared" si="238"/>
        <v>1.6021361815754336</v>
      </c>
      <c r="DF75" s="173">
        <f t="shared" si="239"/>
        <v>2.8149682442633783</v>
      </c>
      <c r="DG75" s="173"/>
      <c r="DH75" s="173">
        <f t="shared" si="240"/>
        <v>0.85106382978723416</v>
      </c>
      <c r="DI75" s="545">
        <f t="shared" si="241"/>
        <v>1850.6249999999993</v>
      </c>
      <c r="DJ75" s="528">
        <f t="shared" si="242"/>
        <v>0.79432624113475192</v>
      </c>
      <c r="DL75" s="173">
        <f t="shared" si="243"/>
        <v>2.9325756597230357</v>
      </c>
      <c r="DM75" s="173">
        <f t="shared" si="244"/>
        <v>3.4262765957446795</v>
      </c>
      <c r="DN75" s="173">
        <f t="shared" si="245"/>
        <v>2.7503283425269229</v>
      </c>
      <c r="DP75" s="545">
        <f t="shared" si="246"/>
        <v>4199.9999999999991</v>
      </c>
      <c r="DQ75" s="460">
        <f t="shared" si="247"/>
        <v>256.40214627980401</v>
      </c>
      <c r="DS75">
        <f t="shared" si="292"/>
        <v>4199.9999999999991</v>
      </c>
      <c r="DT75">
        <f t="shared" si="248"/>
        <v>256.40214627980401</v>
      </c>
      <c r="DV75" s="5">
        <f t="shared" si="293"/>
        <v>3.9001233589859652</v>
      </c>
      <c r="DW75" s="5">
        <f t="shared" si="249"/>
        <v>1.7131382978723397</v>
      </c>
      <c r="DX75" s="5">
        <f t="shared" si="294"/>
        <v>2.1869850611136252</v>
      </c>
      <c r="DY75" s="173">
        <f t="shared" si="295"/>
        <v>0.43925233644859812</v>
      </c>
      <c r="EA75" s="5">
        <f t="shared" si="250"/>
        <v>179.87952127659563</v>
      </c>
      <c r="EB75" s="5">
        <f t="shared" si="251"/>
        <v>0.6662204491725765</v>
      </c>
      <c r="EC75" s="5">
        <f t="shared" si="252"/>
        <v>1.2757412856496142</v>
      </c>
      <c r="ED75" s="5"/>
      <c r="EE75" s="173">
        <f t="shared" si="296"/>
        <v>1.3110487248249956</v>
      </c>
      <c r="EF75" s="173">
        <f t="shared" si="253"/>
        <v>5.9252341878678001</v>
      </c>
      <c r="EG75" s="173">
        <f t="shared" si="254"/>
        <v>0.11289973249856214</v>
      </c>
      <c r="EH75" s="173"/>
      <c r="EI75" s="528">
        <f t="shared" si="255"/>
        <v>2.0969954858156011E-2</v>
      </c>
      <c r="EJ75" s="528">
        <f t="shared" si="256"/>
        <v>0.75199999999999989</v>
      </c>
      <c r="EK75" s="528">
        <f t="shared" si="257"/>
        <v>3.2050268284975501E-2</v>
      </c>
      <c r="EL75" s="528">
        <f t="shared" si="258"/>
        <v>4.6968770764119608E-2</v>
      </c>
      <c r="EM75">
        <f t="shared" si="259"/>
        <v>1.0800000000000001E-2</v>
      </c>
      <c r="EN75" s="460">
        <f t="shared" si="297"/>
        <v>42.850268284975499</v>
      </c>
      <c r="EO75">
        <f t="shared" si="260"/>
        <v>0.87279957178559875</v>
      </c>
      <c r="EP75" s="460">
        <f t="shared" si="298"/>
        <v>872.7995717855988</v>
      </c>
      <c r="EQ75" s="173">
        <f t="shared" si="261"/>
        <v>2.6092499999999994</v>
      </c>
      <c r="ER75" s="173">
        <f t="shared" si="262"/>
        <v>3.1062499999999996E-2</v>
      </c>
      <c r="ES75" s="528"/>
      <c r="EU75" s="460">
        <f t="shared" si="299"/>
        <v>2640.3124999999995</v>
      </c>
      <c r="EV75" s="528">
        <f t="shared" si="263"/>
        <v>5.1565462765957408E-2</v>
      </c>
      <c r="EW75" s="528">
        <f t="shared" si="300"/>
        <v>1.0532520054323216</v>
      </c>
      <c r="EX75" s="528">
        <f t="shared" si="264"/>
        <v>6.3731747991234439E-5</v>
      </c>
      <c r="EY75" s="528">
        <f t="shared" si="265"/>
        <v>1.1437475956681535</v>
      </c>
      <c r="EZ75" s="528">
        <f t="shared" si="266"/>
        <v>2.7575406712627646</v>
      </c>
      <c r="FA75" s="625">
        <f t="shared" si="267"/>
        <v>7.524999999999997E-2</v>
      </c>
      <c r="FB75" s="460">
        <f t="shared" si="301"/>
        <v>2832.7906712627646</v>
      </c>
      <c r="FC75" s="173">
        <f t="shared" si="302"/>
        <v>6.3459027430483621</v>
      </c>
      <c r="FD75" s="5">
        <f t="shared" si="303"/>
        <v>18.059999999999995</v>
      </c>
      <c r="FE75" s="173">
        <f t="shared" si="304"/>
        <v>0.73998492045716713</v>
      </c>
      <c r="FF75" s="5">
        <f t="shared" si="305"/>
        <v>73.998492045716716</v>
      </c>
      <c r="FG75">
        <f t="shared" si="306"/>
        <v>69.999999999999986</v>
      </c>
      <c r="FI75" s="562">
        <f t="shared" si="268"/>
        <v>-50</v>
      </c>
      <c r="FJ75">
        <f t="shared" si="269"/>
        <v>-50</v>
      </c>
      <c r="FL75">
        <f t="shared" si="270"/>
        <v>0.56074766355140193</v>
      </c>
    </row>
    <row r="76" spans="5:168">
      <c r="E76" s="170">
        <v>71</v>
      </c>
      <c r="F76" s="217">
        <f t="shared" si="307"/>
        <v>4.26</v>
      </c>
      <c r="G76" s="217">
        <f t="shared" si="271"/>
        <v>7.0999999999999994E-2</v>
      </c>
      <c r="H76" s="217">
        <f t="shared" si="176"/>
        <v>17.04</v>
      </c>
      <c r="I76" s="217">
        <f t="shared" si="308"/>
        <v>1.2779999999999998</v>
      </c>
      <c r="J76" s="541">
        <f t="shared" si="177"/>
        <v>23.900216184802503</v>
      </c>
      <c r="K76" s="443">
        <f t="shared" si="178"/>
        <v>19.711639999999999</v>
      </c>
      <c r="L76" s="172">
        <f t="shared" si="179"/>
        <v>43.611856184802505</v>
      </c>
      <c r="M76" s="443"/>
      <c r="N76" s="217">
        <f t="shared" si="180"/>
        <v>0.45197892785102201</v>
      </c>
      <c r="O76" s="172">
        <f t="shared" si="272"/>
        <v>33.495795617409861</v>
      </c>
      <c r="P76" s="172">
        <f t="shared" si="181"/>
        <v>2.7005985216536699</v>
      </c>
      <c r="Q76" s="217">
        <f t="shared" si="182"/>
        <v>8.3739489043524653</v>
      </c>
      <c r="R76" s="217">
        <f t="shared" si="183"/>
        <v>1.8608775343005479</v>
      </c>
      <c r="S76" s="443">
        <f t="shared" si="184"/>
        <v>4</v>
      </c>
      <c r="T76" s="217">
        <f t="shared" si="185"/>
        <v>3.3914704190801475</v>
      </c>
      <c r="U76" s="217">
        <f t="shared" si="186"/>
        <v>1.7028149333159712</v>
      </c>
      <c r="V76" s="217">
        <f t="shared" si="187"/>
        <v>2.0646503806360994</v>
      </c>
      <c r="W76" s="197">
        <f t="shared" si="188"/>
        <v>350</v>
      </c>
      <c r="X76" s="443">
        <f t="shared" si="273"/>
        <v>252.05009265824691</v>
      </c>
      <c r="Z76" s="217">
        <f t="shared" si="189"/>
        <v>2.5719985920511137</v>
      </c>
      <c r="AA76" s="173">
        <f t="shared" si="190"/>
        <v>1.5657744918542227</v>
      </c>
      <c r="AB76" s="173">
        <f t="shared" si="191"/>
        <v>2.8190188519630262</v>
      </c>
      <c r="AC76" s="173"/>
      <c r="AD76" s="173">
        <f t="shared" si="192"/>
        <v>0.8117031358121396</v>
      </c>
      <c r="AE76" s="545">
        <f t="shared" si="193"/>
        <v>1968.0840562499991</v>
      </c>
      <c r="AF76" s="528">
        <f t="shared" si="194"/>
        <v>0.7575895934246637</v>
      </c>
      <c r="AH76" s="173">
        <f t="shared" si="195"/>
        <v>2.9534483477550677</v>
      </c>
      <c r="AI76" s="173">
        <f t="shared" si="196"/>
        <v>3.3914704190801475</v>
      </c>
      <c r="AJ76" s="173">
        <f t="shared" si="197"/>
        <v>2.7245459894420847</v>
      </c>
      <c r="AL76" s="545">
        <f t="shared" si="198"/>
        <v>4260</v>
      </c>
      <c r="AM76" s="460">
        <f t="shared" si="199"/>
        <v>252.05009265824691</v>
      </c>
      <c r="AO76">
        <f t="shared" si="274"/>
        <v>4260</v>
      </c>
      <c r="AP76">
        <f t="shared" si="200"/>
        <v>252.05009265824691</v>
      </c>
      <c r="AR76" s="5">
        <f t="shared" si="275"/>
        <v>3.9674653139520699</v>
      </c>
      <c r="AS76" s="5">
        <f t="shared" si="201"/>
        <v>1.7028149333159712</v>
      </c>
      <c r="AT76" s="5">
        <f t="shared" si="276"/>
        <v>2.2646503806360987</v>
      </c>
      <c r="AU76" s="173">
        <f t="shared" si="277"/>
        <v>0.42919466172213711</v>
      </c>
      <c r="AW76" s="5">
        <f t="shared" si="202"/>
        <v>181.34979039815093</v>
      </c>
      <c r="AX76" s="5">
        <f t="shared" si="203"/>
        <v>0.67166589036352198</v>
      </c>
      <c r="AY76" s="5">
        <f t="shared" si="204"/>
        <v>1.3455123232517459</v>
      </c>
      <c r="AZ76" s="5"/>
      <c r="BA76" s="173">
        <f t="shared" si="278"/>
        <v>1.2827870349316397</v>
      </c>
      <c r="BB76" s="173">
        <f t="shared" si="205"/>
        <v>5.9174065817291037</v>
      </c>
      <c r="BC76" s="173">
        <f t="shared" si="206"/>
        <v>0.11275058486808158</v>
      </c>
      <c r="BD76" s="173"/>
      <c r="BE76" s="528">
        <f t="shared" si="207"/>
        <v>2.0075619439262234E-2</v>
      </c>
      <c r="BF76" s="528">
        <f t="shared" si="208"/>
        <v>0.69900573382991127</v>
      </c>
      <c r="BG76" s="528">
        <f t="shared" si="209"/>
        <v>0.15060129259829008</v>
      </c>
      <c r="BH76" s="528">
        <f t="shared" si="210"/>
        <v>4.7939776390616584E-2</v>
      </c>
      <c r="BI76">
        <f t="shared" si="211"/>
        <v>1.0755097283161126E-2</v>
      </c>
      <c r="BJ76" s="460">
        <f t="shared" si="279"/>
        <v>161.35638988145121</v>
      </c>
      <c r="BK76">
        <f t="shared" si="212"/>
        <v>0.77614372701224643</v>
      </c>
      <c r="BL76" s="460">
        <f t="shared" si="280"/>
        <v>776.14372701224647</v>
      </c>
      <c r="BM76" s="173">
        <f t="shared" si="213"/>
        <v>2.6465249999999996</v>
      </c>
      <c r="BN76" s="173">
        <f t="shared" si="214"/>
        <v>3.1506249999999993E-2</v>
      </c>
      <c r="BO76" s="528"/>
      <c r="BQ76" s="460">
        <f t="shared" si="281"/>
        <v>2678.0312499999995</v>
      </c>
      <c r="BR76" s="528">
        <f t="shared" si="215"/>
        <v>4.9366277309661234E-2</v>
      </c>
      <c r="BS76" s="528">
        <f t="shared" si="216"/>
        <v>1.0504710196047276</v>
      </c>
      <c r="BT76" s="528">
        <f t="shared" si="217"/>
        <v>6.3563471940472339E-5</v>
      </c>
      <c r="BU76" s="528">
        <f t="shared" si="218"/>
        <v>1.0682114812371173</v>
      </c>
      <c r="BV76" s="528">
        <f t="shared" si="219"/>
        <v>2.6667405677037213</v>
      </c>
      <c r="BW76" s="625">
        <f t="shared" si="220"/>
        <v>7.2477455335571858E-2</v>
      </c>
      <c r="BX76" s="460">
        <f t="shared" si="282"/>
        <v>2739.2180230392933</v>
      </c>
      <c r="BY76" s="173">
        <f t="shared" si="283"/>
        <v>6.1933930000515387</v>
      </c>
      <c r="BZ76" s="5">
        <f t="shared" si="284"/>
        <v>18.317999999999998</v>
      </c>
      <c r="CA76" s="173">
        <f t="shared" si="285"/>
        <v>0.74732594756901338</v>
      </c>
      <c r="CB76" s="5">
        <f t="shared" si="286"/>
        <v>74.732594756901335</v>
      </c>
      <c r="CC76">
        <f t="shared" si="287"/>
        <v>71</v>
      </c>
      <c r="CE76" s="562">
        <f t="shared" si="221"/>
        <v>-50</v>
      </c>
      <c r="CF76">
        <f t="shared" si="222"/>
        <v>-50</v>
      </c>
      <c r="CG76" s="173">
        <f t="shared" si="223"/>
        <v>0.56074766355140182</v>
      </c>
      <c r="CH76" s="173">
        <f t="shared" si="224"/>
        <v>0.15015627428311998</v>
      </c>
      <c r="CI76" s="170">
        <v>71</v>
      </c>
      <c r="CJ76" s="217">
        <f t="shared" si="309"/>
        <v>4.26</v>
      </c>
      <c r="CK76" s="217">
        <f t="shared" si="288"/>
        <v>7.0999999999999994E-2</v>
      </c>
      <c r="CL76" s="217">
        <f t="shared" si="225"/>
        <v>17.04</v>
      </c>
      <c r="CM76" s="217">
        <f t="shared" si="310"/>
        <v>1.2779999999999998</v>
      </c>
      <c r="CN76" s="541">
        <f t="shared" si="289"/>
        <v>24</v>
      </c>
      <c r="CO76" s="443">
        <f t="shared" si="226"/>
        <v>18.8</v>
      </c>
      <c r="CP76" s="443">
        <f t="shared" si="227"/>
        <v>42.8</v>
      </c>
      <c r="CQ76" s="443"/>
      <c r="CR76" s="217">
        <f t="shared" si="228"/>
        <v>0.43925233644859818</v>
      </c>
      <c r="CS76" s="172">
        <f t="shared" si="290"/>
        <v>32.688545968267775</v>
      </c>
      <c r="CT76" s="172">
        <f t="shared" si="229"/>
        <v>2.6355140186915893</v>
      </c>
      <c r="CU76" s="217">
        <f t="shared" si="230"/>
        <v>8.1721364920669437</v>
      </c>
      <c r="CV76" s="217">
        <f t="shared" si="231"/>
        <v>1.816030331570432</v>
      </c>
      <c r="CW76" s="443">
        <f t="shared" si="232"/>
        <v>4</v>
      </c>
      <c r="CX76" s="217">
        <f t="shared" si="233"/>
        <v>3.4752234042553183</v>
      </c>
      <c r="CY76" s="217">
        <f t="shared" si="234"/>
        <v>1.7376117021276594</v>
      </c>
      <c r="CZ76" s="217">
        <f t="shared" si="235"/>
        <v>2.2182277048438204</v>
      </c>
      <c r="DA76" s="197">
        <f t="shared" si="236"/>
        <v>350</v>
      </c>
      <c r="DB76" s="443">
        <f t="shared" si="291"/>
        <v>252.79084844487716</v>
      </c>
      <c r="DD76" s="217">
        <f t="shared" si="237"/>
        <v>2.5100133511348464</v>
      </c>
      <c r="DE76" s="173">
        <f t="shared" si="238"/>
        <v>1.6021361815754336</v>
      </c>
      <c r="DF76" s="173">
        <f t="shared" si="239"/>
        <v>2.8149682442633783</v>
      </c>
      <c r="DG76" s="173"/>
      <c r="DH76" s="173">
        <f t="shared" si="240"/>
        <v>0.85106382978723416</v>
      </c>
      <c r="DI76" s="545">
        <f t="shared" si="241"/>
        <v>1877.0624999999993</v>
      </c>
      <c r="DJ76" s="528">
        <f t="shared" si="242"/>
        <v>0.79432624113475192</v>
      </c>
      <c r="DL76" s="173">
        <f t="shared" si="243"/>
        <v>2.9534483477550677</v>
      </c>
      <c r="DM76" s="173">
        <f t="shared" si="244"/>
        <v>3.4752234042553183</v>
      </c>
      <c r="DN76" s="173">
        <f t="shared" si="245"/>
        <v>2.7865852377199887</v>
      </c>
      <c r="DP76" s="545">
        <f t="shared" si="246"/>
        <v>4260</v>
      </c>
      <c r="DQ76" s="460">
        <f t="shared" si="247"/>
        <v>252.79084844487716</v>
      </c>
      <c r="DS76">
        <f t="shared" si="292"/>
        <v>4260</v>
      </c>
      <c r="DT76">
        <f t="shared" si="248"/>
        <v>252.79084844487716</v>
      </c>
      <c r="DV76" s="5">
        <f t="shared" si="293"/>
        <v>3.9558394069714793</v>
      </c>
      <c r="DW76" s="5">
        <f t="shared" si="249"/>
        <v>1.7376117021276594</v>
      </c>
      <c r="DX76" s="5">
        <f t="shared" si="294"/>
        <v>2.2182277048438199</v>
      </c>
      <c r="DY76" s="173">
        <f t="shared" si="295"/>
        <v>0.43925233644859818</v>
      </c>
      <c r="EA76" s="5">
        <f t="shared" si="250"/>
        <v>185.0556462765957</v>
      </c>
      <c r="EB76" s="5">
        <f t="shared" si="251"/>
        <v>0.68539128250590997</v>
      </c>
      <c r="EC76" s="5">
        <f t="shared" si="252"/>
        <v>1.3124513920325933</v>
      </c>
      <c r="ED76" s="5"/>
      <c r="EE76" s="173">
        <f t="shared" si="296"/>
        <v>1.3297779923224957</v>
      </c>
      <c r="EF76" s="173">
        <f t="shared" si="253"/>
        <v>6.0098803905516256</v>
      </c>
      <c r="EG76" s="173">
        <f t="shared" si="254"/>
        <v>0.11451258581997018</v>
      </c>
      <c r="EH76" s="173"/>
      <c r="EI76" s="528">
        <f t="shared" si="255"/>
        <v>2.1573376008156016E-2</v>
      </c>
      <c r="EJ76" s="528">
        <f t="shared" si="256"/>
        <v>0.752</v>
      </c>
      <c r="EK76" s="528">
        <f t="shared" si="257"/>
        <v>3.1598856055609643E-2</v>
      </c>
      <c r="EL76" s="528">
        <f t="shared" si="258"/>
        <v>4.6307238781526372E-2</v>
      </c>
      <c r="EM76">
        <f t="shared" si="259"/>
        <v>1.0800000000000001E-2</v>
      </c>
      <c r="EN76" s="460">
        <f t="shared" si="297"/>
        <v>42.398856055609642</v>
      </c>
      <c r="EO76">
        <f t="shared" si="260"/>
        <v>0.87257696717521527</v>
      </c>
      <c r="EP76" s="460">
        <f t="shared" si="298"/>
        <v>872.57696717521526</v>
      </c>
      <c r="EQ76" s="173">
        <f t="shared" si="261"/>
        <v>2.6465249999999996</v>
      </c>
      <c r="ER76" s="173">
        <f t="shared" si="262"/>
        <v>3.1506249999999993E-2</v>
      </c>
      <c r="ES76" s="528"/>
      <c r="EU76" s="460">
        <f t="shared" si="299"/>
        <v>2678.0312499999995</v>
      </c>
      <c r="EV76" s="528">
        <f t="shared" si="263"/>
        <v>5.3049285265957417E-2</v>
      </c>
      <c r="EW76" s="528">
        <f t="shared" si="300"/>
        <v>1.0835598692621087</v>
      </c>
      <c r="EX76" s="528">
        <f t="shared" si="264"/>
        <v>6.5565661555880172E-5</v>
      </c>
      <c r="EY76" s="528">
        <f t="shared" si="265"/>
        <v>1.1437475956681544</v>
      </c>
      <c r="EZ76" s="528">
        <f t="shared" si="266"/>
        <v>2.8086235607015597</v>
      </c>
      <c r="FA76" s="625">
        <f t="shared" si="267"/>
        <v>7.632499999999999E-2</v>
      </c>
      <c r="FB76" s="460">
        <f t="shared" si="301"/>
        <v>2884.9485607015599</v>
      </c>
      <c r="FC76" s="173">
        <f t="shared" si="302"/>
        <v>6.4355567778767737</v>
      </c>
      <c r="FD76" s="5">
        <f t="shared" si="303"/>
        <v>18.317999999999998</v>
      </c>
      <c r="FE76" s="173">
        <f t="shared" si="304"/>
        <v>0.74001486591904708</v>
      </c>
      <c r="FF76" s="5">
        <f t="shared" si="305"/>
        <v>74.001486591904708</v>
      </c>
      <c r="FG76">
        <f t="shared" si="306"/>
        <v>71</v>
      </c>
      <c r="FI76" s="562">
        <f t="shared" si="268"/>
        <v>-50</v>
      </c>
      <c r="FJ76">
        <f t="shared" si="269"/>
        <v>-50</v>
      </c>
      <c r="FL76">
        <f t="shared" si="270"/>
        <v>0.56074766355140182</v>
      </c>
    </row>
    <row r="77" spans="5:168">
      <c r="E77" s="170">
        <v>72</v>
      </c>
      <c r="F77" s="217">
        <f t="shared" si="307"/>
        <v>4.32</v>
      </c>
      <c r="G77" s="217">
        <f t="shared" si="271"/>
        <v>7.1999999999999995E-2</v>
      </c>
      <c r="H77" s="217">
        <f t="shared" si="176"/>
        <v>17.28</v>
      </c>
      <c r="I77" s="217">
        <f t="shared" si="308"/>
        <v>1.2959999999999998</v>
      </c>
      <c r="J77" s="541">
        <f t="shared" si="177"/>
        <v>23.898810778954648</v>
      </c>
      <c r="K77" s="443">
        <f t="shared" si="178"/>
        <v>19.72448</v>
      </c>
      <c r="L77" s="172">
        <f t="shared" si="179"/>
        <v>43.623290778954647</v>
      </c>
      <c r="M77" s="443"/>
      <c r="N77" s="217">
        <f t="shared" si="180"/>
        <v>0.452154792721776</v>
      </c>
      <c r="O77" s="172">
        <f t="shared" si="272"/>
        <v>33.506858400171112</v>
      </c>
      <c r="P77" s="172">
        <f t="shared" si="181"/>
        <v>2.701490458513796</v>
      </c>
      <c r="Q77" s="217">
        <f t="shared" si="182"/>
        <v>8.3767146000427779</v>
      </c>
      <c r="R77" s="217">
        <f t="shared" si="183"/>
        <v>1.8614921333428396</v>
      </c>
      <c r="S77" s="443">
        <f t="shared" si="184"/>
        <v>4</v>
      </c>
      <c r="T77" s="217">
        <f t="shared" si="185"/>
        <v>3.4381020931348103</v>
      </c>
      <c r="U77" s="217">
        <f t="shared" si="186"/>
        <v>1.726329627830224</v>
      </c>
      <c r="V77" s="217">
        <f t="shared" si="187"/>
        <v>2.091676187033459</v>
      </c>
      <c r="W77" s="197">
        <f t="shared" si="188"/>
        <v>350</v>
      </c>
      <c r="X77" s="443">
        <f t="shared" si="273"/>
        <v>248.8796796412617</v>
      </c>
      <c r="Z77" s="217">
        <f t="shared" si="189"/>
        <v>2.5728480557274245</v>
      </c>
      <c r="AA77" s="173">
        <f t="shared" si="190"/>
        <v>1.5652720207949256</v>
      </c>
      <c r="AB77" s="173">
        <f t="shared" si="191"/>
        <v>2.8190449527707324</v>
      </c>
      <c r="AC77" s="173"/>
      <c r="AD77" s="173">
        <f t="shared" si="192"/>
        <v>0.81117474326319394</v>
      </c>
      <c r="AE77" s="545">
        <f t="shared" si="193"/>
        <v>1997.1035999999997</v>
      </c>
      <c r="AF77" s="528">
        <f t="shared" si="194"/>
        <v>0.75709642704564772</v>
      </c>
      <c r="AH77" s="173">
        <f t="shared" si="195"/>
        <v>2.9741745553538523</v>
      </c>
      <c r="AI77" s="173">
        <f t="shared" si="196"/>
        <v>3.4381020931348103</v>
      </c>
      <c r="AJ77" s="173">
        <f t="shared" si="197"/>
        <v>2.759087970223316</v>
      </c>
      <c r="AL77" s="545">
        <f t="shared" si="198"/>
        <v>4320</v>
      </c>
      <c r="AM77" s="460">
        <f t="shared" si="199"/>
        <v>248.8796796412617</v>
      </c>
      <c r="AO77">
        <f t="shared" si="274"/>
        <v>4320</v>
      </c>
      <c r="AP77">
        <f t="shared" si="200"/>
        <v>248.8796796412617</v>
      </c>
      <c r="AR77" s="5">
        <f t="shared" si="275"/>
        <v>4.0180058148636828</v>
      </c>
      <c r="AS77" s="5">
        <f t="shared" si="201"/>
        <v>1.726329627830224</v>
      </c>
      <c r="AT77" s="5">
        <f t="shared" si="276"/>
        <v>2.2916761870334588</v>
      </c>
      <c r="AU77" s="173">
        <f t="shared" si="277"/>
        <v>0.42964836472960466</v>
      </c>
      <c r="AW77" s="5">
        <f t="shared" si="202"/>
        <v>186.44359980566421</v>
      </c>
      <c r="AX77" s="5">
        <f t="shared" si="203"/>
        <v>0.69053185113208959</v>
      </c>
      <c r="AY77" s="5">
        <f t="shared" si="204"/>
        <v>1.3808275816946427</v>
      </c>
      <c r="AZ77" s="5"/>
      <c r="BA77" s="173">
        <f t="shared" si="278"/>
        <v>1.3011121217791344</v>
      </c>
      <c r="BB77" s="173">
        <f t="shared" si="205"/>
        <v>5.9963845740562309</v>
      </c>
      <c r="BC77" s="173">
        <f t="shared" si="206"/>
        <v>0.11425543580296332</v>
      </c>
      <c r="BD77" s="173"/>
      <c r="BE77" s="528">
        <f t="shared" si="207"/>
        <v>2.0653291591975331E-2</v>
      </c>
      <c r="BF77" s="528">
        <f t="shared" si="208"/>
        <v>0.69988696311923215</v>
      </c>
      <c r="BG77" s="528">
        <f t="shared" si="209"/>
        <v>0.14869820926183411</v>
      </c>
      <c r="BH77" s="528">
        <f t="shared" si="210"/>
        <v>4.736159144781605E-2</v>
      </c>
      <c r="BI77">
        <f t="shared" si="211"/>
        <v>1.0754464850529591E-2</v>
      </c>
      <c r="BJ77" s="460">
        <f t="shared" si="279"/>
        <v>159.4526741123637</v>
      </c>
      <c r="BK77">
        <f t="shared" si="212"/>
        <v>0.77729258221266262</v>
      </c>
      <c r="BL77" s="460">
        <f t="shared" si="280"/>
        <v>777.29258221266264</v>
      </c>
      <c r="BM77" s="173">
        <f t="shared" si="213"/>
        <v>2.6837999999999997</v>
      </c>
      <c r="BN77" s="173">
        <f t="shared" si="214"/>
        <v>3.1949999999999999E-2</v>
      </c>
      <c r="BO77" s="528"/>
      <c r="BQ77" s="460">
        <f t="shared" si="281"/>
        <v>2715.75</v>
      </c>
      <c r="BR77" s="528">
        <f t="shared" si="215"/>
        <v>5.0786782603218034E-2</v>
      </c>
      <c r="BS77" s="528">
        <f t="shared" si="216"/>
        <v>1.0786988387993859</v>
      </c>
      <c r="BT77" s="528">
        <f t="shared" si="217"/>
        <v>6.527152305262536E-5</v>
      </c>
      <c r="BU77" s="528">
        <f t="shared" si="218"/>
        <v>1.0708793003220336</v>
      </c>
      <c r="BV77" s="528">
        <f t="shared" si="219"/>
        <v>2.7170457211889527</v>
      </c>
      <c r="BW77" s="625">
        <f t="shared" si="220"/>
        <v>7.3547342559153281E-2</v>
      </c>
      <c r="BX77" s="460">
        <f t="shared" si="282"/>
        <v>2790.5930637481056</v>
      </c>
      <c r="BY77" s="173">
        <f t="shared" si="283"/>
        <v>6.2836356459607687</v>
      </c>
      <c r="BZ77" s="5">
        <f t="shared" si="284"/>
        <v>18.576000000000001</v>
      </c>
      <c r="CA77" s="173">
        <f t="shared" si="285"/>
        <v>0.74723540861783533</v>
      </c>
      <c r="CB77" s="5">
        <f t="shared" si="286"/>
        <v>74.723540861783533</v>
      </c>
      <c r="CC77">
        <f t="shared" si="287"/>
        <v>72.000000000000014</v>
      </c>
      <c r="CE77" s="562">
        <f t="shared" si="221"/>
        <v>-50</v>
      </c>
      <c r="CF77">
        <f t="shared" si="222"/>
        <v>-50</v>
      </c>
      <c r="CG77" s="173">
        <f t="shared" si="223"/>
        <v>0.56074766355140182</v>
      </c>
      <c r="CH77" s="173">
        <f t="shared" si="224"/>
        <v>0.15015627428311998</v>
      </c>
      <c r="CI77" s="170">
        <v>72</v>
      </c>
      <c r="CJ77" s="217">
        <f t="shared" si="309"/>
        <v>4.32</v>
      </c>
      <c r="CK77" s="217">
        <f t="shared" si="288"/>
        <v>7.1999999999999995E-2</v>
      </c>
      <c r="CL77" s="217">
        <f t="shared" si="225"/>
        <v>17.28</v>
      </c>
      <c r="CM77" s="217">
        <f t="shared" si="310"/>
        <v>1.2959999999999998</v>
      </c>
      <c r="CN77" s="541">
        <f t="shared" si="289"/>
        <v>24</v>
      </c>
      <c r="CO77" s="443">
        <f t="shared" si="226"/>
        <v>18.8</v>
      </c>
      <c r="CP77" s="443">
        <f t="shared" si="227"/>
        <v>42.8</v>
      </c>
      <c r="CQ77" s="443"/>
      <c r="CR77" s="217">
        <f t="shared" si="228"/>
        <v>0.43925233644859818</v>
      </c>
      <c r="CS77" s="172">
        <f t="shared" si="290"/>
        <v>32.688545968267775</v>
      </c>
      <c r="CT77" s="172">
        <f t="shared" si="229"/>
        <v>2.6355140186915893</v>
      </c>
      <c r="CU77" s="217">
        <f t="shared" si="230"/>
        <v>8.1721364920669437</v>
      </c>
      <c r="CV77" s="217">
        <f t="shared" si="231"/>
        <v>1.816030331570432</v>
      </c>
      <c r="CW77" s="443">
        <f t="shared" si="232"/>
        <v>4</v>
      </c>
      <c r="CX77" s="217">
        <f t="shared" si="233"/>
        <v>3.5241702127659567</v>
      </c>
      <c r="CY77" s="217">
        <f t="shared" si="234"/>
        <v>1.7620851063829785</v>
      </c>
      <c r="CZ77" s="217">
        <f t="shared" si="235"/>
        <v>2.2494703485740151</v>
      </c>
      <c r="DA77" s="197">
        <f t="shared" si="236"/>
        <v>350</v>
      </c>
      <c r="DB77" s="443">
        <f t="shared" si="291"/>
        <v>249.2798644386983</v>
      </c>
      <c r="DD77" s="217">
        <f t="shared" si="237"/>
        <v>2.5100133511348464</v>
      </c>
      <c r="DE77" s="173">
        <f t="shared" si="238"/>
        <v>1.6021361815754336</v>
      </c>
      <c r="DF77" s="173">
        <f t="shared" si="239"/>
        <v>2.8149682442633783</v>
      </c>
      <c r="DG77" s="173"/>
      <c r="DH77" s="173">
        <f t="shared" si="240"/>
        <v>0.85106382978723416</v>
      </c>
      <c r="DI77" s="545">
        <f t="shared" si="241"/>
        <v>1903.4999999999998</v>
      </c>
      <c r="DJ77" s="528">
        <f t="shared" si="242"/>
        <v>0.79432624113475192</v>
      </c>
      <c r="DL77" s="173">
        <f t="shared" si="243"/>
        <v>2.9741745553538523</v>
      </c>
      <c r="DM77" s="173">
        <f t="shared" si="244"/>
        <v>3.5241702127659567</v>
      </c>
      <c r="DN77" s="173">
        <f t="shared" si="245"/>
        <v>2.8228421329130544</v>
      </c>
      <c r="DP77" s="545">
        <f t="shared" si="246"/>
        <v>4320</v>
      </c>
      <c r="DQ77" s="460">
        <f t="shared" si="247"/>
        <v>249.2798644386983</v>
      </c>
      <c r="DS77">
        <f t="shared" si="292"/>
        <v>4320</v>
      </c>
      <c r="DT77">
        <f t="shared" si="248"/>
        <v>249.2798644386983</v>
      </c>
      <c r="DV77" s="5">
        <f t="shared" si="293"/>
        <v>4.0115554549569934</v>
      </c>
      <c r="DW77" s="5">
        <f t="shared" si="249"/>
        <v>1.7620851063829785</v>
      </c>
      <c r="DX77" s="5">
        <f t="shared" si="294"/>
        <v>2.2494703485740146</v>
      </c>
      <c r="DY77" s="173">
        <f t="shared" si="295"/>
        <v>0.43925233644859818</v>
      </c>
      <c r="EA77" s="5">
        <f t="shared" si="250"/>
        <v>190.3051914893617</v>
      </c>
      <c r="EB77" s="5">
        <f t="shared" si="251"/>
        <v>0.70483404255319149</v>
      </c>
      <c r="EC77" s="5">
        <f t="shared" si="252"/>
        <v>1.3496822091444087</v>
      </c>
      <c r="ED77" s="5"/>
      <c r="EE77" s="173">
        <f t="shared" si="296"/>
        <v>1.3485072598199959</v>
      </c>
      <c r="EF77" s="173">
        <f t="shared" si="253"/>
        <v>6.094526593235452</v>
      </c>
      <c r="EG77" s="173">
        <f t="shared" si="254"/>
        <v>0.11612543914137821</v>
      </c>
      <c r="EH77" s="173"/>
      <c r="EI77" s="528">
        <f t="shared" si="255"/>
        <v>2.2185356323404251E-2</v>
      </c>
      <c r="EJ77" s="528">
        <f t="shared" si="256"/>
        <v>0.752</v>
      </c>
      <c r="EK77" s="528">
        <f t="shared" si="257"/>
        <v>3.1159983054837286E-2</v>
      </c>
      <c r="EL77" s="528">
        <f t="shared" si="258"/>
        <v>4.5664082687338507E-2</v>
      </c>
      <c r="EM77">
        <f t="shared" si="259"/>
        <v>1.0800000000000001E-2</v>
      </c>
      <c r="EN77" s="460">
        <f t="shared" si="297"/>
        <v>41.959983054837288</v>
      </c>
      <c r="EO77">
        <f t="shared" si="260"/>
        <v>0.87239808855110546</v>
      </c>
      <c r="EP77" s="460">
        <f t="shared" si="298"/>
        <v>872.3980885511055</v>
      </c>
      <c r="EQ77" s="173">
        <f t="shared" si="261"/>
        <v>2.6837999999999997</v>
      </c>
      <c r="ER77" s="173">
        <f t="shared" si="262"/>
        <v>3.1949999999999999E-2</v>
      </c>
      <c r="ES77" s="528"/>
      <c r="EU77" s="460">
        <f t="shared" si="299"/>
        <v>2715.75</v>
      </c>
      <c r="EV77" s="528">
        <f t="shared" si="263"/>
        <v>5.4554154893617014E-2</v>
      </c>
      <c r="EW77" s="528">
        <f t="shared" si="300"/>
        <v>1.1142976318696236</v>
      </c>
      <c r="EX77" s="528">
        <f t="shared" si="264"/>
        <v>6.7425588078889675E-5</v>
      </c>
      <c r="EY77" s="528">
        <f t="shared" si="265"/>
        <v>1.1437475956681524</v>
      </c>
      <c r="EZ77" s="528">
        <f t="shared" si="266"/>
        <v>2.8607238219174178</v>
      </c>
      <c r="FA77" s="625">
        <f t="shared" si="267"/>
        <v>7.7399999999999983E-2</v>
      </c>
      <c r="FB77" s="460">
        <f t="shared" si="301"/>
        <v>2938.1238219174179</v>
      </c>
      <c r="FC77" s="173">
        <f t="shared" si="302"/>
        <v>6.5262719104685232</v>
      </c>
      <c r="FD77" s="5">
        <f t="shared" si="303"/>
        <v>18.576000000000001</v>
      </c>
      <c r="FE77" s="173">
        <f t="shared" si="304"/>
        <v>0.74001269949805459</v>
      </c>
      <c r="FF77" s="5">
        <f t="shared" si="305"/>
        <v>74.001269949805462</v>
      </c>
      <c r="FG77">
        <f t="shared" si="306"/>
        <v>72.000000000000014</v>
      </c>
      <c r="FI77" s="562">
        <f t="shared" si="268"/>
        <v>-50</v>
      </c>
      <c r="FJ77">
        <f t="shared" si="269"/>
        <v>-50</v>
      </c>
      <c r="FL77">
        <f t="shared" si="270"/>
        <v>0.56074766355140182</v>
      </c>
    </row>
    <row r="78" spans="5:168">
      <c r="E78" s="170">
        <v>73</v>
      </c>
      <c r="F78" s="217">
        <f t="shared" si="307"/>
        <v>4.38</v>
      </c>
      <c r="G78" s="217">
        <f t="shared" si="271"/>
        <v>7.2999999999999995E-2</v>
      </c>
      <c r="H78" s="217">
        <f t="shared" si="176"/>
        <v>17.52</v>
      </c>
      <c r="I78" s="217">
        <f t="shared" si="308"/>
        <v>1.3139999999999998</v>
      </c>
      <c r="J78" s="541">
        <f t="shared" si="177"/>
        <v>23.897405373106796</v>
      </c>
      <c r="K78" s="443">
        <f t="shared" si="178"/>
        <v>19.73732</v>
      </c>
      <c r="L78" s="172">
        <f t="shared" si="179"/>
        <v>43.634725373106797</v>
      </c>
      <c r="M78" s="443"/>
      <c r="N78" s="217">
        <f t="shared" si="180"/>
        <v>0.45233056542082922</v>
      </c>
      <c r="O78" s="172">
        <f t="shared" si="272"/>
        <v>33.517912820180335</v>
      </c>
      <c r="P78" s="172">
        <f t="shared" si="181"/>
        <v>2.7023817211270398</v>
      </c>
      <c r="Q78" s="217">
        <f t="shared" si="182"/>
        <v>8.3794782050450838</v>
      </c>
      <c r="R78" s="217">
        <f t="shared" si="183"/>
        <v>1.8621062677877964</v>
      </c>
      <c r="S78" s="443">
        <f t="shared" si="184"/>
        <v>4</v>
      </c>
      <c r="T78" s="217">
        <f t="shared" si="185"/>
        <v>3.484703854521559</v>
      </c>
      <c r="U78" s="217">
        <f t="shared" si="186"/>
        <v>1.7498320675983214</v>
      </c>
      <c r="V78" s="217">
        <f t="shared" si="187"/>
        <v>2.1186486440032746</v>
      </c>
      <c r="W78" s="197">
        <f t="shared" si="188"/>
        <v>350</v>
      </c>
      <c r="X78" s="443">
        <f t="shared" si="273"/>
        <v>245.79199728007077</v>
      </c>
      <c r="Z78" s="217">
        <f t="shared" si="189"/>
        <v>2.5736968772638473</v>
      </c>
      <c r="AA78" s="173">
        <f t="shared" si="190"/>
        <v>1.564769813083345</v>
      </c>
      <c r="AB78" s="173">
        <f t="shared" si="191"/>
        <v>2.8190702270985373</v>
      </c>
      <c r="AC78" s="173"/>
      <c r="AD78" s="173">
        <f t="shared" si="192"/>
        <v>0.81064703819971518</v>
      </c>
      <c r="AE78" s="545">
        <f t="shared" si="193"/>
        <v>2026.1592562499993</v>
      </c>
      <c r="AF78" s="528">
        <f t="shared" si="194"/>
        <v>0.75660390231973429</v>
      </c>
      <c r="AH78" s="173">
        <f t="shared" si="195"/>
        <v>2.9947573238196492</v>
      </c>
      <c r="AI78" s="173">
        <f t="shared" si="196"/>
        <v>3.484703854521559</v>
      </c>
      <c r="AJ78" s="173">
        <f t="shared" si="197"/>
        <v>2.7936077934727597</v>
      </c>
      <c r="AL78" s="545">
        <f t="shared" si="198"/>
        <v>4380</v>
      </c>
      <c r="AM78" s="460">
        <f t="shared" si="199"/>
        <v>245.79199728007077</v>
      </c>
      <c r="AO78">
        <f t="shared" si="274"/>
        <v>4380</v>
      </c>
      <c r="AP78">
        <f t="shared" si="200"/>
        <v>245.79199728007077</v>
      </c>
      <c r="AR78" s="5">
        <f t="shared" si="275"/>
        <v>4.0684807116015964</v>
      </c>
      <c r="AS78" s="5">
        <f t="shared" si="201"/>
        <v>1.7498320675983214</v>
      </c>
      <c r="AT78" s="5">
        <f t="shared" si="276"/>
        <v>2.3186486440032752</v>
      </c>
      <c r="AU78" s="173">
        <f t="shared" si="277"/>
        <v>0.43009471879970723</v>
      </c>
      <c r="AW78" s="5">
        <f t="shared" si="202"/>
        <v>191.6066114020162</v>
      </c>
      <c r="AX78" s="5">
        <f t="shared" si="203"/>
        <v>0.70965411630376374</v>
      </c>
      <c r="AY78" s="5">
        <f t="shared" si="204"/>
        <v>1.4165667642121444</v>
      </c>
      <c r="AZ78" s="5"/>
      <c r="BA78" s="173">
        <f t="shared" si="278"/>
        <v>1.3194328826846624</v>
      </c>
      <c r="BB78" s="173">
        <f t="shared" si="205"/>
        <v>6.0752839420013878</v>
      </c>
      <c r="BC78" s="173">
        <f t="shared" si="206"/>
        <v>0.11575878862462102</v>
      </c>
      <c r="BD78" s="173"/>
      <c r="BE78" s="528">
        <f t="shared" si="207"/>
        <v>2.1239018209296606E-2</v>
      </c>
      <c r="BF78" s="528">
        <f t="shared" si="208"/>
        <v>0.70075649768226389</v>
      </c>
      <c r="BG78" s="528">
        <f t="shared" si="209"/>
        <v>0.14684477491168535</v>
      </c>
      <c r="BH78" s="528">
        <f t="shared" si="210"/>
        <v>4.6798532261860634E-2</v>
      </c>
      <c r="BI78">
        <f t="shared" si="211"/>
        <v>1.0753832417898058E-2</v>
      </c>
      <c r="BJ78" s="460">
        <f t="shared" si="279"/>
        <v>157.59860732958342</v>
      </c>
      <c r="BK78">
        <f t="shared" si="212"/>
        <v>0.77845698116066209</v>
      </c>
      <c r="BL78" s="460">
        <f t="shared" si="280"/>
        <v>778.45698116066205</v>
      </c>
      <c r="BM78" s="173">
        <f t="shared" si="213"/>
        <v>2.7210749999999999</v>
      </c>
      <c r="BN78" s="173">
        <f t="shared" si="214"/>
        <v>3.2393749999999999E-2</v>
      </c>
      <c r="BO78" s="528"/>
      <c r="BQ78" s="460">
        <f t="shared" si="281"/>
        <v>2753.4687499999995</v>
      </c>
      <c r="BR78" s="528">
        <f t="shared" si="215"/>
        <v>5.2227093957286738E-2</v>
      </c>
      <c r="BS78" s="528">
        <f t="shared" si="216"/>
        <v>1.1072722492781977</v>
      </c>
      <c r="BT78" s="528">
        <f t="shared" si="217"/>
        <v>6.7000485719198453E-5</v>
      </c>
      <c r="BU78" s="528">
        <f t="shared" si="218"/>
        <v>1.0735049226213953</v>
      </c>
      <c r="BV78" s="528">
        <f t="shared" si="219"/>
        <v>2.7681560345856266</v>
      </c>
      <c r="BW78" s="625">
        <f t="shared" si="220"/>
        <v>7.4617294602689302E-2</v>
      </c>
      <c r="BX78" s="460">
        <f t="shared" si="282"/>
        <v>2842.773329188316</v>
      </c>
      <c r="BY78" s="173">
        <f t="shared" si="283"/>
        <v>6.3746990603489779</v>
      </c>
      <c r="BZ78" s="5">
        <f t="shared" si="284"/>
        <v>18.834</v>
      </c>
      <c r="CA78" s="173">
        <f t="shared" si="285"/>
        <v>0.74712304490255088</v>
      </c>
      <c r="CB78" s="5">
        <f t="shared" si="286"/>
        <v>74.712304490255093</v>
      </c>
      <c r="CC78">
        <f t="shared" si="287"/>
        <v>73</v>
      </c>
      <c r="CE78" s="562">
        <f t="shared" si="221"/>
        <v>-50</v>
      </c>
      <c r="CF78">
        <f t="shared" si="222"/>
        <v>-50</v>
      </c>
      <c r="CG78" s="173">
        <f t="shared" si="223"/>
        <v>0.56074766355140193</v>
      </c>
      <c r="CH78" s="173">
        <f t="shared" si="224"/>
        <v>0.15015627428311998</v>
      </c>
      <c r="CI78" s="170">
        <v>73</v>
      </c>
      <c r="CJ78" s="217">
        <f t="shared" si="309"/>
        <v>4.38</v>
      </c>
      <c r="CK78" s="217">
        <f t="shared" si="288"/>
        <v>7.2999999999999995E-2</v>
      </c>
      <c r="CL78" s="217">
        <f t="shared" si="225"/>
        <v>17.52</v>
      </c>
      <c r="CM78" s="217">
        <f t="shared" si="310"/>
        <v>1.3139999999999998</v>
      </c>
      <c r="CN78" s="541">
        <f t="shared" si="289"/>
        <v>24</v>
      </c>
      <c r="CO78" s="443">
        <f t="shared" si="226"/>
        <v>18.8</v>
      </c>
      <c r="CP78" s="443">
        <f t="shared" si="227"/>
        <v>42.8</v>
      </c>
      <c r="CQ78" s="443"/>
      <c r="CR78" s="217">
        <f t="shared" si="228"/>
        <v>0.43925233644859818</v>
      </c>
      <c r="CS78" s="172">
        <f t="shared" si="290"/>
        <v>32.688545968267775</v>
      </c>
      <c r="CT78" s="172">
        <f t="shared" si="229"/>
        <v>2.6355140186915893</v>
      </c>
      <c r="CU78" s="217">
        <f t="shared" si="230"/>
        <v>8.1721364920669437</v>
      </c>
      <c r="CV78" s="217">
        <f t="shared" si="231"/>
        <v>1.816030331570432</v>
      </c>
      <c r="CW78" s="443">
        <f t="shared" si="232"/>
        <v>4</v>
      </c>
      <c r="CX78" s="217">
        <f t="shared" si="233"/>
        <v>3.573117021276595</v>
      </c>
      <c r="CY78" s="217">
        <f t="shared" si="234"/>
        <v>1.7865585106382975</v>
      </c>
      <c r="CZ78" s="217">
        <f t="shared" si="235"/>
        <v>2.2807129923042093</v>
      </c>
      <c r="DA78" s="197">
        <f t="shared" si="236"/>
        <v>350</v>
      </c>
      <c r="DB78" s="443">
        <f t="shared" si="291"/>
        <v>245.86507177515449</v>
      </c>
      <c r="DD78" s="217">
        <f t="shared" si="237"/>
        <v>2.5100133511348464</v>
      </c>
      <c r="DE78" s="173">
        <f t="shared" si="238"/>
        <v>1.6021361815754336</v>
      </c>
      <c r="DF78" s="173">
        <f t="shared" si="239"/>
        <v>2.8149682442633783</v>
      </c>
      <c r="DG78" s="173"/>
      <c r="DH78" s="173">
        <f t="shared" si="240"/>
        <v>0.85106382978723416</v>
      </c>
      <c r="DI78" s="545">
        <f t="shared" si="241"/>
        <v>1929.9374999999993</v>
      </c>
      <c r="DJ78" s="528">
        <f t="shared" si="242"/>
        <v>0.79432624113475192</v>
      </c>
      <c r="DL78" s="173">
        <f t="shared" si="243"/>
        <v>2.9947573238196492</v>
      </c>
      <c r="DM78" s="173">
        <f t="shared" si="244"/>
        <v>3.573117021276595</v>
      </c>
      <c r="DN78" s="173">
        <f t="shared" si="245"/>
        <v>2.8590990281061197</v>
      </c>
      <c r="DP78" s="545">
        <f t="shared" si="246"/>
        <v>4380</v>
      </c>
      <c r="DQ78" s="460">
        <f t="shared" si="247"/>
        <v>245.86507177515449</v>
      </c>
      <c r="DS78">
        <f t="shared" si="292"/>
        <v>4380</v>
      </c>
      <c r="DT78">
        <f t="shared" si="248"/>
        <v>245.86507177515449</v>
      </c>
      <c r="DV78" s="5">
        <f t="shared" si="293"/>
        <v>4.0672715029425071</v>
      </c>
      <c r="DW78" s="5">
        <f t="shared" si="249"/>
        <v>1.7865585106382975</v>
      </c>
      <c r="DX78" s="5">
        <f t="shared" si="294"/>
        <v>2.2807129923042098</v>
      </c>
      <c r="DY78" s="173">
        <f t="shared" si="295"/>
        <v>0.43925233644859812</v>
      </c>
      <c r="EA78" s="5">
        <f t="shared" si="250"/>
        <v>195.62815691489357</v>
      </c>
      <c r="EB78" s="5">
        <f t="shared" si="251"/>
        <v>0.7245487293144206</v>
      </c>
      <c r="EC78" s="5">
        <f t="shared" si="252"/>
        <v>1.3874337369850607</v>
      </c>
      <c r="ED78" s="5"/>
      <c r="EE78" s="173">
        <f t="shared" si="296"/>
        <v>1.3672365273174956</v>
      </c>
      <c r="EF78" s="173">
        <f t="shared" si="253"/>
        <v>6.1791727959192784</v>
      </c>
      <c r="EG78" s="173">
        <f t="shared" si="254"/>
        <v>0.11773829246278626</v>
      </c>
      <c r="EH78" s="173"/>
      <c r="EI78" s="528">
        <f t="shared" si="255"/>
        <v>2.2805895803900696E-2</v>
      </c>
      <c r="EJ78" s="528">
        <f t="shared" si="256"/>
        <v>0.752</v>
      </c>
      <c r="EK78" s="528">
        <f t="shared" si="257"/>
        <v>3.0733133971894307E-2</v>
      </c>
      <c r="EL78" s="528">
        <f t="shared" si="258"/>
        <v>4.5038547308059895E-2</v>
      </c>
      <c r="EM78">
        <f t="shared" si="259"/>
        <v>1.0800000000000001E-2</v>
      </c>
      <c r="EN78" s="460">
        <f t="shared" si="297"/>
        <v>41.533133971894308</v>
      </c>
      <c r="EO78">
        <f t="shared" si="260"/>
        <v>0.87226167658792408</v>
      </c>
      <c r="EP78" s="460">
        <f t="shared" si="298"/>
        <v>872.26167658792406</v>
      </c>
      <c r="EQ78" s="173">
        <f t="shared" si="261"/>
        <v>2.7210749999999999</v>
      </c>
      <c r="ER78" s="173">
        <f t="shared" si="262"/>
        <v>3.2393749999999999E-2</v>
      </c>
      <c r="ES78" s="528"/>
      <c r="EU78" s="460">
        <f t="shared" si="299"/>
        <v>2753.4687499999995</v>
      </c>
      <c r="EV78" s="528">
        <f t="shared" si="263"/>
        <v>5.6080071648936143E-2</v>
      </c>
      <c r="EW78" s="528">
        <f t="shared" si="300"/>
        <v>1.1454652932548661</v>
      </c>
      <c r="EX78" s="528">
        <f t="shared" si="264"/>
        <v>6.9311527560262973E-5</v>
      </c>
      <c r="EY78" s="528">
        <f t="shared" si="265"/>
        <v>1.1437475956681515</v>
      </c>
      <c r="EZ78" s="528">
        <f t="shared" si="266"/>
        <v>2.9138564040529213</v>
      </c>
      <c r="FA78" s="625">
        <f t="shared" si="267"/>
        <v>7.8474999999999989E-2</v>
      </c>
      <c r="FB78" s="460">
        <f t="shared" si="301"/>
        <v>2992.3314040529212</v>
      </c>
      <c r="FC78" s="173">
        <f t="shared" si="302"/>
        <v>6.618061830640845</v>
      </c>
      <c r="FD78" s="5">
        <f t="shared" si="303"/>
        <v>18.834</v>
      </c>
      <c r="FE78" s="173">
        <f t="shared" si="304"/>
        <v>0.73997934333659399</v>
      </c>
      <c r="FF78" s="5">
        <f t="shared" si="305"/>
        <v>73.997934333659401</v>
      </c>
      <c r="FG78">
        <f t="shared" si="306"/>
        <v>73</v>
      </c>
      <c r="FI78" s="562">
        <f t="shared" si="268"/>
        <v>-50</v>
      </c>
      <c r="FJ78">
        <f t="shared" si="269"/>
        <v>-50</v>
      </c>
      <c r="FL78">
        <f t="shared" si="270"/>
        <v>0.56074766355140193</v>
      </c>
    </row>
    <row r="79" spans="5:168">
      <c r="E79" s="170">
        <v>74</v>
      </c>
      <c r="F79" s="217">
        <f t="shared" si="307"/>
        <v>4.4399999999999995</v>
      </c>
      <c r="G79" s="217">
        <f t="shared" si="271"/>
        <v>7.3999999999999996E-2</v>
      </c>
      <c r="H79" s="217">
        <f t="shared" si="176"/>
        <v>17.759999999999998</v>
      </c>
      <c r="I79" s="217">
        <f t="shared" si="308"/>
        <v>1.3319999999999999</v>
      </c>
      <c r="J79" s="541">
        <f t="shared" si="177"/>
        <v>23.895999967258945</v>
      </c>
      <c r="K79" s="443">
        <f t="shared" si="178"/>
        <v>19.750160000000001</v>
      </c>
      <c r="L79" s="172">
        <f t="shared" si="179"/>
        <v>43.646159967258946</v>
      </c>
      <c r="M79" s="443"/>
      <c r="N79" s="217">
        <f t="shared" si="180"/>
        <v>0.45250624602062434</v>
      </c>
      <c r="O79" s="172">
        <f t="shared" si="272"/>
        <v>33.528958884010251</v>
      </c>
      <c r="P79" s="172">
        <f t="shared" si="181"/>
        <v>2.7032723100233267</v>
      </c>
      <c r="Q79" s="217">
        <f t="shared" si="182"/>
        <v>8.3822397210025628</v>
      </c>
      <c r="R79" s="217">
        <f t="shared" si="183"/>
        <v>1.8627199380005695</v>
      </c>
      <c r="S79" s="443">
        <f t="shared" si="184"/>
        <v>4</v>
      </c>
      <c r="T79" s="217">
        <f t="shared" si="185"/>
        <v>3.5312757670046295</v>
      </c>
      <c r="U79" s="217">
        <f t="shared" si="186"/>
        <v>1.7733222824789086</v>
      </c>
      <c r="V79" s="217">
        <f t="shared" si="187"/>
        <v>2.1455678943388587</v>
      </c>
      <c r="W79" s="197">
        <f t="shared" si="188"/>
        <v>350</v>
      </c>
      <c r="X79" s="443">
        <f t="shared" si="273"/>
        <v>242.7838463934464</v>
      </c>
      <c r="Z79" s="217">
        <f t="shared" si="189"/>
        <v>2.5745450571650732</v>
      </c>
      <c r="AA79" s="173">
        <f t="shared" si="190"/>
        <v>1.564267868512502</v>
      </c>
      <c r="AB79" s="173">
        <f t="shared" si="191"/>
        <v>2.8190946762727043</v>
      </c>
      <c r="AC79" s="173"/>
      <c r="AD79" s="173">
        <f t="shared" si="192"/>
        <v>0.81012001928085653</v>
      </c>
      <c r="AE79" s="545">
        <f t="shared" si="193"/>
        <v>2055.2510249999991</v>
      </c>
      <c r="AF79" s="528">
        <f t="shared" si="194"/>
        <v>0.75611201799546623</v>
      </c>
      <c r="AH79" s="173">
        <f t="shared" si="195"/>
        <v>3.0151995906454636</v>
      </c>
      <c r="AI79" s="173">
        <f t="shared" si="196"/>
        <v>3.5312757670046295</v>
      </c>
      <c r="AJ79" s="173">
        <f t="shared" si="197"/>
        <v>2.8281055064231824</v>
      </c>
      <c r="AL79" s="545">
        <f t="shared" si="198"/>
        <v>4439.9999999999991</v>
      </c>
      <c r="AM79" s="460">
        <f t="shared" si="199"/>
        <v>242.7838463934464</v>
      </c>
      <c r="AO79">
        <f t="shared" si="274"/>
        <v>4439.9999999999991</v>
      </c>
      <c r="AP79">
        <f t="shared" si="200"/>
        <v>242.7838463934464</v>
      </c>
      <c r="AR79" s="5">
        <f t="shared" si="275"/>
        <v>4.118890176817767</v>
      </c>
      <c r="AS79" s="5">
        <f t="shared" si="201"/>
        <v>1.7733222824789086</v>
      </c>
      <c r="AT79" s="5">
        <f t="shared" si="276"/>
        <v>2.3455678943388585</v>
      </c>
      <c r="AU79" s="173">
        <f t="shared" si="277"/>
        <v>0.43053400463543506</v>
      </c>
      <c r="AW79" s="5">
        <f t="shared" si="202"/>
        <v>196.83877335515882</v>
      </c>
      <c r="AX79" s="5">
        <f t="shared" si="203"/>
        <v>0.72903249390799563</v>
      </c>
      <c r="AY79" s="5">
        <f t="shared" si="204"/>
        <v>1.4527286945002917</v>
      </c>
      <c r="AZ79" s="5"/>
      <c r="BA79" s="173">
        <f t="shared" si="278"/>
        <v>1.3377493116297856</v>
      </c>
      <c r="BB79" s="173">
        <f t="shared" si="205"/>
        <v>6.1541049196283018</v>
      </c>
      <c r="BC79" s="173">
        <f t="shared" si="206"/>
        <v>0.11726064779291764</v>
      </c>
      <c r="BD79" s="173"/>
      <c r="BE79" s="528">
        <f t="shared" si="207"/>
        <v>2.1832793293344772E-2</v>
      </c>
      <c r="BF79" s="528">
        <f t="shared" si="208"/>
        <v>0.7016147875949188</v>
      </c>
      <c r="BG79" s="528">
        <f t="shared" si="209"/>
        <v>0.14503906963671989</v>
      </c>
      <c r="BH79" s="528">
        <f t="shared" si="210"/>
        <v>4.6250013914169004E-2</v>
      </c>
      <c r="BI79">
        <f t="shared" si="211"/>
        <v>1.0753199985266524E-2</v>
      </c>
      <c r="BJ79" s="460">
        <f t="shared" si="279"/>
        <v>155.79226962198641</v>
      </c>
      <c r="BK79">
        <f t="shared" si="212"/>
        <v>0.77963679277993425</v>
      </c>
      <c r="BL79" s="460">
        <f t="shared" si="280"/>
        <v>779.63679277993424</v>
      </c>
      <c r="BM79" s="173">
        <f t="shared" si="213"/>
        <v>2.7583499999999996</v>
      </c>
      <c r="BN79" s="173">
        <f t="shared" si="214"/>
        <v>3.2837499999999999E-2</v>
      </c>
      <c r="BO79" s="528"/>
      <c r="BQ79" s="460">
        <f t="shared" si="281"/>
        <v>2791.1874999999995</v>
      </c>
      <c r="BR79" s="528">
        <f t="shared" si="215"/>
        <v>5.3687196622978953E-2</v>
      </c>
      <c r="BS79" s="528">
        <f t="shared" si="216"/>
        <v>1.1361902208537979</v>
      </c>
      <c r="BT79" s="528">
        <f t="shared" si="217"/>
        <v>6.8750297604073415E-5</v>
      </c>
      <c r="BU79" s="528">
        <f t="shared" si="218"/>
        <v>1.0760899086699396</v>
      </c>
      <c r="BV79" s="528">
        <f t="shared" si="219"/>
        <v>2.8200829042915987</v>
      </c>
      <c r="BW79" s="625">
        <f t="shared" si="220"/>
        <v>7.5687309003880279E-2</v>
      </c>
      <c r="BX79" s="460">
        <f t="shared" si="282"/>
        <v>2895.7702132954787</v>
      </c>
      <c r="BY79" s="173">
        <f t="shared" si="283"/>
        <v>6.4665945060754133</v>
      </c>
      <c r="BZ79" s="5">
        <f t="shared" si="284"/>
        <v>19.091999999999999</v>
      </c>
      <c r="CA79" s="173">
        <f t="shared" si="285"/>
        <v>0.74698943228125203</v>
      </c>
      <c r="CB79" s="5">
        <f t="shared" si="286"/>
        <v>74.698943228125202</v>
      </c>
      <c r="CC79">
        <f t="shared" si="287"/>
        <v>73.999999999999986</v>
      </c>
      <c r="CE79" s="562">
        <f t="shared" si="221"/>
        <v>-50</v>
      </c>
      <c r="CF79">
        <f t="shared" si="222"/>
        <v>-50</v>
      </c>
      <c r="CG79" s="173">
        <f t="shared" si="223"/>
        <v>0.56074766355140182</v>
      </c>
      <c r="CH79" s="173">
        <f t="shared" si="224"/>
        <v>0.15015627428311998</v>
      </c>
      <c r="CI79" s="170">
        <v>74</v>
      </c>
      <c r="CJ79" s="217">
        <f t="shared" si="309"/>
        <v>4.4399999999999995</v>
      </c>
      <c r="CK79" s="217">
        <f t="shared" si="288"/>
        <v>7.3999999999999996E-2</v>
      </c>
      <c r="CL79" s="217">
        <f t="shared" si="225"/>
        <v>17.759999999999998</v>
      </c>
      <c r="CM79" s="217">
        <f t="shared" si="310"/>
        <v>1.3319999999999999</v>
      </c>
      <c r="CN79" s="541">
        <f t="shared" si="289"/>
        <v>24</v>
      </c>
      <c r="CO79" s="443">
        <f t="shared" si="226"/>
        <v>18.8</v>
      </c>
      <c r="CP79" s="443">
        <f t="shared" si="227"/>
        <v>42.8</v>
      </c>
      <c r="CQ79" s="443"/>
      <c r="CR79" s="217">
        <f t="shared" si="228"/>
        <v>0.43925233644859818</v>
      </c>
      <c r="CS79" s="172">
        <f t="shared" si="290"/>
        <v>32.688545968267775</v>
      </c>
      <c r="CT79" s="172">
        <f t="shared" si="229"/>
        <v>2.6355140186915893</v>
      </c>
      <c r="CU79" s="217">
        <f t="shared" si="230"/>
        <v>8.1721364920669437</v>
      </c>
      <c r="CV79" s="217">
        <f t="shared" si="231"/>
        <v>1.816030331570432</v>
      </c>
      <c r="CW79" s="443">
        <f t="shared" si="232"/>
        <v>4</v>
      </c>
      <c r="CX79" s="217">
        <f t="shared" si="233"/>
        <v>3.622063829787233</v>
      </c>
      <c r="CY79" s="217">
        <f t="shared" si="234"/>
        <v>1.8110319148936167</v>
      </c>
      <c r="CZ79" s="217">
        <f t="shared" si="235"/>
        <v>2.311955636034404</v>
      </c>
      <c r="DA79" s="197">
        <f t="shared" si="236"/>
        <v>350</v>
      </c>
      <c r="DB79" s="443">
        <f t="shared" si="291"/>
        <v>242.54257080521998</v>
      </c>
      <c r="DD79" s="217">
        <f t="shared" si="237"/>
        <v>2.5100133511348464</v>
      </c>
      <c r="DE79" s="173">
        <f t="shared" si="238"/>
        <v>1.6021361815754336</v>
      </c>
      <c r="DF79" s="173">
        <f t="shared" si="239"/>
        <v>2.8149682442633783</v>
      </c>
      <c r="DG79" s="173"/>
      <c r="DH79" s="173">
        <f t="shared" si="240"/>
        <v>0.85106382978723416</v>
      </c>
      <c r="DI79" s="545">
        <f t="shared" si="241"/>
        <v>1956.3749999999993</v>
      </c>
      <c r="DJ79" s="528">
        <f t="shared" si="242"/>
        <v>0.79432624113475192</v>
      </c>
      <c r="DL79" s="173">
        <f t="shared" si="243"/>
        <v>3.0151995906454636</v>
      </c>
      <c r="DM79" s="173">
        <f t="shared" si="244"/>
        <v>3.622063829787233</v>
      </c>
      <c r="DN79" s="173">
        <f t="shared" si="245"/>
        <v>2.895355923299185</v>
      </c>
      <c r="DP79" s="545">
        <f t="shared" si="246"/>
        <v>4439.9999999999991</v>
      </c>
      <c r="DQ79" s="460">
        <f t="shared" si="247"/>
        <v>242.54257080521998</v>
      </c>
      <c r="DS79">
        <f t="shared" si="292"/>
        <v>4439.9999999999991</v>
      </c>
      <c r="DT79">
        <f t="shared" si="248"/>
        <v>242.54257080521998</v>
      </c>
      <c r="DV79" s="5">
        <f t="shared" si="293"/>
        <v>4.1229875509280207</v>
      </c>
      <c r="DW79" s="5">
        <f t="shared" si="249"/>
        <v>1.8110319148936167</v>
      </c>
      <c r="DX79" s="5">
        <f t="shared" si="294"/>
        <v>2.311955636034404</v>
      </c>
      <c r="DY79" s="173">
        <f t="shared" si="295"/>
        <v>0.43925233644859818</v>
      </c>
      <c r="EA79" s="5">
        <f t="shared" si="250"/>
        <v>201.02454255319142</v>
      </c>
      <c r="EB79" s="5">
        <f t="shared" si="251"/>
        <v>0.74453534278959799</v>
      </c>
      <c r="EC79" s="5">
        <f t="shared" si="252"/>
        <v>1.4257059755545487</v>
      </c>
      <c r="ED79" s="5"/>
      <c r="EE79" s="173">
        <f t="shared" si="296"/>
        <v>1.3859657948149955</v>
      </c>
      <c r="EF79" s="173">
        <f t="shared" si="253"/>
        <v>6.263818998603103</v>
      </c>
      <c r="EG79" s="173">
        <f t="shared" si="254"/>
        <v>0.11935114578419426</v>
      </c>
      <c r="EH79" s="173"/>
      <c r="EI79" s="528">
        <f t="shared" si="255"/>
        <v>2.3434994449645377E-2</v>
      </c>
      <c r="EJ79" s="528">
        <f t="shared" si="256"/>
        <v>0.75199999999999989</v>
      </c>
      <c r="EK79" s="528">
        <f t="shared" si="257"/>
        <v>3.0317821350652498E-2</v>
      </c>
      <c r="EL79" s="528">
        <f t="shared" si="258"/>
        <v>4.4429918290383418E-2</v>
      </c>
      <c r="EM79">
        <f t="shared" si="259"/>
        <v>1.0800000000000001E-2</v>
      </c>
      <c r="EN79" s="460">
        <f t="shared" si="297"/>
        <v>41.117821350652498</v>
      </c>
      <c r="EO79">
        <f t="shared" si="260"/>
        <v>0.87216654079905287</v>
      </c>
      <c r="EP79" s="460">
        <f t="shared" si="298"/>
        <v>872.16654079905288</v>
      </c>
      <c r="EQ79" s="173">
        <f t="shared" si="261"/>
        <v>2.7583499999999996</v>
      </c>
      <c r="ER79" s="173">
        <f t="shared" si="262"/>
        <v>3.2837499999999999E-2</v>
      </c>
      <c r="ES79" s="528"/>
      <c r="EU79" s="460">
        <f t="shared" si="299"/>
        <v>2791.1874999999995</v>
      </c>
      <c r="EV79" s="528">
        <f t="shared" si="263"/>
        <v>5.7627035531914866E-2</v>
      </c>
      <c r="EW79" s="528">
        <f t="shared" si="300"/>
        <v>1.1770628534178353</v>
      </c>
      <c r="EX79" s="528">
        <f t="shared" si="264"/>
        <v>7.1223479999999958E-5</v>
      </c>
      <c r="EY79" s="528">
        <f t="shared" si="265"/>
        <v>1.1437475956681535</v>
      </c>
      <c r="EZ79" s="528">
        <f t="shared" si="266"/>
        <v>2.9680366765595183</v>
      </c>
      <c r="FA79" s="625">
        <f t="shared" si="267"/>
        <v>7.9549999999999968E-2</v>
      </c>
      <c r="FB79" s="460">
        <f t="shared" si="301"/>
        <v>3047.5866765595183</v>
      </c>
      <c r="FC79" s="173">
        <f t="shared" si="302"/>
        <v>6.7109407173585707</v>
      </c>
      <c r="FD79" s="5">
        <f t="shared" si="303"/>
        <v>19.091999999999999</v>
      </c>
      <c r="FE79" s="173">
        <f t="shared" si="304"/>
        <v>0.73991566345599213</v>
      </c>
      <c r="FF79" s="5">
        <f t="shared" si="305"/>
        <v>73.99156634559921</v>
      </c>
      <c r="FG79">
        <f t="shared" si="306"/>
        <v>73.999999999999986</v>
      </c>
      <c r="FI79" s="562">
        <f t="shared" si="268"/>
        <v>-50</v>
      </c>
      <c r="FJ79">
        <f t="shared" si="269"/>
        <v>-50</v>
      </c>
      <c r="FL79">
        <f t="shared" si="270"/>
        <v>0.56074766355140182</v>
      </c>
    </row>
    <row r="80" spans="5:168">
      <c r="E80" s="170">
        <v>75</v>
      </c>
      <c r="F80" s="217">
        <f t="shared" si="307"/>
        <v>4.5</v>
      </c>
      <c r="G80" s="217">
        <f t="shared" si="271"/>
        <v>7.5000000000000011E-2</v>
      </c>
      <c r="H80" s="217">
        <f t="shared" si="176"/>
        <v>18</v>
      </c>
      <c r="I80" s="217">
        <f t="shared" si="308"/>
        <v>1.35</v>
      </c>
      <c r="J80" s="541">
        <f t="shared" si="177"/>
        <v>23.894594561411093</v>
      </c>
      <c r="K80" s="443">
        <f t="shared" si="178"/>
        <v>19.763000000000002</v>
      </c>
      <c r="L80" s="172">
        <f t="shared" si="179"/>
        <v>43.657594561411095</v>
      </c>
      <c r="M80" s="443"/>
      <c r="N80" s="217">
        <f t="shared" si="180"/>
        <v>0.45268183459352795</v>
      </c>
      <c r="O80" s="172">
        <f t="shared" si="272"/>
        <v>33.539996598226701</v>
      </c>
      <c r="P80" s="172">
        <f t="shared" si="181"/>
        <v>2.7041622257320275</v>
      </c>
      <c r="Q80" s="217">
        <f t="shared" si="182"/>
        <v>8.3849991495566751</v>
      </c>
      <c r="R80" s="217">
        <f t="shared" si="183"/>
        <v>1.8633331443459278</v>
      </c>
      <c r="S80" s="443">
        <f t="shared" si="184"/>
        <v>4</v>
      </c>
      <c r="T80" s="217">
        <f t="shared" si="185"/>
        <v>3.5778178941838226</v>
      </c>
      <c r="U80" s="217">
        <f t="shared" si="186"/>
        <v>1.7968003022550729</v>
      </c>
      <c r="V80" s="217">
        <f t="shared" si="187"/>
        <v>2.1724340803625899</v>
      </c>
      <c r="W80" s="197">
        <f t="shared" si="188"/>
        <v>350</v>
      </c>
      <c r="X80" s="443">
        <f t="shared" si="273"/>
        <v>239.85219064900537</v>
      </c>
      <c r="Z80" s="217">
        <f t="shared" si="189"/>
        <v>2.5753925959352642</v>
      </c>
      <c r="AA80" s="173">
        <f t="shared" si="190"/>
        <v>1.5637661868756345</v>
      </c>
      <c r="AB80" s="173">
        <f t="shared" si="191"/>
        <v>2.8191183016174004</v>
      </c>
      <c r="AC80" s="173"/>
      <c r="AD80" s="173">
        <f t="shared" si="192"/>
        <v>0.80959368516925567</v>
      </c>
      <c r="AE80" s="545">
        <f t="shared" si="193"/>
        <v>2084.3789062499995</v>
      </c>
      <c r="AF80" s="528">
        <f t="shared" si="194"/>
        <v>0.75562077282463869</v>
      </c>
      <c r="AH80" s="173">
        <f t="shared" si="195"/>
        <v>3.0355041944108256</v>
      </c>
      <c r="AI80" s="173">
        <f t="shared" si="196"/>
        <v>3.5778178941838226</v>
      </c>
      <c r="AJ80" s="173">
        <f t="shared" si="197"/>
        <v>2.8625811561855476</v>
      </c>
      <c r="AL80" s="545">
        <f t="shared" si="198"/>
        <v>4500</v>
      </c>
      <c r="AM80" s="460">
        <f t="shared" si="199"/>
        <v>239.85219064900537</v>
      </c>
      <c r="AO80">
        <f t="shared" si="274"/>
        <v>4500</v>
      </c>
      <c r="AP80">
        <f t="shared" si="200"/>
        <v>239.85219064900537</v>
      </c>
      <c r="AR80" s="5">
        <f t="shared" si="275"/>
        <v>4.1692343826176632</v>
      </c>
      <c r="AS80" s="5">
        <f t="shared" si="201"/>
        <v>1.7968003022550729</v>
      </c>
      <c r="AT80" s="5">
        <f t="shared" si="276"/>
        <v>2.3724340803625905</v>
      </c>
      <c r="AU80" s="173">
        <f t="shared" si="277"/>
        <v>0.43096648865467424</v>
      </c>
      <c r="AW80" s="5">
        <f t="shared" si="202"/>
        <v>202.14003400369572</v>
      </c>
      <c r="AX80" s="5">
        <f t="shared" si="203"/>
        <v>0.74866679260628044</v>
      </c>
      <c r="AY80" s="5">
        <f t="shared" si="204"/>
        <v>1.4893122004635218</v>
      </c>
      <c r="AZ80" s="5"/>
      <c r="BA80" s="173">
        <f t="shared" si="278"/>
        <v>1.3560614034266472</v>
      </c>
      <c r="BB80" s="173">
        <f t="shared" si="205"/>
        <v>6.2328477362445351</v>
      </c>
      <c r="BC80" s="173">
        <f t="shared" si="206"/>
        <v>0.11876101767709182</v>
      </c>
      <c r="BD80" s="173"/>
      <c r="BE80" s="528">
        <f t="shared" si="207"/>
        <v>2.2434610864334063E-2</v>
      </c>
      <c r="BF80" s="528">
        <f t="shared" si="208"/>
        <v>0.70246226002276724</v>
      </c>
      <c r="BG80" s="528">
        <f t="shared" si="209"/>
        <v>0.14327927125560649</v>
      </c>
      <c r="BH80" s="528">
        <f t="shared" si="210"/>
        <v>4.5715481260419674E-2</v>
      </c>
      <c r="BI80">
        <f t="shared" si="211"/>
        <v>1.0752567552634991E-2</v>
      </c>
      <c r="BJ80" s="460">
        <f t="shared" si="279"/>
        <v>154.03183880824147</v>
      </c>
      <c r="BK80">
        <f t="shared" si="212"/>
        <v>0.78083189301856226</v>
      </c>
      <c r="BL80" s="460">
        <f t="shared" si="280"/>
        <v>780.83189301856225</v>
      </c>
      <c r="BM80" s="173">
        <f t="shared" si="213"/>
        <v>2.7956249999999998</v>
      </c>
      <c r="BN80" s="173">
        <f t="shared" si="214"/>
        <v>3.3281250000000005E-2</v>
      </c>
      <c r="BO80" s="528"/>
      <c r="BQ80" s="460">
        <f t="shared" si="281"/>
        <v>2828.9062499999995</v>
      </c>
      <c r="BR80" s="528">
        <f t="shared" si="215"/>
        <v>5.5167075895903431E-2</v>
      </c>
      <c r="BS80" s="528">
        <f t="shared" si="216"/>
        <v>1.1654517270962588</v>
      </c>
      <c r="BT80" s="528">
        <f t="shared" si="217"/>
        <v>7.0520896598492589E-5</v>
      </c>
      <c r="BU80" s="528">
        <f t="shared" si="218"/>
        <v>1.0786357425772566</v>
      </c>
      <c r="BV80" s="528">
        <f t="shared" si="219"/>
        <v>2.872837909422961</v>
      </c>
      <c r="BW80" s="625">
        <f t="shared" si="220"/>
        <v>7.6757383425784781E-2</v>
      </c>
      <c r="BX80" s="460">
        <f t="shared" si="282"/>
        <v>2949.5952928487459</v>
      </c>
      <c r="BY80" s="173">
        <f t="shared" si="283"/>
        <v>6.5593334358673081</v>
      </c>
      <c r="BZ80" s="5">
        <f t="shared" si="284"/>
        <v>19.350000000000001</v>
      </c>
      <c r="CA80" s="173">
        <f t="shared" si="285"/>
        <v>0.74683511437669925</v>
      </c>
      <c r="CB80" s="5">
        <f t="shared" si="286"/>
        <v>74.683511437669921</v>
      </c>
      <c r="CC80">
        <f t="shared" si="287"/>
        <v>75</v>
      </c>
      <c r="CE80" s="562">
        <f t="shared" si="221"/>
        <v>-50</v>
      </c>
      <c r="CF80">
        <f t="shared" si="222"/>
        <v>-50</v>
      </c>
      <c r="CG80" s="173">
        <f t="shared" si="223"/>
        <v>0.56074766355140171</v>
      </c>
      <c r="CH80" s="173">
        <f t="shared" si="224"/>
        <v>0.15015627428312001</v>
      </c>
      <c r="CI80" s="170">
        <v>75</v>
      </c>
      <c r="CJ80" s="217">
        <f t="shared" si="309"/>
        <v>4.5</v>
      </c>
      <c r="CK80" s="217">
        <f t="shared" si="288"/>
        <v>7.5000000000000011E-2</v>
      </c>
      <c r="CL80" s="217">
        <f t="shared" si="225"/>
        <v>18</v>
      </c>
      <c r="CM80" s="217">
        <f t="shared" si="310"/>
        <v>1.35</v>
      </c>
      <c r="CN80" s="541">
        <f t="shared" si="289"/>
        <v>24</v>
      </c>
      <c r="CO80" s="443">
        <f t="shared" si="226"/>
        <v>18.8</v>
      </c>
      <c r="CP80" s="443">
        <f t="shared" si="227"/>
        <v>42.8</v>
      </c>
      <c r="CQ80" s="443"/>
      <c r="CR80" s="217">
        <f t="shared" si="228"/>
        <v>0.43925233644859818</v>
      </c>
      <c r="CS80" s="172">
        <f t="shared" si="290"/>
        <v>32.688545968267775</v>
      </c>
      <c r="CT80" s="172">
        <f t="shared" si="229"/>
        <v>2.6355140186915893</v>
      </c>
      <c r="CU80" s="217">
        <f t="shared" si="230"/>
        <v>8.1721364920669437</v>
      </c>
      <c r="CV80" s="217">
        <f t="shared" si="231"/>
        <v>1.816030331570432</v>
      </c>
      <c r="CW80" s="443">
        <f t="shared" si="232"/>
        <v>4</v>
      </c>
      <c r="CX80" s="217">
        <f t="shared" si="233"/>
        <v>3.6710106382978718</v>
      </c>
      <c r="CY80" s="217">
        <f t="shared" si="234"/>
        <v>1.8355053191489361</v>
      </c>
      <c r="CZ80" s="217">
        <f t="shared" si="235"/>
        <v>2.3431982797645987</v>
      </c>
      <c r="DA80" s="197">
        <f t="shared" si="236"/>
        <v>350</v>
      </c>
      <c r="DB80" s="443">
        <f t="shared" si="291"/>
        <v>239.30866986115041</v>
      </c>
      <c r="DD80" s="217">
        <f t="shared" si="237"/>
        <v>2.5100133511348464</v>
      </c>
      <c r="DE80" s="173">
        <f t="shared" si="238"/>
        <v>1.6021361815754336</v>
      </c>
      <c r="DF80" s="173">
        <f t="shared" si="239"/>
        <v>2.8149682442633783</v>
      </c>
      <c r="DG80" s="173"/>
      <c r="DH80" s="173">
        <f t="shared" si="240"/>
        <v>0.85106382978723416</v>
      </c>
      <c r="DI80" s="545">
        <f t="shared" si="241"/>
        <v>1982.8124999999993</v>
      </c>
      <c r="DJ80" s="528">
        <f t="shared" si="242"/>
        <v>0.79432624113475192</v>
      </c>
      <c r="DL80" s="173">
        <f t="shared" si="243"/>
        <v>3.0355041944108256</v>
      </c>
      <c r="DM80" s="173">
        <f t="shared" si="244"/>
        <v>3.6710106382978718</v>
      </c>
      <c r="DN80" s="173">
        <f t="shared" si="245"/>
        <v>2.9316128184922503</v>
      </c>
      <c r="DP80" s="545">
        <f t="shared" si="246"/>
        <v>4500</v>
      </c>
      <c r="DQ80" s="460">
        <f t="shared" si="247"/>
        <v>239.30866986115041</v>
      </c>
      <c r="DS80">
        <f t="shared" si="292"/>
        <v>4500</v>
      </c>
      <c r="DT80">
        <f t="shared" si="248"/>
        <v>239.30866986115041</v>
      </c>
      <c r="DV80" s="5">
        <f t="shared" si="293"/>
        <v>4.1787035989135344</v>
      </c>
      <c r="DW80" s="5">
        <f t="shared" si="249"/>
        <v>1.8355053191489361</v>
      </c>
      <c r="DX80" s="5">
        <f t="shared" si="294"/>
        <v>2.3431982797645983</v>
      </c>
      <c r="DY80" s="173">
        <f t="shared" si="295"/>
        <v>0.43925233644859824</v>
      </c>
      <c r="EA80" s="5">
        <f t="shared" si="250"/>
        <v>206.49434840425531</v>
      </c>
      <c r="EB80" s="5">
        <f t="shared" si="251"/>
        <v>0.76479388297872353</v>
      </c>
      <c r="EC80" s="5">
        <f t="shared" si="252"/>
        <v>1.4644989248528737</v>
      </c>
      <c r="ED80" s="5"/>
      <c r="EE80" s="173">
        <f t="shared" si="296"/>
        <v>1.4046950623124956</v>
      </c>
      <c r="EF80" s="173">
        <f t="shared" si="253"/>
        <v>6.3484652012869285</v>
      </c>
      <c r="EG80" s="173">
        <f t="shared" si="254"/>
        <v>0.12096399910560229</v>
      </c>
      <c r="EH80" s="173"/>
      <c r="EI80" s="528">
        <f t="shared" si="255"/>
        <v>2.4072652260638292E-2</v>
      </c>
      <c r="EJ80" s="528">
        <f t="shared" si="256"/>
        <v>0.752</v>
      </c>
      <c r="EK80" s="528">
        <f t="shared" si="257"/>
        <v>2.9913583732643797E-2</v>
      </c>
      <c r="EL80" s="528">
        <f t="shared" si="258"/>
        <v>4.3837519379844973E-2</v>
      </c>
      <c r="EM80">
        <f t="shared" si="259"/>
        <v>1.0800000000000001E-2</v>
      </c>
      <c r="EN80" s="460">
        <f t="shared" si="297"/>
        <v>40.713583732643798</v>
      </c>
      <c r="EO80">
        <f t="shared" si="260"/>
        <v>0.87211155495863224</v>
      </c>
      <c r="EP80" s="460">
        <f t="shared" si="298"/>
        <v>872.11155495863227</v>
      </c>
      <c r="EQ80" s="173">
        <f t="shared" si="261"/>
        <v>2.7956249999999998</v>
      </c>
      <c r="ER80" s="173">
        <f t="shared" si="262"/>
        <v>3.3281250000000005E-2</v>
      </c>
      <c r="ES80" s="528"/>
      <c r="EU80" s="460">
        <f t="shared" si="299"/>
        <v>2828.9062499999995</v>
      </c>
      <c r="EV80" s="528">
        <f t="shared" si="263"/>
        <v>5.9195046542553177E-2</v>
      </c>
      <c r="EW80" s="528">
        <f t="shared" si="300"/>
        <v>1.2090903123585324</v>
      </c>
      <c r="EX80" s="528">
        <f t="shared" si="264"/>
        <v>7.3161445398100766E-5</v>
      </c>
      <c r="EY80" s="528">
        <f t="shared" si="265"/>
        <v>1.1437475956681533</v>
      </c>
      <c r="EZ80" s="528">
        <f t="shared" si="266"/>
        <v>3.0232804414862726</v>
      </c>
      <c r="FA80" s="625">
        <f t="shared" si="267"/>
        <v>8.0625000000000002E-2</v>
      </c>
      <c r="FB80" s="460">
        <f t="shared" si="301"/>
        <v>3103.9054414862726</v>
      </c>
      <c r="FC80" s="173">
        <f t="shared" si="302"/>
        <v>6.804923246444905</v>
      </c>
      <c r="FD80" s="5">
        <f t="shared" si="303"/>
        <v>19.350000000000001</v>
      </c>
      <c r="FE80" s="173">
        <f t="shared" si="304"/>
        <v>0.73982247310284655</v>
      </c>
      <c r="FF80" s="5">
        <f t="shared" si="305"/>
        <v>73.982247310284649</v>
      </c>
      <c r="FG80">
        <f t="shared" si="306"/>
        <v>75</v>
      </c>
      <c r="FI80" s="562">
        <f t="shared" si="268"/>
        <v>-50</v>
      </c>
      <c r="FJ80">
        <f t="shared" si="269"/>
        <v>-50</v>
      </c>
      <c r="FL80">
        <f t="shared" si="270"/>
        <v>0.56074766355140171</v>
      </c>
    </row>
    <row r="81" spans="5:168">
      <c r="E81" s="170">
        <v>76</v>
      </c>
      <c r="F81" s="217">
        <f t="shared" si="307"/>
        <v>4.5600000000000005</v>
      </c>
      <c r="G81" s="217">
        <f t="shared" si="271"/>
        <v>7.6000000000000012E-2</v>
      </c>
      <c r="H81" s="217">
        <f t="shared" si="176"/>
        <v>18.240000000000002</v>
      </c>
      <c r="I81" s="217">
        <f t="shared" si="308"/>
        <v>1.3680000000000003</v>
      </c>
      <c r="J81" s="541">
        <f t="shared" si="177"/>
        <v>23.893189155563242</v>
      </c>
      <c r="K81" s="443">
        <f t="shared" si="178"/>
        <v>19.775840000000002</v>
      </c>
      <c r="L81" s="172">
        <f t="shared" si="179"/>
        <v>43.669029155563244</v>
      </c>
      <c r="M81" s="443"/>
      <c r="N81" s="217">
        <f t="shared" si="180"/>
        <v>0.45285733121183086</v>
      </c>
      <c r="O81" s="172">
        <f t="shared" si="272"/>
        <v>33.551025969388618</v>
      </c>
      <c r="P81" s="172">
        <f t="shared" si="181"/>
        <v>2.7050514687819569</v>
      </c>
      <c r="Q81" s="217">
        <f t="shared" si="182"/>
        <v>8.3877564923471546</v>
      </c>
      <c r="R81" s="217">
        <f t="shared" si="183"/>
        <v>1.8639458871882566</v>
      </c>
      <c r="S81" s="443">
        <f t="shared" si="184"/>
        <v>4</v>
      </c>
      <c r="T81" s="217">
        <f t="shared" si="185"/>
        <v>3.6243302994950377</v>
      </c>
      <c r="U81" s="217">
        <f t="shared" si="186"/>
        <v>1.8202661566345935</v>
      </c>
      <c r="V81" s="217">
        <f t="shared" si="187"/>
        <v>2.1992473439277647</v>
      </c>
      <c r="W81" s="197">
        <f t="shared" si="188"/>
        <v>350</v>
      </c>
      <c r="X81" s="443">
        <f t="shared" si="273"/>
        <v>236.99414633149638</v>
      </c>
      <c r="Z81" s="217">
        <f t="shared" si="189"/>
        <v>2.5762394940780542</v>
      </c>
      <c r="AA81" s="173">
        <f t="shared" si="190"/>
        <v>1.5632647679661977</v>
      </c>
      <c r="AB81" s="173">
        <f t="shared" si="191"/>
        <v>2.8191411044546983</v>
      </c>
      <c r="AC81" s="173"/>
      <c r="AD81" s="173">
        <f t="shared" si="192"/>
        <v>0.80906803453102383</v>
      </c>
      <c r="AE81" s="545">
        <f t="shared" si="193"/>
        <v>2113.5428999999995</v>
      </c>
      <c r="AF81" s="528">
        <f t="shared" si="194"/>
        <v>0.75513016556228907</v>
      </c>
      <c r="AH81" s="173">
        <f t="shared" si="195"/>
        <v>3.0556738793828861</v>
      </c>
      <c r="AI81" s="173">
        <f t="shared" si="196"/>
        <v>3.6243302994950377</v>
      </c>
      <c r="AJ81" s="173">
        <f t="shared" si="197"/>
        <v>2.8970347897494104</v>
      </c>
      <c r="AL81" s="545">
        <f t="shared" si="198"/>
        <v>4560.0000000000009</v>
      </c>
      <c r="AM81" s="460">
        <f t="shared" si="199"/>
        <v>236.99414633149638</v>
      </c>
      <c r="AO81">
        <f t="shared" si="274"/>
        <v>4560.0000000000009</v>
      </c>
      <c r="AP81">
        <f t="shared" si="200"/>
        <v>236.99414633149638</v>
      </c>
      <c r="AR81" s="5">
        <f t="shared" si="275"/>
        <v>4.2195135005623587</v>
      </c>
      <c r="AS81" s="5">
        <f t="shared" si="201"/>
        <v>1.8202661566345935</v>
      </c>
      <c r="AT81" s="5">
        <f t="shared" si="276"/>
        <v>2.3992473439277653</v>
      </c>
      <c r="AU81" s="173">
        <f t="shared" si="277"/>
        <v>0.43139242388772925</v>
      </c>
      <c r="AW81" s="5">
        <f t="shared" si="202"/>
        <v>207.51034185634367</v>
      </c>
      <c r="AX81" s="5">
        <f t="shared" si="203"/>
        <v>0.76855682169016171</v>
      </c>
      <c r="AY81" s="5">
        <f t="shared" si="204"/>
        <v>1.5263161141973702</v>
      </c>
      <c r="AZ81" s="5"/>
      <c r="BA81" s="173">
        <f t="shared" si="278"/>
        <v>1.3743691536639435</v>
      </c>
      <c r="BB81" s="173">
        <f t="shared" si="205"/>
        <v>6.3115126166750057</v>
      </c>
      <c r="BC81" s="173">
        <f t="shared" si="206"/>
        <v>0.12025990256096969</v>
      </c>
      <c r="BD81" s="173"/>
      <c r="BE81" s="528">
        <f t="shared" si="207"/>
        <v>2.3044464960623921E-2</v>
      </c>
      <c r="BF81" s="528">
        <f t="shared" si="208"/>
        <v>0.70329932066048506</v>
      </c>
      <c r="BG81" s="528">
        <f t="shared" si="209"/>
        <v>0.14156364917649192</v>
      </c>
      <c r="BH81" s="528">
        <f t="shared" si="210"/>
        <v>4.5194407059848923E-2</v>
      </c>
      <c r="BI81">
        <f t="shared" si="211"/>
        <v>1.0751935120003459E-2</v>
      </c>
      <c r="BJ81" s="460">
        <f t="shared" si="279"/>
        <v>152.31558429649539</v>
      </c>
      <c r="BK81">
        <f t="shared" si="212"/>
        <v>0.78204216441787078</v>
      </c>
      <c r="BL81" s="460">
        <f t="shared" si="280"/>
        <v>782.04216441787082</v>
      </c>
      <c r="BM81" s="173">
        <f t="shared" si="213"/>
        <v>2.8329</v>
      </c>
      <c r="BN81" s="173">
        <f t="shared" si="214"/>
        <v>3.3725000000000005E-2</v>
      </c>
      <c r="BO81" s="528"/>
      <c r="BQ81" s="460">
        <f t="shared" si="281"/>
        <v>2866.625</v>
      </c>
      <c r="BR81" s="528">
        <f t="shared" si="215"/>
        <v>5.6666717116288332E-2</v>
      </c>
      <c r="BS81" s="528">
        <f t="shared" si="216"/>
        <v>1.1950557453134334</v>
      </c>
      <c r="BT81" s="528">
        <f t="shared" si="217"/>
        <v>7.2312220819869627E-5</v>
      </c>
      <c r="BU81" s="528">
        <f t="shared" si="218"/>
        <v>1.0811438366429711</v>
      </c>
      <c r="BV81" s="528">
        <f t="shared" si="219"/>
        <v>2.9264328224503799</v>
      </c>
      <c r="BW81" s="625">
        <f t="shared" si="220"/>
        <v>7.7827515648943385E-2</v>
      </c>
      <c r="BX81" s="460">
        <f t="shared" si="282"/>
        <v>3004.2603380993232</v>
      </c>
      <c r="BY81" s="173">
        <f t="shared" si="283"/>
        <v>6.6529275025171941</v>
      </c>
      <c r="BZ81" s="5">
        <f t="shared" si="284"/>
        <v>19.608000000000004</v>
      </c>
      <c r="CA81" s="173">
        <f t="shared" si="285"/>
        <v>0.74666060435681536</v>
      </c>
      <c r="CB81" s="5">
        <f t="shared" si="286"/>
        <v>74.66606043568153</v>
      </c>
      <c r="CC81">
        <f t="shared" si="287"/>
        <v>76.000000000000014</v>
      </c>
      <c r="CE81" s="562">
        <f t="shared" si="221"/>
        <v>-50</v>
      </c>
      <c r="CF81">
        <f t="shared" si="222"/>
        <v>-50</v>
      </c>
      <c r="CG81" s="173">
        <f t="shared" si="223"/>
        <v>0.56074766355140193</v>
      </c>
      <c r="CH81" s="173">
        <f t="shared" si="224"/>
        <v>0.15015627428312001</v>
      </c>
      <c r="CI81" s="170">
        <v>76</v>
      </c>
      <c r="CJ81" s="217">
        <f t="shared" si="309"/>
        <v>4.5600000000000005</v>
      </c>
      <c r="CK81" s="217">
        <f t="shared" si="288"/>
        <v>7.6000000000000012E-2</v>
      </c>
      <c r="CL81" s="217">
        <f t="shared" si="225"/>
        <v>18.240000000000002</v>
      </c>
      <c r="CM81" s="217">
        <f t="shared" si="310"/>
        <v>1.3680000000000003</v>
      </c>
      <c r="CN81" s="541">
        <f t="shared" si="289"/>
        <v>24</v>
      </c>
      <c r="CO81" s="443">
        <f t="shared" si="226"/>
        <v>18.8</v>
      </c>
      <c r="CP81" s="443">
        <f t="shared" si="227"/>
        <v>42.8</v>
      </c>
      <c r="CQ81" s="443"/>
      <c r="CR81" s="217">
        <f t="shared" si="228"/>
        <v>0.43925233644859818</v>
      </c>
      <c r="CS81" s="172">
        <f t="shared" si="290"/>
        <v>32.688545968267775</v>
      </c>
      <c r="CT81" s="172">
        <f t="shared" si="229"/>
        <v>2.6355140186915893</v>
      </c>
      <c r="CU81" s="217">
        <f t="shared" si="230"/>
        <v>8.1721364920669437</v>
      </c>
      <c r="CV81" s="217">
        <f t="shared" si="231"/>
        <v>1.816030331570432</v>
      </c>
      <c r="CW81" s="443">
        <f t="shared" si="232"/>
        <v>4</v>
      </c>
      <c r="CX81" s="217">
        <f t="shared" si="233"/>
        <v>3.7199574468085106</v>
      </c>
      <c r="CY81" s="217">
        <f t="shared" si="234"/>
        <v>1.8599787234042551</v>
      </c>
      <c r="CZ81" s="217">
        <f t="shared" si="235"/>
        <v>2.3744409234947939</v>
      </c>
      <c r="DA81" s="197">
        <f t="shared" si="236"/>
        <v>350</v>
      </c>
      <c r="DB81" s="443">
        <f t="shared" si="291"/>
        <v>236.15987157350364</v>
      </c>
      <c r="DD81" s="217">
        <f t="shared" si="237"/>
        <v>2.5100133511348464</v>
      </c>
      <c r="DE81" s="173">
        <f t="shared" si="238"/>
        <v>1.6021361815754336</v>
      </c>
      <c r="DF81" s="173">
        <f t="shared" si="239"/>
        <v>2.8149682442633783</v>
      </c>
      <c r="DG81" s="173"/>
      <c r="DH81" s="173">
        <f t="shared" si="240"/>
        <v>0.85106382978723416</v>
      </c>
      <c r="DI81" s="545">
        <f t="shared" si="241"/>
        <v>2009.2499999999998</v>
      </c>
      <c r="DJ81" s="528">
        <f t="shared" si="242"/>
        <v>0.79432624113475192</v>
      </c>
      <c r="DL81" s="173">
        <f t="shared" si="243"/>
        <v>3.0556738793828861</v>
      </c>
      <c r="DM81" s="173">
        <f t="shared" si="244"/>
        <v>3.7199574468085106</v>
      </c>
      <c r="DN81" s="173">
        <f t="shared" si="245"/>
        <v>2.9678697136853165</v>
      </c>
      <c r="DP81" s="545">
        <f t="shared" si="246"/>
        <v>4560.0000000000009</v>
      </c>
      <c r="DQ81" s="460">
        <f t="shared" si="247"/>
        <v>236.15987157350364</v>
      </c>
      <c r="DS81">
        <f t="shared" si="292"/>
        <v>4560.0000000000009</v>
      </c>
      <c r="DT81">
        <f t="shared" si="248"/>
        <v>236.15987157350364</v>
      </c>
      <c r="DV81" s="5">
        <f t="shared" si="293"/>
        <v>4.2344196468990489</v>
      </c>
      <c r="DW81" s="5">
        <f t="shared" si="249"/>
        <v>1.8599787234042551</v>
      </c>
      <c r="DX81" s="5">
        <f t="shared" si="294"/>
        <v>2.3744409234947939</v>
      </c>
      <c r="DY81" s="173">
        <f t="shared" si="295"/>
        <v>0.43925233644859812</v>
      </c>
      <c r="EA81" s="5">
        <f t="shared" si="250"/>
        <v>212.03757446808507</v>
      </c>
      <c r="EB81" s="5">
        <f t="shared" si="251"/>
        <v>0.78532434988179667</v>
      </c>
      <c r="EC81" s="5">
        <f t="shared" si="252"/>
        <v>1.5038125848800361</v>
      </c>
      <c r="ED81" s="5"/>
      <c r="EE81" s="173">
        <f t="shared" si="296"/>
        <v>1.4234243298099956</v>
      </c>
      <c r="EF81" s="173">
        <f t="shared" si="253"/>
        <v>6.4331114039707566</v>
      </c>
      <c r="EG81" s="173">
        <f t="shared" si="254"/>
        <v>0.12257685242701037</v>
      </c>
      <c r="EH81" s="173"/>
      <c r="EI81" s="528">
        <f t="shared" si="255"/>
        <v>2.4718869236879423E-2</v>
      </c>
      <c r="EJ81" s="528">
        <f t="shared" si="256"/>
        <v>0.752</v>
      </c>
      <c r="EK81" s="528">
        <f t="shared" si="257"/>
        <v>2.9519983946687953E-2</v>
      </c>
      <c r="EL81" s="528">
        <f t="shared" si="258"/>
        <v>4.3260709914320683E-2</v>
      </c>
      <c r="EM81">
        <f t="shared" si="259"/>
        <v>1.0800000000000001E-2</v>
      </c>
      <c r="EN81" s="460">
        <f t="shared" si="297"/>
        <v>40.319983946687955</v>
      </c>
      <c r="EO81">
        <f t="shared" si="260"/>
        <v>0.87209565288504387</v>
      </c>
      <c r="EP81" s="460">
        <f t="shared" si="298"/>
        <v>872.09565288504382</v>
      </c>
      <c r="EQ81" s="173">
        <f t="shared" si="261"/>
        <v>2.8329</v>
      </c>
      <c r="ER81" s="173">
        <f t="shared" si="262"/>
        <v>3.3725000000000005E-2</v>
      </c>
      <c r="ES81" s="528"/>
      <c r="EU81" s="460">
        <f t="shared" si="299"/>
        <v>2866.625</v>
      </c>
      <c r="EV81" s="528">
        <f t="shared" si="263"/>
        <v>6.0784104680851048E-2</v>
      </c>
      <c r="EW81" s="528">
        <f t="shared" si="300"/>
        <v>1.2415476700769579</v>
      </c>
      <c r="EX81" s="528">
        <f t="shared" si="264"/>
        <v>7.5125423754565383E-5</v>
      </c>
      <c r="EY81" s="528">
        <f t="shared" si="265"/>
        <v>1.1437475956681524</v>
      </c>
      <c r="EZ81" s="528">
        <f t="shared" si="266"/>
        <v>3.0796039462467411</v>
      </c>
      <c r="FA81" s="625">
        <f t="shared" si="267"/>
        <v>8.1700000000000023E-2</v>
      </c>
      <c r="FB81" s="460">
        <f t="shared" si="301"/>
        <v>3161.3039462467414</v>
      </c>
      <c r="FC81" s="173">
        <f t="shared" si="302"/>
        <v>6.9000245991317843</v>
      </c>
      <c r="FD81" s="5">
        <f t="shared" si="303"/>
        <v>19.608000000000004</v>
      </c>
      <c r="FE81" s="173">
        <f t="shared" si="304"/>
        <v>0.73970053583857853</v>
      </c>
      <c r="FF81" s="5">
        <f t="shared" si="305"/>
        <v>73.970053583857847</v>
      </c>
      <c r="FG81">
        <f t="shared" si="306"/>
        <v>76.000000000000014</v>
      </c>
      <c r="FI81" s="562">
        <f t="shared" si="268"/>
        <v>-50</v>
      </c>
      <c r="FJ81">
        <f t="shared" si="269"/>
        <v>-50</v>
      </c>
      <c r="FL81">
        <f t="shared" si="270"/>
        <v>0.56074766355140193</v>
      </c>
    </row>
    <row r="82" spans="5:168">
      <c r="E82" s="170">
        <v>77</v>
      </c>
      <c r="F82" s="217">
        <f t="shared" si="307"/>
        <v>4.62</v>
      </c>
      <c r="G82" s="217">
        <f t="shared" si="271"/>
        <v>7.7000000000000013E-2</v>
      </c>
      <c r="H82" s="217">
        <f t="shared" si="176"/>
        <v>18.48</v>
      </c>
      <c r="I82" s="217">
        <f t="shared" si="308"/>
        <v>1.3860000000000001</v>
      </c>
      <c r="J82" s="541">
        <f t="shared" si="177"/>
        <v>23.891783749715387</v>
      </c>
      <c r="K82" s="443">
        <f t="shared" si="178"/>
        <v>19.788679999999999</v>
      </c>
      <c r="L82" s="172">
        <f t="shared" si="179"/>
        <v>43.680463749715386</v>
      </c>
      <c r="M82" s="443"/>
      <c r="N82" s="217">
        <f t="shared" si="180"/>
        <v>0.45303273594774823</v>
      </c>
      <c r="O82" s="172">
        <f t="shared" si="272"/>
        <v>33.562047004048104</v>
      </c>
      <c r="P82" s="172">
        <f t="shared" si="181"/>
        <v>2.7059400397013782</v>
      </c>
      <c r="Q82" s="217">
        <f t="shared" si="182"/>
        <v>8.390511751012026</v>
      </c>
      <c r="R82" s="217">
        <f t="shared" si="183"/>
        <v>1.8645581668915614</v>
      </c>
      <c r="S82" s="443">
        <f t="shared" si="184"/>
        <v>4</v>
      </c>
      <c r="T82" s="217">
        <f t="shared" si="185"/>
        <v>3.670813046210804</v>
      </c>
      <c r="U82" s="217">
        <f t="shared" si="186"/>
        <v>1.8437198752501849</v>
      </c>
      <c r="V82" s="217">
        <f t="shared" si="187"/>
        <v>2.2260078264204406</v>
      </c>
      <c r="W82" s="197">
        <f t="shared" si="188"/>
        <v>350</v>
      </c>
      <c r="X82" s="443">
        <f t="shared" si="273"/>
        <v>234.206972872937</v>
      </c>
      <c r="Z82" s="217">
        <f t="shared" si="189"/>
        <v>2.5770857520965507</v>
      </c>
      <c r="AA82" s="173">
        <f t="shared" si="190"/>
        <v>1.5627636115778623</v>
      </c>
      <c r="AB82" s="173">
        <f t="shared" si="191"/>
        <v>2.81916308610458</v>
      </c>
      <c r="AC82" s="173"/>
      <c r="AD82" s="173">
        <f t="shared" si="192"/>
        <v>0.80854306603573367</v>
      </c>
      <c r="AE82" s="545">
        <f t="shared" si="193"/>
        <v>2142.7430062499998</v>
      </c>
      <c r="AF82" s="528">
        <f t="shared" si="194"/>
        <v>0.75464019496668489</v>
      </c>
      <c r="AH82" s="173">
        <f t="shared" si="195"/>
        <v>3.0757112998459397</v>
      </c>
      <c r="AI82" s="173">
        <f t="shared" si="196"/>
        <v>3.670813046210804</v>
      </c>
      <c r="AJ82" s="173">
        <f t="shared" si="197"/>
        <v>2.9314664539833117</v>
      </c>
      <c r="AL82" s="545">
        <f t="shared" si="198"/>
        <v>4620</v>
      </c>
      <c r="AM82" s="460">
        <f t="shared" si="199"/>
        <v>234.206972872937</v>
      </c>
      <c r="AO82">
        <f t="shared" si="274"/>
        <v>4620</v>
      </c>
      <c r="AP82">
        <f t="shared" si="200"/>
        <v>234.206972872937</v>
      </c>
      <c r="AR82" s="5">
        <f t="shared" si="275"/>
        <v>4.2697277016706261</v>
      </c>
      <c r="AS82" s="5">
        <f t="shared" si="201"/>
        <v>1.8437198752501849</v>
      </c>
      <c r="AT82" s="5">
        <f t="shared" si="276"/>
        <v>2.4260078264204412</v>
      </c>
      <c r="AU82" s="173">
        <f t="shared" si="277"/>
        <v>0.43181205080801488</v>
      </c>
      <c r="AW82" s="5">
        <f t="shared" si="202"/>
        <v>212.94964559139635</v>
      </c>
      <c r="AX82" s="5">
        <f t="shared" si="203"/>
        <v>0.78870239107924589</v>
      </c>
      <c r="AY82" s="5">
        <f t="shared" si="204"/>
        <v>1.5637392719712631</v>
      </c>
      <c r="AZ82" s="5"/>
      <c r="BA82" s="173">
        <f t="shared" si="278"/>
        <v>1.3926725586569508</v>
      </c>
      <c r="BB82" s="173">
        <f t="shared" si="205"/>
        <v>6.3900997815154224</v>
      </c>
      <c r="BC82" s="173">
        <f t="shared" si="206"/>
        <v>0.12175730664779386</v>
      </c>
      <c r="BD82" s="173"/>
      <c r="BE82" s="528">
        <f t="shared" si="207"/>
        <v>2.3662349638760394E-2</v>
      </c>
      <c r="BF82" s="528">
        <f t="shared" si="208"/>
        <v>0.70412635506411636</v>
      </c>
      <c r="BG82" s="528">
        <f t="shared" si="209"/>
        <v>0.13989055871389172</v>
      </c>
      <c r="BH82" s="528">
        <f t="shared" si="210"/>
        <v>4.4686290243840583E-2</v>
      </c>
      <c r="BI82">
        <f t="shared" si="211"/>
        <v>1.0751302687371924E-2</v>
      </c>
      <c r="BJ82" s="460">
        <f t="shared" si="279"/>
        <v>150.64186140126364</v>
      </c>
      <c r="BK82">
        <f t="shared" si="212"/>
        <v>0.78326749571337562</v>
      </c>
      <c r="BL82" s="460">
        <f t="shared" si="280"/>
        <v>783.26749571337564</v>
      </c>
      <c r="BM82" s="173">
        <f t="shared" si="213"/>
        <v>2.8701749999999997</v>
      </c>
      <c r="BN82" s="173">
        <f t="shared" si="214"/>
        <v>3.4168750000000005E-2</v>
      </c>
      <c r="BO82" s="528"/>
      <c r="BQ82" s="460">
        <f t="shared" si="281"/>
        <v>2904.34375</v>
      </c>
      <c r="BR82" s="528">
        <f t="shared" si="215"/>
        <v>5.8186105669082944E-2</v>
      </c>
      <c r="BS82" s="528">
        <f t="shared" si="216"/>
        <v>1.2250012565317034</v>
      </c>
      <c r="BT82" s="528">
        <f t="shared" si="217"/>
        <v>7.4124208610624526E-5</v>
      </c>
      <c r="BU82" s="528">
        <f t="shared" si="218"/>
        <v>1.0836155356418826</v>
      </c>
      <c r="BV82" s="528">
        <f t="shared" si="219"/>
        <v>2.9808796197180878</v>
      </c>
      <c r="BW82" s="625">
        <f t="shared" si="220"/>
        <v>7.8897703564088525E-2</v>
      </c>
      <c r="BX82" s="460">
        <f t="shared" si="282"/>
        <v>3059.777323282176</v>
      </c>
      <c r="BY82" s="173">
        <f t="shared" si="283"/>
        <v>6.7473885689955519</v>
      </c>
      <c r="BZ82" s="5">
        <f t="shared" si="284"/>
        <v>19.866</v>
      </c>
      <c r="CA82" s="173">
        <f t="shared" si="285"/>
        <v>0.74646638658948439</v>
      </c>
      <c r="CB82" s="5">
        <f t="shared" si="286"/>
        <v>74.646638658948433</v>
      </c>
      <c r="CC82">
        <f t="shared" si="287"/>
        <v>77</v>
      </c>
      <c r="CE82" s="562">
        <f t="shared" si="221"/>
        <v>-50</v>
      </c>
      <c r="CF82">
        <f t="shared" si="222"/>
        <v>-50</v>
      </c>
      <c r="CG82" s="173">
        <f t="shared" si="223"/>
        <v>0.56074766355140193</v>
      </c>
      <c r="CH82" s="173">
        <f t="shared" si="224"/>
        <v>0.15015627428311998</v>
      </c>
      <c r="CI82" s="170">
        <v>77</v>
      </c>
      <c r="CJ82" s="217">
        <f t="shared" si="309"/>
        <v>4.62</v>
      </c>
      <c r="CK82" s="217">
        <f t="shared" si="288"/>
        <v>7.7000000000000013E-2</v>
      </c>
      <c r="CL82" s="217">
        <f t="shared" si="225"/>
        <v>18.48</v>
      </c>
      <c r="CM82" s="217">
        <f t="shared" si="310"/>
        <v>1.3860000000000001</v>
      </c>
      <c r="CN82" s="541">
        <f t="shared" si="289"/>
        <v>24</v>
      </c>
      <c r="CO82" s="443">
        <f t="shared" si="226"/>
        <v>18.8</v>
      </c>
      <c r="CP82" s="443">
        <f t="shared" si="227"/>
        <v>42.8</v>
      </c>
      <c r="CQ82" s="443"/>
      <c r="CR82" s="217">
        <f t="shared" si="228"/>
        <v>0.43925233644859818</v>
      </c>
      <c r="CS82" s="172">
        <f t="shared" si="290"/>
        <v>32.688545968267775</v>
      </c>
      <c r="CT82" s="172">
        <f t="shared" si="229"/>
        <v>2.6355140186915893</v>
      </c>
      <c r="CU82" s="217">
        <f t="shared" si="230"/>
        <v>8.1721364920669437</v>
      </c>
      <c r="CV82" s="217">
        <f t="shared" si="231"/>
        <v>1.816030331570432</v>
      </c>
      <c r="CW82" s="443">
        <f t="shared" si="232"/>
        <v>4</v>
      </c>
      <c r="CX82" s="217">
        <f t="shared" si="233"/>
        <v>3.7689042553191481</v>
      </c>
      <c r="CY82" s="217">
        <f t="shared" si="234"/>
        <v>1.8844521276595743</v>
      </c>
      <c r="CZ82" s="217">
        <f t="shared" si="235"/>
        <v>2.4056835672249881</v>
      </c>
      <c r="DA82" s="197">
        <f t="shared" si="236"/>
        <v>350</v>
      </c>
      <c r="DB82" s="443">
        <f t="shared" si="291"/>
        <v>233.09286025436722</v>
      </c>
      <c r="DD82" s="217">
        <f t="shared" si="237"/>
        <v>2.5100133511348464</v>
      </c>
      <c r="DE82" s="173">
        <f t="shared" si="238"/>
        <v>1.6021361815754336</v>
      </c>
      <c r="DF82" s="173">
        <f t="shared" si="239"/>
        <v>2.8149682442633783</v>
      </c>
      <c r="DG82" s="173"/>
      <c r="DH82" s="173">
        <f t="shared" si="240"/>
        <v>0.85106382978723416</v>
      </c>
      <c r="DI82" s="545">
        <f t="shared" si="241"/>
        <v>2035.6874999999993</v>
      </c>
      <c r="DJ82" s="528">
        <f t="shared" si="242"/>
        <v>0.79432624113475192</v>
      </c>
      <c r="DL82" s="173">
        <f t="shared" si="243"/>
        <v>3.0757112998459397</v>
      </c>
      <c r="DM82" s="173">
        <f t="shared" si="244"/>
        <v>3.7689042553191481</v>
      </c>
      <c r="DN82" s="173">
        <f t="shared" si="245"/>
        <v>3.0041266088783809</v>
      </c>
      <c r="DP82" s="545">
        <f t="shared" si="246"/>
        <v>4620</v>
      </c>
      <c r="DQ82" s="460">
        <f t="shared" si="247"/>
        <v>233.09286025436722</v>
      </c>
      <c r="DS82">
        <f t="shared" si="292"/>
        <v>4620</v>
      </c>
      <c r="DT82">
        <f t="shared" si="248"/>
        <v>233.09286025436722</v>
      </c>
      <c r="DV82" s="5">
        <f t="shared" si="293"/>
        <v>4.2901356948845626</v>
      </c>
      <c r="DW82" s="5">
        <f t="shared" si="249"/>
        <v>1.8844521276595743</v>
      </c>
      <c r="DX82" s="5">
        <f t="shared" si="294"/>
        <v>2.4056835672249886</v>
      </c>
      <c r="DY82" s="173">
        <f t="shared" si="295"/>
        <v>0.43925233644859812</v>
      </c>
      <c r="EA82" s="5">
        <f t="shared" si="250"/>
        <v>217.65422074468083</v>
      </c>
      <c r="EB82" s="5">
        <f t="shared" si="251"/>
        <v>0.80612674349881797</v>
      </c>
      <c r="EC82" s="5">
        <f t="shared" si="252"/>
        <v>1.5436469556360342</v>
      </c>
      <c r="ED82" s="5"/>
      <c r="EE82" s="173">
        <f t="shared" si="296"/>
        <v>1.4421535973074953</v>
      </c>
      <c r="EF82" s="173">
        <f t="shared" si="253"/>
        <v>6.5177576066545813</v>
      </c>
      <c r="EG82" s="173">
        <f t="shared" si="254"/>
        <v>0.12418970574841837</v>
      </c>
      <c r="EH82" s="173"/>
      <c r="EI82" s="528">
        <f t="shared" si="255"/>
        <v>2.5373645378368778E-2</v>
      </c>
      <c r="EJ82" s="528">
        <f t="shared" si="256"/>
        <v>0.75199999999999989</v>
      </c>
      <c r="EK82" s="528">
        <f t="shared" si="257"/>
        <v>2.9136607531795901E-2</v>
      </c>
      <c r="EL82" s="528">
        <f t="shared" si="258"/>
        <v>4.2698882512835996E-2</v>
      </c>
      <c r="EM82">
        <f t="shared" si="259"/>
        <v>1.0800000000000001E-2</v>
      </c>
      <c r="EN82" s="460">
        <f t="shared" si="297"/>
        <v>39.9366075317959</v>
      </c>
      <c r="EO82">
        <f t="shared" si="260"/>
        <v>0.87211782455298703</v>
      </c>
      <c r="EP82" s="460">
        <f t="shared" si="298"/>
        <v>872.11782455298703</v>
      </c>
      <c r="EQ82" s="173">
        <f t="shared" si="261"/>
        <v>2.8701749999999997</v>
      </c>
      <c r="ER82" s="173">
        <f t="shared" si="262"/>
        <v>3.4168750000000005E-2</v>
      </c>
      <c r="ES82" s="528"/>
      <c r="EU82" s="460">
        <f t="shared" si="299"/>
        <v>2904.34375</v>
      </c>
      <c r="EV82" s="528">
        <f t="shared" si="263"/>
        <v>6.2394209946808471E-2</v>
      </c>
      <c r="EW82" s="528">
        <f t="shared" si="300"/>
        <v>1.2744349265731096</v>
      </c>
      <c r="EX82" s="528">
        <f t="shared" si="264"/>
        <v>7.7115415069393687E-5</v>
      </c>
      <c r="EY82" s="528">
        <f t="shared" si="265"/>
        <v>1.1437475956681535</v>
      </c>
      <c r="EZ82" s="528">
        <f t="shared" si="266"/>
        <v>3.1370238968847075</v>
      </c>
      <c r="FA82" s="625">
        <f t="shared" si="267"/>
        <v>8.2774999999999974E-2</v>
      </c>
      <c r="FB82" s="460">
        <f t="shared" si="301"/>
        <v>3219.7988968847071</v>
      </c>
      <c r="FC82" s="173">
        <f t="shared" si="302"/>
        <v>6.9962604714376937</v>
      </c>
      <c r="FD82" s="5">
        <f t="shared" si="303"/>
        <v>19.866</v>
      </c>
      <c r="FE82" s="173">
        <f t="shared" si="304"/>
        <v>0.73955056839402145</v>
      </c>
      <c r="FF82" s="5">
        <f t="shared" si="305"/>
        <v>73.955056839402147</v>
      </c>
      <c r="FG82">
        <f t="shared" si="306"/>
        <v>77</v>
      </c>
      <c r="FI82" s="562">
        <f t="shared" si="268"/>
        <v>-50</v>
      </c>
      <c r="FJ82">
        <f t="shared" si="269"/>
        <v>-50</v>
      </c>
      <c r="FL82">
        <f t="shared" si="270"/>
        <v>0.56074766355140193</v>
      </c>
    </row>
    <row r="83" spans="5:168">
      <c r="E83" s="170">
        <v>78</v>
      </c>
      <c r="F83" s="217">
        <f t="shared" si="307"/>
        <v>4.68</v>
      </c>
      <c r="G83" s="217">
        <f t="shared" si="271"/>
        <v>7.8000000000000014E-2</v>
      </c>
      <c r="H83" s="217">
        <f t="shared" si="176"/>
        <v>18.72</v>
      </c>
      <c r="I83" s="217">
        <f t="shared" si="308"/>
        <v>1.4040000000000004</v>
      </c>
      <c r="J83" s="541">
        <f t="shared" si="177"/>
        <v>23.890378343867535</v>
      </c>
      <c r="K83" s="443">
        <f t="shared" si="178"/>
        <v>19.80152</v>
      </c>
      <c r="L83" s="172">
        <f t="shared" si="179"/>
        <v>43.691898343867535</v>
      </c>
      <c r="M83" s="443"/>
      <c r="N83" s="217">
        <f t="shared" si="180"/>
        <v>0.45320804887341964</v>
      </c>
      <c r="O83" s="172">
        <f t="shared" si="272"/>
        <v>33.573059708750399</v>
      </c>
      <c r="P83" s="172">
        <f t="shared" si="181"/>
        <v>2.7068279390180012</v>
      </c>
      <c r="Q83" s="217">
        <f t="shared" si="182"/>
        <v>8.3932649271875999</v>
      </c>
      <c r="R83" s="217">
        <f t="shared" si="183"/>
        <v>1.8651699838194666</v>
      </c>
      <c r="S83" s="443">
        <f t="shared" si="184"/>
        <v>4</v>
      </c>
      <c r="T83" s="217">
        <f t="shared" si="185"/>
        <v>3.7172661974408134</v>
      </c>
      <c r="U83" s="217">
        <f t="shared" si="186"/>
        <v>1.8671614876597409</v>
      </c>
      <c r="V83" s="217">
        <f t="shared" si="187"/>
        <v>2.2527156687612746</v>
      </c>
      <c r="W83" s="197">
        <f t="shared" si="188"/>
        <v>350</v>
      </c>
      <c r="X83" s="443">
        <f t="shared" si="273"/>
        <v>231.48806407923234</v>
      </c>
      <c r="Z83" s="217">
        <f t="shared" si="189"/>
        <v>2.5779313704933338</v>
      </c>
      <c r="AA83" s="173">
        <f t="shared" si="190"/>
        <v>1.562262717504515</v>
      </c>
      <c r="AB83" s="173">
        <f t="shared" si="191"/>
        <v>2.8191842478849378</v>
      </c>
      <c r="AC83" s="173"/>
      <c r="AD83" s="173">
        <f t="shared" si="192"/>
        <v>0.80801877835640912</v>
      </c>
      <c r="AE83" s="545">
        <f t="shared" si="193"/>
        <v>2171.9792249999991</v>
      </c>
      <c r="AF83" s="528">
        <f t="shared" si="194"/>
        <v>0.75415085979931529</v>
      </c>
      <c r="AH83" s="173">
        <f t="shared" si="195"/>
        <v>3.0956190241787089</v>
      </c>
      <c r="AI83" s="173">
        <f t="shared" si="196"/>
        <v>3.7172661974408134</v>
      </c>
      <c r="AJ83" s="173">
        <f t="shared" si="197"/>
        <v>2.9658761956351705</v>
      </c>
      <c r="AL83" s="545">
        <f t="shared" si="198"/>
        <v>4680</v>
      </c>
      <c r="AM83" s="460">
        <f t="shared" si="199"/>
        <v>231.48806407923234</v>
      </c>
      <c r="AO83">
        <f t="shared" si="274"/>
        <v>4680</v>
      </c>
      <c r="AP83">
        <f t="shared" si="200"/>
        <v>231.48806407923234</v>
      </c>
      <c r="AR83" s="5">
        <f t="shared" si="275"/>
        <v>4.3198771564210157</v>
      </c>
      <c r="AS83" s="5">
        <f t="shared" si="201"/>
        <v>1.8671614876597409</v>
      </c>
      <c r="AT83" s="5">
        <f t="shared" si="276"/>
        <v>2.4527156687612748</v>
      </c>
      <c r="AU83" s="173">
        <f t="shared" si="277"/>
        <v>0.43222559810165284</v>
      </c>
      <c r="AW83" s="5">
        <f t="shared" si="202"/>
        <v>218.45789405618964</v>
      </c>
      <c r="AX83" s="5">
        <f t="shared" si="203"/>
        <v>0.8091033113192212</v>
      </c>
      <c r="AY83" s="5">
        <f t="shared" si="204"/>
        <v>1.6015805142113839</v>
      </c>
      <c r="AZ83" s="5"/>
      <c r="BA83" s="173">
        <f t="shared" si="278"/>
        <v>1.4109716154012666</v>
      </c>
      <c r="BB83" s="173">
        <f t="shared" si="205"/>
        <v>6.468609447367351</v>
      </c>
      <c r="BC83" s="173">
        <f t="shared" si="206"/>
        <v>0.12325323406470225</v>
      </c>
      <c r="BD83" s="173"/>
      <c r="BE83" s="528">
        <f t="shared" si="207"/>
        <v>2.4288258973510328E-2</v>
      </c>
      <c r="BF83" s="528">
        <f t="shared" si="208"/>
        <v>0.70494372988535736</v>
      </c>
      <c r="BG83" s="528">
        <f t="shared" si="209"/>
        <v>0.13825843582355782</v>
      </c>
      <c r="BH83" s="528">
        <f t="shared" si="210"/>
        <v>4.4190654311856203E-2</v>
      </c>
      <c r="BI83">
        <f t="shared" si="211"/>
        <v>1.0750670254740391E-2</v>
      </c>
      <c r="BJ83" s="460">
        <f t="shared" si="279"/>
        <v>149.0091060782982</v>
      </c>
      <c r="BK83">
        <f t="shared" si="212"/>
        <v>0.78450778146509059</v>
      </c>
      <c r="BL83" s="460">
        <f t="shared" si="280"/>
        <v>784.5077814650906</v>
      </c>
      <c r="BM83" s="173">
        <f t="shared" si="213"/>
        <v>2.9074499999999999</v>
      </c>
      <c r="BN83" s="173">
        <f t="shared" si="214"/>
        <v>3.4612500000000004E-2</v>
      </c>
      <c r="BO83" s="528"/>
      <c r="BQ83" s="460">
        <f t="shared" si="281"/>
        <v>2942.0625</v>
      </c>
      <c r="BR83" s="528">
        <f t="shared" si="215"/>
        <v>5.9725226984041792E-2</v>
      </c>
      <c r="BS83" s="528">
        <f t="shared" si="216"/>
        <v>1.2552872454771045</v>
      </c>
      <c r="BT83" s="528">
        <f t="shared" si="217"/>
        <v>7.5956798537041385E-5</v>
      </c>
      <c r="BU83" s="528">
        <f t="shared" si="218"/>
        <v>1.086052120806259</v>
      </c>
      <c r="BV83" s="528">
        <f t="shared" si="219"/>
        <v>3.0361904918802667</v>
      </c>
      <c r="BW83" s="625">
        <f t="shared" si="220"/>
        <v>7.9967945165391269E-2</v>
      </c>
      <c r="BX83" s="460">
        <f t="shared" si="282"/>
        <v>3116.158437045658</v>
      </c>
      <c r="BY83" s="173">
        <f t="shared" si="283"/>
        <v>6.8427287185107488</v>
      </c>
      <c r="BZ83" s="5">
        <f t="shared" si="284"/>
        <v>20.123999999999999</v>
      </c>
      <c r="CA83" s="173">
        <f t="shared" si="285"/>
        <v>0.74625291818159234</v>
      </c>
      <c r="CB83" s="5">
        <f t="shared" si="286"/>
        <v>74.625291818159241</v>
      </c>
      <c r="CC83">
        <f t="shared" si="287"/>
        <v>77.999999999999986</v>
      </c>
      <c r="CE83" s="562">
        <f t="shared" si="221"/>
        <v>-50</v>
      </c>
      <c r="CF83">
        <f t="shared" si="222"/>
        <v>-50</v>
      </c>
      <c r="CG83" s="173">
        <f t="shared" si="223"/>
        <v>0.56074766355140171</v>
      </c>
      <c r="CH83" s="173">
        <f t="shared" si="224"/>
        <v>0.15015627428312001</v>
      </c>
      <c r="CI83" s="170">
        <v>78</v>
      </c>
      <c r="CJ83" s="217">
        <f t="shared" si="309"/>
        <v>4.68</v>
      </c>
      <c r="CK83" s="217">
        <f t="shared" si="288"/>
        <v>7.8000000000000014E-2</v>
      </c>
      <c r="CL83" s="217">
        <f t="shared" si="225"/>
        <v>18.72</v>
      </c>
      <c r="CM83" s="217">
        <f t="shared" si="310"/>
        <v>1.4040000000000004</v>
      </c>
      <c r="CN83" s="541">
        <f t="shared" si="289"/>
        <v>24</v>
      </c>
      <c r="CO83" s="443">
        <f t="shared" si="226"/>
        <v>18.8</v>
      </c>
      <c r="CP83" s="443">
        <f t="shared" si="227"/>
        <v>42.8</v>
      </c>
      <c r="CQ83" s="443"/>
      <c r="CR83" s="217">
        <f t="shared" si="228"/>
        <v>0.43925233644859818</v>
      </c>
      <c r="CS83" s="172">
        <f t="shared" si="290"/>
        <v>32.688545968267775</v>
      </c>
      <c r="CT83" s="172">
        <f t="shared" si="229"/>
        <v>2.6355140186915893</v>
      </c>
      <c r="CU83" s="217">
        <f t="shared" si="230"/>
        <v>8.1721364920669437</v>
      </c>
      <c r="CV83" s="217">
        <f t="shared" si="231"/>
        <v>1.816030331570432</v>
      </c>
      <c r="CW83" s="443">
        <f t="shared" si="232"/>
        <v>4</v>
      </c>
      <c r="CX83" s="217">
        <f t="shared" si="233"/>
        <v>3.8178510638297865</v>
      </c>
      <c r="CY83" s="217">
        <f t="shared" si="234"/>
        <v>1.9089255319148934</v>
      </c>
      <c r="CZ83" s="217">
        <f t="shared" si="235"/>
        <v>2.4369262109551828</v>
      </c>
      <c r="DA83" s="197">
        <f t="shared" si="236"/>
        <v>350</v>
      </c>
      <c r="DB83" s="443">
        <f t="shared" si="291"/>
        <v>230.10449025110614</v>
      </c>
      <c r="DD83" s="217">
        <f t="shared" si="237"/>
        <v>2.5100133511348464</v>
      </c>
      <c r="DE83" s="173">
        <f t="shared" si="238"/>
        <v>1.6021361815754336</v>
      </c>
      <c r="DF83" s="173">
        <f t="shared" si="239"/>
        <v>2.8149682442633783</v>
      </c>
      <c r="DG83" s="173"/>
      <c r="DH83" s="173">
        <f t="shared" si="240"/>
        <v>0.85106382978723416</v>
      </c>
      <c r="DI83" s="545">
        <f t="shared" si="241"/>
        <v>2062.1249999999991</v>
      </c>
      <c r="DJ83" s="528">
        <f t="shared" si="242"/>
        <v>0.79432624113475192</v>
      </c>
      <c r="DL83" s="173">
        <f t="shared" si="243"/>
        <v>3.0956190241787089</v>
      </c>
      <c r="DM83" s="173">
        <f t="shared" si="244"/>
        <v>3.8178510638297865</v>
      </c>
      <c r="DN83" s="173">
        <f t="shared" si="245"/>
        <v>3.0403835040714466</v>
      </c>
      <c r="DP83" s="545">
        <f t="shared" si="246"/>
        <v>4680</v>
      </c>
      <c r="DQ83" s="460">
        <f t="shared" si="247"/>
        <v>230.10449025110614</v>
      </c>
      <c r="DS83">
        <f t="shared" si="292"/>
        <v>4680</v>
      </c>
      <c r="DT83">
        <f t="shared" si="248"/>
        <v>230.10449025110614</v>
      </c>
      <c r="DV83" s="5">
        <f t="shared" si="293"/>
        <v>4.3458517428700754</v>
      </c>
      <c r="DW83" s="5">
        <f t="shared" si="249"/>
        <v>1.9089255319148934</v>
      </c>
      <c r="DX83" s="5">
        <f t="shared" si="294"/>
        <v>2.4369262109551819</v>
      </c>
      <c r="DY83" s="173">
        <f t="shared" si="295"/>
        <v>0.43925233644859824</v>
      </c>
      <c r="EA83" s="5">
        <f t="shared" si="250"/>
        <v>223.34428723404253</v>
      </c>
      <c r="EB83" s="5">
        <f t="shared" si="251"/>
        <v>0.82720106382978731</v>
      </c>
      <c r="EC83" s="5">
        <f t="shared" si="252"/>
        <v>1.5840020371208678</v>
      </c>
      <c r="ED83" s="5"/>
      <c r="EE83" s="173">
        <f t="shared" si="296"/>
        <v>1.4608828648049954</v>
      </c>
      <c r="EF83" s="173">
        <f t="shared" si="253"/>
        <v>6.602403809338405</v>
      </c>
      <c r="EG83" s="173">
        <f t="shared" si="254"/>
        <v>0.12580255906982638</v>
      </c>
      <c r="EH83" s="173"/>
      <c r="EI83" s="528">
        <f t="shared" si="255"/>
        <v>2.6036980685106376E-2</v>
      </c>
      <c r="EJ83" s="528">
        <f t="shared" si="256"/>
        <v>0.752</v>
      </c>
      <c r="EK83" s="528">
        <f t="shared" si="257"/>
        <v>2.8763061281388266E-2</v>
      </c>
      <c r="EL83" s="528">
        <f t="shared" si="258"/>
        <v>4.2151460942158624E-2</v>
      </c>
      <c r="EM83">
        <f t="shared" si="259"/>
        <v>1.0800000000000001E-2</v>
      </c>
      <c r="EN83" s="460">
        <f t="shared" si="297"/>
        <v>39.563061281388272</v>
      </c>
      <c r="EO83">
        <f t="shared" si="260"/>
        <v>0.87217711250466079</v>
      </c>
      <c r="EP83" s="460">
        <f t="shared" si="298"/>
        <v>872.17711250466084</v>
      </c>
      <c r="EQ83" s="173">
        <f t="shared" si="261"/>
        <v>2.9074499999999999</v>
      </c>
      <c r="ER83" s="173">
        <f t="shared" si="262"/>
        <v>3.4612500000000004E-2</v>
      </c>
      <c r="ES83" s="528"/>
      <c r="EU83" s="460">
        <f t="shared" si="299"/>
        <v>2942.0625</v>
      </c>
      <c r="EV83" s="528">
        <f t="shared" si="263"/>
        <v>6.4025362340425523E-2</v>
      </c>
      <c r="EW83" s="528">
        <f t="shared" si="300"/>
        <v>1.3077520818469883</v>
      </c>
      <c r="EX83" s="528">
        <f t="shared" si="264"/>
        <v>7.9131419342585773E-5</v>
      </c>
      <c r="EY83" s="528">
        <f t="shared" si="265"/>
        <v>1.1437475956681515</v>
      </c>
      <c r="EZ83" s="528">
        <f t="shared" si="266"/>
        <v>3.1955574718606345</v>
      </c>
      <c r="FA83" s="625">
        <f t="shared" si="267"/>
        <v>8.3849999999999994E-2</v>
      </c>
      <c r="FB83" s="460">
        <f t="shared" si="301"/>
        <v>3279.4074718606344</v>
      </c>
      <c r="FC83" s="173">
        <f t="shared" si="302"/>
        <v>7.0936470843652959</v>
      </c>
      <c r="FD83" s="5">
        <f t="shared" si="303"/>
        <v>20.123999999999999</v>
      </c>
      <c r="FE83" s="173">
        <f t="shared" si="304"/>
        <v>0.73937324330874588</v>
      </c>
      <c r="FF83" s="5">
        <f t="shared" si="305"/>
        <v>73.937324330874588</v>
      </c>
      <c r="FG83">
        <f t="shared" si="306"/>
        <v>77.999999999999986</v>
      </c>
      <c r="FI83" s="562">
        <f t="shared" si="268"/>
        <v>-50</v>
      </c>
      <c r="FJ83">
        <f t="shared" si="269"/>
        <v>-50</v>
      </c>
      <c r="FL83">
        <f t="shared" si="270"/>
        <v>0.56074766355140171</v>
      </c>
    </row>
    <row r="84" spans="5:168">
      <c r="E84" s="170">
        <v>79</v>
      </c>
      <c r="F84" s="217">
        <f t="shared" si="307"/>
        <v>4.74</v>
      </c>
      <c r="G84" s="217">
        <f t="shared" si="271"/>
        <v>7.9000000000000015E-2</v>
      </c>
      <c r="H84" s="217">
        <f t="shared" si="176"/>
        <v>18.96</v>
      </c>
      <c r="I84" s="217">
        <f t="shared" si="308"/>
        <v>1.4220000000000002</v>
      </c>
      <c r="J84" s="541">
        <f t="shared" si="177"/>
        <v>23.888972938019684</v>
      </c>
      <c r="K84" s="443">
        <f t="shared" si="178"/>
        <v>19.814360000000001</v>
      </c>
      <c r="L84" s="172">
        <f t="shared" si="179"/>
        <v>43.703332938019685</v>
      </c>
      <c r="M84" s="443"/>
      <c r="N84" s="217">
        <f t="shared" si="180"/>
        <v>0.45338327006090906</v>
      </c>
      <c r="O84" s="172">
        <f t="shared" si="272"/>
        <v>33.584064090033884</v>
      </c>
      <c r="P84" s="172">
        <f t="shared" si="181"/>
        <v>2.7077151672589816</v>
      </c>
      <c r="Q84" s="217">
        <f t="shared" si="182"/>
        <v>8.396016022508471</v>
      </c>
      <c r="R84" s="217">
        <f t="shared" si="183"/>
        <v>1.8657813383352158</v>
      </c>
      <c r="S84" s="443">
        <f t="shared" si="184"/>
        <v>4</v>
      </c>
      <c r="T84" s="217">
        <f t="shared" si="185"/>
        <v>3.7636898161324495</v>
      </c>
      <c r="U84" s="217">
        <f t="shared" si="186"/>
        <v>1.8905910233465804</v>
      </c>
      <c r="V84" s="217">
        <f t="shared" si="187"/>
        <v>2.2793710114073527</v>
      </c>
      <c r="W84" s="197">
        <f t="shared" si="188"/>
        <v>350</v>
      </c>
      <c r="X84" s="443">
        <f t="shared" si="273"/>
        <v>228.83493999423467</v>
      </c>
      <c r="Z84" s="217">
        <f t="shared" si="189"/>
        <v>2.5787763497704583</v>
      </c>
      <c r="AA84" s="173">
        <f t="shared" si="190"/>
        <v>1.5617620855402596</v>
      </c>
      <c r="AB84" s="173">
        <f t="shared" si="191"/>
        <v>2.8192045911115864</v>
      </c>
      <c r="AC84" s="173"/>
      <c r="AD84" s="173">
        <f t="shared" si="192"/>
        <v>0.80749517016951355</v>
      </c>
      <c r="AE84" s="545">
        <f t="shared" si="193"/>
        <v>2201.2515562499993</v>
      </c>
      <c r="AF84" s="528">
        <f t="shared" si="194"/>
        <v>0.75366215882487941</v>
      </c>
      <c r="AH84" s="173">
        <f t="shared" si="195"/>
        <v>3.1153995386971292</v>
      </c>
      <c r="AI84" s="173">
        <f t="shared" si="196"/>
        <v>3.7636898161324495</v>
      </c>
      <c r="AJ84" s="173">
        <f t="shared" si="197"/>
        <v>3.0002640613326781</v>
      </c>
      <c r="AL84" s="545">
        <f t="shared" si="198"/>
        <v>4740</v>
      </c>
      <c r="AM84" s="460">
        <f t="shared" si="199"/>
        <v>228.83493999423467</v>
      </c>
      <c r="AO84">
        <f t="shared" si="274"/>
        <v>4740</v>
      </c>
      <c r="AP84">
        <f t="shared" si="200"/>
        <v>228.83493999423467</v>
      </c>
      <c r="AR84" s="5">
        <f t="shared" si="275"/>
        <v>4.3699620347539332</v>
      </c>
      <c r="AS84" s="5">
        <f t="shared" si="201"/>
        <v>1.8905910233465804</v>
      </c>
      <c r="AT84" s="5">
        <f t="shared" si="276"/>
        <v>2.4793710114073528</v>
      </c>
      <c r="AU84" s="173">
        <f t="shared" si="277"/>
        <v>0.43263328338115348</v>
      </c>
      <c r="AW84" s="5">
        <f t="shared" si="202"/>
        <v>224.03503626656979</v>
      </c>
      <c r="AX84" s="5">
        <f t="shared" si="203"/>
        <v>0.82975939357988826</v>
      </c>
      <c r="AY84" s="5">
        <f t="shared" si="204"/>
        <v>1.6398386854836282</v>
      </c>
      <c r="AZ84" s="5"/>
      <c r="BA84" s="173">
        <f t="shared" si="278"/>
        <v>1.4292663215299399</v>
      </c>
      <c r="BB84" s="173">
        <f t="shared" si="205"/>
        <v>6.5470418270564235</v>
      </c>
      <c r="BC84" s="173">
        <f t="shared" si="206"/>
        <v>0.12474768886688591</v>
      </c>
      <c r="BD84" s="173"/>
      <c r="BE84" s="528">
        <f t="shared" si="207"/>
        <v>2.4922187057888654E-2</v>
      </c>
      <c r="BF84" s="528">
        <f t="shared" si="208"/>
        <v>0.70575179401615429</v>
      </c>
      <c r="BG84" s="528">
        <f t="shared" si="209"/>
        <v>0.13666579221989075</v>
      </c>
      <c r="BH84" s="528">
        <f t="shared" si="210"/>
        <v>4.370704584391074E-2</v>
      </c>
      <c r="BI84">
        <f t="shared" si="211"/>
        <v>1.0750037822108857E-2</v>
      </c>
      <c r="BJ84" s="460">
        <f t="shared" si="279"/>
        <v>147.41583004199958</v>
      </c>
      <c r="BK84">
        <f t="shared" si="212"/>
        <v>0.78576292171469042</v>
      </c>
      <c r="BL84" s="460">
        <f t="shared" si="280"/>
        <v>785.76292171469038</v>
      </c>
      <c r="BM84" s="173">
        <f t="shared" si="213"/>
        <v>2.944725</v>
      </c>
      <c r="BN84" s="173">
        <f t="shared" si="214"/>
        <v>3.5056250000000004E-2</v>
      </c>
      <c r="BO84" s="528"/>
      <c r="BQ84" s="460">
        <f t="shared" si="281"/>
        <v>2979.78125</v>
      </c>
      <c r="BR84" s="528">
        <f t="shared" si="215"/>
        <v>6.128406653579177E-2</v>
      </c>
      <c r="BS84" s="528">
        <f t="shared" si="216"/>
        <v>1.2859127005567894</v>
      </c>
      <c r="BT84" s="528">
        <f t="shared" si="217"/>
        <v>7.7809929388146859E-5</v>
      </c>
      <c r="BU84" s="528">
        <f t="shared" si="218"/>
        <v>1.0884548135298928</v>
      </c>
      <c r="BV84" s="528">
        <f t="shared" si="219"/>
        <v>3.0923778542872964</v>
      </c>
      <c r="BW84" s="625">
        <f t="shared" si="220"/>
        <v>8.1038238544197935E-2</v>
      </c>
      <c r="BX84" s="460">
        <f t="shared" si="282"/>
        <v>3173.4160928314946</v>
      </c>
      <c r="BY84" s="173">
        <f t="shared" si="283"/>
        <v>6.9389602645461848</v>
      </c>
      <c r="BZ84" s="5">
        <f t="shared" si="284"/>
        <v>20.382000000000001</v>
      </c>
      <c r="CA84" s="173">
        <f t="shared" si="285"/>
        <v>0.74602063041134314</v>
      </c>
      <c r="CB84" s="5">
        <f t="shared" si="286"/>
        <v>74.602063041134315</v>
      </c>
      <c r="CC84">
        <f t="shared" si="287"/>
        <v>79</v>
      </c>
      <c r="CE84" s="562">
        <f t="shared" si="221"/>
        <v>-50</v>
      </c>
      <c r="CF84">
        <f t="shared" si="222"/>
        <v>-50</v>
      </c>
      <c r="CG84" s="173">
        <f t="shared" si="223"/>
        <v>0.56074766355140193</v>
      </c>
      <c r="CH84" s="173">
        <f t="shared" si="224"/>
        <v>0.15015627428311998</v>
      </c>
      <c r="CI84" s="170">
        <v>79</v>
      </c>
      <c r="CJ84" s="217">
        <f t="shared" si="309"/>
        <v>4.74</v>
      </c>
      <c r="CK84" s="217">
        <f t="shared" si="288"/>
        <v>7.9000000000000015E-2</v>
      </c>
      <c r="CL84" s="217">
        <f t="shared" si="225"/>
        <v>18.96</v>
      </c>
      <c r="CM84" s="217">
        <f t="shared" si="310"/>
        <v>1.4220000000000002</v>
      </c>
      <c r="CN84" s="541">
        <f t="shared" si="289"/>
        <v>24</v>
      </c>
      <c r="CO84" s="443">
        <f t="shared" si="226"/>
        <v>18.8</v>
      </c>
      <c r="CP84" s="443">
        <f t="shared" si="227"/>
        <v>42.8</v>
      </c>
      <c r="CQ84" s="443"/>
      <c r="CR84" s="217">
        <f t="shared" si="228"/>
        <v>0.43925233644859818</v>
      </c>
      <c r="CS84" s="172">
        <f t="shared" si="290"/>
        <v>32.688545968267775</v>
      </c>
      <c r="CT84" s="172">
        <f t="shared" si="229"/>
        <v>2.6355140186915893</v>
      </c>
      <c r="CU84" s="217">
        <f t="shared" si="230"/>
        <v>8.1721364920669437</v>
      </c>
      <c r="CV84" s="217">
        <f t="shared" si="231"/>
        <v>1.816030331570432</v>
      </c>
      <c r="CW84" s="443">
        <f t="shared" si="232"/>
        <v>4</v>
      </c>
      <c r="CX84" s="217">
        <f t="shared" si="233"/>
        <v>3.8667978723404253</v>
      </c>
      <c r="CY84" s="217">
        <f t="shared" si="234"/>
        <v>1.9333989361702129</v>
      </c>
      <c r="CZ84" s="217">
        <f t="shared" si="235"/>
        <v>2.4681688546853779</v>
      </c>
      <c r="DA84" s="197">
        <f t="shared" si="236"/>
        <v>350</v>
      </c>
      <c r="DB84" s="443">
        <f t="shared" si="291"/>
        <v>227.19177518463638</v>
      </c>
      <c r="DD84" s="217">
        <f t="shared" si="237"/>
        <v>2.5100133511348464</v>
      </c>
      <c r="DE84" s="173">
        <f t="shared" si="238"/>
        <v>1.6021361815754336</v>
      </c>
      <c r="DF84" s="173">
        <f t="shared" si="239"/>
        <v>2.8149682442633783</v>
      </c>
      <c r="DG84" s="173"/>
      <c r="DH84" s="173">
        <f t="shared" si="240"/>
        <v>0.85106382978723416</v>
      </c>
      <c r="DI84" s="545">
        <f t="shared" si="241"/>
        <v>2088.5624999999995</v>
      </c>
      <c r="DJ84" s="528">
        <f t="shared" si="242"/>
        <v>0.79432624113475192</v>
      </c>
      <c r="DL84" s="173">
        <f t="shared" si="243"/>
        <v>3.1153995386971292</v>
      </c>
      <c r="DM84" s="173">
        <f t="shared" si="244"/>
        <v>3.8667978723404253</v>
      </c>
      <c r="DN84" s="173">
        <f t="shared" si="245"/>
        <v>3.0766403992645124</v>
      </c>
      <c r="DP84" s="545">
        <f t="shared" si="246"/>
        <v>4740</v>
      </c>
      <c r="DQ84" s="460">
        <f t="shared" si="247"/>
        <v>227.19177518463638</v>
      </c>
      <c r="DS84">
        <f t="shared" si="292"/>
        <v>4740</v>
      </c>
      <c r="DT84">
        <f t="shared" si="248"/>
        <v>227.19177518463638</v>
      </c>
      <c r="DV84" s="5">
        <f t="shared" si="293"/>
        <v>4.4015677908555908</v>
      </c>
      <c r="DW84" s="5">
        <f t="shared" si="249"/>
        <v>1.9333989361702129</v>
      </c>
      <c r="DX84" s="5">
        <f t="shared" si="294"/>
        <v>2.4681688546853779</v>
      </c>
      <c r="DY84" s="173">
        <f t="shared" si="295"/>
        <v>0.43925233644859812</v>
      </c>
      <c r="EA84" s="5">
        <f t="shared" si="250"/>
        <v>229.10777393617028</v>
      </c>
      <c r="EB84" s="5">
        <f t="shared" si="251"/>
        <v>0.84854731087470459</v>
      </c>
      <c r="EC84" s="5">
        <f t="shared" si="252"/>
        <v>1.6248778293345403</v>
      </c>
      <c r="ED84" s="5"/>
      <c r="EE84" s="173">
        <f t="shared" si="296"/>
        <v>1.4796121323024953</v>
      </c>
      <c r="EF84" s="173">
        <f t="shared" si="253"/>
        <v>6.687050012022234</v>
      </c>
      <c r="EG84" s="173">
        <f t="shared" si="254"/>
        <v>0.12741541239123444</v>
      </c>
      <c r="EH84" s="173"/>
      <c r="EI84" s="528">
        <f t="shared" si="255"/>
        <v>2.6708875157092186E-2</v>
      </c>
      <c r="EJ84" s="528">
        <f t="shared" si="256"/>
        <v>0.75199999999999989</v>
      </c>
      <c r="EK84" s="528">
        <f t="shared" si="257"/>
        <v>2.8398971898079547E-2</v>
      </c>
      <c r="EL84" s="528">
        <f t="shared" si="258"/>
        <v>4.1617898145422424E-2</v>
      </c>
      <c r="EM84">
        <f t="shared" si="259"/>
        <v>1.0800000000000001E-2</v>
      </c>
      <c r="EN84" s="460">
        <f t="shared" si="297"/>
        <v>39.198971898079549</v>
      </c>
      <c r="EO84">
        <f t="shared" si="260"/>
        <v>0.87227260853354427</v>
      </c>
      <c r="EP84" s="460">
        <f t="shared" si="298"/>
        <v>872.27260853354426</v>
      </c>
      <c r="EQ84" s="173">
        <f t="shared" si="261"/>
        <v>2.944725</v>
      </c>
      <c r="ER84" s="173">
        <f t="shared" si="262"/>
        <v>3.5056250000000004E-2</v>
      </c>
      <c r="ES84" s="528"/>
      <c r="EU84" s="460">
        <f t="shared" si="299"/>
        <v>2979.78125</v>
      </c>
      <c r="EV84" s="528">
        <f t="shared" si="263"/>
        <v>6.5677561861702108E-2</v>
      </c>
      <c r="EW84" s="528">
        <f t="shared" si="300"/>
        <v>1.3414991358985966</v>
      </c>
      <c r="EX84" s="528">
        <f t="shared" si="264"/>
        <v>8.1173436574141696E-5</v>
      </c>
      <c r="EY84" s="528">
        <f t="shared" si="265"/>
        <v>1.1437475956681524</v>
      </c>
      <c r="EZ84" s="528">
        <f t="shared" si="266"/>
        <v>3.2552223363818089</v>
      </c>
      <c r="FA84" s="625">
        <f t="shared" si="267"/>
        <v>8.4925E-2</v>
      </c>
      <c r="FB84" s="460">
        <f t="shared" si="301"/>
        <v>3340.1473363818091</v>
      </c>
      <c r="FC84" s="173">
        <f t="shared" si="302"/>
        <v>7.192201194915353</v>
      </c>
      <c r="FD84" s="5">
        <f t="shared" si="303"/>
        <v>20.382000000000001</v>
      </c>
      <c r="FE84" s="173">
        <f t="shared" si="304"/>
        <v>0.7391691913729278</v>
      </c>
      <c r="FF84" s="5">
        <f t="shared" si="305"/>
        <v>73.91691913729278</v>
      </c>
      <c r="FG84">
        <f t="shared" si="306"/>
        <v>79</v>
      </c>
      <c r="FI84" s="562">
        <f t="shared" si="268"/>
        <v>-50</v>
      </c>
      <c r="FJ84">
        <f t="shared" si="269"/>
        <v>-50</v>
      </c>
      <c r="FL84">
        <f t="shared" si="270"/>
        <v>0.56074766355140193</v>
      </c>
    </row>
    <row r="85" spans="5:168">
      <c r="E85" s="170">
        <v>80</v>
      </c>
      <c r="F85" s="217">
        <f t="shared" si="307"/>
        <v>4.8000000000000007</v>
      </c>
      <c r="G85" s="217">
        <f t="shared" si="271"/>
        <v>8.0000000000000016E-2</v>
      </c>
      <c r="H85" s="217">
        <f t="shared" si="176"/>
        <v>19.200000000000003</v>
      </c>
      <c r="I85" s="217">
        <f t="shared" si="308"/>
        <v>1.4400000000000004</v>
      </c>
      <c r="J85" s="541">
        <f t="shared" si="177"/>
        <v>23.887567532171833</v>
      </c>
      <c r="K85" s="443">
        <f t="shared" si="178"/>
        <v>19.827200000000001</v>
      </c>
      <c r="L85" s="172">
        <f t="shared" si="179"/>
        <v>43.714767532171834</v>
      </c>
      <c r="M85" s="443"/>
      <c r="N85" s="217">
        <f t="shared" si="180"/>
        <v>0.45355839958220517</v>
      </c>
      <c r="O85" s="172">
        <f t="shared" si="272"/>
        <v>33.595060154430094</v>
      </c>
      <c r="P85" s="172">
        <f t="shared" si="181"/>
        <v>2.7086017249509258</v>
      </c>
      <c r="Q85" s="217">
        <f t="shared" si="182"/>
        <v>8.3987650386075234</v>
      </c>
      <c r="R85" s="217">
        <f t="shared" si="183"/>
        <v>1.8663922308016718</v>
      </c>
      <c r="S85" s="443">
        <f t="shared" si="184"/>
        <v>4</v>
      </c>
      <c r="T85" s="217">
        <f t="shared" si="185"/>
        <v>3.8100839650713061</v>
      </c>
      <c r="U85" s="217">
        <f t="shared" si="186"/>
        <v>1.9140085117196848</v>
      </c>
      <c r="V85" s="217">
        <f t="shared" si="187"/>
        <v>2.3059739943540021</v>
      </c>
      <c r="W85" s="197">
        <f t="shared" si="188"/>
        <v>350</v>
      </c>
      <c r="X85" s="443">
        <f t="shared" si="273"/>
        <v>226.24523934786103</v>
      </c>
      <c r="Z85" s="217">
        <f t="shared" si="189"/>
        <v>2.579620690429453</v>
      </c>
      <c r="AA85" s="173">
        <f t="shared" si="190"/>
        <v>1.5612617154794137</v>
      </c>
      <c r="AB85" s="173">
        <f t="shared" si="191"/>
        <v>2.8192241170982539</v>
      </c>
      <c r="AC85" s="173"/>
      <c r="AD85" s="173">
        <f t="shared" si="192"/>
        <v>0.80697224015493885</v>
      </c>
      <c r="AE85" s="545">
        <f t="shared" si="193"/>
        <v>2230.5599999999995</v>
      </c>
      <c r="AF85" s="528">
        <f t="shared" si="194"/>
        <v>0.7531740908112764</v>
      </c>
      <c r="AH85" s="173">
        <f t="shared" si="195"/>
        <v>3.1350552512789038</v>
      </c>
      <c r="AI85" s="173">
        <f t="shared" si="196"/>
        <v>3.8100839650713061</v>
      </c>
      <c r="AJ85" s="173">
        <f t="shared" si="197"/>
        <v>3.0346300975836833</v>
      </c>
      <c r="AL85" s="545">
        <f t="shared" si="198"/>
        <v>4800.0000000000009</v>
      </c>
      <c r="AM85" s="460">
        <f t="shared" si="199"/>
        <v>226.24523934786103</v>
      </c>
      <c r="AO85">
        <f t="shared" si="274"/>
        <v>4800.0000000000009</v>
      </c>
      <c r="AP85">
        <f t="shared" si="200"/>
        <v>226.24523934786103</v>
      </c>
      <c r="AR85" s="5">
        <f t="shared" si="275"/>
        <v>4.4199825060736879</v>
      </c>
      <c r="AS85" s="5">
        <f t="shared" si="201"/>
        <v>1.9140085117196848</v>
      </c>
      <c r="AT85" s="5">
        <f t="shared" si="276"/>
        <v>2.5059739943540031</v>
      </c>
      <c r="AU85" s="173">
        <f t="shared" si="277"/>
        <v>0.43303531384786331</v>
      </c>
      <c r="AW85" s="5">
        <f t="shared" si="202"/>
        <v>229.68102140636222</v>
      </c>
      <c r="AX85" s="5">
        <f t="shared" si="203"/>
        <v>0.85067044965319338</v>
      </c>
      <c r="AY85" s="5">
        <f t="shared" si="204"/>
        <v>1.6785126344766257</v>
      </c>
      <c r="AZ85" s="5"/>
      <c r="BA85" s="173">
        <f t="shared" si="278"/>
        <v>1.4475566752737046</v>
      </c>
      <c r="BB85" s="173">
        <f t="shared" si="205"/>
        <v>6.6253971298351013</v>
      </c>
      <c r="BC85" s="173">
        <f t="shared" si="206"/>
        <v>0.12624067504145262</v>
      </c>
      <c r="BD85" s="173"/>
      <c r="BE85" s="528">
        <f t="shared" si="207"/>
        <v>2.5564128003179424E-2</v>
      </c>
      <c r="BF85" s="528">
        <f t="shared" si="208"/>
        <v>0.70655087965114105</v>
      </c>
      <c r="BG85" s="528">
        <f t="shared" si="209"/>
        <v>0.13511121084386024</v>
      </c>
      <c r="BH85" s="528">
        <f t="shared" si="210"/>
        <v>4.323503311983394E-2</v>
      </c>
      <c r="BI85">
        <f t="shared" si="211"/>
        <v>1.0749405389477324E-2</v>
      </c>
      <c r="BJ85" s="460">
        <f t="shared" si="279"/>
        <v>145.86061623333757</v>
      </c>
      <c r="BK85">
        <f t="shared" si="212"/>
        <v>0.78703282166729638</v>
      </c>
      <c r="BL85" s="460">
        <f t="shared" si="280"/>
        <v>787.03282166729639</v>
      </c>
      <c r="BM85" s="173">
        <f t="shared" si="213"/>
        <v>2.9820000000000002</v>
      </c>
      <c r="BN85" s="173">
        <f t="shared" si="214"/>
        <v>3.5500000000000004E-2</v>
      </c>
      <c r="BO85" s="528"/>
      <c r="BQ85" s="460">
        <f t="shared" si="281"/>
        <v>3017.5</v>
      </c>
      <c r="BR85" s="528">
        <f t="shared" si="215"/>
        <v>6.2862609843883838E-2</v>
      </c>
      <c r="BS85" s="528">
        <f t="shared" si="216"/>
        <v>1.3168766138408159</v>
      </c>
      <c r="BT85" s="528">
        <f t="shared" si="217"/>
        <v>7.9683540174608185E-5</v>
      </c>
      <c r="BU85" s="528">
        <f t="shared" si="218"/>
        <v>1.0908247788163858</v>
      </c>
      <c r="BV85" s="528">
        <f t="shared" si="219"/>
        <v>3.1494543573525786</v>
      </c>
      <c r="BW85" s="625">
        <f t="shared" si="220"/>
        <v>8.2108581883216805E-2</v>
      </c>
      <c r="BX85" s="460">
        <f t="shared" si="282"/>
        <v>3231.5629392357955</v>
      </c>
      <c r="BY85" s="173">
        <f t="shared" si="283"/>
        <v>7.0360957609030921</v>
      </c>
      <c r="BZ85" s="5">
        <f t="shared" si="284"/>
        <v>20.640000000000004</v>
      </c>
      <c r="CA85" s="173">
        <f t="shared" si="285"/>
        <v>0.74576993006207548</v>
      </c>
      <c r="CB85" s="5">
        <f t="shared" si="286"/>
        <v>74.576993006207545</v>
      </c>
      <c r="CC85">
        <f t="shared" si="287"/>
        <v>80.000000000000014</v>
      </c>
      <c r="CE85" s="562">
        <f t="shared" si="221"/>
        <v>-50</v>
      </c>
      <c r="CF85">
        <f t="shared" si="222"/>
        <v>-50</v>
      </c>
      <c r="CG85" s="173">
        <f t="shared" si="223"/>
        <v>0.56074766355140182</v>
      </c>
      <c r="CH85" s="173">
        <f t="shared" si="224"/>
        <v>0.15015627428312001</v>
      </c>
      <c r="CI85" s="170">
        <v>80</v>
      </c>
      <c r="CJ85" s="217">
        <f t="shared" si="309"/>
        <v>4.8000000000000007</v>
      </c>
      <c r="CK85" s="217">
        <f t="shared" si="288"/>
        <v>8.0000000000000016E-2</v>
      </c>
      <c r="CL85" s="217">
        <f t="shared" si="225"/>
        <v>19.200000000000003</v>
      </c>
      <c r="CM85" s="217">
        <f t="shared" si="310"/>
        <v>1.4400000000000004</v>
      </c>
      <c r="CN85" s="541">
        <f t="shared" si="289"/>
        <v>24</v>
      </c>
      <c r="CO85" s="443">
        <f t="shared" si="226"/>
        <v>18.8</v>
      </c>
      <c r="CP85" s="443">
        <f t="shared" si="227"/>
        <v>42.8</v>
      </c>
      <c r="CQ85" s="443"/>
      <c r="CR85" s="217">
        <f t="shared" si="228"/>
        <v>0.43925233644859818</v>
      </c>
      <c r="CS85" s="172">
        <f t="shared" si="290"/>
        <v>32.688545968267775</v>
      </c>
      <c r="CT85" s="172">
        <f t="shared" si="229"/>
        <v>2.6355140186915893</v>
      </c>
      <c r="CU85" s="217">
        <f t="shared" si="230"/>
        <v>8.1721364920669437</v>
      </c>
      <c r="CV85" s="217">
        <f t="shared" si="231"/>
        <v>1.816030331570432</v>
      </c>
      <c r="CW85" s="443">
        <f t="shared" si="232"/>
        <v>4</v>
      </c>
      <c r="CX85" s="217">
        <f t="shared" si="233"/>
        <v>3.9157446808510636</v>
      </c>
      <c r="CY85" s="217">
        <f t="shared" si="234"/>
        <v>1.957872340425532</v>
      </c>
      <c r="CZ85" s="217">
        <f t="shared" si="235"/>
        <v>2.4994114984155726</v>
      </c>
      <c r="DA85" s="197">
        <f t="shared" si="236"/>
        <v>350</v>
      </c>
      <c r="DB85" s="443">
        <f t="shared" si="291"/>
        <v>224.35187799482844</v>
      </c>
      <c r="DD85" s="217">
        <f t="shared" si="237"/>
        <v>2.5100133511348464</v>
      </c>
      <c r="DE85" s="173">
        <f t="shared" si="238"/>
        <v>1.6021361815754336</v>
      </c>
      <c r="DF85" s="173">
        <f t="shared" si="239"/>
        <v>2.8149682442633783</v>
      </c>
      <c r="DG85" s="173"/>
      <c r="DH85" s="173">
        <f t="shared" si="240"/>
        <v>0.85106382978723416</v>
      </c>
      <c r="DI85" s="545">
        <f t="shared" si="241"/>
        <v>2115</v>
      </c>
      <c r="DJ85" s="528">
        <f t="shared" si="242"/>
        <v>0.79432624113475192</v>
      </c>
      <c r="DL85" s="173">
        <f t="shared" si="243"/>
        <v>3.1350552512789038</v>
      </c>
      <c r="DM85" s="173">
        <f t="shared" si="244"/>
        <v>3.9157446808510636</v>
      </c>
      <c r="DN85" s="173">
        <f t="shared" si="245"/>
        <v>3.1128972944575777</v>
      </c>
      <c r="DP85" s="545">
        <f t="shared" si="246"/>
        <v>4800.0000000000009</v>
      </c>
      <c r="DQ85" s="460">
        <f t="shared" si="247"/>
        <v>224.35187799482844</v>
      </c>
      <c r="DS85">
        <f t="shared" si="292"/>
        <v>4800.0000000000009</v>
      </c>
      <c r="DT85">
        <f t="shared" si="248"/>
        <v>224.35187799482844</v>
      </c>
      <c r="DV85" s="5">
        <f t="shared" si="293"/>
        <v>4.4572838388411045</v>
      </c>
      <c r="DW85" s="5">
        <f t="shared" si="249"/>
        <v>1.957872340425532</v>
      </c>
      <c r="DX85" s="5">
        <f t="shared" si="294"/>
        <v>2.4994114984155722</v>
      </c>
      <c r="DY85" s="173">
        <f t="shared" si="295"/>
        <v>0.43925233644859818</v>
      </c>
      <c r="EA85" s="5">
        <f t="shared" si="250"/>
        <v>234.94468085106388</v>
      </c>
      <c r="EB85" s="5">
        <f t="shared" si="251"/>
        <v>0.87016548463356991</v>
      </c>
      <c r="EC85" s="5">
        <f t="shared" si="252"/>
        <v>1.6662743322770481</v>
      </c>
      <c r="ED85" s="5"/>
      <c r="EE85" s="173">
        <f t="shared" si="296"/>
        <v>1.4983413997999957</v>
      </c>
      <c r="EF85" s="173">
        <f t="shared" si="253"/>
        <v>6.7716962147060586</v>
      </c>
      <c r="EG85" s="173">
        <f t="shared" si="254"/>
        <v>0.12902826571264248</v>
      </c>
      <c r="EH85" s="173"/>
      <c r="EI85" s="528">
        <f t="shared" si="255"/>
        <v>2.7389328794326248E-2</v>
      </c>
      <c r="EJ85" s="528">
        <f t="shared" si="256"/>
        <v>0.752</v>
      </c>
      <c r="EK85" s="528">
        <f t="shared" si="257"/>
        <v>2.8043984749353552E-2</v>
      </c>
      <c r="EL85" s="528">
        <f t="shared" si="258"/>
        <v>4.1097674418604652E-2</v>
      </c>
      <c r="EM85">
        <f t="shared" si="259"/>
        <v>1.0800000000000001E-2</v>
      </c>
      <c r="EN85" s="460">
        <f t="shared" si="297"/>
        <v>38.843984749353552</v>
      </c>
      <c r="EO85">
        <f t="shared" si="260"/>
        <v>0.87240345061693236</v>
      </c>
      <c r="EP85" s="460">
        <f t="shared" si="298"/>
        <v>872.40345061693233</v>
      </c>
      <c r="EQ85" s="173">
        <f t="shared" si="261"/>
        <v>2.9820000000000002</v>
      </c>
      <c r="ER85" s="173">
        <f t="shared" si="262"/>
        <v>3.5500000000000004E-2</v>
      </c>
      <c r="ES85" s="528"/>
      <c r="EU85" s="460">
        <f t="shared" si="299"/>
        <v>3017.5</v>
      </c>
      <c r="EV85" s="528">
        <f t="shared" si="263"/>
        <v>6.7350808510638321E-2</v>
      </c>
      <c r="EW85" s="528">
        <f t="shared" si="300"/>
        <v>1.3756760887279309</v>
      </c>
      <c r="EX85" s="528">
        <f t="shared" si="264"/>
        <v>8.324146676406136E-5</v>
      </c>
      <c r="EY85" s="528">
        <f t="shared" si="265"/>
        <v>1.143747595668154</v>
      </c>
      <c r="EZ85" s="528">
        <f t="shared" si="266"/>
        <v>3.3160366573002498</v>
      </c>
      <c r="FA85" s="625">
        <f t="shared" si="267"/>
        <v>8.6000000000000007E-2</v>
      </c>
      <c r="FB85" s="460">
        <f t="shared" si="301"/>
        <v>3402.0366573002498</v>
      </c>
      <c r="FC85" s="173">
        <f t="shared" si="302"/>
        <v>7.2919401079171831</v>
      </c>
      <c r="FD85" s="5">
        <f t="shared" si="303"/>
        <v>20.640000000000004</v>
      </c>
      <c r="FE85" s="173">
        <f t="shared" si="304"/>
        <v>0.73893900388787126</v>
      </c>
      <c r="FF85" s="5">
        <f t="shared" si="305"/>
        <v>73.893900388787131</v>
      </c>
      <c r="FG85">
        <f t="shared" si="306"/>
        <v>80.000000000000014</v>
      </c>
      <c r="FI85" s="562">
        <f t="shared" si="268"/>
        <v>-50</v>
      </c>
      <c r="FJ85">
        <f t="shared" si="269"/>
        <v>-50</v>
      </c>
      <c r="FL85">
        <f t="shared" si="270"/>
        <v>0.56074766355140182</v>
      </c>
    </row>
    <row r="86" spans="5:168">
      <c r="E86" s="170">
        <v>81</v>
      </c>
      <c r="F86" s="217">
        <f t="shared" si="307"/>
        <v>4.8600000000000003</v>
      </c>
      <c r="G86" s="217">
        <f t="shared" si="271"/>
        <v>8.1000000000000016E-2</v>
      </c>
      <c r="H86" s="217">
        <f t="shared" si="176"/>
        <v>19.440000000000001</v>
      </c>
      <c r="I86" s="217">
        <f t="shared" si="308"/>
        <v>1.4580000000000002</v>
      </c>
      <c r="J86" s="541">
        <f t="shared" si="177"/>
        <v>23.886162126323981</v>
      </c>
      <c r="K86" s="443">
        <f t="shared" si="178"/>
        <v>19.840040000000002</v>
      </c>
      <c r="L86" s="172">
        <f t="shared" si="179"/>
        <v>43.726202126323983</v>
      </c>
      <c r="M86" s="443"/>
      <c r="N86" s="217">
        <f t="shared" si="180"/>
        <v>0.45373343750922129</v>
      </c>
      <c r="O86" s="172">
        <f t="shared" si="272"/>
        <v>33.606047908463722</v>
      </c>
      <c r="P86" s="172">
        <f t="shared" si="181"/>
        <v>2.7094876126198879</v>
      </c>
      <c r="Q86" s="217">
        <f t="shared" si="182"/>
        <v>8.4015119771159306</v>
      </c>
      <c r="R86" s="217">
        <f t="shared" si="183"/>
        <v>1.867002661581318</v>
      </c>
      <c r="S86" s="443">
        <f t="shared" si="184"/>
        <v>4</v>
      </c>
      <c r="T86" s="217">
        <f t="shared" si="185"/>
        <v>3.8564487068817193</v>
      </c>
      <c r="U86" s="217">
        <f t="shared" si="186"/>
        <v>1.9374139821139444</v>
      </c>
      <c r="V86" s="217">
        <f t="shared" si="187"/>
        <v>2.3325247571366101</v>
      </c>
      <c r="W86" s="197">
        <f t="shared" si="188"/>
        <v>350</v>
      </c>
      <c r="X86" s="443">
        <f t="shared" si="273"/>
        <v>223.71671253992699</v>
      </c>
      <c r="Z86" s="217">
        <f t="shared" si="189"/>
        <v>2.5804643929713214</v>
      </c>
      <c r="AA86" s="173">
        <f t="shared" si="190"/>
        <v>1.5607616071165105</v>
      </c>
      <c r="AB86" s="173">
        <f t="shared" si="191"/>
        <v>2.8192428271565948</v>
      </c>
      <c r="AC86" s="173"/>
      <c r="AD86" s="173">
        <f t="shared" si="192"/>
        <v>0.80644998699599402</v>
      </c>
      <c r="AE86" s="545">
        <f t="shared" si="193"/>
        <v>2259.9045562499996</v>
      </c>
      <c r="AF86" s="528">
        <f t="shared" si="194"/>
        <v>0.7526866545295946</v>
      </c>
      <c r="AH86" s="173">
        <f t="shared" si="195"/>
        <v>3.1545884947847909</v>
      </c>
      <c r="AI86" s="173">
        <f t="shared" si="196"/>
        <v>3.8564487068817193</v>
      </c>
      <c r="AJ86" s="173">
        <f t="shared" si="197"/>
        <v>3.0689743507765819</v>
      </c>
      <c r="AL86" s="545">
        <f t="shared" si="198"/>
        <v>4860</v>
      </c>
      <c r="AM86" s="460">
        <f t="shared" si="199"/>
        <v>223.71671253992699</v>
      </c>
      <c r="AO86">
        <f t="shared" si="274"/>
        <v>4860</v>
      </c>
      <c r="AP86">
        <f t="shared" si="200"/>
        <v>223.71671253992699</v>
      </c>
      <c r="AR86" s="5">
        <f t="shared" si="275"/>
        <v>4.469938739250555</v>
      </c>
      <c r="AS86" s="5">
        <f t="shared" si="201"/>
        <v>1.9374139821139444</v>
      </c>
      <c r="AT86" s="5">
        <f t="shared" si="276"/>
        <v>2.5325247571366107</v>
      </c>
      <c r="AU86" s="173">
        <f t="shared" si="277"/>
        <v>0.43343188690742052</v>
      </c>
      <c r="AW86" s="5">
        <f t="shared" si="202"/>
        <v>235.39579882684424</v>
      </c>
      <c r="AX86" s="5">
        <f t="shared" si="203"/>
        <v>0.8718362919512751</v>
      </c>
      <c r="AY86" s="5">
        <f t="shared" si="204"/>
        <v>1.7176012139848531</v>
      </c>
      <c r="AZ86" s="5"/>
      <c r="BA86" s="173">
        <f t="shared" si="278"/>
        <v>1.465842675424067</v>
      </c>
      <c r="BB86" s="173">
        <f t="shared" si="205"/>
        <v>6.7036755615712886</v>
      </c>
      <c r="BC86" s="173">
        <f t="shared" si="206"/>
        <v>0.1277321965110205</v>
      </c>
      <c r="BD86" s="173"/>
      <c r="BE86" s="528">
        <f t="shared" si="207"/>
        <v>2.6214075938951514E-2</v>
      </c>
      <c r="BF86" s="528">
        <f t="shared" si="208"/>
        <v>0.70734130327470468</v>
      </c>
      <c r="BG86" s="528">
        <f t="shared" si="209"/>
        <v>0.13359334165242281</v>
      </c>
      <c r="BH86" s="528">
        <f t="shared" si="210"/>
        <v>4.277420483647857E-2</v>
      </c>
      <c r="BI86">
        <f t="shared" si="211"/>
        <v>1.0748772956845792E-2</v>
      </c>
      <c r="BJ86" s="460">
        <f t="shared" si="279"/>
        <v>144.34211460926861</v>
      </c>
      <c r="BK86">
        <f t="shared" si="212"/>
        <v>0.7883173913958339</v>
      </c>
      <c r="BL86" s="460">
        <f t="shared" si="280"/>
        <v>788.31739139583385</v>
      </c>
      <c r="BM86" s="173">
        <f t="shared" si="213"/>
        <v>3.0192749999999999</v>
      </c>
      <c r="BN86" s="173">
        <f t="shared" si="214"/>
        <v>3.5943750000000003E-2</v>
      </c>
      <c r="BO86" s="528"/>
      <c r="BQ86" s="460">
        <f t="shared" si="281"/>
        <v>3055.21875</v>
      </c>
      <c r="BR86" s="528">
        <f t="shared" si="215"/>
        <v>6.4460842472831584E-2</v>
      </c>
      <c r="BS86" s="528">
        <f t="shared" si="216"/>
        <v>1.348177981044244</v>
      </c>
      <c r="BT86" s="528">
        <f t="shared" si="217"/>
        <v>8.1577570127649784E-5</v>
      </c>
      <c r="BU86" s="528">
        <f t="shared" si="218"/>
        <v>1.0931631284919141</v>
      </c>
      <c r="BV86" s="528">
        <f t="shared" si="219"/>
        <v>3.2074328969288111</v>
      </c>
      <c r="BW86" s="625">
        <f t="shared" si="220"/>
        <v>8.3178973451117189E-2</v>
      </c>
      <c r="BX86" s="460">
        <f t="shared" si="282"/>
        <v>3290.6118703799284</v>
      </c>
      <c r="BY86" s="173">
        <f t="shared" si="283"/>
        <v>7.1341480117757623</v>
      </c>
      <c r="BZ86" s="5">
        <f t="shared" si="284"/>
        <v>20.898000000000003</v>
      </c>
      <c r="CA86" s="173">
        <f t="shared" si="285"/>
        <v>0.74550120066507763</v>
      </c>
      <c r="CB86" s="5">
        <f t="shared" si="286"/>
        <v>74.550120066507759</v>
      </c>
      <c r="CC86">
        <f t="shared" si="287"/>
        <v>81</v>
      </c>
      <c r="CE86" s="562">
        <f t="shared" si="221"/>
        <v>-50</v>
      </c>
      <c r="CF86">
        <f t="shared" si="222"/>
        <v>-50</v>
      </c>
      <c r="CG86" s="173">
        <f t="shared" si="223"/>
        <v>0.56074766355140193</v>
      </c>
      <c r="CH86" s="173">
        <f t="shared" si="224"/>
        <v>0.15015627428311998</v>
      </c>
      <c r="CI86" s="170">
        <v>81</v>
      </c>
      <c r="CJ86" s="217">
        <f t="shared" si="309"/>
        <v>4.8600000000000003</v>
      </c>
      <c r="CK86" s="217">
        <f t="shared" si="288"/>
        <v>8.1000000000000016E-2</v>
      </c>
      <c r="CL86" s="217">
        <f t="shared" si="225"/>
        <v>19.440000000000001</v>
      </c>
      <c r="CM86" s="217">
        <f t="shared" si="310"/>
        <v>1.4580000000000002</v>
      </c>
      <c r="CN86" s="541">
        <f t="shared" si="289"/>
        <v>24</v>
      </c>
      <c r="CO86" s="443">
        <f t="shared" si="226"/>
        <v>18.8</v>
      </c>
      <c r="CP86" s="443">
        <f t="shared" si="227"/>
        <v>42.8</v>
      </c>
      <c r="CQ86" s="443"/>
      <c r="CR86" s="217">
        <f t="shared" si="228"/>
        <v>0.43925233644859818</v>
      </c>
      <c r="CS86" s="172">
        <f t="shared" si="290"/>
        <v>32.688545968267775</v>
      </c>
      <c r="CT86" s="172">
        <f t="shared" si="229"/>
        <v>2.6355140186915893</v>
      </c>
      <c r="CU86" s="217">
        <f t="shared" si="230"/>
        <v>8.1721364920669437</v>
      </c>
      <c r="CV86" s="217">
        <f t="shared" si="231"/>
        <v>1.816030331570432</v>
      </c>
      <c r="CW86" s="443">
        <f t="shared" si="232"/>
        <v>4</v>
      </c>
      <c r="CX86" s="217">
        <f t="shared" si="233"/>
        <v>3.964691489361702</v>
      </c>
      <c r="CY86" s="217">
        <f t="shared" si="234"/>
        <v>1.982345744680851</v>
      </c>
      <c r="CZ86" s="217">
        <f t="shared" si="235"/>
        <v>2.5306541421457673</v>
      </c>
      <c r="DA86" s="197">
        <f t="shared" si="236"/>
        <v>350</v>
      </c>
      <c r="DB86" s="443">
        <f t="shared" si="291"/>
        <v>221.58210172328734</v>
      </c>
      <c r="DD86" s="217">
        <f t="shared" si="237"/>
        <v>2.5100133511348464</v>
      </c>
      <c r="DE86" s="173">
        <f t="shared" si="238"/>
        <v>1.6021361815754336</v>
      </c>
      <c r="DF86" s="173">
        <f t="shared" si="239"/>
        <v>2.8149682442633783</v>
      </c>
      <c r="DG86" s="173"/>
      <c r="DH86" s="173">
        <f t="shared" si="240"/>
        <v>0.85106382978723416</v>
      </c>
      <c r="DI86" s="545">
        <f t="shared" si="241"/>
        <v>2141.4374999999995</v>
      </c>
      <c r="DJ86" s="528">
        <f t="shared" si="242"/>
        <v>0.79432624113475192</v>
      </c>
      <c r="DL86" s="173">
        <f t="shared" si="243"/>
        <v>3.1545884947847909</v>
      </c>
      <c r="DM86" s="173">
        <f t="shared" si="244"/>
        <v>3.964691489361702</v>
      </c>
      <c r="DN86" s="173">
        <f t="shared" si="245"/>
        <v>3.1491541896506434</v>
      </c>
      <c r="DP86" s="545">
        <f t="shared" si="246"/>
        <v>4860</v>
      </c>
      <c r="DQ86" s="460">
        <f t="shared" si="247"/>
        <v>221.58210172328734</v>
      </c>
      <c r="DS86">
        <f t="shared" si="292"/>
        <v>4860</v>
      </c>
      <c r="DT86">
        <f t="shared" si="248"/>
        <v>221.58210172328734</v>
      </c>
      <c r="DV86" s="5">
        <f t="shared" si="293"/>
        <v>4.5129998868266181</v>
      </c>
      <c r="DW86" s="5">
        <f t="shared" si="249"/>
        <v>1.982345744680851</v>
      </c>
      <c r="DX86" s="5">
        <f t="shared" si="294"/>
        <v>2.5306541421457673</v>
      </c>
      <c r="DY86" s="173">
        <f t="shared" si="295"/>
        <v>0.43925233644859812</v>
      </c>
      <c r="EA86" s="5">
        <f t="shared" si="250"/>
        <v>240.85500797872342</v>
      </c>
      <c r="EB86" s="5">
        <f t="shared" si="251"/>
        <v>0.89205558510638316</v>
      </c>
      <c r="EC86" s="5">
        <f t="shared" si="252"/>
        <v>1.708191545948393</v>
      </c>
      <c r="ED86" s="5"/>
      <c r="EE86" s="173">
        <f t="shared" si="296"/>
        <v>1.5170706672974954</v>
      </c>
      <c r="EF86" s="173">
        <f t="shared" si="253"/>
        <v>6.856342417389885</v>
      </c>
      <c r="EG86" s="173">
        <f t="shared" si="254"/>
        <v>0.13064111903405051</v>
      </c>
      <c r="EH86" s="173"/>
      <c r="EI86" s="528">
        <f t="shared" si="255"/>
        <v>2.8078341596808509E-2</v>
      </c>
      <c r="EJ86" s="528">
        <f t="shared" si="256"/>
        <v>0.752</v>
      </c>
      <c r="EK86" s="528">
        <f t="shared" si="257"/>
        <v>2.7697762715410915E-2</v>
      </c>
      <c r="EL86" s="528">
        <f t="shared" si="258"/>
        <v>4.0590295722078666E-2</v>
      </c>
      <c r="EM86">
        <f t="shared" si="259"/>
        <v>1.0800000000000001E-2</v>
      </c>
      <c r="EN86" s="460">
        <f t="shared" si="297"/>
        <v>38.497762715410914</v>
      </c>
      <c r="EO86">
        <f t="shared" si="260"/>
        <v>0.87256882007571845</v>
      </c>
      <c r="EP86" s="460">
        <f t="shared" si="298"/>
        <v>872.56882007571846</v>
      </c>
      <c r="EQ86" s="173">
        <f t="shared" si="261"/>
        <v>3.0192749999999999</v>
      </c>
      <c r="ER86" s="173">
        <f t="shared" si="262"/>
        <v>3.5943750000000003E-2</v>
      </c>
      <c r="ES86" s="528"/>
      <c r="EU86" s="460">
        <f t="shared" si="299"/>
        <v>3055.21875</v>
      </c>
      <c r="EV86" s="528">
        <f t="shared" si="263"/>
        <v>6.9045102287234039E-2</v>
      </c>
      <c r="EW86" s="528">
        <f t="shared" si="300"/>
        <v>1.4102829403349932</v>
      </c>
      <c r="EX86" s="528">
        <f t="shared" si="264"/>
        <v>8.5335509912344779E-5</v>
      </c>
      <c r="EY86" s="528">
        <f t="shared" si="265"/>
        <v>1.1437475956681533</v>
      </c>
      <c r="EZ86" s="528">
        <f t="shared" si="266"/>
        <v>3.3780191186039072</v>
      </c>
      <c r="FA86" s="625">
        <f t="shared" si="267"/>
        <v>8.7075E-2</v>
      </c>
      <c r="FB86" s="460">
        <f t="shared" si="301"/>
        <v>3465.0941186039072</v>
      </c>
      <c r="FC86" s="173">
        <f t="shared" si="302"/>
        <v>7.3928816886796254</v>
      </c>
      <c r="FD86" s="5">
        <f t="shared" si="303"/>
        <v>20.898000000000003</v>
      </c>
      <c r="FE86" s="173">
        <f t="shared" si="304"/>
        <v>0.73868323475977671</v>
      </c>
      <c r="FF86" s="5">
        <f t="shared" si="305"/>
        <v>73.868323475977675</v>
      </c>
      <c r="FG86">
        <f t="shared" si="306"/>
        <v>81</v>
      </c>
      <c r="FI86" s="562">
        <f t="shared" si="268"/>
        <v>-50</v>
      </c>
      <c r="FJ86">
        <f t="shared" si="269"/>
        <v>-50</v>
      </c>
      <c r="FL86">
        <f t="shared" si="270"/>
        <v>0.56074766355140193</v>
      </c>
    </row>
    <row r="87" spans="5:168">
      <c r="E87" s="170">
        <v>82</v>
      </c>
      <c r="F87" s="217">
        <f t="shared" si="307"/>
        <v>4.92</v>
      </c>
      <c r="G87" s="217">
        <f t="shared" si="271"/>
        <v>8.2000000000000003E-2</v>
      </c>
      <c r="H87" s="217">
        <f t="shared" si="176"/>
        <v>19.68</v>
      </c>
      <c r="I87" s="217">
        <f t="shared" si="308"/>
        <v>1.476</v>
      </c>
      <c r="J87" s="541">
        <f t="shared" si="177"/>
        <v>23.884756720476126</v>
      </c>
      <c r="K87" s="443">
        <f t="shared" si="178"/>
        <v>19.852879999999999</v>
      </c>
      <c r="L87" s="172">
        <f t="shared" si="179"/>
        <v>43.737636720476125</v>
      </c>
      <c r="M87" s="443"/>
      <c r="N87" s="217">
        <f t="shared" si="180"/>
        <v>0.45390838391379557</v>
      </c>
      <c r="O87" s="172">
        <f t="shared" si="272"/>
        <v>33.617027358652678</v>
      </c>
      <c r="P87" s="172">
        <f t="shared" si="181"/>
        <v>2.7103728307913717</v>
      </c>
      <c r="Q87" s="217">
        <f t="shared" si="182"/>
        <v>8.4042568396631694</v>
      </c>
      <c r="R87" s="217">
        <f t="shared" si="183"/>
        <v>1.86761263103626</v>
      </c>
      <c r="S87" s="443">
        <f t="shared" si="184"/>
        <v>4</v>
      </c>
      <c r="T87" s="217">
        <f t="shared" si="185"/>
        <v>3.902784104027285</v>
      </c>
      <c r="U87" s="217">
        <f t="shared" si="186"/>
        <v>1.9608074637903965</v>
      </c>
      <c r="V87" s="217">
        <f t="shared" si="187"/>
        <v>2.3590234388324229</v>
      </c>
      <c r="W87" s="197">
        <f t="shared" si="188"/>
        <v>350</v>
      </c>
      <c r="X87" s="443">
        <f t="shared" si="273"/>
        <v>221.24721511588152</v>
      </c>
      <c r="Z87" s="217">
        <f t="shared" si="189"/>
        <v>2.581307457896544</v>
      </c>
      <c r="AA87" s="173">
        <f t="shared" si="190"/>
        <v>1.5602617602462985</v>
      </c>
      <c r="AB87" s="173">
        <f t="shared" si="191"/>
        <v>2.8192607225961921</v>
      </c>
      <c r="AC87" s="173"/>
      <c r="AD87" s="173">
        <f t="shared" si="192"/>
        <v>0.80592840937939492</v>
      </c>
      <c r="AE87" s="545">
        <f t="shared" si="193"/>
        <v>2289.2852249999992</v>
      </c>
      <c r="AF87" s="528">
        <f t="shared" si="194"/>
        <v>0.75219984875410206</v>
      </c>
      <c r="AH87" s="173">
        <f t="shared" si="195"/>
        <v>3.1740015302903863</v>
      </c>
      <c r="AI87" s="173">
        <f t="shared" si="196"/>
        <v>3.902784104027285</v>
      </c>
      <c r="AJ87" s="173">
        <f t="shared" si="197"/>
        <v>3.1032968671807049</v>
      </c>
      <c r="AL87" s="545">
        <f t="shared" si="198"/>
        <v>4920</v>
      </c>
      <c r="AM87" s="460">
        <f t="shared" si="199"/>
        <v>221.24721511588152</v>
      </c>
      <c r="AO87">
        <f t="shared" si="274"/>
        <v>4920</v>
      </c>
      <c r="AP87">
        <f t="shared" si="200"/>
        <v>221.24721511588152</v>
      </c>
      <c r="AR87" s="5">
        <f t="shared" si="275"/>
        <v>4.5198309026228198</v>
      </c>
      <c r="AS87" s="5">
        <f t="shared" si="201"/>
        <v>1.9608074637903965</v>
      </c>
      <c r="AT87" s="5">
        <f t="shared" si="276"/>
        <v>2.5590234388324236</v>
      </c>
      <c r="AU87" s="173">
        <f t="shared" si="277"/>
        <v>0.43382319074205994</v>
      </c>
      <c r="AW87" s="5">
        <f t="shared" si="202"/>
        <v>241.17931804621878</v>
      </c>
      <c r="AX87" s="5">
        <f t="shared" si="203"/>
        <v>0.89325673350451407</v>
      </c>
      <c r="AY87" s="5">
        <f t="shared" si="204"/>
        <v>1.7571032808918279</v>
      </c>
      <c r="AZ87" s="5"/>
      <c r="BA87" s="173">
        <f t="shared" si="278"/>
        <v>1.4841243212989983</v>
      </c>
      <c r="BB87" s="173">
        <f t="shared" si="205"/>
        <v>6.7818773249238973</v>
      </c>
      <c r="BC87" s="173">
        <f t="shared" si="206"/>
        <v>0.12922225713706345</v>
      </c>
      <c r="BD87" s="173"/>
      <c r="BE87" s="528">
        <f t="shared" si="207"/>
        <v>2.6872025013068786E-2</v>
      </c>
      <c r="BF87" s="528">
        <f t="shared" si="208"/>
        <v>0.70812336657884978</v>
      </c>
      <c r="BG87" s="528">
        <f t="shared" si="209"/>
        <v>0.13211089770314194</v>
      </c>
      <c r="BH87" s="528">
        <f t="shared" si="210"/>
        <v>4.2324168914864818E-2</v>
      </c>
      <c r="BI87">
        <f t="shared" si="211"/>
        <v>1.0748140524214257E-2</v>
      </c>
      <c r="BJ87" s="460">
        <f t="shared" si="279"/>
        <v>142.85903822735619</v>
      </c>
      <c r="BK87">
        <f t="shared" si="212"/>
        <v>0.78961654556612493</v>
      </c>
      <c r="BL87" s="460">
        <f t="shared" si="280"/>
        <v>789.61654556612496</v>
      </c>
      <c r="BM87" s="173">
        <f t="shared" si="213"/>
        <v>3.0565499999999997</v>
      </c>
      <c r="BN87" s="173">
        <f t="shared" si="214"/>
        <v>3.6387500000000003E-2</v>
      </c>
      <c r="BO87" s="528"/>
      <c r="BQ87" s="460">
        <f t="shared" si="281"/>
        <v>3092.9374999999995</v>
      </c>
      <c r="BR87" s="528">
        <f t="shared" si="215"/>
        <v>6.6078750032136369E-2</v>
      </c>
      <c r="BS87" s="528">
        <f t="shared" si="216"/>
        <v>1.3798158015095074</v>
      </c>
      <c r="BT87" s="528">
        <f t="shared" si="217"/>
        <v>8.3491958697986724E-5</v>
      </c>
      <c r="BU87" s="528">
        <f t="shared" si="218"/>
        <v>1.0954709242011016</v>
      </c>
      <c r="BV87" s="528">
        <f t="shared" si="219"/>
        <v>3.2663266247213367</v>
      </c>
      <c r="BW87" s="625">
        <f t="shared" si="220"/>
        <v>8.4249411597506985E-2</v>
      </c>
      <c r="BX87" s="460">
        <f t="shared" si="282"/>
        <v>3350.5760363188438</v>
      </c>
      <c r="BY87" s="173">
        <f t="shared" si="283"/>
        <v>7.2331300818849682</v>
      </c>
      <c r="BZ87" s="5">
        <f t="shared" si="284"/>
        <v>21.155999999999999</v>
      </c>
      <c r="CA87" s="173">
        <f t="shared" si="285"/>
        <v>0.745214803658235</v>
      </c>
      <c r="CB87" s="5">
        <f t="shared" si="286"/>
        <v>74.521480365823507</v>
      </c>
      <c r="CC87">
        <f t="shared" si="287"/>
        <v>82</v>
      </c>
      <c r="CE87" s="562">
        <f t="shared" si="221"/>
        <v>-50</v>
      </c>
      <c r="CF87">
        <f t="shared" si="222"/>
        <v>-50</v>
      </c>
      <c r="CG87" s="173">
        <f t="shared" si="223"/>
        <v>0.56074766355140182</v>
      </c>
      <c r="CH87" s="173">
        <f t="shared" si="224"/>
        <v>0.15015627428311998</v>
      </c>
      <c r="CI87" s="170">
        <v>82</v>
      </c>
      <c r="CJ87" s="217">
        <f t="shared" si="309"/>
        <v>4.92</v>
      </c>
      <c r="CK87" s="217">
        <f t="shared" si="288"/>
        <v>8.2000000000000003E-2</v>
      </c>
      <c r="CL87" s="217">
        <f t="shared" si="225"/>
        <v>19.68</v>
      </c>
      <c r="CM87" s="217">
        <f t="shared" si="310"/>
        <v>1.476</v>
      </c>
      <c r="CN87" s="541">
        <f t="shared" si="289"/>
        <v>24</v>
      </c>
      <c r="CO87" s="443">
        <f t="shared" si="226"/>
        <v>18.8</v>
      </c>
      <c r="CP87" s="443">
        <f t="shared" si="227"/>
        <v>42.8</v>
      </c>
      <c r="CQ87" s="443"/>
      <c r="CR87" s="217">
        <f t="shared" si="228"/>
        <v>0.43925233644859818</v>
      </c>
      <c r="CS87" s="172">
        <f t="shared" si="290"/>
        <v>32.688545968267775</v>
      </c>
      <c r="CT87" s="172">
        <f t="shared" si="229"/>
        <v>2.6355140186915893</v>
      </c>
      <c r="CU87" s="217">
        <f t="shared" si="230"/>
        <v>8.1721364920669437</v>
      </c>
      <c r="CV87" s="217">
        <f t="shared" si="231"/>
        <v>1.816030331570432</v>
      </c>
      <c r="CW87" s="443">
        <f t="shared" si="232"/>
        <v>4</v>
      </c>
      <c r="CX87" s="217">
        <f t="shared" si="233"/>
        <v>4.0136382978723395</v>
      </c>
      <c r="CY87" s="217">
        <f t="shared" si="234"/>
        <v>2.0068191489361697</v>
      </c>
      <c r="CZ87" s="217">
        <f t="shared" si="235"/>
        <v>2.5618967858759611</v>
      </c>
      <c r="DA87" s="197">
        <f t="shared" si="236"/>
        <v>350</v>
      </c>
      <c r="DB87" s="443">
        <f t="shared" si="291"/>
        <v>218.87988097056439</v>
      </c>
      <c r="DD87" s="217">
        <f t="shared" si="237"/>
        <v>2.5100133511348464</v>
      </c>
      <c r="DE87" s="173">
        <f t="shared" si="238"/>
        <v>1.6021361815754336</v>
      </c>
      <c r="DF87" s="173">
        <f t="shared" si="239"/>
        <v>2.8149682442633783</v>
      </c>
      <c r="DG87" s="173"/>
      <c r="DH87" s="173">
        <f t="shared" si="240"/>
        <v>0.85106382978723416</v>
      </c>
      <c r="DI87" s="545">
        <f t="shared" si="241"/>
        <v>2167.8749999999995</v>
      </c>
      <c r="DJ87" s="528">
        <f t="shared" si="242"/>
        <v>0.79432624113475192</v>
      </c>
      <c r="DL87" s="173">
        <f t="shared" si="243"/>
        <v>3.1740015302903863</v>
      </c>
      <c r="DM87" s="173">
        <f t="shared" si="244"/>
        <v>4.0136382978723395</v>
      </c>
      <c r="DN87" s="173">
        <f t="shared" si="245"/>
        <v>3.1854110848437083</v>
      </c>
      <c r="DP87" s="545">
        <f t="shared" si="246"/>
        <v>4920</v>
      </c>
      <c r="DQ87" s="460">
        <f t="shared" si="247"/>
        <v>218.87988097056439</v>
      </c>
      <c r="DS87">
        <f t="shared" si="292"/>
        <v>4920</v>
      </c>
      <c r="DT87">
        <f t="shared" si="248"/>
        <v>218.87988097056439</v>
      </c>
      <c r="DV87" s="5">
        <f t="shared" si="293"/>
        <v>4.5687159348121309</v>
      </c>
      <c r="DW87" s="5">
        <f t="shared" si="249"/>
        <v>2.0068191489361697</v>
      </c>
      <c r="DX87" s="5">
        <f t="shared" si="294"/>
        <v>2.5618967858759611</v>
      </c>
      <c r="DY87" s="173">
        <f t="shared" si="295"/>
        <v>0.43925233644859818</v>
      </c>
      <c r="EA87" s="5">
        <f t="shared" si="250"/>
        <v>246.8387553191489</v>
      </c>
      <c r="EB87" s="5">
        <f t="shared" si="251"/>
        <v>0.91421761229314402</v>
      </c>
      <c r="EC87" s="5">
        <f t="shared" si="252"/>
        <v>1.750629470348573</v>
      </c>
      <c r="ED87" s="5"/>
      <c r="EE87" s="173">
        <f t="shared" si="296"/>
        <v>1.5357999347949951</v>
      </c>
      <c r="EF87" s="173">
        <f t="shared" si="253"/>
        <v>6.9409886200737088</v>
      </c>
      <c r="EG87" s="173">
        <f t="shared" si="254"/>
        <v>0.13225397235545849</v>
      </c>
      <c r="EH87" s="173"/>
      <c r="EI87" s="528">
        <f t="shared" si="255"/>
        <v>2.8775913564538996E-2</v>
      </c>
      <c r="EJ87" s="528">
        <f t="shared" si="256"/>
        <v>0.752</v>
      </c>
      <c r="EK87" s="528">
        <f t="shared" si="257"/>
        <v>2.7359985121320547E-2</v>
      </c>
      <c r="EL87" s="528">
        <f t="shared" si="258"/>
        <v>4.0095292115711861E-2</v>
      </c>
      <c r="EM87">
        <f t="shared" si="259"/>
        <v>1.0800000000000001E-2</v>
      </c>
      <c r="EN87" s="460">
        <f t="shared" si="297"/>
        <v>38.159985121320545</v>
      </c>
      <c r="EO87">
        <f t="shared" si="260"/>
        <v>0.87276793894203719</v>
      </c>
      <c r="EP87" s="460">
        <f t="shared" si="298"/>
        <v>872.76793894203718</v>
      </c>
      <c r="EQ87" s="173">
        <f t="shared" si="261"/>
        <v>3.0565499999999997</v>
      </c>
      <c r="ER87" s="173">
        <f t="shared" si="262"/>
        <v>3.6387500000000003E-2</v>
      </c>
      <c r="ES87" s="528"/>
      <c r="EU87" s="460">
        <f t="shared" si="299"/>
        <v>3092.9374999999995</v>
      </c>
      <c r="EV87" s="528">
        <f t="shared" si="263"/>
        <v>7.0760443191489331E-2</v>
      </c>
      <c r="EW87" s="528">
        <f t="shared" si="300"/>
        <v>1.4453196907197818</v>
      </c>
      <c r="EX87" s="528">
        <f t="shared" si="264"/>
        <v>8.7455566018991899E-5</v>
      </c>
      <c r="EY87" s="528">
        <f t="shared" si="265"/>
        <v>1.1437475956681542</v>
      </c>
      <c r="EZ87" s="528">
        <f t="shared" si="266"/>
        <v>3.4411889375277878</v>
      </c>
      <c r="FA87" s="625">
        <f t="shared" si="267"/>
        <v>8.8149999999999992E-2</v>
      </c>
      <c r="FB87" s="460">
        <f t="shared" si="301"/>
        <v>3529.3389375277879</v>
      </c>
      <c r="FC87" s="173">
        <f t="shared" si="302"/>
        <v>7.4950443764698242</v>
      </c>
      <c r="FD87" s="5">
        <f t="shared" si="303"/>
        <v>21.155999999999999</v>
      </c>
      <c r="FE87" s="173">
        <f t="shared" si="304"/>
        <v>0.73840240243998712</v>
      </c>
      <c r="FF87" s="5">
        <f t="shared" si="305"/>
        <v>73.840240243998707</v>
      </c>
      <c r="FG87">
        <f t="shared" si="306"/>
        <v>82</v>
      </c>
      <c r="FI87" s="562">
        <f t="shared" si="268"/>
        <v>-50</v>
      </c>
      <c r="FJ87">
        <f t="shared" si="269"/>
        <v>-50</v>
      </c>
      <c r="FL87">
        <f t="shared" si="270"/>
        <v>0.56074766355140182</v>
      </c>
    </row>
    <row r="88" spans="5:168">
      <c r="E88" s="170">
        <v>83</v>
      </c>
      <c r="F88" s="217">
        <f t="shared" si="307"/>
        <v>4.9799999999999995</v>
      </c>
      <c r="G88" s="217">
        <f t="shared" si="271"/>
        <v>8.3000000000000004E-2</v>
      </c>
      <c r="H88" s="217">
        <f t="shared" si="176"/>
        <v>19.919999999999998</v>
      </c>
      <c r="I88" s="217">
        <f t="shared" si="308"/>
        <v>1.494</v>
      </c>
      <c r="J88" s="541">
        <f t="shared" si="177"/>
        <v>23.883351314628275</v>
      </c>
      <c r="K88" s="443">
        <f t="shared" si="178"/>
        <v>19.86572</v>
      </c>
      <c r="L88" s="172">
        <f t="shared" si="179"/>
        <v>43.749071314628274</v>
      </c>
      <c r="M88" s="443"/>
      <c r="N88" s="217">
        <f t="shared" si="180"/>
        <v>0.45408323886769103</v>
      </c>
      <c r="O88" s="172">
        <f t="shared" si="272"/>
        <v>33.627998511508011</v>
      </c>
      <c r="P88" s="172">
        <f t="shared" si="181"/>
        <v>2.7112573799903332</v>
      </c>
      <c r="Q88" s="217">
        <f t="shared" si="182"/>
        <v>8.4069996278770027</v>
      </c>
      <c r="R88" s="217">
        <f t="shared" si="183"/>
        <v>1.8682221395282228</v>
      </c>
      <c r="S88" s="443">
        <f t="shared" si="184"/>
        <v>4</v>
      </c>
      <c r="T88" s="217">
        <f t="shared" si="185"/>
        <v>3.9490902188113819</v>
      </c>
      <c r="U88" s="217">
        <f t="shared" si="186"/>
        <v>1.9841889859364636</v>
      </c>
      <c r="V88" s="217">
        <f t="shared" si="187"/>
        <v>2.3854701780623397</v>
      </c>
      <c r="W88" s="197">
        <f t="shared" si="188"/>
        <v>350</v>
      </c>
      <c r="X88" s="443">
        <f t="shared" si="273"/>
        <v>218.83470169467148</v>
      </c>
      <c r="Z88" s="217">
        <f t="shared" si="189"/>
        <v>2.5821498857050793</v>
      </c>
      <c r="AA88" s="173">
        <f t="shared" si="190"/>
        <v>1.55976217466374</v>
      </c>
      <c r="AB88" s="173">
        <f t="shared" si="191"/>
        <v>2.8192778047245572</v>
      </c>
      <c r="AC88" s="173"/>
      <c r="AD88" s="173">
        <f t="shared" si="192"/>
        <v>0.80540750599525224</v>
      </c>
      <c r="AE88" s="545">
        <f t="shared" si="193"/>
        <v>2318.7020062499992</v>
      </c>
      <c r="AF88" s="528">
        <f t="shared" si="194"/>
        <v>0.7517136722622354</v>
      </c>
      <c r="AH88" s="173">
        <f t="shared" si="195"/>
        <v>3.1932965501410693</v>
      </c>
      <c r="AI88" s="173">
        <f t="shared" si="196"/>
        <v>3.9490902188113819</v>
      </c>
      <c r="AJ88" s="173">
        <f t="shared" si="197"/>
        <v>3.1375976929467027</v>
      </c>
      <c r="AL88" s="545">
        <f t="shared" si="198"/>
        <v>4979.9999999999991</v>
      </c>
      <c r="AM88" s="460">
        <f t="shared" si="199"/>
        <v>218.83470169467148</v>
      </c>
      <c r="AO88">
        <f t="shared" si="274"/>
        <v>4979.9999999999991</v>
      </c>
      <c r="AP88">
        <f t="shared" si="200"/>
        <v>218.83470169467148</v>
      </c>
      <c r="AR88" s="5">
        <f t="shared" si="275"/>
        <v>4.5696591639988036</v>
      </c>
      <c r="AS88" s="5">
        <f t="shared" si="201"/>
        <v>1.9841889859364636</v>
      </c>
      <c r="AT88" s="5">
        <f t="shared" si="276"/>
        <v>2.5854701780623399</v>
      </c>
      <c r="AU88" s="173">
        <f t="shared" si="277"/>
        <v>0.43420940484325871</v>
      </c>
      <c r="AW88" s="5">
        <f t="shared" si="202"/>
        <v>247.03152874908972</v>
      </c>
      <c r="AX88" s="5">
        <f t="shared" si="203"/>
        <v>0.91493158795959162</v>
      </c>
      <c r="AY88" s="5">
        <f t="shared" si="204"/>
        <v>1.7970176961533688</v>
      </c>
      <c r="AZ88" s="5"/>
      <c r="BA88" s="173">
        <f t="shared" si="278"/>
        <v>1.5024016127110311</v>
      </c>
      <c r="BB88" s="173">
        <f t="shared" si="205"/>
        <v>6.8600026195064414</v>
      </c>
      <c r="BC88" s="173">
        <f t="shared" si="206"/>
        <v>0.13071086072302812</v>
      </c>
      <c r="BD88" s="173"/>
      <c r="BE88" s="528">
        <f t="shared" si="207"/>
        <v>2.7537969391695824E-2</v>
      </c>
      <c r="BF88" s="528">
        <f t="shared" si="208"/>
        <v>0.70889735731745718</v>
      </c>
      <c r="BG88" s="528">
        <f t="shared" si="209"/>
        <v>0.13066265151014295</v>
      </c>
      <c r="BH88" s="528">
        <f t="shared" si="210"/>
        <v>4.1884551389989221E-2</v>
      </c>
      <c r="BI88">
        <f t="shared" si="211"/>
        <v>1.0747508091582723E-2</v>
      </c>
      <c r="BJ88" s="460">
        <f t="shared" si="279"/>
        <v>141.41015960172567</v>
      </c>
      <c r="BK88">
        <f t="shared" si="212"/>
        <v>0.79093020318103746</v>
      </c>
      <c r="BL88" s="460">
        <f t="shared" si="280"/>
        <v>790.93020318103743</v>
      </c>
      <c r="BM88" s="173">
        <f t="shared" si="213"/>
        <v>3.0938249999999994</v>
      </c>
      <c r="BN88" s="173">
        <f t="shared" si="214"/>
        <v>3.6831250000000003E-2</v>
      </c>
      <c r="BO88" s="528"/>
      <c r="BQ88" s="460">
        <f t="shared" si="281"/>
        <v>3130.6562499999995</v>
      </c>
      <c r="BR88" s="528">
        <f t="shared" si="215"/>
        <v>6.7716318176301207E-2</v>
      </c>
      <c r="BS88" s="528">
        <f t="shared" si="216"/>
        <v>1.411789078189057</v>
      </c>
      <c r="BT88" s="528">
        <f t="shared" si="217"/>
        <v>8.5426645554774288E-5</v>
      </c>
      <c r="BU88" s="528">
        <f t="shared" si="218"/>
        <v>1.0977491802027788</v>
      </c>
      <c r="BV88" s="528">
        <f t="shared" si="219"/>
        <v>3.3261489587647626</v>
      </c>
      <c r="BW88" s="625">
        <f t="shared" si="220"/>
        <v>8.5319894748258587E-2</v>
      </c>
      <c r="BX88" s="460">
        <f t="shared" si="282"/>
        <v>3411.4688535130213</v>
      </c>
      <c r="BY88" s="173">
        <f t="shared" si="283"/>
        <v>7.3330553066940576</v>
      </c>
      <c r="BZ88" s="5">
        <f t="shared" si="284"/>
        <v>21.413999999999998</v>
      </c>
      <c r="CA88" s="173">
        <f t="shared" si="285"/>
        <v>0.74491107946675572</v>
      </c>
      <c r="CB88" s="5">
        <f t="shared" si="286"/>
        <v>74.491107946675569</v>
      </c>
      <c r="CC88">
        <f t="shared" si="287"/>
        <v>83</v>
      </c>
      <c r="CE88" s="562">
        <f t="shared" si="221"/>
        <v>-50</v>
      </c>
      <c r="CF88">
        <f t="shared" si="222"/>
        <v>-50</v>
      </c>
      <c r="CG88" s="173">
        <f t="shared" si="223"/>
        <v>0.56074766355140193</v>
      </c>
      <c r="CH88" s="173">
        <f t="shared" si="224"/>
        <v>0.15015627428312001</v>
      </c>
      <c r="CI88" s="170">
        <v>83</v>
      </c>
      <c r="CJ88" s="217">
        <f t="shared" si="309"/>
        <v>4.9799999999999995</v>
      </c>
      <c r="CK88" s="217">
        <f t="shared" si="288"/>
        <v>8.3000000000000004E-2</v>
      </c>
      <c r="CL88" s="217">
        <f t="shared" si="225"/>
        <v>19.919999999999998</v>
      </c>
      <c r="CM88" s="217">
        <f t="shared" si="310"/>
        <v>1.494</v>
      </c>
      <c r="CN88" s="541">
        <f t="shared" si="289"/>
        <v>24</v>
      </c>
      <c r="CO88" s="443">
        <f t="shared" si="226"/>
        <v>18.8</v>
      </c>
      <c r="CP88" s="443">
        <f t="shared" si="227"/>
        <v>42.8</v>
      </c>
      <c r="CQ88" s="443"/>
      <c r="CR88" s="217">
        <f t="shared" si="228"/>
        <v>0.43925233644859818</v>
      </c>
      <c r="CS88" s="172">
        <f t="shared" si="290"/>
        <v>32.688545968267775</v>
      </c>
      <c r="CT88" s="172">
        <f t="shared" si="229"/>
        <v>2.6355140186915893</v>
      </c>
      <c r="CU88" s="217">
        <f t="shared" si="230"/>
        <v>8.1721364920669437</v>
      </c>
      <c r="CV88" s="217">
        <f t="shared" si="231"/>
        <v>1.816030331570432</v>
      </c>
      <c r="CW88" s="443">
        <f t="shared" si="232"/>
        <v>4</v>
      </c>
      <c r="CX88" s="217">
        <f t="shared" si="233"/>
        <v>4.0625851063829774</v>
      </c>
      <c r="CY88" s="217">
        <f t="shared" si="234"/>
        <v>2.0312925531914887</v>
      </c>
      <c r="CZ88" s="217">
        <f t="shared" si="235"/>
        <v>2.5931394296061558</v>
      </c>
      <c r="DA88" s="197">
        <f t="shared" si="236"/>
        <v>350</v>
      </c>
      <c r="DB88" s="443">
        <f t="shared" si="291"/>
        <v>216.24277397091905</v>
      </c>
      <c r="DD88" s="217">
        <f t="shared" si="237"/>
        <v>2.5100133511348464</v>
      </c>
      <c r="DE88" s="173">
        <f t="shared" si="238"/>
        <v>1.6021361815754336</v>
      </c>
      <c r="DF88" s="173">
        <f t="shared" si="239"/>
        <v>2.8149682442633783</v>
      </c>
      <c r="DG88" s="173"/>
      <c r="DH88" s="173">
        <f t="shared" si="240"/>
        <v>0.85106382978723416</v>
      </c>
      <c r="DI88" s="545">
        <f t="shared" si="241"/>
        <v>2194.3124999999991</v>
      </c>
      <c r="DJ88" s="528">
        <f t="shared" si="242"/>
        <v>0.79432624113475192</v>
      </c>
      <c r="DL88" s="173">
        <f t="shared" si="243"/>
        <v>3.1932965501410693</v>
      </c>
      <c r="DM88" s="173">
        <f t="shared" si="244"/>
        <v>4.0625851063829774</v>
      </c>
      <c r="DN88" s="173">
        <f t="shared" si="245"/>
        <v>3.2216679800367736</v>
      </c>
      <c r="DP88" s="545">
        <f t="shared" si="246"/>
        <v>4979.9999999999991</v>
      </c>
      <c r="DQ88" s="460">
        <f t="shared" si="247"/>
        <v>216.24277397091905</v>
      </c>
      <c r="DS88">
        <f t="shared" si="292"/>
        <v>4979.9999999999991</v>
      </c>
      <c r="DT88">
        <f t="shared" si="248"/>
        <v>216.24277397091905</v>
      </c>
      <c r="DV88" s="5">
        <f t="shared" si="293"/>
        <v>4.6244319827976446</v>
      </c>
      <c r="DW88" s="5">
        <f t="shared" si="249"/>
        <v>2.0312925531914887</v>
      </c>
      <c r="DX88" s="5">
        <f t="shared" si="294"/>
        <v>2.5931394296061558</v>
      </c>
      <c r="DY88" s="173">
        <f t="shared" si="295"/>
        <v>0.43925233644859812</v>
      </c>
      <c r="EA88" s="5">
        <f t="shared" si="250"/>
        <v>252.89592287234029</v>
      </c>
      <c r="EB88" s="5">
        <f t="shared" si="251"/>
        <v>0.93665156619385315</v>
      </c>
      <c r="EC88" s="5">
        <f t="shared" si="252"/>
        <v>1.7935881054775908</v>
      </c>
      <c r="ED88" s="5"/>
      <c r="EE88" s="173">
        <f t="shared" si="296"/>
        <v>1.5545292022924948</v>
      </c>
      <c r="EF88" s="173">
        <f t="shared" si="253"/>
        <v>7.0256348227575351</v>
      </c>
      <c r="EG88" s="173">
        <f t="shared" si="254"/>
        <v>0.13386682567686653</v>
      </c>
      <c r="EH88" s="173"/>
      <c r="EI88" s="528">
        <f t="shared" si="255"/>
        <v>2.9482044697517709E-2</v>
      </c>
      <c r="EJ88" s="528">
        <f t="shared" si="256"/>
        <v>0.752</v>
      </c>
      <c r="EK88" s="528">
        <f t="shared" si="257"/>
        <v>2.703034674636488E-2</v>
      </c>
      <c r="EL88" s="528">
        <f t="shared" si="258"/>
        <v>3.9612216307088832E-2</v>
      </c>
      <c r="EM88">
        <f t="shared" si="259"/>
        <v>1.0800000000000001E-2</v>
      </c>
      <c r="EN88" s="460">
        <f t="shared" si="297"/>
        <v>37.830346746364881</v>
      </c>
      <c r="EO88">
        <f t="shared" si="260"/>
        <v>0.8730000675172287</v>
      </c>
      <c r="EP88" s="460">
        <f t="shared" si="298"/>
        <v>873.00006751722867</v>
      </c>
      <c r="EQ88" s="173">
        <f t="shared" si="261"/>
        <v>3.0938249999999994</v>
      </c>
      <c r="ER88" s="173">
        <f t="shared" si="262"/>
        <v>3.6831250000000003E-2</v>
      </c>
      <c r="ES88" s="528"/>
      <c r="EU88" s="460">
        <f t="shared" si="299"/>
        <v>3130.6562499999995</v>
      </c>
      <c r="EV88" s="528">
        <f t="shared" si="263"/>
        <v>7.2496831223404209E-2</v>
      </c>
      <c r="EW88" s="528">
        <f t="shared" si="300"/>
        <v>1.4807863398822991</v>
      </c>
      <c r="EX88" s="528">
        <f t="shared" si="264"/>
        <v>8.9601635084002855E-5</v>
      </c>
      <c r="EY88" s="528">
        <f t="shared" si="265"/>
        <v>1.1437475956681527</v>
      </c>
      <c r="EZ88" s="528">
        <f t="shared" si="266"/>
        <v>3.5055658813132085</v>
      </c>
      <c r="FA88" s="625">
        <f t="shared" si="267"/>
        <v>8.9224999999999985E-2</v>
      </c>
      <c r="FB88" s="460">
        <f t="shared" si="301"/>
        <v>3594.7908813132085</v>
      </c>
      <c r="FC88" s="173">
        <f t="shared" si="302"/>
        <v>7.5984471988304358</v>
      </c>
      <c r="FD88" s="5">
        <f t="shared" si="303"/>
        <v>21.413999999999998</v>
      </c>
      <c r="FE88" s="173">
        <f t="shared" si="304"/>
        <v>0.73809699172371956</v>
      </c>
      <c r="FF88" s="5">
        <f t="shared" si="305"/>
        <v>73.80969917237195</v>
      </c>
      <c r="FG88">
        <f t="shared" si="306"/>
        <v>83</v>
      </c>
      <c r="FI88" s="562">
        <f t="shared" si="268"/>
        <v>-50</v>
      </c>
      <c r="FJ88">
        <f t="shared" si="269"/>
        <v>-50</v>
      </c>
      <c r="FL88">
        <f t="shared" si="270"/>
        <v>0.56074766355140193</v>
      </c>
    </row>
    <row r="89" spans="5:168">
      <c r="E89" s="170">
        <v>84</v>
      </c>
      <c r="F89" s="217">
        <f t="shared" si="307"/>
        <v>5.04</v>
      </c>
      <c r="G89" s="217">
        <f t="shared" si="271"/>
        <v>8.4000000000000005E-2</v>
      </c>
      <c r="H89" s="217">
        <f t="shared" si="176"/>
        <v>20.16</v>
      </c>
      <c r="I89" s="217">
        <f t="shared" si="308"/>
        <v>1.512</v>
      </c>
      <c r="J89" s="541">
        <f t="shared" si="177"/>
        <v>23.881945908780423</v>
      </c>
      <c r="K89" s="443">
        <f t="shared" si="178"/>
        <v>19.87856</v>
      </c>
      <c r="L89" s="172">
        <f t="shared" si="179"/>
        <v>43.760505908780424</v>
      </c>
      <c r="M89" s="443"/>
      <c r="N89" s="217">
        <f t="shared" si="180"/>
        <v>0.45425800244259568</v>
      </c>
      <c r="O89" s="172">
        <f t="shared" si="272"/>
        <v>33.638961373534002</v>
      </c>
      <c r="P89" s="172">
        <f t="shared" si="181"/>
        <v>2.7121412607411788</v>
      </c>
      <c r="Q89" s="217">
        <f t="shared" si="182"/>
        <v>8.4097403433835005</v>
      </c>
      <c r="R89" s="217">
        <f t="shared" si="183"/>
        <v>1.8688311874185557</v>
      </c>
      <c r="S89" s="443">
        <f t="shared" si="184"/>
        <v>4</v>
      </c>
      <c r="T89" s="217">
        <f t="shared" si="185"/>
        <v>3.9953671133776854</v>
      </c>
      <c r="U89" s="217">
        <f t="shared" si="186"/>
        <v>2.0075585776661948</v>
      </c>
      <c r="V89" s="217">
        <f t="shared" si="187"/>
        <v>2.4118651129927029</v>
      </c>
      <c r="W89" s="197">
        <f t="shared" si="188"/>
        <v>350</v>
      </c>
      <c r="X89" s="443">
        <f t="shared" si="273"/>
        <v>216.47722031259786</v>
      </c>
      <c r="Z89" s="217">
        <f t="shared" si="189"/>
        <v>2.582991676896361</v>
      </c>
      <c r="AA89" s="173">
        <f t="shared" si="190"/>
        <v>1.5592628501640124</v>
      </c>
      <c r="AB89" s="173">
        <f t="shared" si="191"/>
        <v>2.8192940748471398</v>
      </c>
      <c r="AC89" s="173"/>
      <c r="AD89" s="173">
        <f t="shared" si="192"/>
        <v>0.80488727553706119</v>
      </c>
      <c r="AE89" s="545">
        <f t="shared" si="193"/>
        <v>2348.1548999999995</v>
      </c>
      <c r="AF89" s="528">
        <f t="shared" si="194"/>
        <v>0.75122812383459048</v>
      </c>
      <c r="AH89" s="173">
        <f t="shared" si="195"/>
        <v>3.212475680841802</v>
      </c>
      <c r="AI89" s="173">
        <f t="shared" si="196"/>
        <v>3.9953671133776854</v>
      </c>
      <c r="AJ89" s="173">
        <f t="shared" si="197"/>
        <v>3.1718768741069274</v>
      </c>
      <c r="AL89" s="545">
        <f t="shared" si="198"/>
        <v>5040</v>
      </c>
      <c r="AM89" s="460">
        <f t="shared" si="199"/>
        <v>216.47722031259786</v>
      </c>
      <c r="AO89">
        <f t="shared" si="274"/>
        <v>5040</v>
      </c>
      <c r="AP89">
        <f t="shared" si="200"/>
        <v>216.47722031259786</v>
      </c>
      <c r="AR89" s="5">
        <f t="shared" si="275"/>
        <v>4.6194236906588975</v>
      </c>
      <c r="AS89" s="5">
        <f t="shared" si="201"/>
        <v>2.0075585776661948</v>
      </c>
      <c r="AT89" s="5">
        <f t="shared" si="276"/>
        <v>2.6118651129927026</v>
      </c>
      <c r="AU89" s="173">
        <f t="shared" si="277"/>
        <v>0.43459070050789045</v>
      </c>
      <c r="AW89" s="5">
        <f t="shared" si="202"/>
        <v>252.95238078594051</v>
      </c>
      <c r="AX89" s="5">
        <f t="shared" si="203"/>
        <v>0.93686066957755765</v>
      </c>
      <c r="AY89" s="5">
        <f t="shared" si="204"/>
        <v>1.8373433247809488</v>
      </c>
      <c r="AZ89" s="5"/>
      <c r="BA89" s="173">
        <f t="shared" si="278"/>
        <v>1.5206745499375596</v>
      </c>
      <c r="BB89" s="173">
        <f t="shared" si="205"/>
        <v>6.9380516420395884</v>
      </c>
      <c r="BC89" s="173">
        <f t="shared" si="206"/>
        <v>0.13219801101724082</v>
      </c>
      <c r="BD89" s="173"/>
      <c r="BE89" s="528">
        <f t="shared" si="207"/>
        <v>2.8211903259299152E-2</v>
      </c>
      <c r="BF89" s="528">
        <f t="shared" si="208"/>
        <v>0.70966355010201276</v>
      </c>
      <c r="BG89" s="528">
        <f t="shared" si="209"/>
        <v>0.12924743164971514</v>
      </c>
      <c r="BH89" s="528">
        <f t="shared" si="210"/>
        <v>4.1454995376690826E-2</v>
      </c>
      <c r="BI89">
        <f t="shared" si="211"/>
        <v>1.074687565895119E-2</v>
      </c>
      <c r="BJ89" s="460">
        <f t="shared" si="279"/>
        <v>139.99430730866632</v>
      </c>
      <c r="BK89">
        <f t="shared" si="212"/>
        <v>0.79225828734216219</v>
      </c>
      <c r="BL89" s="460">
        <f t="shared" si="280"/>
        <v>792.25828734216225</v>
      </c>
      <c r="BM89" s="173">
        <f t="shared" si="213"/>
        <v>3.1310999999999996</v>
      </c>
      <c r="BN89" s="173">
        <f t="shared" si="214"/>
        <v>3.7275000000000003E-2</v>
      </c>
      <c r="BO89" s="528"/>
      <c r="BQ89" s="460">
        <f t="shared" si="281"/>
        <v>3168.3749999999995</v>
      </c>
      <c r="BR89" s="528">
        <f t="shared" si="215"/>
        <v>6.9373532604833976E-2</v>
      </c>
      <c r="BS89" s="528">
        <f t="shared" si="216"/>
        <v>1.4440968176282469</v>
      </c>
      <c r="BT89" s="528">
        <f t="shared" si="217"/>
        <v>8.7381570584572628E-5</v>
      </c>
      <c r="BU89" s="528">
        <f t="shared" si="218"/>
        <v>1.0999988659811419</v>
      </c>
      <c r="BV89" s="528">
        <f t="shared" si="219"/>
        <v>3.3869135939882331</v>
      </c>
      <c r="BW89" s="625">
        <f t="shared" si="220"/>
        <v>8.6390421401154494E-2</v>
      </c>
      <c r="BX89" s="460">
        <f t="shared" si="282"/>
        <v>3473.3040153893876</v>
      </c>
      <c r="BY89" s="173">
        <f t="shared" si="283"/>
        <v>7.4339373027315494</v>
      </c>
      <c r="BZ89" s="5">
        <f t="shared" si="284"/>
        <v>21.672000000000001</v>
      </c>
      <c r="CA89" s="173">
        <f t="shared" si="285"/>
        <v>0.74459034851168027</v>
      </c>
      <c r="CB89" s="5">
        <f t="shared" si="286"/>
        <v>74.459034851168028</v>
      </c>
      <c r="CC89">
        <f t="shared" si="287"/>
        <v>84</v>
      </c>
      <c r="CE89" s="562">
        <f t="shared" si="221"/>
        <v>-50</v>
      </c>
      <c r="CF89">
        <f t="shared" si="222"/>
        <v>-50</v>
      </c>
      <c r="CG89" s="173">
        <f t="shared" si="223"/>
        <v>0.56074766355140171</v>
      </c>
      <c r="CH89" s="173">
        <f t="shared" si="224"/>
        <v>0.15015627428312001</v>
      </c>
      <c r="CI89" s="170">
        <v>84</v>
      </c>
      <c r="CJ89" s="217">
        <f t="shared" si="309"/>
        <v>5.04</v>
      </c>
      <c r="CK89" s="217">
        <f t="shared" si="288"/>
        <v>8.4000000000000005E-2</v>
      </c>
      <c r="CL89" s="217">
        <f t="shared" si="225"/>
        <v>20.16</v>
      </c>
      <c r="CM89" s="217">
        <f t="shared" si="310"/>
        <v>1.512</v>
      </c>
      <c r="CN89" s="541">
        <f t="shared" si="289"/>
        <v>24</v>
      </c>
      <c r="CO89" s="443">
        <f t="shared" si="226"/>
        <v>18.8</v>
      </c>
      <c r="CP89" s="443">
        <f t="shared" si="227"/>
        <v>42.8</v>
      </c>
      <c r="CQ89" s="443"/>
      <c r="CR89" s="217">
        <f t="shared" si="228"/>
        <v>0.43925233644859818</v>
      </c>
      <c r="CS89" s="172">
        <f t="shared" si="290"/>
        <v>32.688545968267775</v>
      </c>
      <c r="CT89" s="172">
        <f t="shared" si="229"/>
        <v>2.6355140186915893</v>
      </c>
      <c r="CU89" s="217">
        <f t="shared" si="230"/>
        <v>8.1721364920669437</v>
      </c>
      <c r="CV89" s="217">
        <f t="shared" si="231"/>
        <v>1.816030331570432</v>
      </c>
      <c r="CW89" s="443">
        <f t="shared" si="232"/>
        <v>4</v>
      </c>
      <c r="CX89" s="217">
        <f t="shared" si="233"/>
        <v>4.1115319148936162</v>
      </c>
      <c r="CY89" s="217">
        <f t="shared" si="234"/>
        <v>2.0557659574468081</v>
      </c>
      <c r="CZ89" s="217">
        <f t="shared" si="235"/>
        <v>2.6243820733363505</v>
      </c>
      <c r="DA89" s="197">
        <f t="shared" si="236"/>
        <v>350</v>
      </c>
      <c r="DB89" s="443">
        <f t="shared" si="291"/>
        <v>213.66845523317002</v>
      </c>
      <c r="DD89" s="217">
        <f t="shared" si="237"/>
        <v>2.5100133511348464</v>
      </c>
      <c r="DE89" s="173">
        <f t="shared" si="238"/>
        <v>1.6021361815754336</v>
      </c>
      <c r="DF89" s="173">
        <f t="shared" si="239"/>
        <v>2.8149682442633783</v>
      </c>
      <c r="DG89" s="173"/>
      <c r="DH89" s="173">
        <f t="shared" si="240"/>
        <v>0.85106382978723416</v>
      </c>
      <c r="DI89" s="545">
        <f t="shared" si="241"/>
        <v>2220.7499999999995</v>
      </c>
      <c r="DJ89" s="528">
        <f t="shared" si="242"/>
        <v>0.79432624113475192</v>
      </c>
      <c r="DL89" s="173">
        <f t="shared" si="243"/>
        <v>3.212475680841802</v>
      </c>
      <c r="DM89" s="173">
        <f t="shared" si="244"/>
        <v>4.1115319148936162</v>
      </c>
      <c r="DN89" s="173">
        <f t="shared" si="245"/>
        <v>3.2579248752298389</v>
      </c>
      <c r="DP89" s="545">
        <f t="shared" si="246"/>
        <v>5040</v>
      </c>
      <c r="DQ89" s="460">
        <f t="shared" si="247"/>
        <v>213.66845523317002</v>
      </c>
      <c r="DS89">
        <f t="shared" si="292"/>
        <v>5040</v>
      </c>
      <c r="DT89">
        <f t="shared" si="248"/>
        <v>213.66845523317002</v>
      </c>
      <c r="DV89" s="5">
        <f t="shared" si="293"/>
        <v>4.6801480307831573</v>
      </c>
      <c r="DW89" s="5">
        <f t="shared" si="249"/>
        <v>2.0557659574468081</v>
      </c>
      <c r="DX89" s="5">
        <f t="shared" si="294"/>
        <v>2.6243820733363492</v>
      </c>
      <c r="DY89" s="173">
        <f t="shared" si="295"/>
        <v>0.43925233644859829</v>
      </c>
      <c r="EA89" s="5">
        <f t="shared" si="250"/>
        <v>259.02651063829785</v>
      </c>
      <c r="EB89" s="5">
        <f t="shared" si="251"/>
        <v>0.95935744680851043</v>
      </c>
      <c r="EC89" s="5">
        <f t="shared" si="252"/>
        <v>1.8370674513354439</v>
      </c>
      <c r="ED89" s="5"/>
      <c r="EE89" s="173">
        <f t="shared" si="296"/>
        <v>1.5732584697899952</v>
      </c>
      <c r="EF89" s="173">
        <f t="shared" si="253"/>
        <v>7.1102810254413598</v>
      </c>
      <c r="EG89" s="173">
        <f t="shared" si="254"/>
        <v>0.13547967899827454</v>
      </c>
      <c r="EH89" s="173"/>
      <c r="EI89" s="528">
        <f t="shared" si="255"/>
        <v>3.0196734995744677E-2</v>
      </c>
      <c r="EJ89" s="528">
        <f t="shared" si="256"/>
        <v>0.75200000000000011</v>
      </c>
      <c r="EK89" s="528">
        <f t="shared" si="257"/>
        <v>2.6708556904146252E-2</v>
      </c>
      <c r="EL89" s="528">
        <f t="shared" si="258"/>
        <v>3.9140642303433011E-2</v>
      </c>
      <c r="EM89">
        <f t="shared" si="259"/>
        <v>1.0800000000000001E-2</v>
      </c>
      <c r="EN89" s="460">
        <f t="shared" si="297"/>
        <v>37.508556904146253</v>
      </c>
      <c r="EO89">
        <f t="shared" si="260"/>
        <v>0.87326450210426831</v>
      </c>
      <c r="EP89" s="460">
        <f t="shared" si="298"/>
        <v>873.26450210426833</v>
      </c>
      <c r="EQ89" s="173">
        <f t="shared" si="261"/>
        <v>3.1310999999999996</v>
      </c>
      <c r="ER89" s="173">
        <f t="shared" si="262"/>
        <v>3.7275000000000003E-2</v>
      </c>
      <c r="ES89" s="528"/>
      <c r="EU89" s="460">
        <f t="shared" si="299"/>
        <v>3168.3749999999995</v>
      </c>
      <c r="EV89" s="528">
        <f t="shared" si="263"/>
        <v>7.4254266382978718E-2</v>
      </c>
      <c r="EW89" s="528">
        <f t="shared" si="300"/>
        <v>1.5166828878225429</v>
      </c>
      <c r="EX89" s="528">
        <f t="shared" si="264"/>
        <v>9.1773717107377552E-5</v>
      </c>
      <c r="EY89" s="528">
        <f t="shared" si="265"/>
        <v>1.1437475956681535</v>
      </c>
      <c r="EZ89" s="528">
        <f t="shared" si="266"/>
        <v>3.5711702846448214</v>
      </c>
      <c r="FA89" s="625">
        <f t="shared" si="267"/>
        <v>9.0300000000000019E-2</v>
      </c>
      <c r="FB89" s="460">
        <f t="shared" si="301"/>
        <v>3661.4702846448213</v>
      </c>
      <c r="FC89" s="173">
        <f t="shared" si="302"/>
        <v>7.7031097867490894</v>
      </c>
      <c r="FD89" s="5">
        <f t="shared" si="303"/>
        <v>21.672000000000001</v>
      </c>
      <c r="FE89" s="173">
        <f t="shared" si="304"/>
        <v>0.73776745541819533</v>
      </c>
      <c r="FF89" s="5">
        <f t="shared" si="305"/>
        <v>73.776745541819537</v>
      </c>
      <c r="FG89">
        <f t="shared" si="306"/>
        <v>84</v>
      </c>
      <c r="FI89" s="562">
        <f t="shared" si="268"/>
        <v>-50</v>
      </c>
      <c r="FJ89">
        <f t="shared" si="269"/>
        <v>-50</v>
      </c>
      <c r="FL89">
        <f t="shared" si="270"/>
        <v>0.56074766355140171</v>
      </c>
    </row>
    <row r="90" spans="5:168">
      <c r="E90" s="170">
        <v>85</v>
      </c>
      <c r="F90" s="217">
        <f t="shared" si="307"/>
        <v>5.0999999999999996</v>
      </c>
      <c r="G90" s="217">
        <f t="shared" si="271"/>
        <v>8.5000000000000006E-2</v>
      </c>
      <c r="H90" s="217">
        <f t="shared" si="176"/>
        <v>20.399999999999999</v>
      </c>
      <c r="I90" s="217">
        <f t="shared" si="308"/>
        <v>1.53</v>
      </c>
      <c r="J90" s="541">
        <f t="shared" si="177"/>
        <v>23.880540502932572</v>
      </c>
      <c r="K90" s="443">
        <f t="shared" si="178"/>
        <v>19.891400000000001</v>
      </c>
      <c r="L90" s="172">
        <f t="shared" si="179"/>
        <v>43.771940502932573</v>
      </c>
      <c r="M90" s="443"/>
      <c r="N90" s="217">
        <f t="shared" si="180"/>
        <v>0.45443267471012266</v>
      </c>
      <c r="O90" s="172">
        <f t="shared" si="272"/>
        <v>33.649915951228117</v>
      </c>
      <c r="P90" s="172">
        <f t="shared" si="181"/>
        <v>2.7130244735677667</v>
      </c>
      <c r="Q90" s="217">
        <f t="shared" si="182"/>
        <v>8.4124789878070292</v>
      </c>
      <c r="R90" s="217">
        <f t="shared" si="183"/>
        <v>1.8694397750682288</v>
      </c>
      <c r="S90" s="443">
        <f t="shared" si="184"/>
        <v>4</v>
      </c>
      <c r="T90" s="217">
        <f t="shared" si="185"/>
        <v>4.041614849710685</v>
      </c>
      <c r="U90" s="217">
        <f t="shared" si="186"/>
        <v>2.0309162680205004</v>
      </c>
      <c r="V90" s="217">
        <f t="shared" si="187"/>
        <v>2.4382083813370712</v>
      </c>
      <c r="W90" s="197">
        <f t="shared" si="188"/>
        <v>350</v>
      </c>
      <c r="X90" s="443">
        <f t="shared" si="273"/>
        <v>214.17290715029225</v>
      </c>
      <c r="Z90" s="217">
        <f t="shared" si="189"/>
        <v>2.5838328319693011</v>
      </c>
      <c r="AA90" s="173">
        <f t="shared" si="190"/>
        <v>1.5587637865425066</v>
      </c>
      <c r="AB90" s="173">
        <f t="shared" si="191"/>
        <v>2.8193095342673216</v>
      </c>
      <c r="AC90" s="173"/>
      <c r="AD90" s="173">
        <f t="shared" si="192"/>
        <v>0.80436771670169027</v>
      </c>
      <c r="AE90" s="545">
        <f t="shared" si="193"/>
        <v>2377.643906249999</v>
      </c>
      <c r="AF90" s="528">
        <f t="shared" si="194"/>
        <v>0.75074320225491109</v>
      </c>
      <c r="AH90" s="173">
        <f t="shared" si="195"/>
        <v>3.231540985792559</v>
      </c>
      <c r="AI90" s="173">
        <f t="shared" si="196"/>
        <v>4.041614849710685</v>
      </c>
      <c r="AJ90" s="173">
        <f t="shared" si="197"/>
        <v>3.2061344565758159</v>
      </c>
      <c r="AL90" s="545">
        <f t="shared" si="198"/>
        <v>5100</v>
      </c>
      <c r="AM90" s="460">
        <f t="shared" si="199"/>
        <v>214.17290715029225</v>
      </c>
      <c r="AO90">
        <f t="shared" si="274"/>
        <v>5100</v>
      </c>
      <c r="AP90">
        <f t="shared" si="200"/>
        <v>214.17290715029225</v>
      </c>
      <c r="AR90" s="5">
        <f t="shared" si="275"/>
        <v>4.6691246493575713</v>
      </c>
      <c r="AS90" s="5">
        <f t="shared" si="201"/>
        <v>2.0309162680205004</v>
      </c>
      <c r="AT90" s="5">
        <f t="shared" si="276"/>
        <v>2.6382083813370709</v>
      </c>
      <c r="AU90" s="173">
        <f t="shared" si="277"/>
        <v>0.43496724130077269</v>
      </c>
      <c r="AW90" s="5">
        <f t="shared" si="202"/>
        <v>258.94182417261379</v>
      </c>
      <c r="AX90" s="5">
        <f t="shared" si="203"/>
        <v>0.95904379323190303</v>
      </c>
      <c r="AY90" s="5">
        <f t="shared" si="204"/>
        <v>1.8780790358251143</v>
      </c>
      <c r="AZ90" s="5"/>
      <c r="BA90" s="173">
        <f t="shared" si="278"/>
        <v>1.5389431336931703</v>
      </c>
      <c r="BB90" s="173">
        <f t="shared" si="205"/>
        <v>7.0160245864935442</v>
      </c>
      <c r="BC90" s="173">
        <f t="shared" si="206"/>
        <v>0.13368371171562024</v>
      </c>
      <c r="BD90" s="173"/>
      <c r="BE90" s="528">
        <f t="shared" si="207"/>
        <v>2.8893820818644528E-2</v>
      </c>
      <c r="BF90" s="528">
        <f t="shared" si="208"/>
        <v>0.71042220714344428</v>
      </c>
      <c r="BG90" s="528">
        <f t="shared" si="209"/>
        <v>0.1278641195958343</v>
      </c>
      <c r="BH90" s="528">
        <f t="shared" si="210"/>
        <v>4.1035160105564766E-2</v>
      </c>
      <c r="BI90">
        <f t="shared" si="211"/>
        <v>1.0746243226319657E-2</v>
      </c>
      <c r="BJ90" s="460">
        <f t="shared" si="279"/>
        <v>138.61036282215395</v>
      </c>
      <c r="BK90">
        <f t="shared" si="212"/>
        <v>0.79360072502764523</v>
      </c>
      <c r="BL90" s="460">
        <f t="shared" si="280"/>
        <v>793.60072502764524</v>
      </c>
      <c r="BM90" s="173">
        <f t="shared" si="213"/>
        <v>3.1683749999999993</v>
      </c>
      <c r="BN90" s="173">
        <f t="shared" si="214"/>
        <v>3.7718750000000002E-2</v>
      </c>
      <c r="BO90" s="528"/>
      <c r="BQ90" s="460">
        <f t="shared" si="281"/>
        <v>3206.0937499999991</v>
      </c>
      <c r="BR90" s="528">
        <f t="shared" si="215"/>
        <v>7.105037906224064E-2</v>
      </c>
      <c r="BS90" s="528">
        <f t="shared" si="216"/>
        <v>1.4767380299484572</v>
      </c>
      <c r="BT90" s="528">
        <f t="shared" si="217"/>
        <v>8.93566738903253E-5</v>
      </c>
      <c r="BU90" s="528">
        <f t="shared" si="218"/>
        <v>1.1022209086862509</v>
      </c>
      <c r="BV90" s="528">
        <f t="shared" si="219"/>
        <v>3.4486345128935776</v>
      </c>
      <c r="BW90" s="625">
        <f t="shared" si="220"/>
        <v>8.7460990121828411E-2</v>
      </c>
      <c r="BX90" s="460">
        <f t="shared" si="282"/>
        <v>3536.0955030154064</v>
      </c>
      <c r="BY90" s="173">
        <f t="shared" si="283"/>
        <v>7.5357899780430504</v>
      </c>
      <c r="BZ90" s="5">
        <f t="shared" si="284"/>
        <v>21.93</v>
      </c>
      <c r="CA90" s="173">
        <f t="shared" si="285"/>
        <v>0.74425291215139744</v>
      </c>
      <c r="CB90" s="5">
        <f t="shared" si="286"/>
        <v>74.425291215139737</v>
      </c>
      <c r="CC90">
        <f t="shared" si="287"/>
        <v>85</v>
      </c>
      <c r="CE90" s="562">
        <f t="shared" si="221"/>
        <v>-50</v>
      </c>
      <c r="CF90">
        <f t="shared" si="222"/>
        <v>-50</v>
      </c>
      <c r="CG90" s="173">
        <f t="shared" si="223"/>
        <v>0.56074766355140193</v>
      </c>
      <c r="CH90" s="173">
        <f t="shared" si="224"/>
        <v>0.15015627428312001</v>
      </c>
      <c r="CI90" s="170">
        <v>85</v>
      </c>
      <c r="CJ90" s="217">
        <f t="shared" si="309"/>
        <v>5.0999999999999996</v>
      </c>
      <c r="CK90" s="217">
        <f t="shared" si="288"/>
        <v>8.5000000000000006E-2</v>
      </c>
      <c r="CL90" s="217">
        <f t="shared" si="225"/>
        <v>20.399999999999999</v>
      </c>
      <c r="CM90" s="217">
        <f t="shared" si="310"/>
        <v>1.53</v>
      </c>
      <c r="CN90" s="541">
        <f t="shared" si="289"/>
        <v>24</v>
      </c>
      <c r="CO90" s="443">
        <f t="shared" si="226"/>
        <v>18.8</v>
      </c>
      <c r="CP90" s="443">
        <f t="shared" si="227"/>
        <v>42.8</v>
      </c>
      <c r="CQ90" s="443"/>
      <c r="CR90" s="217">
        <f t="shared" si="228"/>
        <v>0.43925233644859818</v>
      </c>
      <c r="CS90" s="172">
        <f t="shared" si="290"/>
        <v>32.688545968267775</v>
      </c>
      <c r="CT90" s="172">
        <f t="shared" si="229"/>
        <v>2.6355140186915893</v>
      </c>
      <c r="CU90" s="217">
        <f t="shared" si="230"/>
        <v>8.1721364920669437</v>
      </c>
      <c r="CV90" s="217">
        <f t="shared" si="231"/>
        <v>1.816030331570432</v>
      </c>
      <c r="CW90" s="443">
        <f t="shared" si="232"/>
        <v>4</v>
      </c>
      <c r="CX90" s="217">
        <f t="shared" si="233"/>
        <v>4.1604787234042542</v>
      </c>
      <c r="CY90" s="217">
        <f t="shared" si="234"/>
        <v>2.0802393617021271</v>
      </c>
      <c r="CZ90" s="217">
        <f t="shared" si="235"/>
        <v>2.6556247170665448</v>
      </c>
      <c r="DA90" s="197">
        <f t="shared" si="236"/>
        <v>350</v>
      </c>
      <c r="DB90" s="443">
        <f t="shared" si="291"/>
        <v>211.15470870101507</v>
      </c>
      <c r="DD90" s="217">
        <f t="shared" si="237"/>
        <v>2.5100133511348464</v>
      </c>
      <c r="DE90" s="173">
        <f t="shared" si="238"/>
        <v>1.6021361815754336</v>
      </c>
      <c r="DF90" s="173">
        <f t="shared" si="239"/>
        <v>2.8149682442633783</v>
      </c>
      <c r="DG90" s="173"/>
      <c r="DH90" s="173">
        <f t="shared" si="240"/>
        <v>0.85106382978723416</v>
      </c>
      <c r="DI90" s="545">
        <f t="shared" si="241"/>
        <v>2247.1874999999995</v>
      </c>
      <c r="DJ90" s="528">
        <f t="shared" si="242"/>
        <v>0.79432624113475192</v>
      </c>
      <c r="DL90" s="173">
        <f t="shared" si="243"/>
        <v>3.231540985792559</v>
      </c>
      <c r="DM90" s="173">
        <f t="shared" si="244"/>
        <v>4.1604787234042542</v>
      </c>
      <c r="DN90" s="173">
        <f t="shared" si="245"/>
        <v>3.2941817704229042</v>
      </c>
      <c r="DP90" s="545">
        <f t="shared" si="246"/>
        <v>5100</v>
      </c>
      <c r="DQ90" s="460">
        <f t="shared" si="247"/>
        <v>211.15470870101507</v>
      </c>
      <c r="DS90">
        <f t="shared" si="292"/>
        <v>5100</v>
      </c>
      <c r="DT90">
        <f t="shared" si="248"/>
        <v>211.15470870101507</v>
      </c>
      <c r="DV90" s="5">
        <f t="shared" si="293"/>
        <v>4.7358640787686728</v>
      </c>
      <c r="DW90" s="5">
        <f t="shared" si="249"/>
        <v>2.0802393617021271</v>
      </c>
      <c r="DX90" s="5">
        <f t="shared" si="294"/>
        <v>2.6556247170665457</v>
      </c>
      <c r="DY90" s="173">
        <f t="shared" si="295"/>
        <v>0.43925233644859807</v>
      </c>
      <c r="EA90" s="5">
        <f t="shared" si="250"/>
        <v>265.23051861702118</v>
      </c>
      <c r="EB90" s="5">
        <f t="shared" si="251"/>
        <v>0.98233525413711564</v>
      </c>
      <c r="EC90" s="5">
        <f t="shared" si="252"/>
        <v>1.8810675079221362</v>
      </c>
      <c r="ED90" s="5"/>
      <c r="EE90" s="173">
        <f t="shared" si="296"/>
        <v>1.5919877372874947</v>
      </c>
      <c r="EF90" s="173">
        <f t="shared" si="253"/>
        <v>7.194927228125187</v>
      </c>
      <c r="EG90" s="173">
        <f t="shared" si="254"/>
        <v>0.1370925323196826</v>
      </c>
      <c r="EH90" s="173"/>
      <c r="EI90" s="528">
        <f t="shared" si="255"/>
        <v>3.0919984459219833E-2</v>
      </c>
      <c r="EJ90" s="528">
        <f t="shared" si="256"/>
        <v>0.752</v>
      </c>
      <c r="EK90" s="528">
        <f t="shared" si="257"/>
        <v>2.6394338587626881E-2</v>
      </c>
      <c r="EL90" s="528">
        <f t="shared" si="258"/>
        <v>3.868016415868674E-2</v>
      </c>
      <c r="EM90">
        <f t="shared" si="259"/>
        <v>1.0800000000000001E-2</v>
      </c>
      <c r="EN90" s="460">
        <f t="shared" si="297"/>
        <v>37.194338587626888</v>
      </c>
      <c r="EO90">
        <f t="shared" si="260"/>
        <v>0.87356057290029443</v>
      </c>
      <c r="EP90" s="460">
        <f t="shared" si="298"/>
        <v>873.56057290029446</v>
      </c>
      <c r="EQ90" s="173">
        <f t="shared" si="261"/>
        <v>3.1683749999999993</v>
      </c>
      <c r="ER90" s="173">
        <f t="shared" si="262"/>
        <v>3.7718750000000002E-2</v>
      </c>
      <c r="ES90" s="528"/>
      <c r="EU90" s="460">
        <f t="shared" si="299"/>
        <v>3206.0937499999991</v>
      </c>
      <c r="EV90" s="528">
        <f t="shared" si="263"/>
        <v>7.6032748670212702E-2</v>
      </c>
      <c r="EW90" s="528">
        <f t="shared" si="300"/>
        <v>1.5530093345405156</v>
      </c>
      <c r="EX90" s="528">
        <f t="shared" si="264"/>
        <v>9.3971812089116099E-5</v>
      </c>
      <c r="EY90" s="528">
        <f t="shared" si="265"/>
        <v>1.1437475956681524</v>
      </c>
      <c r="EZ90" s="528">
        <f t="shared" si="266"/>
        <v>3.6380230677966217</v>
      </c>
      <c r="FA90" s="625">
        <f t="shared" si="267"/>
        <v>9.1374999999999998E-2</v>
      </c>
      <c r="FB90" s="460">
        <f t="shared" si="301"/>
        <v>3729.3980677966219</v>
      </c>
      <c r="FC90" s="173">
        <f t="shared" si="302"/>
        <v>7.8090523906969151</v>
      </c>
      <c r="FD90" s="5">
        <f t="shared" si="303"/>
        <v>21.93</v>
      </c>
      <c r="FE90" s="173">
        <f t="shared" si="304"/>
        <v>0.7374142158900876</v>
      </c>
      <c r="FF90" s="5">
        <f t="shared" si="305"/>
        <v>73.741421589008766</v>
      </c>
      <c r="FG90">
        <f t="shared" si="306"/>
        <v>85</v>
      </c>
      <c r="FI90" s="562">
        <f t="shared" si="268"/>
        <v>-50</v>
      </c>
      <c r="FJ90">
        <f t="shared" si="269"/>
        <v>-50</v>
      </c>
      <c r="FL90">
        <f t="shared" si="270"/>
        <v>0.56074766355140193</v>
      </c>
    </row>
    <row r="91" spans="5:168">
      <c r="E91" s="170">
        <v>86</v>
      </c>
      <c r="F91" s="217">
        <f t="shared" si="307"/>
        <v>5.16</v>
      </c>
      <c r="G91" s="217">
        <f t="shared" si="271"/>
        <v>8.6000000000000007E-2</v>
      </c>
      <c r="H91" s="217">
        <f t="shared" si="176"/>
        <v>20.64</v>
      </c>
      <c r="I91" s="217">
        <f t="shared" si="308"/>
        <v>1.548</v>
      </c>
      <c r="J91" s="541">
        <f t="shared" si="177"/>
        <v>23.87913509708472</v>
      </c>
      <c r="K91" s="443">
        <f t="shared" si="178"/>
        <v>19.904240000000001</v>
      </c>
      <c r="L91" s="172">
        <f t="shared" si="179"/>
        <v>43.783375097084722</v>
      </c>
      <c r="M91" s="443"/>
      <c r="N91" s="217">
        <f t="shared" si="180"/>
        <v>0.45460725574181027</v>
      </c>
      <c r="O91" s="172">
        <f t="shared" si="272"/>
        <v>33.660862251081028</v>
      </c>
      <c r="P91" s="172">
        <f t="shared" si="181"/>
        <v>2.7139070189934076</v>
      </c>
      <c r="Q91" s="217">
        <f t="shared" si="182"/>
        <v>8.415215562770257</v>
      </c>
      <c r="R91" s="217">
        <f t="shared" si="183"/>
        <v>1.870047902837835</v>
      </c>
      <c r="S91" s="443">
        <f t="shared" si="184"/>
        <v>4</v>
      </c>
      <c r="T91" s="217">
        <f t="shared" si="185"/>
        <v>4.0878334896362007</v>
      </c>
      <c r="U91" s="217">
        <f t="shared" si="186"/>
        <v>2.0542620859673915</v>
      </c>
      <c r="V91" s="217">
        <f t="shared" si="187"/>
        <v>2.4645001203579939</v>
      </c>
      <c r="W91" s="197">
        <f t="shared" si="188"/>
        <v>350</v>
      </c>
      <c r="X91" s="443">
        <f t="shared" si="273"/>
        <v>211.91998161287387</v>
      </c>
      <c r="Z91" s="217">
        <f t="shared" si="189"/>
        <v>2.584673351422293</v>
      </c>
      <c r="AA91" s="173">
        <f t="shared" si="190"/>
        <v>1.5582649835948277</v>
      </c>
      <c r="AB91" s="173">
        <f t="shared" si="191"/>
        <v>2.8193241842864332</v>
      </c>
      <c r="AC91" s="173"/>
      <c r="AD91" s="173">
        <f t="shared" si="192"/>
        <v>0.80384882818937076</v>
      </c>
      <c r="AE91" s="545">
        <f t="shared" si="193"/>
        <v>2407.1690249999992</v>
      </c>
      <c r="AF91" s="528">
        <f t="shared" si="194"/>
        <v>0.75025890631007952</v>
      </c>
      <c r="AH91" s="173">
        <f t="shared" si="195"/>
        <v>3.2504944678793541</v>
      </c>
      <c r="AI91" s="173">
        <f t="shared" si="196"/>
        <v>4.0878334896362007</v>
      </c>
      <c r="AJ91" s="173">
        <f t="shared" si="197"/>
        <v>3.2403704861502716</v>
      </c>
      <c r="AL91" s="545">
        <f t="shared" si="198"/>
        <v>5160</v>
      </c>
      <c r="AM91" s="460">
        <f t="shared" si="199"/>
        <v>211.91998161287387</v>
      </c>
      <c r="AO91">
        <f t="shared" si="274"/>
        <v>5160</v>
      </c>
      <c r="AP91">
        <f t="shared" si="200"/>
        <v>211.91998161287387</v>
      </c>
      <c r="AR91" s="5">
        <f t="shared" si="275"/>
        <v>4.718762206325386</v>
      </c>
      <c r="AS91" s="5">
        <f t="shared" si="201"/>
        <v>2.0542620859673915</v>
      </c>
      <c r="AT91" s="5">
        <f t="shared" si="276"/>
        <v>2.6645001203579946</v>
      </c>
      <c r="AU91" s="173">
        <f t="shared" si="277"/>
        <v>0.43533918348623357</v>
      </c>
      <c r="AW91" s="5">
        <f t="shared" si="202"/>
        <v>264.99980908979347</v>
      </c>
      <c r="AX91" s="5">
        <f t="shared" si="203"/>
        <v>0.98148077440664261</v>
      </c>
      <c r="AY91" s="5">
        <f t="shared" si="204"/>
        <v>1.9192237023589924</v>
      </c>
      <c r="AZ91" s="5"/>
      <c r="BA91" s="173">
        <f t="shared" si="278"/>
        <v>1.5572073651038469</v>
      </c>
      <c r="BB91" s="173">
        <f t="shared" si="205"/>
        <v>7.0939216442210702</v>
      </c>
      <c r="BC91" s="173">
        <f t="shared" si="206"/>
        <v>0.13516796646421231</v>
      </c>
      <c r="BD91" s="173"/>
      <c r="BE91" s="528">
        <f t="shared" si="207"/>
        <v>2.9583716290790717E-2</v>
      </c>
      <c r="BF91" s="528">
        <f t="shared" si="208"/>
        <v>0.71117357894426747</v>
      </c>
      <c r="BG91" s="528">
        <f t="shared" si="209"/>
        <v>0.12651164676763815</v>
      </c>
      <c r="BH91" s="528">
        <f t="shared" si="210"/>
        <v>4.0624720023449114E-2</v>
      </c>
      <c r="BI91">
        <f t="shared" si="211"/>
        <v>1.0745610793688123E-2</v>
      </c>
      <c r="BJ91" s="460">
        <f t="shared" si="279"/>
        <v>137.2572575613263</v>
      </c>
      <c r="BK91">
        <f t="shared" si="212"/>
        <v>0.79495744688490277</v>
      </c>
      <c r="BL91" s="460">
        <f t="shared" si="280"/>
        <v>794.95744688490277</v>
      </c>
      <c r="BM91" s="173">
        <f t="shared" si="213"/>
        <v>3.2056499999999994</v>
      </c>
      <c r="BN91" s="173">
        <f t="shared" si="214"/>
        <v>3.8162500000000002E-2</v>
      </c>
      <c r="BO91" s="528"/>
      <c r="BQ91" s="460">
        <f t="shared" si="281"/>
        <v>3243.8124999999995</v>
      </c>
      <c r="BR91" s="528">
        <f t="shared" si="215"/>
        <v>7.2746843338009959E-2</v>
      </c>
      <c r="BS91" s="528">
        <f t="shared" si="216"/>
        <v>1.5097117288304451</v>
      </c>
      <c r="BT91" s="528">
        <f t="shared" si="217"/>
        <v>9.135189579035212E-5</v>
      </c>
      <c r="BU91" s="528">
        <f t="shared" si="218"/>
        <v>1.1044161954168117</v>
      </c>
      <c r="BV91" s="528">
        <f t="shared" si="219"/>
        <v>3.5113259963701018</v>
      </c>
      <c r="BW91" s="625">
        <f t="shared" si="220"/>
        <v>8.8531599539977968E-2</v>
      </c>
      <c r="BX91" s="460">
        <f t="shared" si="282"/>
        <v>3599.8575959100795</v>
      </c>
      <c r="BY91" s="173">
        <f t="shared" si="283"/>
        <v>7.6386275427949819</v>
      </c>
      <c r="BZ91" s="5">
        <f t="shared" si="284"/>
        <v>22.188000000000002</v>
      </c>
      <c r="CA91" s="173">
        <f t="shared" si="285"/>
        <v>0.74389905356094499</v>
      </c>
      <c r="CB91" s="5">
        <f t="shared" si="286"/>
        <v>74.389905356094502</v>
      </c>
      <c r="CC91">
        <f t="shared" si="287"/>
        <v>86</v>
      </c>
      <c r="CE91" s="562">
        <f t="shared" si="221"/>
        <v>-50</v>
      </c>
      <c r="CF91">
        <f t="shared" si="222"/>
        <v>-50</v>
      </c>
      <c r="CG91" s="173">
        <f t="shared" si="223"/>
        <v>0.56074766355140193</v>
      </c>
      <c r="CH91" s="173">
        <f t="shared" si="224"/>
        <v>0.15015627428311998</v>
      </c>
      <c r="CI91" s="170">
        <v>86</v>
      </c>
      <c r="CJ91" s="217">
        <f t="shared" si="309"/>
        <v>5.16</v>
      </c>
      <c r="CK91" s="217">
        <f t="shared" si="288"/>
        <v>8.6000000000000007E-2</v>
      </c>
      <c r="CL91" s="217">
        <f t="shared" si="225"/>
        <v>20.64</v>
      </c>
      <c r="CM91" s="217">
        <f t="shared" si="310"/>
        <v>1.548</v>
      </c>
      <c r="CN91" s="541">
        <f t="shared" si="289"/>
        <v>24</v>
      </c>
      <c r="CO91" s="443">
        <f t="shared" si="226"/>
        <v>18.8</v>
      </c>
      <c r="CP91" s="443">
        <f t="shared" si="227"/>
        <v>42.8</v>
      </c>
      <c r="CQ91" s="443"/>
      <c r="CR91" s="217">
        <f t="shared" si="228"/>
        <v>0.43925233644859818</v>
      </c>
      <c r="CS91" s="172">
        <f t="shared" si="290"/>
        <v>32.688545968267775</v>
      </c>
      <c r="CT91" s="172">
        <f t="shared" si="229"/>
        <v>2.6355140186915893</v>
      </c>
      <c r="CU91" s="217">
        <f t="shared" si="230"/>
        <v>8.1721364920669437</v>
      </c>
      <c r="CV91" s="217">
        <f t="shared" si="231"/>
        <v>1.816030331570432</v>
      </c>
      <c r="CW91" s="443">
        <f t="shared" si="232"/>
        <v>4</v>
      </c>
      <c r="CX91" s="217">
        <f t="shared" si="233"/>
        <v>4.209425531914893</v>
      </c>
      <c r="CY91" s="217">
        <f t="shared" si="234"/>
        <v>2.1047127659574465</v>
      </c>
      <c r="CZ91" s="217">
        <f t="shared" si="235"/>
        <v>2.6868673607967404</v>
      </c>
      <c r="DA91" s="197">
        <f t="shared" si="236"/>
        <v>350</v>
      </c>
      <c r="DB91" s="443">
        <f t="shared" si="291"/>
        <v>208.69942139053808</v>
      </c>
      <c r="DD91" s="217">
        <f t="shared" si="237"/>
        <v>2.5100133511348464</v>
      </c>
      <c r="DE91" s="173">
        <f t="shared" si="238"/>
        <v>1.6021361815754336</v>
      </c>
      <c r="DF91" s="173">
        <f t="shared" si="239"/>
        <v>2.8149682442633783</v>
      </c>
      <c r="DG91" s="173"/>
      <c r="DH91" s="173">
        <f t="shared" si="240"/>
        <v>0.85106382978723416</v>
      </c>
      <c r="DI91" s="545">
        <f t="shared" si="241"/>
        <v>2273.6249999999995</v>
      </c>
      <c r="DJ91" s="528">
        <f t="shared" si="242"/>
        <v>0.79432624113475192</v>
      </c>
      <c r="DL91" s="173">
        <f t="shared" si="243"/>
        <v>3.2504944678793541</v>
      </c>
      <c r="DM91" s="173">
        <f t="shared" si="244"/>
        <v>4.209425531914893</v>
      </c>
      <c r="DN91" s="173">
        <f t="shared" si="245"/>
        <v>3.3304386656159704</v>
      </c>
      <c r="DP91" s="545">
        <f t="shared" si="246"/>
        <v>5160</v>
      </c>
      <c r="DQ91" s="460">
        <f t="shared" si="247"/>
        <v>208.69942139053808</v>
      </c>
      <c r="DS91">
        <f>IF(CL91&gt;CS91, "",DP91)</f>
        <v>5160</v>
      </c>
      <c r="DT91">
        <f>IF(CL91&gt;CS91, "",DQ91)</f>
        <v>208.69942139053808</v>
      </c>
      <c r="DV91" s="5">
        <f t="shared" si="293"/>
        <v>4.7915801267541873</v>
      </c>
      <c r="DW91" s="5">
        <f t="shared" si="249"/>
        <v>2.1047127659574465</v>
      </c>
      <c r="DX91" s="5">
        <f t="shared" si="294"/>
        <v>2.6868673607967408</v>
      </c>
      <c r="DY91" s="173">
        <f t="shared" si="295"/>
        <v>0.43925233644859807</v>
      </c>
      <c r="EA91" s="5">
        <f t="shared" si="250"/>
        <v>271.50794680851061</v>
      </c>
      <c r="EB91" s="5">
        <f t="shared" si="251"/>
        <v>1.0055849881796688</v>
      </c>
      <c r="EC91" s="5">
        <f t="shared" si="252"/>
        <v>1.9255882752376638</v>
      </c>
      <c r="ED91" s="5"/>
      <c r="EE91" s="173">
        <f t="shared" si="296"/>
        <v>1.6107170047849948</v>
      </c>
      <c r="EF91" s="173">
        <f t="shared" si="253"/>
        <v>7.2795734308090134</v>
      </c>
      <c r="EG91" s="173">
        <f t="shared" si="254"/>
        <v>0.13870538564109064</v>
      </c>
      <c r="EH91" s="173"/>
      <c r="EI91" s="528">
        <f t="shared" si="255"/>
        <v>3.1651793087943247E-2</v>
      </c>
      <c r="EJ91" s="528">
        <f t="shared" si="256"/>
        <v>0.75199999999999989</v>
      </c>
      <c r="EK91" s="528">
        <f t="shared" si="257"/>
        <v>2.6087427673817259E-2</v>
      </c>
      <c r="EL91" s="528">
        <f t="shared" si="258"/>
        <v>3.8230394808004324E-2</v>
      </c>
      <c r="EM91">
        <f t="shared" si="259"/>
        <v>1.0800000000000001E-2</v>
      </c>
      <c r="EN91" s="460">
        <f t="shared" si="297"/>
        <v>36.887427673817257</v>
      </c>
      <c r="EO91">
        <f t="shared" si="260"/>
        <v>0.87388764203620428</v>
      </c>
      <c r="EP91" s="460">
        <f t="shared" si="298"/>
        <v>873.88764203620428</v>
      </c>
      <c r="EQ91" s="173">
        <f t="shared" si="261"/>
        <v>3.2056499999999994</v>
      </c>
      <c r="ER91" s="173">
        <f t="shared" si="262"/>
        <v>3.8162500000000002E-2</v>
      </c>
      <c r="ES91" s="528"/>
      <c r="EU91" s="460">
        <f t="shared" si="299"/>
        <v>3243.8124999999995</v>
      </c>
      <c r="EV91" s="528">
        <f t="shared" si="263"/>
        <v>7.7832278085106343E-2</v>
      </c>
      <c r="EW91" s="528">
        <f t="shared" si="300"/>
        <v>1.5897656800362152</v>
      </c>
      <c r="EX91" s="528">
        <f t="shared" si="264"/>
        <v>9.6195920029218361E-5</v>
      </c>
      <c r="EY91" s="528">
        <f t="shared" si="265"/>
        <v>1.1437475956681533</v>
      </c>
      <c r="EZ91" s="528">
        <f t="shared" si="266"/>
        <v>3.706145755519882</v>
      </c>
      <c r="FA91" s="625">
        <f t="shared" si="267"/>
        <v>9.2449999999999991E-2</v>
      </c>
      <c r="FB91" s="460">
        <f t="shared" si="301"/>
        <v>3798.595755519882</v>
      </c>
      <c r="FC91" s="173">
        <f t="shared" si="302"/>
        <v>7.9162958975560871</v>
      </c>
      <c r="FD91" s="5">
        <f t="shared" si="303"/>
        <v>22.188000000000002</v>
      </c>
      <c r="FE91" s="173">
        <f t="shared" si="304"/>
        <v>0.73703766650132008</v>
      </c>
      <c r="FF91" s="5">
        <f t="shared" si="305"/>
        <v>73.70376665013201</v>
      </c>
      <c r="FG91">
        <f t="shared" si="306"/>
        <v>86</v>
      </c>
      <c r="FI91" s="562">
        <f t="shared" si="268"/>
        <v>-50</v>
      </c>
      <c r="FJ91">
        <f t="shared" si="269"/>
        <v>-50</v>
      </c>
      <c r="FL91">
        <f t="shared" si="270"/>
        <v>0.56074766355140193</v>
      </c>
    </row>
    <row r="92" spans="5:168">
      <c r="E92" s="170">
        <v>87</v>
      </c>
      <c r="F92" s="217">
        <f t="shared" si="307"/>
        <v>5.22</v>
      </c>
      <c r="G92" s="217">
        <f t="shared" si="271"/>
        <v>8.7000000000000008E-2</v>
      </c>
      <c r="H92" s="217">
        <f t="shared" si="176"/>
        <v>20.88</v>
      </c>
      <c r="I92" s="217">
        <f t="shared" si="308"/>
        <v>1.5660000000000001</v>
      </c>
      <c r="J92" s="541">
        <f t="shared" si="177"/>
        <v>23.877729691236866</v>
      </c>
      <c r="K92" s="443">
        <f t="shared" si="178"/>
        <v>19.917080000000002</v>
      </c>
      <c r="L92" s="172">
        <f t="shared" si="179"/>
        <v>43.794809691236864</v>
      </c>
      <c r="M92" s="443"/>
      <c r="N92" s="217">
        <f t="shared" si="180"/>
        <v>0.45478174560912216</v>
      </c>
      <c r="O92" s="172">
        <f t="shared" si="272"/>
        <v>33.671800279576644</v>
      </c>
      <c r="P92" s="172">
        <f t="shared" si="181"/>
        <v>2.7147888975408669</v>
      </c>
      <c r="Q92" s="217">
        <f t="shared" si="182"/>
        <v>8.4179500698941609</v>
      </c>
      <c r="R92" s="217">
        <f t="shared" si="183"/>
        <v>1.8706555710875914</v>
      </c>
      <c r="S92" s="443">
        <f t="shared" si="184"/>
        <v>4</v>
      </c>
      <c r="T92" s="217">
        <f t="shared" si="185"/>
        <v>4.134023094821889</v>
      </c>
      <c r="U92" s="217">
        <f t="shared" si="186"/>
        <v>2.0775960604022137</v>
      </c>
      <c r="V92" s="217">
        <f t="shared" si="187"/>
        <v>2.4907404668687714</v>
      </c>
      <c r="W92" s="197">
        <f t="shared" si="188"/>
        <v>350</v>
      </c>
      <c r="X92" s="443">
        <f t="shared" si="273"/>
        <v>209.71674173599493</v>
      </c>
      <c r="Z92" s="217">
        <f t="shared" si="189"/>
        <v>2.5855132357532065</v>
      </c>
      <c r="AA92" s="173">
        <f t="shared" si="190"/>
        <v>1.557766441116794</v>
      </c>
      <c r="AB92" s="173">
        <f t="shared" si="191"/>
        <v>2.8193380262037473</v>
      </c>
      <c r="AC92" s="173"/>
      <c r="AD92" s="173">
        <f t="shared" si="192"/>
        <v>0.80333060870368556</v>
      </c>
      <c r="AE92" s="545">
        <f t="shared" si="193"/>
        <v>2436.730256249999</v>
      </c>
      <c r="AF92" s="528">
        <f t="shared" si="194"/>
        <v>0.74977523479010666</v>
      </c>
      <c r="AH92" s="173">
        <f t="shared" si="195"/>
        <v>3.2693380719300698</v>
      </c>
      <c r="AI92" s="173">
        <f t="shared" si="196"/>
        <v>4.134023094821889</v>
      </c>
      <c r="AJ92" s="173">
        <f t="shared" si="197"/>
        <v>3.2745850085100408</v>
      </c>
      <c r="AL92" s="545">
        <f t="shared" si="198"/>
        <v>5220</v>
      </c>
      <c r="AM92" s="460">
        <f t="shared" si="199"/>
        <v>209.71674173599493</v>
      </c>
      <c r="AO92">
        <f t="shared" si="274"/>
        <v>5220</v>
      </c>
      <c r="AP92">
        <f t="shared" si="200"/>
        <v>209.71674173599493</v>
      </c>
      <c r="AR92" s="5">
        <f t="shared" si="275"/>
        <v>4.7683365272709848</v>
      </c>
      <c r="AS92" s="5">
        <f t="shared" si="201"/>
        <v>2.0775960604022137</v>
      </c>
      <c r="AT92" s="5">
        <f t="shared" si="276"/>
        <v>2.6907404668687711</v>
      </c>
      <c r="AU92" s="173">
        <f t="shared" si="277"/>
        <v>0.43570667643109157</v>
      </c>
      <c r="AW92" s="5">
        <f t="shared" si="202"/>
        <v>271.1262858824889</v>
      </c>
      <c r="AX92" s="5">
        <f t="shared" si="203"/>
        <v>1.0041714291944035</v>
      </c>
      <c r="AY92" s="5">
        <f t="shared" si="204"/>
        <v>1.9607762014618646</v>
      </c>
      <c r="AZ92" s="5"/>
      <c r="BA92" s="173">
        <f t="shared" si="278"/>
        <v>1.5754672456828944</v>
      </c>
      <c r="BB92" s="173">
        <f t="shared" si="205"/>
        <v>7.1717430040818071</v>
      </c>
      <c r="BC92" s="173">
        <f t="shared" si="206"/>
        <v>0.13665077886155877</v>
      </c>
      <c r="BD92" s="173"/>
      <c r="BE92" s="528">
        <f t="shared" si="207"/>
        <v>3.0281583915079673E-2</v>
      </c>
      <c r="BF92" s="528">
        <f t="shared" si="208"/>
        <v>0.71191790494488438</v>
      </c>
      <c r="BG92" s="528">
        <f t="shared" si="209"/>
        <v>0.1251889917724755</v>
      </c>
      <c r="BH92" s="528">
        <f t="shared" si="210"/>
        <v>4.0223363953495038E-2</v>
      </c>
      <c r="BI92">
        <f t="shared" si="211"/>
        <v>1.074497836105659E-2</v>
      </c>
      <c r="BJ92" s="460">
        <f t="shared" si="279"/>
        <v>135.93397013353209</v>
      </c>
      <c r="BK92">
        <f t="shared" si="212"/>
        <v>0.79632838703707365</v>
      </c>
      <c r="BL92" s="460">
        <f t="shared" si="280"/>
        <v>796.32838703707364</v>
      </c>
      <c r="BM92" s="173">
        <f t="shared" si="213"/>
        <v>3.2429249999999992</v>
      </c>
      <c r="BN92" s="173">
        <f t="shared" si="214"/>
        <v>3.8606250000000002E-2</v>
      </c>
      <c r="BO92" s="528"/>
      <c r="BQ92" s="460">
        <f t="shared" si="281"/>
        <v>3281.5312499999991</v>
      </c>
      <c r="BR92" s="528">
        <f t="shared" si="215"/>
        <v>7.4462911266589368E-2</v>
      </c>
      <c r="BS92" s="528">
        <f t="shared" si="216"/>
        <v>1.5430169314978901</v>
      </c>
      <c r="BT92" s="528">
        <f t="shared" si="217"/>
        <v>9.3367176817353188E-5</v>
      </c>
      <c r="BU92" s="528">
        <f t="shared" si="218"/>
        <v>1.1065855753569636</v>
      </c>
      <c r="BV92" s="528">
        <f t="shared" si="219"/>
        <v>3.5750026346689792</v>
      </c>
      <c r="BW92" s="625">
        <f t="shared" si="220"/>
        <v>8.9602248345828209E-2</v>
      </c>
      <c r="BX92" s="460">
        <f t="shared" si="282"/>
        <v>3664.6048830148075</v>
      </c>
      <c r="BY92" s="173">
        <f t="shared" si="283"/>
        <v>7.7424645200518807</v>
      </c>
      <c r="BZ92" s="5">
        <f t="shared" si="284"/>
        <v>22.445999999999998</v>
      </c>
      <c r="CA92" s="173">
        <f t="shared" si="285"/>
        <v>0.74352903855347929</v>
      </c>
      <c r="CB92" s="5">
        <f t="shared" si="286"/>
        <v>74.352903855347932</v>
      </c>
      <c r="CC92">
        <f t="shared" si="287"/>
        <v>87</v>
      </c>
      <c r="CE92" s="562">
        <f t="shared" si="221"/>
        <v>-50</v>
      </c>
      <c r="CF92">
        <f t="shared" si="222"/>
        <v>-50</v>
      </c>
      <c r="CG92" s="173">
        <f t="shared" si="223"/>
        <v>0.56074766355140171</v>
      </c>
      <c r="CH92" s="173">
        <f t="shared" si="224"/>
        <v>0.15015627428312001</v>
      </c>
      <c r="CI92" s="170">
        <v>87</v>
      </c>
      <c r="CJ92" s="217">
        <f t="shared" si="309"/>
        <v>5.22</v>
      </c>
      <c r="CK92" s="217">
        <f t="shared" si="288"/>
        <v>8.7000000000000008E-2</v>
      </c>
      <c r="CL92" s="217">
        <f t="shared" si="225"/>
        <v>20.88</v>
      </c>
      <c r="CM92" s="217">
        <f t="shared" si="310"/>
        <v>1.5660000000000001</v>
      </c>
      <c r="CN92" s="541">
        <f t="shared" si="289"/>
        <v>24</v>
      </c>
      <c r="CO92" s="443">
        <f t="shared" si="226"/>
        <v>18.8</v>
      </c>
      <c r="CP92" s="443">
        <f t="shared" si="227"/>
        <v>42.8</v>
      </c>
      <c r="CQ92" s="443"/>
      <c r="CR92" s="217">
        <f t="shared" si="228"/>
        <v>0.43925233644859818</v>
      </c>
      <c r="CS92" s="172">
        <f t="shared" si="290"/>
        <v>32.688545968267775</v>
      </c>
      <c r="CT92" s="172">
        <f t="shared" si="229"/>
        <v>2.6355140186915893</v>
      </c>
      <c r="CU92" s="217">
        <f t="shared" si="230"/>
        <v>8.1721364920669437</v>
      </c>
      <c r="CV92" s="217">
        <f t="shared" si="231"/>
        <v>1.816030331570432</v>
      </c>
      <c r="CW92" s="443">
        <f t="shared" si="232"/>
        <v>4</v>
      </c>
      <c r="CX92" s="217">
        <f t="shared" si="233"/>
        <v>4.2583723404255309</v>
      </c>
      <c r="CY92" s="217">
        <f t="shared" si="234"/>
        <v>2.1291861702127655</v>
      </c>
      <c r="CZ92" s="217">
        <f t="shared" si="235"/>
        <v>2.7181100045269342</v>
      </c>
      <c r="DA92" s="197">
        <f t="shared" si="236"/>
        <v>350</v>
      </c>
      <c r="DB92" s="443">
        <f t="shared" si="291"/>
        <v>206.30057746650897</v>
      </c>
      <c r="DD92" s="217">
        <f t="shared" si="237"/>
        <v>2.5100133511348464</v>
      </c>
      <c r="DE92" s="173">
        <f t="shared" si="238"/>
        <v>1.6021361815754336</v>
      </c>
      <c r="DF92" s="173">
        <f t="shared" si="239"/>
        <v>2.8149682442633783</v>
      </c>
      <c r="DG92" s="173"/>
      <c r="DH92" s="173">
        <f t="shared" si="240"/>
        <v>0.85106382978723416</v>
      </c>
      <c r="DI92" s="545">
        <f t="shared" si="241"/>
        <v>2300.0624999999995</v>
      </c>
      <c r="DJ92" s="528">
        <f t="shared" si="242"/>
        <v>0.79432624113475192</v>
      </c>
      <c r="DL92" s="173">
        <f t="shared" si="243"/>
        <v>3.2693380719300698</v>
      </c>
      <c r="DM92" s="173">
        <f t="shared" si="244"/>
        <v>4.2583723404255309</v>
      </c>
      <c r="DN92" s="173">
        <f t="shared" si="245"/>
        <v>3.3666955608090348</v>
      </c>
      <c r="DP92" s="545">
        <f t="shared" si="246"/>
        <v>5220</v>
      </c>
      <c r="DQ92" s="460">
        <f t="shared" si="247"/>
        <v>206.30057746650897</v>
      </c>
      <c r="DS92">
        <f>IF(CL92&gt;CS92, "",DP92)</f>
        <v>5220</v>
      </c>
      <c r="DT92">
        <f>IF(CL92&gt;CS92, "",DQ92)</f>
        <v>206.30057746650897</v>
      </c>
      <c r="DV92" s="5">
        <f t="shared" si="293"/>
        <v>4.8472961747396992</v>
      </c>
      <c r="DW92" s="5">
        <f t="shared" si="249"/>
        <v>2.1291861702127655</v>
      </c>
      <c r="DX92" s="5">
        <f t="shared" si="294"/>
        <v>2.7181100045269337</v>
      </c>
      <c r="DY92" s="173">
        <f t="shared" si="295"/>
        <v>0.43925233644859824</v>
      </c>
      <c r="EA92" s="5">
        <f t="shared" si="250"/>
        <v>277.85879521276593</v>
      </c>
      <c r="EB92" s="5">
        <f t="shared" si="251"/>
        <v>1.0291066489361702</v>
      </c>
      <c r="EC92" s="5">
        <f t="shared" si="252"/>
        <v>1.9706297532820265</v>
      </c>
      <c r="ED92" s="5"/>
      <c r="EE92" s="173">
        <f t="shared" si="296"/>
        <v>1.6294462722824949</v>
      </c>
      <c r="EF92" s="173">
        <f t="shared" si="253"/>
        <v>7.3642196334928363</v>
      </c>
      <c r="EG92" s="173">
        <f t="shared" si="254"/>
        <v>0.14031823896249865</v>
      </c>
      <c r="EH92" s="173"/>
      <c r="EI92" s="528">
        <f t="shared" si="255"/>
        <v>3.2392160881914885E-2</v>
      </c>
      <c r="EJ92" s="528">
        <f t="shared" si="256"/>
        <v>0.752</v>
      </c>
      <c r="EK92" s="528">
        <f t="shared" si="257"/>
        <v>2.5787572183313619E-2</v>
      </c>
      <c r="EL92" s="528">
        <f t="shared" si="258"/>
        <v>3.7790964982624978E-2</v>
      </c>
      <c r="EM92">
        <f t="shared" si="259"/>
        <v>1.0800000000000001E-2</v>
      </c>
      <c r="EN92" s="460">
        <f t="shared" si="297"/>
        <v>36.587572183313618</v>
      </c>
      <c r="EO92">
        <f t="shared" si="260"/>
        <v>0.87424510175148218</v>
      </c>
      <c r="EP92" s="460">
        <f t="shared" si="298"/>
        <v>874.24510175148214</v>
      </c>
      <c r="EQ92" s="173">
        <f t="shared" si="261"/>
        <v>3.2429249999999992</v>
      </c>
      <c r="ER92" s="173">
        <f t="shared" si="262"/>
        <v>3.8606250000000002E-2</v>
      </c>
      <c r="ES92" s="528"/>
      <c r="EU92" s="460">
        <f t="shared" si="299"/>
        <v>3281.5312499999991</v>
      </c>
      <c r="EV92" s="528">
        <f t="shared" si="263"/>
        <v>7.9652854627659558E-2</v>
      </c>
      <c r="EW92" s="528">
        <f t="shared" si="300"/>
        <v>1.6269519243096409</v>
      </c>
      <c r="EX92" s="528">
        <f t="shared" si="264"/>
        <v>9.8446040927684377E-5</v>
      </c>
      <c r="EY92" s="528">
        <f t="shared" si="265"/>
        <v>1.1437475956681533</v>
      </c>
      <c r="EZ92" s="528">
        <f t="shared" si="266"/>
        <v>3.7755604967076666</v>
      </c>
      <c r="FA92" s="625">
        <f t="shared" si="267"/>
        <v>9.3524999999999997E-2</v>
      </c>
      <c r="FB92" s="460">
        <f t="shared" si="301"/>
        <v>3869.0854967076666</v>
      </c>
      <c r="FC92" s="173">
        <f t="shared" si="302"/>
        <v>8.0248618484591479</v>
      </c>
      <c r="FD92" s="5">
        <f t="shared" si="303"/>
        <v>22.445999999999998</v>
      </c>
      <c r="FE92" s="173">
        <f t="shared" si="304"/>
        <v>0.73663817294144085</v>
      </c>
      <c r="FF92" s="5">
        <f t="shared" si="305"/>
        <v>73.663817294144081</v>
      </c>
      <c r="FG92">
        <f t="shared" si="306"/>
        <v>87</v>
      </c>
      <c r="FI92" s="562">
        <f t="shared" si="268"/>
        <v>-50</v>
      </c>
      <c r="FJ92">
        <f t="shared" si="269"/>
        <v>-50</v>
      </c>
      <c r="FL92">
        <f t="shared" si="270"/>
        <v>0.56074766355140171</v>
      </c>
    </row>
    <row r="93" spans="5:168">
      <c r="E93" s="170">
        <v>88</v>
      </c>
      <c r="F93" s="217">
        <f t="shared" si="307"/>
        <v>5.28</v>
      </c>
      <c r="G93" s="217">
        <f t="shared" si="271"/>
        <v>8.8000000000000009E-2</v>
      </c>
      <c r="H93" s="217">
        <f t="shared" si="176"/>
        <v>21.12</v>
      </c>
      <c r="I93" s="217">
        <f t="shared" si="308"/>
        <v>1.5840000000000001</v>
      </c>
      <c r="J93" s="541">
        <f t="shared" si="177"/>
        <v>23.876324285389014</v>
      </c>
      <c r="K93" s="443">
        <f t="shared" si="178"/>
        <v>19.929920000000003</v>
      </c>
      <c r="L93" s="172">
        <f t="shared" si="179"/>
        <v>43.806244285389013</v>
      </c>
      <c r="M93" s="443"/>
      <c r="N93" s="217">
        <f t="shared" si="180"/>
        <v>0.45495614438344723</v>
      </c>
      <c r="O93" s="172">
        <f t="shared" si="272"/>
        <v>33.682730043192102</v>
      </c>
      <c r="P93" s="172">
        <f t="shared" si="181"/>
        <v>2.715670109732363</v>
      </c>
      <c r="Q93" s="217">
        <f t="shared" si="182"/>
        <v>8.4206825107980254</v>
      </c>
      <c r="R93" s="217">
        <f t="shared" si="183"/>
        <v>1.8712627801773389</v>
      </c>
      <c r="S93" s="443">
        <f t="shared" si="184"/>
        <v>4</v>
      </c>
      <c r="T93" s="217">
        <f t="shared" si="185"/>
        <v>4.1801837267777611</v>
      </c>
      <c r="U93" s="217">
        <f t="shared" si="186"/>
        <v>2.1009182201478818</v>
      </c>
      <c r="V93" s="217">
        <f t="shared" si="187"/>
        <v>2.5169295572352084</v>
      </c>
      <c r="W93" s="197">
        <f t="shared" si="188"/>
        <v>350</v>
      </c>
      <c r="X93" s="443">
        <f t="shared" si="273"/>
        <v>207.56155989286356</v>
      </c>
      <c r="Z93" s="217">
        <f t="shared" si="189"/>
        <v>2.5863524854593929</v>
      </c>
      <c r="AA93" s="173">
        <f t="shared" si="190"/>
        <v>1.5572681589044368</v>
      </c>
      <c r="AB93" s="173">
        <f t="shared" si="191"/>
        <v>2.8193510613164841</v>
      </c>
      <c r="AC93" s="173"/>
      <c r="AD93" s="173">
        <f t="shared" si="192"/>
        <v>0.80281305695155825</v>
      </c>
      <c r="AE93" s="545">
        <f t="shared" si="193"/>
        <v>2466.3275999999996</v>
      </c>
      <c r="AF93" s="528">
        <f t="shared" si="194"/>
        <v>0.74929218648812124</v>
      </c>
      <c r="AH93" s="173">
        <f t="shared" si="195"/>
        <v>3.2880736870436116</v>
      </c>
      <c r="AI93" s="173">
        <f t="shared" si="196"/>
        <v>4.1801837267777611</v>
      </c>
      <c r="AJ93" s="173">
        <f t="shared" si="197"/>
        <v>3.3087780692180946</v>
      </c>
      <c r="AL93" s="545">
        <f t="shared" si="198"/>
        <v>5280</v>
      </c>
      <c r="AM93" s="460">
        <f t="shared" si="199"/>
        <v>207.56155989286356</v>
      </c>
      <c r="AO93">
        <f t="shared" si="274"/>
        <v>5280</v>
      </c>
      <c r="AP93">
        <f t="shared" si="200"/>
        <v>207.56155989286356</v>
      </c>
      <c r="AR93" s="5">
        <f t="shared" si="275"/>
        <v>4.8178477773830908</v>
      </c>
      <c r="AS93" s="5">
        <f t="shared" si="201"/>
        <v>2.1009182201478818</v>
      </c>
      <c r="AT93" s="5">
        <f t="shared" si="276"/>
        <v>2.716929557235209</v>
      </c>
      <c r="AU93" s="173">
        <f t="shared" si="277"/>
        <v>0.4360698629812329</v>
      </c>
      <c r="AW93" s="5">
        <f t="shared" si="202"/>
        <v>277.32120505952042</v>
      </c>
      <c r="AX93" s="5">
        <f t="shared" si="203"/>
        <v>1.0271155742945199</v>
      </c>
      <c r="AY93" s="5">
        <f t="shared" si="204"/>
        <v>2.0027354142028306</v>
      </c>
      <c r="AZ93" s="5"/>
      <c r="BA93" s="173">
        <f t="shared" si="278"/>
        <v>1.5937227773084612</v>
      </c>
      <c r="BB93" s="173">
        <f t="shared" si="205"/>
        <v>7.2494888525586312</v>
      </c>
      <c r="BC93" s="173">
        <f t="shared" si="206"/>
        <v>0.13813215246091445</v>
      </c>
      <c r="BD93" s="173"/>
      <c r="BE93" s="528">
        <f t="shared" si="207"/>
        <v>3.0987417949123897E-2</v>
      </c>
      <c r="BF93" s="528">
        <f t="shared" si="208"/>
        <v>0.71265541412754019</v>
      </c>
      <c r="BG93" s="528">
        <f t="shared" si="209"/>
        <v>0.12389517782958008</v>
      </c>
      <c r="BH93" s="528">
        <f t="shared" si="210"/>
        <v>3.9830794310265927E-2</v>
      </c>
      <c r="BI93">
        <f t="shared" si="211"/>
        <v>1.0744345928425056E-2</v>
      </c>
      <c r="BJ93" s="460">
        <f t="shared" si="279"/>
        <v>134.63952375800514</v>
      </c>
      <c r="BK93">
        <f t="shared" si="212"/>
        <v>0.79771348290215915</v>
      </c>
      <c r="BL93" s="460">
        <f t="shared" si="280"/>
        <v>797.71348290215917</v>
      </c>
      <c r="BM93" s="173">
        <f t="shared" si="213"/>
        <v>3.2801999999999998</v>
      </c>
      <c r="BN93" s="173">
        <f t="shared" si="214"/>
        <v>3.9050000000000001E-2</v>
      </c>
      <c r="BO93" s="528"/>
      <c r="BQ93" s="460">
        <f t="shared" si="281"/>
        <v>3319.25</v>
      </c>
      <c r="BR93" s="528">
        <f t="shared" si="215"/>
        <v>7.6198568727353852E-2</v>
      </c>
      <c r="BS93" s="528">
        <f t="shared" si="216"/>
        <v>1.5766526587011558</v>
      </c>
      <c r="BT93" s="528">
        <f t="shared" si="217"/>
        <v>9.5402457717426575E-5</v>
      </c>
      <c r="BU93" s="528">
        <f t="shared" si="218"/>
        <v>1.1087298617778181</v>
      </c>
      <c r="BV93" s="528">
        <f t="shared" si="219"/>
        <v>3.6396793385598643</v>
      </c>
      <c r="BW93" s="625">
        <f t="shared" si="220"/>
        <v>9.0672935286827003E-2</v>
      </c>
      <c r="BX93" s="460">
        <f t="shared" si="282"/>
        <v>3730.3522738466913</v>
      </c>
      <c r="BY93" s="173">
        <f t="shared" si="283"/>
        <v>7.8473157567488503</v>
      </c>
      <c r="BZ93" s="5">
        <f t="shared" si="284"/>
        <v>22.704000000000001</v>
      </c>
      <c r="CA93" s="173">
        <f t="shared" si="285"/>
        <v>0.7431431163479314</v>
      </c>
      <c r="CB93" s="5">
        <f t="shared" si="286"/>
        <v>74.314311634793143</v>
      </c>
      <c r="CC93">
        <f t="shared" si="287"/>
        <v>88</v>
      </c>
      <c r="CE93" s="562">
        <f t="shared" si="221"/>
        <v>-50</v>
      </c>
      <c r="CF93">
        <f t="shared" si="222"/>
        <v>-50</v>
      </c>
      <c r="CG93" s="173">
        <f t="shared" si="223"/>
        <v>0.56074766355140182</v>
      </c>
      <c r="CH93" s="173">
        <f t="shared" si="224"/>
        <v>0.15015627428311998</v>
      </c>
      <c r="CI93" s="170">
        <v>88</v>
      </c>
      <c r="CJ93" s="217">
        <f t="shared" si="309"/>
        <v>5.28</v>
      </c>
      <c r="CK93" s="217">
        <f t="shared" si="288"/>
        <v>8.8000000000000009E-2</v>
      </c>
      <c r="CL93" s="217">
        <f t="shared" si="225"/>
        <v>21.12</v>
      </c>
      <c r="CM93" s="217">
        <f t="shared" si="310"/>
        <v>1.5840000000000001</v>
      </c>
      <c r="CN93" s="541">
        <f t="shared" si="289"/>
        <v>24</v>
      </c>
      <c r="CO93" s="443">
        <f t="shared" si="226"/>
        <v>18.8</v>
      </c>
      <c r="CP93" s="443">
        <f t="shared" si="227"/>
        <v>42.8</v>
      </c>
      <c r="CQ93" s="443"/>
      <c r="CR93" s="217">
        <f t="shared" si="228"/>
        <v>0.43925233644859818</v>
      </c>
      <c r="CS93" s="172">
        <f t="shared" si="290"/>
        <v>32.688545968267775</v>
      </c>
      <c r="CT93" s="172">
        <f t="shared" si="229"/>
        <v>2.6355140186915893</v>
      </c>
      <c r="CU93" s="217">
        <f t="shared" si="230"/>
        <v>8.1721364920669437</v>
      </c>
      <c r="CV93" s="217">
        <f t="shared" si="231"/>
        <v>1.816030331570432</v>
      </c>
      <c r="CW93" s="443">
        <f t="shared" si="232"/>
        <v>4</v>
      </c>
      <c r="CX93" s="217">
        <f t="shared" si="233"/>
        <v>4.3073191489361697</v>
      </c>
      <c r="CY93" s="217">
        <f t="shared" si="234"/>
        <v>2.1536595744680849</v>
      </c>
      <c r="CZ93" s="217">
        <f t="shared" si="235"/>
        <v>2.7493526482571298</v>
      </c>
      <c r="DA93" s="197">
        <f t="shared" si="236"/>
        <v>350</v>
      </c>
      <c r="DB93" s="443">
        <f t="shared" si="291"/>
        <v>203.95625272257132</v>
      </c>
      <c r="DD93" s="217">
        <f t="shared" si="237"/>
        <v>2.5100133511348464</v>
      </c>
      <c r="DE93" s="173">
        <f t="shared" si="238"/>
        <v>1.6021361815754336</v>
      </c>
      <c r="DF93" s="173">
        <f t="shared" si="239"/>
        <v>2.8149682442633783</v>
      </c>
      <c r="DG93" s="173"/>
      <c r="DH93" s="173">
        <f t="shared" si="240"/>
        <v>0.85106382978723416</v>
      </c>
      <c r="DI93" s="545">
        <f t="shared" si="241"/>
        <v>2326.4999999999995</v>
      </c>
      <c r="DJ93" s="528">
        <f t="shared" si="242"/>
        <v>0.79432624113475192</v>
      </c>
      <c r="DL93" s="173">
        <f t="shared" si="243"/>
        <v>3.2880736870436116</v>
      </c>
      <c r="DM93" s="173">
        <f t="shared" si="244"/>
        <v>4.3073191489361697</v>
      </c>
      <c r="DN93" s="173">
        <f t="shared" si="245"/>
        <v>3.4029524560021009</v>
      </c>
      <c r="DP93" s="545">
        <f t="shared" si="246"/>
        <v>5280</v>
      </c>
      <c r="DQ93" s="460">
        <f t="shared" si="247"/>
        <v>203.95625272257132</v>
      </c>
      <c r="DS93">
        <f>IF(CL93&gt;CS93, "",DP93)</f>
        <v>5280</v>
      </c>
      <c r="DT93">
        <f>IF(CL93&gt;CS93, "",DQ93)</f>
        <v>203.95625272257132</v>
      </c>
      <c r="DV93" s="5">
        <f t="shared" si="293"/>
        <v>4.9030122227252138</v>
      </c>
      <c r="DW93" s="5">
        <f t="shared" si="249"/>
        <v>2.1536595744680849</v>
      </c>
      <c r="DX93" s="5">
        <f t="shared" si="294"/>
        <v>2.7493526482571289</v>
      </c>
      <c r="DY93" s="173">
        <f t="shared" si="295"/>
        <v>0.43925233644859818</v>
      </c>
      <c r="EA93" s="5">
        <f t="shared" si="250"/>
        <v>284.28306382978718</v>
      </c>
      <c r="EB93" s="5">
        <f t="shared" si="251"/>
        <v>1.0529002364066193</v>
      </c>
      <c r="EC93" s="5">
        <f t="shared" si="252"/>
        <v>2.0161919420552277</v>
      </c>
      <c r="ED93" s="5"/>
      <c r="EE93" s="173">
        <f t="shared" si="296"/>
        <v>1.6481755397799951</v>
      </c>
      <c r="EF93" s="173">
        <f t="shared" si="253"/>
        <v>7.4488658361766644</v>
      </c>
      <c r="EG93" s="173">
        <f t="shared" si="254"/>
        <v>0.14193109228390671</v>
      </c>
      <c r="EH93" s="173"/>
      <c r="EI93" s="528">
        <f t="shared" si="255"/>
        <v>3.3141087841134752E-2</v>
      </c>
      <c r="EJ93" s="528">
        <f t="shared" si="256"/>
        <v>0.75199999999999989</v>
      </c>
      <c r="EK93" s="528">
        <f t="shared" si="257"/>
        <v>2.5494531590321414E-2</v>
      </c>
      <c r="EL93" s="528">
        <f t="shared" si="258"/>
        <v>3.7361522198731498E-2</v>
      </c>
      <c r="EM93">
        <f t="shared" si="259"/>
        <v>1.0800000000000001E-2</v>
      </c>
      <c r="EN93" s="460">
        <f t="shared" si="297"/>
        <v>36.294531590321412</v>
      </c>
      <c r="EO93">
        <f t="shared" si="260"/>
        <v>0.87463237269350536</v>
      </c>
      <c r="EP93" s="460">
        <f t="shared" si="298"/>
        <v>874.63237269350532</v>
      </c>
      <c r="EQ93" s="173">
        <f t="shared" si="261"/>
        <v>3.2801999999999998</v>
      </c>
      <c r="ER93" s="173">
        <f t="shared" si="262"/>
        <v>3.9050000000000001E-2</v>
      </c>
      <c r="ES93" s="528"/>
      <c r="EU93" s="460">
        <f t="shared" si="299"/>
        <v>3319.25</v>
      </c>
      <c r="EV93" s="528">
        <f t="shared" si="263"/>
        <v>8.1494478297872333E-2</v>
      </c>
      <c r="EW93" s="528">
        <f t="shared" si="300"/>
        <v>1.6645680673607963</v>
      </c>
      <c r="EX93" s="528">
        <f t="shared" si="264"/>
        <v>1.0072217478451423E-4</v>
      </c>
      <c r="EY93" s="528">
        <f t="shared" si="265"/>
        <v>1.1437475956681533</v>
      </c>
      <c r="EZ93" s="528">
        <f t="shared" si="266"/>
        <v>3.8462900848725523</v>
      </c>
      <c r="FA93" s="625">
        <f t="shared" si="267"/>
        <v>9.4600000000000004E-2</v>
      </c>
      <c r="FB93" s="460">
        <f t="shared" si="301"/>
        <v>3940.8900848725521</v>
      </c>
      <c r="FC93" s="173">
        <f t="shared" si="302"/>
        <v>8.1347724575660578</v>
      </c>
      <c r="FD93" s="5">
        <f t="shared" si="303"/>
        <v>22.704000000000001</v>
      </c>
      <c r="FE93" s="173">
        <f t="shared" si="304"/>
        <v>0.73621607446407122</v>
      </c>
      <c r="FF93" s="5">
        <f t="shared" si="305"/>
        <v>73.621607446407126</v>
      </c>
      <c r="FG93">
        <f t="shared" si="306"/>
        <v>88</v>
      </c>
      <c r="FI93" s="562">
        <f t="shared" si="268"/>
        <v>-50</v>
      </c>
      <c r="FJ93">
        <f t="shared" si="269"/>
        <v>-50</v>
      </c>
      <c r="FL93">
        <f t="shared" si="270"/>
        <v>0.56074766355140182</v>
      </c>
    </row>
    <row r="94" spans="5:168">
      <c r="E94" s="170">
        <v>89</v>
      </c>
      <c r="F94" s="217">
        <f t="shared" si="307"/>
        <v>5.34</v>
      </c>
      <c r="G94" s="217">
        <f t="shared" si="271"/>
        <v>8.900000000000001E-2</v>
      </c>
      <c r="H94" s="217">
        <f t="shared" si="176"/>
        <v>21.36</v>
      </c>
      <c r="I94" s="217">
        <f t="shared" si="308"/>
        <v>1.6020000000000001</v>
      </c>
      <c r="J94" s="541">
        <f t="shared" si="177"/>
        <v>23.874918879541163</v>
      </c>
      <c r="K94" s="443">
        <f t="shared" si="178"/>
        <v>19.94276</v>
      </c>
      <c r="L94" s="172">
        <f t="shared" si="179"/>
        <v>43.817678879541162</v>
      </c>
      <c r="M94" s="443"/>
      <c r="N94" s="217">
        <f t="shared" si="180"/>
        <v>0.45513045213609982</v>
      </c>
      <c r="O94" s="172">
        <f t="shared" si="272"/>
        <v>33.693651548397746</v>
      </c>
      <c r="P94" s="172">
        <f t="shared" si="181"/>
        <v>2.7165506560895687</v>
      </c>
      <c r="Q94" s="217">
        <f t="shared" si="182"/>
        <v>8.4234128870994365</v>
      </c>
      <c r="R94" s="217">
        <f t="shared" si="183"/>
        <v>1.8718695304665414</v>
      </c>
      <c r="S94" s="443">
        <f t="shared" si="184"/>
        <v>4</v>
      </c>
      <c r="T94" s="217">
        <f t="shared" si="185"/>
        <v>4.2263154468566828</v>
      </c>
      <c r="U94" s="217">
        <f t="shared" si="186"/>
        <v>2.1242285939551167</v>
      </c>
      <c r="V94" s="217">
        <f t="shared" si="187"/>
        <v>2.5430675273773642</v>
      </c>
      <c r="W94" s="197">
        <f t="shared" si="188"/>
        <v>350</v>
      </c>
      <c r="X94" s="443">
        <f t="shared" si="273"/>
        <v>205.45287877948917</v>
      </c>
      <c r="Z94" s="217">
        <f t="shared" si="189"/>
        <v>2.5871911010376842</v>
      </c>
      <c r="AA94" s="173">
        <f t="shared" si="190"/>
        <v>1.5567701367540006</v>
      </c>
      <c r="AB94" s="173">
        <f t="shared" si="191"/>
        <v>2.8193632909198181</v>
      </c>
      <c r="AC94" s="173"/>
      <c r="AD94" s="173">
        <f t="shared" si="192"/>
        <v>0.80229617164324307</v>
      </c>
      <c r="AE94" s="545">
        <f t="shared" si="193"/>
        <v>2495.9610562499993</v>
      </c>
      <c r="AF94" s="528">
        <f t="shared" si="194"/>
        <v>0.74880976020036027</v>
      </c>
      <c r="AH94" s="173">
        <f t="shared" si="195"/>
        <v>3.3067031488002843</v>
      </c>
      <c r="AI94" s="173">
        <f t="shared" si="196"/>
        <v>4.2263154468566828</v>
      </c>
      <c r="AJ94" s="173">
        <f t="shared" si="197"/>
        <v>3.3429497137209996</v>
      </c>
      <c r="AL94" s="545">
        <f t="shared" si="198"/>
        <v>5340</v>
      </c>
      <c r="AM94" s="460">
        <f t="shared" si="199"/>
        <v>205.45287877948917</v>
      </c>
      <c r="AO94">
        <f t="shared" si="274"/>
        <v>5340</v>
      </c>
      <c r="AP94">
        <f t="shared" si="200"/>
        <v>205.45287877948917</v>
      </c>
      <c r="AR94" s="5">
        <f t="shared" si="275"/>
        <v>4.8672961213324806</v>
      </c>
      <c r="AS94" s="5">
        <f t="shared" si="201"/>
        <v>2.1242285939551167</v>
      </c>
      <c r="AT94" s="5">
        <f t="shared" si="276"/>
        <v>2.7430675273773639</v>
      </c>
      <c r="AU94" s="173">
        <f t="shared" si="277"/>
        <v>0.43642887981378531</v>
      </c>
      <c r="AW94" s="5">
        <f t="shared" si="202"/>
        <v>283.5845172930081</v>
      </c>
      <c r="AX94" s="5">
        <f t="shared" si="203"/>
        <v>1.0503130270111412</v>
      </c>
      <c r="AY94" s="5">
        <f t="shared" si="204"/>
        <v>2.0451002256245334</v>
      </c>
      <c r="AZ94" s="5"/>
      <c r="BA94" s="173">
        <f t="shared" si="278"/>
        <v>1.6119739622025289</v>
      </c>
      <c r="BB94" s="173">
        <f t="shared" si="205"/>
        <v>7.3271593738665706</v>
      </c>
      <c r="BC94" s="173">
        <f t="shared" si="206"/>
        <v>0.13961209077232251</v>
      </c>
      <c r="BD94" s="173"/>
      <c r="BE94" s="528">
        <f t="shared" si="207"/>
        <v>3.1701212668790821E-2</v>
      </c>
      <c r="BF94" s="528">
        <f t="shared" si="208"/>
        <v>0.71338632558113724</v>
      </c>
      <c r="BG94" s="528">
        <f t="shared" si="209"/>
        <v>0.12262927036071268</v>
      </c>
      <c r="BH94" s="528">
        <f t="shared" si="210"/>
        <v>3.9446726365704815E-2</v>
      </c>
      <c r="BI94">
        <f t="shared" si="211"/>
        <v>1.0743713495793523E-2</v>
      </c>
      <c r="BJ94" s="460">
        <f t="shared" si="279"/>
        <v>133.37298385650621</v>
      </c>
      <c r="BK94">
        <f t="shared" si="212"/>
        <v>0.79911267502389094</v>
      </c>
      <c r="BL94" s="460">
        <f t="shared" si="280"/>
        <v>799.11267502389092</v>
      </c>
      <c r="BM94" s="173">
        <f t="shared" si="213"/>
        <v>3.3174749999999995</v>
      </c>
      <c r="BN94" s="173">
        <f t="shared" si="214"/>
        <v>3.9493750000000001E-2</v>
      </c>
      <c r="BO94" s="528"/>
      <c r="BQ94" s="460">
        <f t="shared" si="281"/>
        <v>3356.9687499999995</v>
      </c>
      <c r="BR94" s="528">
        <f t="shared" si="215"/>
        <v>7.7953801644567597E-2</v>
      </c>
      <c r="BS94" s="528">
        <f t="shared" si="216"/>
        <v>1.6106179347012226</v>
      </c>
      <c r="BT94" s="528">
        <f t="shared" si="217"/>
        <v>9.7457679449096092E-5</v>
      </c>
      <c r="BU94" s="528">
        <f t="shared" si="218"/>
        <v>1.1108498339136612</v>
      </c>
      <c r="BV94" s="528">
        <f t="shared" si="219"/>
        <v>3.7053713506919301</v>
      </c>
      <c r="BW94" s="625">
        <f t="shared" si="220"/>
        <v>9.1743659164554459E-2</v>
      </c>
      <c r="BX94" s="460">
        <f t="shared" si="282"/>
        <v>3797.1150098564849</v>
      </c>
      <c r="BY94" s="173">
        <f t="shared" si="283"/>
        <v>7.9531964348803745</v>
      </c>
      <c r="BZ94" s="5">
        <f t="shared" si="284"/>
        <v>22.962</v>
      </c>
      <c r="CA94" s="173">
        <f t="shared" si="285"/>
        <v>0.74274152028653773</v>
      </c>
      <c r="CB94" s="5">
        <f t="shared" si="286"/>
        <v>74.274152028653774</v>
      </c>
      <c r="CC94">
        <f t="shared" si="287"/>
        <v>89</v>
      </c>
      <c r="CE94" s="562">
        <f t="shared" si="221"/>
        <v>-50</v>
      </c>
      <c r="CF94">
        <f t="shared" si="222"/>
        <v>-50</v>
      </c>
      <c r="CG94" s="173">
        <f t="shared" si="223"/>
        <v>0.56074766355140182</v>
      </c>
      <c r="CH94" s="173">
        <f t="shared" si="224"/>
        <v>0.15015627428312001</v>
      </c>
      <c r="CI94" s="170">
        <v>89</v>
      </c>
      <c r="CJ94" s="217">
        <f t="shared" si="309"/>
        <v>5.34</v>
      </c>
      <c r="CK94" s="217">
        <f t="shared" si="288"/>
        <v>8.900000000000001E-2</v>
      </c>
      <c r="CL94" s="217">
        <f t="shared" si="225"/>
        <v>21.36</v>
      </c>
      <c r="CM94" s="217">
        <f t="shared" si="310"/>
        <v>1.6020000000000001</v>
      </c>
      <c r="CN94" s="541">
        <f t="shared" si="289"/>
        <v>24</v>
      </c>
      <c r="CO94" s="443">
        <f t="shared" si="226"/>
        <v>18.8</v>
      </c>
      <c r="CP94" s="443">
        <f t="shared" si="227"/>
        <v>42.8</v>
      </c>
      <c r="CQ94" s="443"/>
      <c r="CR94" s="217">
        <f t="shared" si="228"/>
        <v>0.43925233644859818</v>
      </c>
      <c r="CS94" s="172">
        <f t="shared" si="290"/>
        <v>32.688545968267775</v>
      </c>
      <c r="CT94" s="172">
        <f t="shared" si="229"/>
        <v>2.6355140186915893</v>
      </c>
      <c r="CU94" s="217">
        <f t="shared" si="230"/>
        <v>8.1721364920669437</v>
      </c>
      <c r="CV94" s="217">
        <f t="shared" si="231"/>
        <v>1.816030331570432</v>
      </c>
      <c r="CW94" s="443">
        <f t="shared" si="232"/>
        <v>4</v>
      </c>
      <c r="CX94" s="217">
        <f t="shared" si="233"/>
        <v>4.3562659574468077</v>
      </c>
      <c r="CY94" s="217">
        <f t="shared" si="234"/>
        <v>2.1781329787234038</v>
      </c>
      <c r="CZ94" s="217">
        <f t="shared" si="235"/>
        <v>2.7805952919873236</v>
      </c>
      <c r="DA94" s="197">
        <f t="shared" si="236"/>
        <v>350</v>
      </c>
      <c r="DB94" s="443">
        <f t="shared" si="291"/>
        <v>201.66460943355372</v>
      </c>
      <c r="DD94" s="217">
        <f t="shared" si="237"/>
        <v>2.5100133511348464</v>
      </c>
      <c r="DE94" s="173">
        <f t="shared" si="238"/>
        <v>1.6021361815754336</v>
      </c>
      <c r="DF94" s="173">
        <f t="shared" si="239"/>
        <v>2.8149682442633783</v>
      </c>
      <c r="DG94" s="173"/>
      <c r="DH94" s="173">
        <f t="shared" si="240"/>
        <v>0.85106382978723416</v>
      </c>
      <c r="DI94" s="545">
        <f t="shared" si="241"/>
        <v>2352.9374999999995</v>
      </c>
      <c r="DJ94" s="528">
        <f t="shared" si="242"/>
        <v>0.79432624113475192</v>
      </c>
      <c r="DL94" s="173">
        <f t="shared" si="243"/>
        <v>3.3067031488002843</v>
      </c>
      <c r="DM94" s="173">
        <f t="shared" si="244"/>
        <v>4.3562659574468077</v>
      </c>
      <c r="DN94" s="173">
        <f t="shared" si="245"/>
        <v>3.4392093511951662</v>
      </c>
      <c r="DP94" s="545">
        <f t="shared" si="246"/>
        <v>5340</v>
      </c>
      <c r="DQ94" s="460">
        <f t="shared" si="247"/>
        <v>201.66460943355372</v>
      </c>
      <c r="DS94">
        <f>IF(CL94&gt;CS94, "",DP94)</f>
        <v>5340</v>
      </c>
      <c r="DT94">
        <f>IF(CL94&gt;CS94, "",DQ94)</f>
        <v>201.66460943355372</v>
      </c>
      <c r="DV94" s="5">
        <f t="shared" si="293"/>
        <v>4.9587282707107274</v>
      </c>
      <c r="DW94" s="5">
        <f t="shared" si="249"/>
        <v>2.1781329787234038</v>
      </c>
      <c r="DX94" s="5">
        <f t="shared" si="294"/>
        <v>2.7805952919873236</v>
      </c>
      <c r="DY94" s="173">
        <f t="shared" si="295"/>
        <v>0.43925233644859818</v>
      </c>
      <c r="EA94" s="5">
        <f t="shared" si="250"/>
        <v>290.78075265957438</v>
      </c>
      <c r="EB94" s="5">
        <f t="shared" si="251"/>
        <v>1.0769657505910164</v>
      </c>
      <c r="EC94" s="5">
        <f t="shared" si="252"/>
        <v>2.0622748415572647</v>
      </c>
      <c r="ED94" s="5"/>
      <c r="EE94" s="173">
        <f t="shared" si="296"/>
        <v>1.6669048072774948</v>
      </c>
      <c r="EF94" s="173">
        <f t="shared" si="253"/>
        <v>7.533512038860489</v>
      </c>
      <c r="EG94" s="173">
        <f t="shared" si="254"/>
        <v>0.14354394560531472</v>
      </c>
      <c r="EH94" s="173"/>
      <c r="EI94" s="528">
        <f t="shared" si="255"/>
        <v>3.3898573965602828E-2</v>
      </c>
      <c r="EJ94" s="528">
        <f t="shared" si="256"/>
        <v>0.75200000000000011</v>
      </c>
      <c r="EK94" s="528">
        <f t="shared" si="257"/>
        <v>2.5208076179194214E-2</v>
      </c>
      <c r="EL94" s="528">
        <f t="shared" si="258"/>
        <v>3.6941729814476104E-2</v>
      </c>
      <c r="EM94">
        <f t="shared" si="259"/>
        <v>1.0800000000000001E-2</v>
      </c>
      <c r="EN94" s="460">
        <f t="shared" si="297"/>
        <v>36.008076179194212</v>
      </c>
      <c r="EO94">
        <f t="shared" si="260"/>
        <v>0.87504890233154109</v>
      </c>
      <c r="EP94" s="460">
        <f t="shared" si="298"/>
        <v>875.04890233154106</v>
      </c>
      <c r="EQ94" s="173">
        <f t="shared" si="261"/>
        <v>3.3174749999999995</v>
      </c>
      <c r="ER94" s="173">
        <f t="shared" si="262"/>
        <v>3.9493750000000001E-2</v>
      </c>
      <c r="ES94" s="528"/>
      <c r="EU94" s="460">
        <f t="shared" si="299"/>
        <v>3356.9687499999995</v>
      </c>
      <c r="EV94" s="528">
        <f t="shared" si="263"/>
        <v>8.3357149095744654E-2</v>
      </c>
      <c r="EW94" s="528">
        <f t="shared" si="300"/>
        <v>1.7026141091896776</v>
      </c>
      <c r="EX94" s="528">
        <f t="shared" si="264"/>
        <v>1.0302432159970777E-4</v>
      </c>
      <c r="EY94" s="528">
        <f t="shared" si="265"/>
        <v>1.1437475956681524</v>
      </c>
      <c r="EZ94" s="528">
        <f t="shared" si="266"/>
        <v>3.9183579794760792</v>
      </c>
      <c r="FA94" s="625">
        <f t="shared" si="267"/>
        <v>9.5675000000000024E-2</v>
      </c>
      <c r="FB94" s="460">
        <f t="shared" si="301"/>
        <v>4014.0329794760792</v>
      </c>
      <c r="FC94" s="173">
        <f t="shared" si="302"/>
        <v>8.2460506318076199</v>
      </c>
      <c r="FD94" s="5">
        <f t="shared" si="303"/>
        <v>22.962</v>
      </c>
      <c r="FE94" s="173">
        <f t="shared" si="304"/>
        <v>0.73577168503427293</v>
      </c>
      <c r="FF94" s="5">
        <f t="shared" si="305"/>
        <v>73.577168503427288</v>
      </c>
      <c r="FG94">
        <f t="shared" si="306"/>
        <v>89</v>
      </c>
      <c r="FI94" s="562">
        <f t="shared" si="268"/>
        <v>-50</v>
      </c>
      <c r="FJ94">
        <f t="shared" si="269"/>
        <v>-50</v>
      </c>
      <c r="FL94">
        <f t="shared" si="270"/>
        <v>0.56074766355140182</v>
      </c>
    </row>
    <row r="95" spans="5:168">
      <c r="E95" s="170">
        <v>90</v>
      </c>
      <c r="F95" s="217">
        <f t="shared" si="307"/>
        <v>5.4</v>
      </c>
      <c r="G95" s="217">
        <f t="shared" si="271"/>
        <v>9.0000000000000011E-2</v>
      </c>
      <c r="H95" s="217">
        <f t="shared" si="176"/>
        <v>21.6</v>
      </c>
      <c r="I95" s="217">
        <f t="shared" si="308"/>
        <v>1.62</v>
      </c>
      <c r="J95" s="541">
        <f t="shared" si="177"/>
        <v>23.873513473693311</v>
      </c>
      <c r="K95" s="443">
        <f t="shared" si="178"/>
        <v>19.9556</v>
      </c>
      <c r="L95" s="172">
        <f t="shared" si="179"/>
        <v>43.829113473693312</v>
      </c>
      <c r="M95" s="443"/>
      <c r="N95" s="217">
        <f t="shared" si="180"/>
        <v>0.45530466893832017</v>
      </c>
      <c r="O95" s="172">
        <f t="shared" si="272"/>
        <v>33.704564801657234</v>
      </c>
      <c r="P95" s="172">
        <f t="shared" si="181"/>
        <v>2.7174305371336147</v>
      </c>
      <c r="Q95" s="217">
        <f t="shared" si="182"/>
        <v>8.4261412004143086</v>
      </c>
      <c r="R95" s="217">
        <f t="shared" si="183"/>
        <v>1.8724758223142908</v>
      </c>
      <c r="S95" s="443">
        <f t="shared" si="184"/>
        <v>4</v>
      </c>
      <c r="T95" s="217">
        <f t="shared" si="185"/>
        <v>4.2724183162548837</v>
      </c>
      <c r="U95" s="217">
        <f t="shared" si="186"/>
        <v>2.1475272105026741</v>
      </c>
      <c r="V95" s="217">
        <f t="shared" si="187"/>
        <v>2.5691545127712825</v>
      </c>
      <c r="W95" s="197">
        <f t="shared" si="188"/>
        <v>350</v>
      </c>
      <c r="X95" s="443">
        <f t="shared" si="273"/>
        <v>203.38920765733693</v>
      </c>
      <c r="Z95" s="217">
        <f t="shared" si="189"/>
        <v>2.5880290829843946</v>
      </c>
      <c r="AA95" s="173">
        <f t="shared" si="190"/>
        <v>1.556272374461942</v>
      </c>
      <c r="AB95" s="173">
        <f t="shared" si="191"/>
        <v>2.8193747163068803</v>
      </c>
      <c r="AC95" s="173"/>
      <c r="AD95" s="173">
        <f t="shared" si="192"/>
        <v>0.80177995149231307</v>
      </c>
      <c r="AE95" s="545">
        <f t="shared" si="193"/>
        <v>2525.6306249999993</v>
      </c>
      <c r="AF95" s="528">
        <f t="shared" si="194"/>
        <v>0.74832795472615898</v>
      </c>
      <c r="AH95" s="173">
        <f t="shared" si="195"/>
        <v>3.3252282413607124</v>
      </c>
      <c r="AI95" s="173">
        <f t="shared" si="196"/>
        <v>4.2724183162548837</v>
      </c>
      <c r="AJ95" s="173">
        <f t="shared" si="197"/>
        <v>3.377099987349296</v>
      </c>
      <c r="AL95" s="545">
        <f t="shared" si="198"/>
        <v>5400</v>
      </c>
      <c r="AM95" s="460">
        <f t="shared" si="199"/>
        <v>203.38920765733693</v>
      </c>
      <c r="AO95">
        <f t="shared" si="274"/>
        <v>5400</v>
      </c>
      <c r="AP95">
        <f t="shared" si="200"/>
        <v>203.38920765733693</v>
      </c>
      <c r="AR95" s="5">
        <f t="shared" si="275"/>
        <v>4.9166817232739568</v>
      </c>
      <c r="AS95" s="5">
        <f t="shared" si="201"/>
        <v>2.1475272105026741</v>
      </c>
      <c r="AT95" s="5">
        <f t="shared" si="276"/>
        <v>2.7691545127712827</v>
      </c>
      <c r="AU95" s="173">
        <f t="shared" si="277"/>
        <v>0.43678385776670992</v>
      </c>
      <c r="AW95" s="5">
        <f t="shared" si="202"/>
        <v>289.91617341786105</v>
      </c>
      <c r="AX95" s="5">
        <f t="shared" si="203"/>
        <v>1.0737636052513371</v>
      </c>
      <c r="AY95" s="5">
        <f t="shared" si="204"/>
        <v>2.0878695247269747</v>
      </c>
      <c r="AZ95" s="5"/>
      <c r="BA95" s="173">
        <f t="shared" si="278"/>
        <v>1.6302208029112615</v>
      </c>
      <c r="BB95" s="173">
        <f t="shared" si="205"/>
        <v>7.4047547500548765</v>
      </c>
      <c r="BC95" s="173">
        <f t="shared" si="206"/>
        <v>0.14109059726455914</v>
      </c>
      <c r="BD95" s="173"/>
      <c r="BE95" s="528">
        <f t="shared" si="207"/>
        <v>3.2422962368184587E-2</v>
      </c>
      <c r="BF95" s="528">
        <f t="shared" si="208"/>
        <v>0.71411084902983613</v>
      </c>
      <c r="BG95" s="528">
        <f t="shared" si="209"/>
        <v>0.12139037473528098</v>
      </c>
      <c r="BH95" s="528">
        <f t="shared" si="210"/>
        <v>3.9070887562165008E-2</v>
      </c>
      <c r="BI95">
        <f t="shared" si="211"/>
        <v>1.0743081063161989E-2</v>
      </c>
      <c r="BJ95" s="460">
        <f t="shared" si="279"/>
        <v>132.13345579844295</v>
      </c>
      <c r="BK95">
        <f t="shared" si="212"/>
        <v>0.80052590691345127</v>
      </c>
      <c r="BL95" s="460">
        <f t="shared" si="280"/>
        <v>800.52590691345131</v>
      </c>
      <c r="BM95" s="173">
        <f t="shared" si="213"/>
        <v>3.3547499999999997</v>
      </c>
      <c r="BN95" s="173">
        <f t="shared" si="214"/>
        <v>3.9937500000000001E-2</v>
      </c>
      <c r="BO95" s="528"/>
      <c r="BQ95" s="460">
        <f t="shared" si="281"/>
        <v>3394.6875</v>
      </c>
      <c r="BR95" s="528">
        <f t="shared" si="215"/>
        <v>7.972859598733914E-2</v>
      </c>
      <c r="BS95" s="528">
        <f t="shared" si="216"/>
        <v>1.6449117872538075</v>
      </c>
      <c r="BT95" s="528">
        <f t="shared" si="217"/>
        <v>9.9532783182350104E-5</v>
      </c>
      <c r="BU95" s="528">
        <f t="shared" si="218"/>
        <v>1.1129462387218527</v>
      </c>
      <c r="BV95" s="528">
        <f t="shared" si="219"/>
        <v>3.7720942571813683</v>
      </c>
      <c r="BW95" s="625">
        <f t="shared" si="220"/>
        <v>9.2814418831830559E-2</v>
      </c>
      <c r="BX95" s="460">
        <f t="shared" si="282"/>
        <v>3864.9086760131991</v>
      </c>
      <c r="BY95" s="173">
        <f t="shared" si="283"/>
        <v>8.0601220829266484</v>
      </c>
      <c r="BZ95" s="5">
        <f t="shared" si="284"/>
        <v>23.220000000000002</v>
      </c>
      <c r="CA95" s="173">
        <f t="shared" si="285"/>
        <v>0.74232446850563816</v>
      </c>
      <c r="CB95" s="5">
        <f t="shared" si="286"/>
        <v>74.232446850563818</v>
      </c>
      <c r="CC95">
        <f t="shared" si="287"/>
        <v>90</v>
      </c>
      <c r="CE95" s="562">
        <f t="shared" si="221"/>
        <v>-50</v>
      </c>
      <c r="CF95">
        <f t="shared" si="222"/>
        <v>-50</v>
      </c>
      <c r="CG95" s="173">
        <f t="shared" si="223"/>
        <v>0.56074766355140182</v>
      </c>
      <c r="CH95" s="173">
        <f t="shared" si="224"/>
        <v>0.15015627428311998</v>
      </c>
      <c r="CI95" s="170">
        <v>90</v>
      </c>
      <c r="CJ95" s="217">
        <f t="shared" si="309"/>
        <v>5.4</v>
      </c>
      <c r="CK95" s="217">
        <f t="shared" si="288"/>
        <v>9.0000000000000011E-2</v>
      </c>
      <c r="CL95" s="217">
        <f t="shared" si="225"/>
        <v>21.6</v>
      </c>
      <c r="CM95" s="217">
        <f t="shared" si="310"/>
        <v>1.62</v>
      </c>
      <c r="CN95" s="541">
        <f t="shared" si="289"/>
        <v>24</v>
      </c>
      <c r="CO95" s="443">
        <f t="shared" si="226"/>
        <v>18.8</v>
      </c>
      <c r="CP95" s="443">
        <f t="shared" si="227"/>
        <v>42.8</v>
      </c>
      <c r="CQ95" s="443"/>
      <c r="CR95" s="217">
        <f t="shared" si="228"/>
        <v>0.43925233644859818</v>
      </c>
      <c r="CS95" s="172">
        <f t="shared" si="290"/>
        <v>32.688545968267775</v>
      </c>
      <c r="CT95" s="172">
        <f t="shared" si="229"/>
        <v>2.6355140186915893</v>
      </c>
      <c r="CU95" s="217">
        <f t="shared" si="230"/>
        <v>8.1721364920669437</v>
      </c>
      <c r="CV95" s="217">
        <f t="shared" si="231"/>
        <v>1.816030331570432</v>
      </c>
      <c r="CW95" s="443">
        <f t="shared" si="232"/>
        <v>4</v>
      </c>
      <c r="CX95" s="217">
        <f t="shared" si="233"/>
        <v>4.4052127659574465</v>
      </c>
      <c r="CY95" s="217">
        <f t="shared" si="234"/>
        <v>2.2026063829787232</v>
      </c>
      <c r="CZ95" s="217">
        <f t="shared" si="235"/>
        <v>2.8118379357175192</v>
      </c>
      <c r="DA95" s="197">
        <f t="shared" si="236"/>
        <v>350</v>
      </c>
      <c r="DB95" s="443">
        <f t="shared" si="291"/>
        <v>199.42389155095864</v>
      </c>
      <c r="DD95" s="217">
        <f t="shared" si="237"/>
        <v>2.5100133511348464</v>
      </c>
      <c r="DE95" s="173">
        <f t="shared" si="238"/>
        <v>1.6021361815754336</v>
      </c>
      <c r="DF95" s="173">
        <f t="shared" si="239"/>
        <v>2.8149682442633783</v>
      </c>
      <c r="DG95" s="173"/>
      <c r="DH95" s="173">
        <f t="shared" si="240"/>
        <v>0.85106382978723416</v>
      </c>
      <c r="DI95" s="545">
        <f t="shared" si="241"/>
        <v>2379.3749999999995</v>
      </c>
      <c r="DJ95" s="528">
        <f t="shared" si="242"/>
        <v>0.79432624113475192</v>
      </c>
      <c r="DL95" s="173">
        <f t="shared" si="243"/>
        <v>3.3252282413607124</v>
      </c>
      <c r="DM95" s="173">
        <f t="shared" si="244"/>
        <v>4.4052127659574465</v>
      </c>
      <c r="DN95" s="173">
        <f t="shared" si="245"/>
        <v>3.4754662463882315</v>
      </c>
      <c r="DP95" s="545">
        <f t="shared" si="246"/>
        <v>5400</v>
      </c>
      <c r="DQ95" s="460">
        <f t="shared" si="247"/>
        <v>199.42389155095864</v>
      </c>
      <c r="DS95">
        <f>IF(CL95&gt;CS95, "",DP95)</f>
        <v>5400</v>
      </c>
      <c r="DT95">
        <f>IF(CL95&gt;CS95, "",DQ95)</f>
        <v>199.42389155095864</v>
      </c>
      <c r="DV95" s="5">
        <f t="shared" si="293"/>
        <v>5.014444318696242</v>
      </c>
      <c r="DW95" s="5">
        <f t="shared" si="249"/>
        <v>2.2026063829787232</v>
      </c>
      <c r="DX95" s="5">
        <f t="shared" si="294"/>
        <v>2.8118379357175187</v>
      </c>
      <c r="DY95" s="173">
        <f t="shared" si="295"/>
        <v>0.43925233644859818</v>
      </c>
      <c r="EA95" s="5">
        <f t="shared" si="250"/>
        <v>297.35186170212768</v>
      </c>
      <c r="EB95" s="5">
        <f t="shared" si="251"/>
        <v>1.1013031914893618</v>
      </c>
      <c r="EC95" s="5">
        <f t="shared" si="252"/>
        <v>2.1088784517881387</v>
      </c>
      <c r="ED95" s="5"/>
      <c r="EE95" s="173">
        <f t="shared" si="296"/>
        <v>1.6856340747749949</v>
      </c>
      <c r="EF95" s="173">
        <f t="shared" si="253"/>
        <v>7.6181582415443154</v>
      </c>
      <c r="EG95" s="173">
        <f t="shared" si="254"/>
        <v>0.14515679892672279</v>
      </c>
      <c r="EH95" s="173"/>
      <c r="EI95" s="528">
        <f t="shared" si="255"/>
        <v>3.4664619255319142E-2</v>
      </c>
      <c r="EJ95" s="528">
        <f t="shared" si="256"/>
        <v>0.752</v>
      </c>
      <c r="EK95" s="528">
        <f t="shared" si="257"/>
        <v>2.4927986443869829E-2</v>
      </c>
      <c r="EL95" s="528">
        <f t="shared" si="258"/>
        <v>3.6531266149870803E-2</v>
      </c>
      <c r="EM95">
        <f t="shared" si="259"/>
        <v>1.0800000000000001E-2</v>
      </c>
      <c r="EN95" s="460">
        <f t="shared" si="297"/>
        <v>35.727986443869831</v>
      </c>
      <c r="EO95">
        <f t="shared" si="260"/>
        <v>0.87549416347650688</v>
      </c>
      <c r="EP95" s="460">
        <f t="shared" si="298"/>
        <v>875.49416347650686</v>
      </c>
      <c r="EQ95" s="173">
        <f t="shared" si="261"/>
        <v>3.3547499999999997</v>
      </c>
      <c r="ER95" s="173">
        <f t="shared" si="262"/>
        <v>3.9937500000000001E-2</v>
      </c>
      <c r="ES95" s="528"/>
      <c r="EU95" s="460">
        <f t="shared" si="299"/>
        <v>3394.6875</v>
      </c>
      <c r="EV95" s="528">
        <f t="shared" si="263"/>
        <v>8.524086702127659E-2</v>
      </c>
      <c r="EW95" s="528">
        <f t="shared" si="300"/>
        <v>1.7410900497962873</v>
      </c>
      <c r="EX95" s="528">
        <f t="shared" si="264"/>
        <v>1.0535248137326516E-4</v>
      </c>
      <c r="EY95" s="528">
        <f t="shared" si="265"/>
        <v>1.1437475956681527</v>
      </c>
      <c r="EZ95" s="528">
        <f t="shared" si="266"/>
        <v>3.9917883281507267</v>
      </c>
      <c r="FA95" s="625">
        <f t="shared" si="267"/>
        <v>9.6750000000000003E-2</v>
      </c>
      <c r="FB95" s="460">
        <f t="shared" si="301"/>
        <v>4088.538328150727</v>
      </c>
      <c r="FC95" s="173">
        <f t="shared" si="302"/>
        <v>8.3587199916272326</v>
      </c>
      <c r="FD95" s="5">
        <f t="shared" si="303"/>
        <v>23.220000000000002</v>
      </c>
      <c r="FE95" s="173">
        <f t="shared" si="304"/>
        <v>0.73530529439307679</v>
      </c>
      <c r="FF95" s="5">
        <f t="shared" si="305"/>
        <v>73.530529439307685</v>
      </c>
      <c r="FG95">
        <f t="shared" si="306"/>
        <v>90</v>
      </c>
      <c r="FI95" s="562">
        <f t="shared" si="268"/>
        <v>-50</v>
      </c>
      <c r="FJ95">
        <f t="shared" si="269"/>
        <v>-50</v>
      </c>
      <c r="FL95">
        <f t="shared" si="270"/>
        <v>0.56074766355140182</v>
      </c>
    </row>
    <row r="96" spans="5:168">
      <c r="E96" s="170">
        <v>91</v>
      </c>
      <c r="F96" s="217">
        <f t="shared" si="307"/>
        <v>5.46</v>
      </c>
      <c r="G96" s="217">
        <f t="shared" si="271"/>
        <v>9.1000000000000011E-2</v>
      </c>
      <c r="H96" s="217">
        <f t="shared" si="176"/>
        <v>21.84</v>
      </c>
      <c r="I96" s="217">
        <f t="shared" si="308"/>
        <v>1.6380000000000001</v>
      </c>
      <c r="J96" s="541">
        <f t="shared" si="177"/>
        <v>23.87210806784546</v>
      </c>
      <c r="K96" s="443">
        <f t="shared" si="178"/>
        <v>19.968440000000001</v>
      </c>
      <c r="L96" s="172">
        <f t="shared" si="179"/>
        <v>43.840548067845461</v>
      </c>
      <c r="M96" s="443"/>
      <c r="N96" s="217">
        <f t="shared" si="180"/>
        <v>0.45547879486127391</v>
      </c>
      <c r="O96" s="172">
        <f t="shared" si="272"/>
        <v>33.715469809427425</v>
      </c>
      <c r="P96" s="172">
        <f t="shared" si="181"/>
        <v>2.718309753385086</v>
      </c>
      <c r="Q96" s="217">
        <f t="shared" si="182"/>
        <v>8.4288674523568563</v>
      </c>
      <c r="R96" s="217">
        <f t="shared" si="183"/>
        <v>1.8730816560793013</v>
      </c>
      <c r="S96" s="443">
        <f t="shared" si="184"/>
        <v>4</v>
      </c>
      <c r="T96" s="217">
        <f t="shared" si="185"/>
        <v>4.318492396012461</v>
      </c>
      <c r="U96" s="217">
        <f t="shared" si="186"/>
        <v>2.1708140983975794</v>
      </c>
      <c r="V96" s="217">
        <f t="shared" si="187"/>
        <v>2.5951906484507319</v>
      </c>
      <c r="W96" s="197">
        <f t="shared" si="188"/>
        <v>350</v>
      </c>
      <c r="X96" s="443">
        <f t="shared" si="273"/>
        <v>201.36911883434118</v>
      </c>
      <c r="Z96" s="217">
        <f t="shared" si="189"/>
        <v>2.5888664317953198</v>
      </c>
      <c r="AA96" s="173">
        <f t="shared" si="190"/>
        <v>1.5557748718249316</v>
      </c>
      <c r="AB96" s="173">
        <f t="shared" si="191"/>
        <v>2.8193853387687624</v>
      </c>
      <c r="AC96" s="173"/>
      <c r="AD96" s="173">
        <f t="shared" si="192"/>
        <v>0.8012643952156504</v>
      </c>
      <c r="AE96" s="545">
        <f t="shared" si="193"/>
        <v>2555.3363062499989</v>
      </c>
      <c r="AF96" s="528">
        <f t="shared" si="194"/>
        <v>0.74784676886794055</v>
      </c>
      <c r="AH96" s="173">
        <f t="shared" si="195"/>
        <v>3.3436506994600976</v>
      </c>
      <c r="AI96" s="173">
        <f t="shared" si="196"/>
        <v>4.318492396012461</v>
      </c>
      <c r="AJ96" s="173">
        <f t="shared" si="197"/>
        <v>3.4112289353178724</v>
      </c>
      <c r="AL96" s="545">
        <f t="shared" si="198"/>
        <v>5460</v>
      </c>
      <c r="AM96" s="460">
        <f t="shared" si="199"/>
        <v>201.36911883434118</v>
      </c>
      <c r="AO96">
        <f t="shared" si="274"/>
        <v>5460</v>
      </c>
      <c r="AP96">
        <f t="shared" si="200"/>
        <v>201.36911883434118</v>
      </c>
      <c r="AR96" s="5">
        <f t="shared" si="275"/>
        <v>4.9660047468483111</v>
      </c>
      <c r="AS96" s="5">
        <f t="shared" si="201"/>
        <v>2.1708140983975794</v>
      </c>
      <c r="AT96" s="5">
        <f t="shared" si="276"/>
        <v>2.7951906484507316</v>
      </c>
      <c r="AU96" s="173">
        <f t="shared" si="277"/>
        <v>0.43713492214748539</v>
      </c>
      <c r="AW96" s="5">
        <f t="shared" si="202"/>
        <v>296.3161244312696</v>
      </c>
      <c r="AX96" s="5">
        <f t="shared" si="203"/>
        <v>1.0974671275232208</v>
      </c>
      <c r="AY96" s="5">
        <f t="shared" si="204"/>
        <v>2.1310422044513944</v>
      </c>
      <c r="AZ96" s="5"/>
      <c r="BA96" s="173">
        <f t="shared" si="278"/>
        <v>1.6484633022866184</v>
      </c>
      <c r="BB96" s="173">
        <f t="shared" si="205"/>
        <v>7.4822751611027467</v>
      </c>
      <c r="BC96" s="173">
        <f t="shared" si="206"/>
        <v>0.14256767536695775</v>
      </c>
      <c r="BD96" s="173"/>
      <c r="BE96" s="528">
        <f t="shared" si="207"/>
        <v>3.3152661359625572E-2</v>
      </c>
      <c r="BF96" s="528">
        <f t="shared" si="208"/>
        <v>0.71482918532812412</v>
      </c>
      <c r="BG96" s="528">
        <f t="shared" si="209"/>
        <v>0.12017763415850519</v>
      </c>
      <c r="BH96" s="528">
        <f t="shared" si="210"/>
        <v>3.8703016869020661E-2</v>
      </c>
      <c r="BI96">
        <f t="shared" si="211"/>
        <v>1.0742448630530456E-2</v>
      </c>
      <c r="BJ96" s="460">
        <f t="shared" si="279"/>
        <v>130.92008278903563</v>
      </c>
      <c r="BK96">
        <f t="shared" si="212"/>
        <v>0.80195312490124115</v>
      </c>
      <c r="BL96" s="460">
        <f t="shared" si="280"/>
        <v>801.95312490124115</v>
      </c>
      <c r="BM96" s="173">
        <f t="shared" si="213"/>
        <v>3.3920249999999994</v>
      </c>
      <c r="BN96" s="173">
        <f t="shared" si="214"/>
        <v>4.038125E-2</v>
      </c>
      <c r="BO96" s="528"/>
      <c r="BQ96" s="460">
        <f t="shared" si="281"/>
        <v>3432.4062499999991</v>
      </c>
      <c r="BR96" s="528">
        <f t="shared" si="215"/>
        <v>8.1522937769571091E-2</v>
      </c>
      <c r="BS96" s="528">
        <f t="shared" si="216"/>
        <v>1.679533247593654</v>
      </c>
      <c r="BT96" s="528">
        <f t="shared" si="217"/>
        <v>1.0162771029769126E-4</v>
      </c>
      <c r="BU96" s="528">
        <f t="shared" si="218"/>
        <v>1.115019792534732</v>
      </c>
      <c r="BV96" s="528">
        <f t="shared" si="219"/>
        <v>3.8398639994471941</v>
      </c>
      <c r="BW96" s="625">
        <f t="shared" si="220"/>
        <v>9.3885213190006131E-2</v>
      </c>
      <c r="BX96" s="460">
        <f t="shared" si="282"/>
        <v>3933.7492126372003</v>
      </c>
      <c r="BY96" s="173">
        <f t="shared" si="283"/>
        <v>8.1681085875384412</v>
      </c>
      <c r="BZ96" s="5">
        <f t="shared" si="284"/>
        <v>23.478000000000002</v>
      </c>
      <c r="CA96" s="173">
        <f t="shared" si="285"/>
        <v>0.74189216456285345</v>
      </c>
      <c r="CB96" s="5">
        <f t="shared" si="286"/>
        <v>74.189216456285351</v>
      </c>
      <c r="CC96">
        <f t="shared" si="287"/>
        <v>91</v>
      </c>
      <c r="CE96" s="562">
        <f t="shared" si="221"/>
        <v>-50</v>
      </c>
      <c r="CF96">
        <f t="shared" si="222"/>
        <v>-50</v>
      </c>
      <c r="CG96" s="173">
        <f t="shared" si="223"/>
        <v>0.56074766355140171</v>
      </c>
      <c r="CH96" s="173">
        <f t="shared" si="224"/>
        <v>0.15015627428312001</v>
      </c>
      <c r="CI96" s="170">
        <v>91</v>
      </c>
      <c r="CJ96" s="217">
        <f t="shared" si="309"/>
        <v>5.46</v>
      </c>
      <c r="CK96" s="217">
        <f t="shared" si="288"/>
        <v>9.1000000000000011E-2</v>
      </c>
      <c r="CL96" s="217">
        <f t="shared" si="225"/>
        <v>21.84</v>
      </c>
      <c r="CM96" s="217">
        <f t="shared" si="310"/>
        <v>1.6380000000000001</v>
      </c>
      <c r="CN96" s="541">
        <f t="shared" si="289"/>
        <v>24</v>
      </c>
      <c r="CO96" s="443">
        <f t="shared" si="226"/>
        <v>18.8</v>
      </c>
      <c r="CP96" s="443">
        <f t="shared" si="227"/>
        <v>42.8</v>
      </c>
      <c r="CQ96" s="443"/>
      <c r="CR96" s="217">
        <f t="shared" si="228"/>
        <v>0.43925233644859818</v>
      </c>
      <c r="CS96" s="172">
        <f t="shared" si="290"/>
        <v>32.688545968267775</v>
      </c>
      <c r="CT96" s="172">
        <f t="shared" si="229"/>
        <v>2.6355140186915893</v>
      </c>
      <c r="CU96" s="217">
        <f t="shared" si="230"/>
        <v>8.1721364920669437</v>
      </c>
      <c r="CV96" s="217">
        <f t="shared" si="231"/>
        <v>1.816030331570432</v>
      </c>
      <c r="CW96" s="443">
        <f t="shared" si="232"/>
        <v>4</v>
      </c>
      <c r="CX96" s="217">
        <f t="shared" si="233"/>
        <v>4.4541595744680844</v>
      </c>
      <c r="CY96" s="217">
        <f t="shared" si="234"/>
        <v>2.2270797872340422</v>
      </c>
      <c r="CZ96" s="217">
        <f t="shared" si="235"/>
        <v>2.843080579447713</v>
      </c>
      <c r="DA96" s="197">
        <f t="shared" si="236"/>
        <v>350</v>
      </c>
      <c r="DB96" s="443">
        <f t="shared" si="291"/>
        <v>197.23242021523384</v>
      </c>
      <c r="DD96" s="217">
        <f t="shared" si="237"/>
        <v>2.5100133511348464</v>
      </c>
      <c r="DE96" s="173">
        <f t="shared" si="238"/>
        <v>1.6021361815754336</v>
      </c>
      <c r="DF96" s="173">
        <f t="shared" si="239"/>
        <v>2.8149682442633783</v>
      </c>
      <c r="DG96" s="173"/>
      <c r="DH96" s="173">
        <f t="shared" si="240"/>
        <v>0.85106382978723416</v>
      </c>
      <c r="DI96" s="545">
        <f t="shared" si="241"/>
        <v>2405.8124999999995</v>
      </c>
      <c r="DJ96" s="528">
        <f t="shared" si="242"/>
        <v>0.79432624113475192</v>
      </c>
      <c r="DL96" s="173">
        <f t="shared" si="243"/>
        <v>3.3436506994600976</v>
      </c>
      <c r="DM96" s="173">
        <f t="shared" si="244"/>
        <v>4.4541595744680844</v>
      </c>
      <c r="DN96" s="173">
        <f t="shared" si="245"/>
        <v>3.5117231415812968</v>
      </c>
      <c r="DP96" s="545">
        <f t="shared" si="246"/>
        <v>5460</v>
      </c>
      <c r="DQ96" s="460">
        <f t="shared" si="247"/>
        <v>197.23242021523384</v>
      </c>
      <c r="DS96">
        <f t="shared" ref="DS96:DS105" si="311">IF(CL96&gt;CS96, "",DP96)</f>
        <v>5460</v>
      </c>
      <c r="DT96">
        <f t="shared" ref="DT96:DT105" si="312">IF(CL96&gt;CS96, "",DQ96)</f>
        <v>197.23242021523384</v>
      </c>
      <c r="DV96" s="5">
        <f t="shared" si="293"/>
        <v>5.0701603666817547</v>
      </c>
      <c r="DW96" s="5">
        <f t="shared" si="249"/>
        <v>2.2270797872340422</v>
      </c>
      <c r="DX96" s="5">
        <f t="shared" si="294"/>
        <v>2.8430805794477125</v>
      </c>
      <c r="DY96" s="173">
        <f t="shared" si="295"/>
        <v>0.43925233644859824</v>
      </c>
      <c r="EA96" s="5">
        <f t="shared" si="250"/>
        <v>303.99639095744675</v>
      </c>
      <c r="EB96" s="5">
        <f t="shared" si="251"/>
        <v>1.125912559101655</v>
      </c>
      <c r="EC96" s="5">
        <f t="shared" si="252"/>
        <v>2.1560027727478484</v>
      </c>
      <c r="ED96" s="5"/>
      <c r="EE96" s="173">
        <f t="shared" si="296"/>
        <v>1.7043633422724949</v>
      </c>
      <c r="EF96" s="173">
        <f t="shared" si="253"/>
        <v>7.70280444422814</v>
      </c>
      <c r="EG96" s="173">
        <f t="shared" si="254"/>
        <v>0.14676965224813079</v>
      </c>
      <c r="EH96" s="173"/>
      <c r="EI96" s="528">
        <f t="shared" si="255"/>
        <v>3.5439223710283685E-2</v>
      </c>
      <c r="EJ96" s="528">
        <f t="shared" si="256"/>
        <v>0.752</v>
      </c>
      <c r="EK96" s="528">
        <f t="shared" si="257"/>
        <v>2.4654052526904228E-2</v>
      </c>
      <c r="EL96" s="528">
        <f t="shared" si="258"/>
        <v>3.6129823664707392E-2</v>
      </c>
      <c r="EM96">
        <f t="shared" si="259"/>
        <v>1.0800000000000001E-2</v>
      </c>
      <c r="EN96" s="460">
        <f t="shared" si="297"/>
        <v>35.454052526904228</v>
      </c>
      <c r="EO96">
        <f t="shared" si="260"/>
        <v>0.87596765289836709</v>
      </c>
      <c r="EP96" s="460">
        <f t="shared" si="298"/>
        <v>875.96765289836708</v>
      </c>
      <c r="EQ96" s="173">
        <f t="shared" si="261"/>
        <v>3.3920249999999994</v>
      </c>
      <c r="ER96" s="173">
        <f t="shared" si="262"/>
        <v>4.038125E-2</v>
      </c>
      <c r="ES96" s="528"/>
      <c r="EU96" s="460">
        <f t="shared" si="299"/>
        <v>3432.4062499999991</v>
      </c>
      <c r="EV96" s="528">
        <f t="shared" si="263"/>
        <v>8.7145632074468085E-2</v>
      </c>
      <c r="EW96" s="528">
        <f t="shared" si="300"/>
        <v>1.7799958891806236</v>
      </c>
      <c r="EX96" s="528">
        <f t="shared" si="264"/>
        <v>1.0770665410518624E-4</v>
      </c>
      <c r="EY96" s="528">
        <f t="shared" si="265"/>
        <v>1.1437475956681527</v>
      </c>
      <c r="EZ96" s="528">
        <f t="shared" si="266"/>
        <v>4.0666059898573161</v>
      </c>
      <c r="FA96" s="625">
        <f t="shared" si="267"/>
        <v>9.7825000000000009E-2</v>
      </c>
      <c r="FB96" s="460">
        <f t="shared" si="301"/>
        <v>4164.4309898573165</v>
      </c>
      <c r="FC96" s="173">
        <f t="shared" si="302"/>
        <v>8.4728048927556827</v>
      </c>
      <c r="FD96" s="5">
        <f t="shared" si="303"/>
        <v>23.478000000000002</v>
      </c>
      <c r="FE96" s="173">
        <f t="shared" si="304"/>
        <v>0.73481716904487904</v>
      </c>
      <c r="FF96" s="5">
        <f t="shared" si="305"/>
        <v>73.481716904487911</v>
      </c>
      <c r="FG96">
        <f t="shared" si="306"/>
        <v>91</v>
      </c>
      <c r="FI96" s="562">
        <f t="shared" si="268"/>
        <v>-50</v>
      </c>
      <c r="FJ96">
        <f t="shared" si="269"/>
        <v>-50</v>
      </c>
      <c r="FL96">
        <f t="shared" si="270"/>
        <v>0.56074766355140171</v>
      </c>
    </row>
    <row r="97" spans="5:169">
      <c r="E97" s="170">
        <v>92</v>
      </c>
      <c r="F97" s="217">
        <f t="shared" si="307"/>
        <v>5.5200000000000005</v>
      </c>
      <c r="G97" s="217">
        <f t="shared" si="271"/>
        <v>9.2000000000000012E-2</v>
      </c>
      <c r="H97" s="217">
        <f t="shared" si="176"/>
        <v>22.080000000000002</v>
      </c>
      <c r="I97" s="217">
        <f t="shared" si="308"/>
        <v>1.6560000000000001</v>
      </c>
      <c r="J97" s="541">
        <f t="shared" si="177"/>
        <v>23.870702661997608</v>
      </c>
      <c r="K97" s="443">
        <f t="shared" si="178"/>
        <v>19.981280000000002</v>
      </c>
      <c r="L97" s="172">
        <f t="shared" si="179"/>
        <v>43.85198266199761</v>
      </c>
      <c r="M97" s="443"/>
      <c r="N97" s="217">
        <f t="shared" si="180"/>
        <v>0.45565282997605255</v>
      </c>
      <c r="O97" s="172">
        <f t="shared" si="272"/>
        <v>33.726366578158455</v>
      </c>
      <c r="P97" s="172">
        <f t="shared" si="181"/>
        <v>2.7191883053640251</v>
      </c>
      <c r="Q97" s="217">
        <f t="shared" si="182"/>
        <v>8.4315916445396137</v>
      </c>
      <c r="R97" s="217">
        <f t="shared" si="183"/>
        <v>1.8736870321199142</v>
      </c>
      <c r="S97" s="443">
        <f t="shared" si="184"/>
        <v>4</v>
      </c>
      <c r="T97" s="217">
        <f t="shared" si="185"/>
        <v>4.3645377470138831</v>
      </c>
      <c r="U97" s="217">
        <f t="shared" si="186"/>
        <v>2.1940892861753603</v>
      </c>
      <c r="V97" s="217">
        <f t="shared" si="187"/>
        <v>2.6211760690089223</v>
      </c>
      <c r="W97" s="197">
        <f t="shared" si="188"/>
        <v>350</v>
      </c>
      <c r="X97" s="443">
        <f t="shared" si="273"/>
        <v>199.3912443668209</v>
      </c>
      <c r="Z97" s="217">
        <f t="shared" si="189"/>
        <v>2.589703147965738</v>
      </c>
      <c r="AA97" s="173">
        <f t="shared" si="190"/>
        <v>1.5552776286398498</v>
      </c>
      <c r="AB97" s="173">
        <f t="shared" si="191"/>
        <v>2.819395159594515</v>
      </c>
      <c r="AC97" s="173"/>
      <c r="AD97" s="173">
        <f t="shared" si="192"/>
        <v>0.80074950153343527</v>
      </c>
      <c r="AE97" s="545">
        <f t="shared" si="193"/>
        <v>2585.0781000000002</v>
      </c>
      <c r="AF97" s="528">
        <f t="shared" si="194"/>
        <v>0.74736620143120636</v>
      </c>
      <c r="AH97" s="173">
        <f t="shared" si="195"/>
        <v>3.3619722103041161</v>
      </c>
      <c r="AI97" s="173">
        <f t="shared" si="196"/>
        <v>4.3645377470138831</v>
      </c>
      <c r="AJ97" s="173">
        <f t="shared" si="197"/>
        <v>3.445336602726333</v>
      </c>
      <c r="AL97" s="545">
        <f t="shared" si="198"/>
        <v>5520.0000000000009</v>
      </c>
      <c r="AM97" s="460">
        <f t="shared" si="199"/>
        <v>199.3912443668209</v>
      </c>
      <c r="AO97">
        <f t="shared" si="274"/>
        <v>5520.0000000000009</v>
      </c>
      <c r="AP97">
        <f t="shared" si="200"/>
        <v>199.3912443668209</v>
      </c>
      <c r="AR97" s="5">
        <f t="shared" si="275"/>
        <v>5.0152653551842814</v>
      </c>
      <c r="AS97" s="5">
        <f t="shared" si="201"/>
        <v>2.1940892861753603</v>
      </c>
      <c r="AT97" s="5">
        <f t="shared" si="276"/>
        <v>2.8211760690089212</v>
      </c>
      <c r="AU97" s="173">
        <f t="shared" si="277"/>
        <v>0.43748219302241492</v>
      </c>
      <c r="AW97" s="5">
        <f t="shared" si="202"/>
        <v>302.78432149219975</v>
      </c>
      <c r="AX97" s="5">
        <f t="shared" si="203"/>
        <v>1.121423412934073</v>
      </c>
      <c r="AY97" s="5">
        <f t="shared" si="204"/>
        <v>2.1746171616642354</v>
      </c>
      <c r="AZ97" s="5"/>
      <c r="BA97" s="173">
        <f t="shared" si="278"/>
        <v>1.6667014634691273</v>
      </c>
      <c r="BB97" s="173">
        <f t="shared" si="205"/>
        <v>7.5597207850091506</v>
      </c>
      <c r="BC97" s="173">
        <f t="shared" si="206"/>
        <v>0.14404332847112031</v>
      </c>
      <c r="BD97" s="173"/>
      <c r="BE97" s="528">
        <f t="shared" si="207"/>
        <v>3.3890303973627592E-2</v>
      </c>
      <c r="BF97" s="528">
        <f t="shared" si="208"/>
        <v>0.71554152692480377</v>
      </c>
      <c r="BG97" s="528">
        <f t="shared" si="209"/>
        <v>0.11899022769215219</v>
      </c>
      <c r="BH97" s="528">
        <f t="shared" si="210"/>
        <v>3.8342864179665724E-2</v>
      </c>
      <c r="BI97">
        <f t="shared" si="211"/>
        <v>1.0741816197898924E-2</v>
      </c>
      <c r="BJ97" s="460">
        <f t="shared" si="279"/>
        <v>129.7320438900511</v>
      </c>
      <c r="BK97">
        <f t="shared" si="212"/>
        <v>0.80339427799796137</v>
      </c>
      <c r="BL97" s="460">
        <f t="shared" si="280"/>
        <v>803.39427799796135</v>
      </c>
      <c r="BM97" s="173">
        <f t="shared" si="213"/>
        <v>3.4292999999999996</v>
      </c>
      <c r="BN97" s="173">
        <f t="shared" si="214"/>
        <v>4.0825E-2</v>
      </c>
      <c r="BO97" s="528"/>
      <c r="BQ97" s="460">
        <f t="shared" si="281"/>
        <v>3470.1249999999995</v>
      </c>
      <c r="BR97" s="528">
        <f t="shared" si="215"/>
        <v>8.3336813049903924E-2</v>
      </c>
      <c r="BS97" s="528">
        <f t="shared" si="216"/>
        <v>1.7144813504189811</v>
      </c>
      <c r="BT97" s="528">
        <f t="shared" si="217"/>
        <v>1.0374240238519528E-4</v>
      </c>
      <c r="BU97" s="528">
        <f t="shared" si="218"/>
        <v>1.117071182611203</v>
      </c>
      <c r="BV97" s="528">
        <f t="shared" si="219"/>
        <v>3.9086968863172222</v>
      </c>
      <c r="BW97" s="625">
        <f t="shared" si="220"/>
        <v>9.4956041186424298E-2</v>
      </c>
      <c r="BX97" s="460">
        <f t="shared" si="282"/>
        <v>4003.652927503646</v>
      </c>
      <c r="BY97" s="173">
        <f t="shared" si="283"/>
        <v>8.277172205501607</v>
      </c>
      <c r="BZ97" s="5">
        <f t="shared" si="284"/>
        <v>23.736000000000001</v>
      </c>
      <c r="CA97" s="173">
        <f t="shared" si="285"/>
        <v>0.7414447980235106</v>
      </c>
      <c r="CB97" s="5">
        <f t="shared" si="286"/>
        <v>74.144479802351057</v>
      </c>
      <c r="CC97">
        <f t="shared" si="287"/>
        <v>92</v>
      </c>
      <c r="CE97" s="562">
        <f t="shared" si="221"/>
        <v>-50</v>
      </c>
      <c r="CF97">
        <f t="shared" si="222"/>
        <v>-50</v>
      </c>
      <c r="CG97" s="173">
        <f t="shared" si="223"/>
        <v>0.56074766355140193</v>
      </c>
      <c r="CH97" s="173">
        <f t="shared" si="224"/>
        <v>0.15015627428312001</v>
      </c>
      <c r="CI97" s="170">
        <v>92</v>
      </c>
      <c r="CJ97" s="217">
        <f t="shared" si="309"/>
        <v>5.5200000000000005</v>
      </c>
      <c r="CK97" s="217">
        <f t="shared" si="288"/>
        <v>9.2000000000000012E-2</v>
      </c>
      <c r="CL97" s="217">
        <f t="shared" si="225"/>
        <v>22.080000000000002</v>
      </c>
      <c r="CM97" s="217">
        <f t="shared" si="310"/>
        <v>1.6560000000000001</v>
      </c>
      <c r="CN97" s="541">
        <f t="shared" si="289"/>
        <v>24</v>
      </c>
      <c r="CO97" s="443">
        <f t="shared" si="226"/>
        <v>18.8</v>
      </c>
      <c r="CP97" s="443">
        <f t="shared" si="227"/>
        <v>42.8</v>
      </c>
      <c r="CQ97" s="443"/>
      <c r="CR97" s="217">
        <f t="shared" si="228"/>
        <v>0.43925233644859818</v>
      </c>
      <c r="CS97" s="172">
        <f t="shared" si="290"/>
        <v>32.688545968267775</v>
      </c>
      <c r="CT97" s="172">
        <f t="shared" si="229"/>
        <v>2.6355140186915893</v>
      </c>
      <c r="CU97" s="217">
        <f t="shared" si="230"/>
        <v>8.1721364920669437</v>
      </c>
      <c r="CV97" s="217">
        <f t="shared" si="231"/>
        <v>1.816030331570432</v>
      </c>
      <c r="CW97" s="443">
        <f t="shared" si="232"/>
        <v>4</v>
      </c>
      <c r="CX97" s="217">
        <f t="shared" si="233"/>
        <v>4.5031063829787223</v>
      </c>
      <c r="CY97" s="217">
        <f t="shared" si="234"/>
        <v>2.2515531914893612</v>
      </c>
      <c r="CZ97" s="217">
        <f t="shared" si="235"/>
        <v>2.8743232231779081</v>
      </c>
      <c r="DA97" s="197">
        <f t="shared" si="236"/>
        <v>350</v>
      </c>
      <c r="DB97" s="443">
        <f t="shared" si="291"/>
        <v>195.08858956072041</v>
      </c>
      <c r="DD97" s="217">
        <f t="shared" si="237"/>
        <v>2.5100133511348464</v>
      </c>
      <c r="DE97" s="173">
        <f t="shared" si="238"/>
        <v>1.6021361815754336</v>
      </c>
      <c r="DF97" s="173">
        <f t="shared" si="239"/>
        <v>2.8149682442633783</v>
      </c>
      <c r="DG97" s="173"/>
      <c r="DH97" s="173">
        <f t="shared" si="240"/>
        <v>0.85106382978723416</v>
      </c>
      <c r="DI97" s="545">
        <f t="shared" si="241"/>
        <v>2432.2499999999995</v>
      </c>
      <c r="DJ97" s="528">
        <f t="shared" si="242"/>
        <v>0.79432624113475192</v>
      </c>
      <c r="DL97" s="173">
        <f t="shared" si="243"/>
        <v>3.3619722103041161</v>
      </c>
      <c r="DM97" s="173">
        <f t="shared" si="244"/>
        <v>4.5031063829787223</v>
      </c>
      <c r="DN97" s="173">
        <f t="shared" si="245"/>
        <v>3.5479800367743621</v>
      </c>
      <c r="DP97" s="545">
        <f t="shared" si="246"/>
        <v>5520.0000000000009</v>
      </c>
      <c r="DQ97" s="460">
        <f t="shared" si="247"/>
        <v>195.08858956072041</v>
      </c>
      <c r="DS97">
        <f t="shared" si="311"/>
        <v>5520.0000000000009</v>
      </c>
      <c r="DT97">
        <f t="shared" si="312"/>
        <v>195.08858956072041</v>
      </c>
      <c r="DV97" s="5">
        <f t="shared" si="293"/>
        <v>5.1258764146672693</v>
      </c>
      <c r="DW97" s="5">
        <f t="shared" si="249"/>
        <v>2.2515531914893612</v>
      </c>
      <c r="DX97" s="5">
        <f t="shared" si="294"/>
        <v>2.8743232231779081</v>
      </c>
      <c r="DY97" s="173">
        <f t="shared" si="295"/>
        <v>0.43925233644859812</v>
      </c>
      <c r="EA97" s="5">
        <f t="shared" si="250"/>
        <v>310.71434042553187</v>
      </c>
      <c r="EB97" s="5">
        <f t="shared" si="251"/>
        <v>1.1507938534278959</v>
      </c>
      <c r="EC97" s="5">
        <f t="shared" si="252"/>
        <v>2.2036478044363963</v>
      </c>
      <c r="ED97" s="5"/>
      <c r="EE97" s="173">
        <f t="shared" si="296"/>
        <v>1.7230926097699943</v>
      </c>
      <c r="EF97" s="173">
        <f t="shared" si="253"/>
        <v>7.7874506469119673</v>
      </c>
      <c r="EG97" s="173">
        <f t="shared" si="254"/>
        <v>0.14838250556953883</v>
      </c>
      <c r="EH97" s="173"/>
      <c r="EI97" s="528">
        <f t="shared" si="255"/>
        <v>3.6222387330496431E-2</v>
      </c>
      <c r="EJ97" s="528">
        <f t="shared" si="256"/>
        <v>0.752</v>
      </c>
      <c r="EK97" s="528">
        <f t="shared" si="257"/>
        <v>2.4386073695090049E-2</v>
      </c>
      <c r="EL97" s="528">
        <f t="shared" si="258"/>
        <v>3.5737108190091002E-2</v>
      </c>
      <c r="EM97">
        <f t="shared" si="259"/>
        <v>1.0800000000000001E-2</v>
      </c>
      <c r="EN97" s="460">
        <f t="shared" si="297"/>
        <v>35.186073695090052</v>
      </c>
      <c r="EO97">
        <f t="shared" si="260"/>
        <v>0.87646889003373218</v>
      </c>
      <c r="EP97" s="460">
        <f t="shared" si="298"/>
        <v>876.46889003373224</v>
      </c>
      <c r="EQ97" s="173">
        <f t="shared" si="261"/>
        <v>3.4292999999999996</v>
      </c>
      <c r="ER97" s="173">
        <f t="shared" si="262"/>
        <v>4.0825E-2</v>
      </c>
      <c r="ES97" s="528"/>
      <c r="EU97" s="460">
        <f t="shared" si="299"/>
        <v>3470.1249999999995</v>
      </c>
      <c r="EV97" s="528">
        <f t="shared" si="263"/>
        <v>8.9071444255319085E-2</v>
      </c>
      <c r="EW97" s="528">
        <f t="shared" si="300"/>
        <v>1.8193316273426885</v>
      </c>
      <c r="EX97" s="528">
        <f t="shared" si="264"/>
        <v>1.1008683979547112E-4</v>
      </c>
      <c r="EY97" s="528">
        <f t="shared" si="265"/>
        <v>1.1437475956681542</v>
      </c>
      <c r="EZ97" s="528">
        <f t="shared" si="266"/>
        <v>4.1428365590232792</v>
      </c>
      <c r="FA97" s="625">
        <f t="shared" si="267"/>
        <v>9.8899999999999974E-2</v>
      </c>
      <c r="FB97" s="460">
        <f t="shared" si="301"/>
        <v>4241.7365590232785</v>
      </c>
      <c r="FC97" s="173">
        <f t="shared" si="302"/>
        <v>8.5883304490570112</v>
      </c>
      <c r="FD97" s="5">
        <f t="shared" si="303"/>
        <v>23.736000000000001</v>
      </c>
      <c r="FE97" s="173">
        <f t="shared" si="304"/>
        <v>0.73430755317292096</v>
      </c>
      <c r="FF97" s="5">
        <f t="shared" si="305"/>
        <v>73.430755317292096</v>
      </c>
      <c r="FG97">
        <f t="shared" si="306"/>
        <v>92</v>
      </c>
      <c r="FI97" s="562">
        <f t="shared" si="268"/>
        <v>-50</v>
      </c>
      <c r="FJ97">
        <f t="shared" si="269"/>
        <v>-50</v>
      </c>
      <c r="FL97">
        <f t="shared" si="270"/>
        <v>0.56074766355140193</v>
      </c>
    </row>
    <row r="98" spans="5:169">
      <c r="E98" s="170">
        <v>93</v>
      </c>
      <c r="F98" s="217">
        <f t="shared" si="307"/>
        <v>5.58</v>
      </c>
      <c r="G98" s="217">
        <f t="shared" si="271"/>
        <v>9.3000000000000013E-2</v>
      </c>
      <c r="H98" s="217">
        <f t="shared" si="176"/>
        <v>22.32</v>
      </c>
      <c r="I98" s="217">
        <f t="shared" si="308"/>
        <v>1.6740000000000002</v>
      </c>
      <c r="J98" s="541">
        <f t="shared" si="177"/>
        <v>23.869297256149753</v>
      </c>
      <c r="K98" s="443">
        <f t="shared" si="178"/>
        <v>19.994120000000002</v>
      </c>
      <c r="L98" s="172">
        <f t="shared" si="179"/>
        <v>43.863417256149759</v>
      </c>
      <c r="M98" s="443"/>
      <c r="N98" s="217">
        <f t="shared" si="180"/>
        <v>0.45582677435367347</v>
      </c>
      <c r="O98" s="172">
        <f t="shared" si="272"/>
        <v>33.737255114293738</v>
      </c>
      <c r="P98" s="172">
        <f t="shared" si="181"/>
        <v>2.7200661935899331</v>
      </c>
      <c r="Q98" s="217">
        <f t="shared" si="182"/>
        <v>8.4343137785734346</v>
      </c>
      <c r="R98" s="217">
        <f t="shared" si="183"/>
        <v>1.8742919507940965</v>
      </c>
      <c r="S98" s="443">
        <f t="shared" si="184"/>
        <v>4</v>
      </c>
      <c r="T98" s="217">
        <f t="shared" si="185"/>
        <v>4.4105544299884878</v>
      </c>
      <c r="U98" s="217">
        <f t="shared" si="186"/>
        <v>2.217352802300272</v>
      </c>
      <c r="V98" s="217">
        <f t="shared" si="187"/>
        <v>2.6471109086002209</v>
      </c>
      <c r="W98" s="197">
        <f t="shared" si="188"/>
        <v>350</v>
      </c>
      <c r="X98" s="443">
        <f t="shared" si="273"/>
        <v>197.45427296628685</v>
      </c>
      <c r="Z98" s="217">
        <f t="shared" si="189"/>
        <v>2.5905392319904119</v>
      </c>
      <c r="AA98" s="173">
        <f t="shared" si="190"/>
        <v>1.55478064470379</v>
      </c>
      <c r="AB98" s="173">
        <f t="shared" si="191"/>
        <v>2.8194041800711593</v>
      </c>
      <c r="AC98" s="173"/>
      <c r="AD98" s="173">
        <f t="shared" si="192"/>
        <v>0.80023526916913579</v>
      </c>
      <c r="AE98" s="545">
        <f t="shared" si="193"/>
        <v>2614.8560062499996</v>
      </c>
      <c r="AF98" s="528">
        <f t="shared" si="194"/>
        <v>0.74688625122452679</v>
      </c>
      <c r="AH98" s="173">
        <f t="shared" si="195"/>
        <v>3.3801944153723298</v>
      </c>
      <c r="AI98" s="173">
        <f t="shared" si="196"/>
        <v>4.4105544299884878</v>
      </c>
      <c r="AJ98" s="173">
        <f t="shared" si="197"/>
        <v>3.4794230345593737</v>
      </c>
      <c r="AL98" s="545">
        <f t="shared" si="198"/>
        <v>5580</v>
      </c>
      <c r="AM98" s="460">
        <f t="shared" si="199"/>
        <v>197.45427296628685</v>
      </c>
      <c r="AO98">
        <f t="shared" si="274"/>
        <v>5580</v>
      </c>
      <c r="AP98">
        <f t="shared" si="200"/>
        <v>197.45427296628685</v>
      </c>
      <c r="AR98" s="5">
        <f t="shared" si="275"/>
        <v>5.0644637109004931</v>
      </c>
      <c r="AS98" s="5">
        <f t="shared" si="201"/>
        <v>2.217352802300272</v>
      </c>
      <c r="AT98" s="5">
        <f t="shared" si="276"/>
        <v>2.8471109086002211</v>
      </c>
      <c r="AU98" s="173">
        <f t="shared" si="277"/>
        <v>0.43782578548795897</v>
      </c>
      <c r="AW98" s="5">
        <f t="shared" si="202"/>
        <v>309.32071592088795</v>
      </c>
      <c r="AX98" s="5">
        <f t="shared" si="203"/>
        <v>1.1456322811884738</v>
      </c>
      <c r="AY98" s="5">
        <f t="shared" si="204"/>
        <v>2.2185932971411759</v>
      </c>
      <c r="AZ98" s="5"/>
      <c r="BA98" s="173">
        <f t="shared" si="278"/>
        <v>1.6849352898717427</v>
      </c>
      <c r="BB98" s="173">
        <f t="shared" si="205"/>
        <v>7.6370917978771837</v>
      </c>
      <c r="BC98" s="173">
        <f t="shared" si="206"/>
        <v>0.14551755993252474</v>
      </c>
      <c r="BD98" s="173"/>
      <c r="BE98" s="528">
        <f t="shared" si="207"/>
        <v>3.4635884558873113E-2</v>
      </c>
      <c r="BF98" s="528">
        <f t="shared" si="208"/>
        <v>0.71624805829815852</v>
      </c>
      <c r="BG98" s="528">
        <f t="shared" si="209"/>
        <v>0.11782736839823088</v>
      </c>
      <c r="BH98" s="528">
        <f t="shared" si="210"/>
        <v>3.7990189745974068E-2</v>
      </c>
      <c r="BI98">
        <f t="shared" si="211"/>
        <v>1.0741183765267389E-2</v>
      </c>
      <c r="BJ98" s="460">
        <f t="shared" si="279"/>
        <v>128.56855216349828</v>
      </c>
      <c r="BK98">
        <f t="shared" si="212"/>
        <v>0.80484931776433333</v>
      </c>
      <c r="BL98" s="460">
        <f t="shared" si="280"/>
        <v>804.84931776433336</v>
      </c>
      <c r="BM98" s="173">
        <f t="shared" si="213"/>
        <v>3.4665749999999997</v>
      </c>
      <c r="BN98" s="173">
        <f t="shared" si="214"/>
        <v>4.1268750000000007E-2</v>
      </c>
      <c r="BO98" s="528"/>
      <c r="BQ98" s="460">
        <f t="shared" si="281"/>
        <v>3507.8437499999995</v>
      </c>
      <c r="BR98" s="528">
        <f t="shared" si="215"/>
        <v>8.5170207931655195E-2</v>
      </c>
      <c r="BS98" s="528">
        <f t="shared" si="216"/>
        <v>1.7497551338760886</v>
      </c>
      <c r="BT98" s="528">
        <f t="shared" si="217"/>
        <v>1.0587680124357965E-4</v>
      </c>
      <c r="BU98" s="528">
        <f t="shared" si="218"/>
        <v>1.1191010685950036</v>
      </c>
      <c r="BV98" s="528">
        <f t="shared" si="219"/>
        <v>3.9786096064261103</v>
      </c>
      <c r="BW98" s="625">
        <f t="shared" si="220"/>
        <v>9.6026901812039114E-2</v>
      </c>
      <c r="BX98" s="460">
        <f t="shared" si="282"/>
        <v>4074.6365082381494</v>
      </c>
      <c r="BY98" s="173">
        <f t="shared" si="283"/>
        <v>8.3873295760024824</v>
      </c>
      <c r="BZ98" s="5">
        <f t="shared" si="284"/>
        <v>23.994</v>
      </c>
      <c r="CA98" s="173">
        <f t="shared" si="285"/>
        <v>0.74098254500895289</v>
      </c>
      <c r="CB98" s="5">
        <f t="shared" si="286"/>
        <v>74.098254500895294</v>
      </c>
      <c r="CC98">
        <f t="shared" si="287"/>
        <v>93</v>
      </c>
      <c r="CE98" s="562">
        <f t="shared" si="221"/>
        <v>-50</v>
      </c>
      <c r="CF98">
        <f t="shared" si="222"/>
        <v>-50</v>
      </c>
      <c r="CG98" s="173">
        <f t="shared" si="223"/>
        <v>0.56074766355140182</v>
      </c>
      <c r="CH98" s="173">
        <f t="shared" si="224"/>
        <v>0.15015627428311998</v>
      </c>
      <c r="CI98" s="170">
        <v>93</v>
      </c>
      <c r="CJ98" s="217">
        <f t="shared" si="309"/>
        <v>5.58</v>
      </c>
      <c r="CK98" s="217">
        <f t="shared" si="288"/>
        <v>9.3000000000000013E-2</v>
      </c>
      <c r="CL98" s="217">
        <f t="shared" si="225"/>
        <v>22.32</v>
      </c>
      <c r="CM98" s="217">
        <f t="shared" si="310"/>
        <v>1.6740000000000002</v>
      </c>
      <c r="CN98" s="541">
        <f t="shared" si="289"/>
        <v>24</v>
      </c>
      <c r="CO98" s="443">
        <f t="shared" si="226"/>
        <v>18.8</v>
      </c>
      <c r="CP98" s="443">
        <f t="shared" si="227"/>
        <v>42.8</v>
      </c>
      <c r="CQ98" s="443"/>
      <c r="CR98" s="217">
        <f t="shared" si="228"/>
        <v>0.43925233644859818</v>
      </c>
      <c r="CS98" s="172">
        <f t="shared" si="290"/>
        <v>32.688545968267775</v>
      </c>
      <c r="CT98" s="172">
        <f t="shared" si="229"/>
        <v>2.6355140186915893</v>
      </c>
      <c r="CU98" s="217">
        <f t="shared" si="230"/>
        <v>8.1721364920669437</v>
      </c>
      <c r="CV98" s="217">
        <f t="shared" si="231"/>
        <v>1.816030331570432</v>
      </c>
      <c r="CW98" s="443">
        <f t="shared" si="232"/>
        <v>4</v>
      </c>
      <c r="CX98" s="217">
        <f t="shared" si="233"/>
        <v>4.5520531914893612</v>
      </c>
      <c r="CY98" s="217">
        <f t="shared" si="234"/>
        <v>2.2760265957446806</v>
      </c>
      <c r="CZ98" s="217">
        <f t="shared" si="235"/>
        <v>2.9055658669081024</v>
      </c>
      <c r="DA98" s="197">
        <f t="shared" si="236"/>
        <v>350</v>
      </c>
      <c r="DB98" s="443">
        <f t="shared" si="291"/>
        <v>192.99086279125029</v>
      </c>
      <c r="DD98" s="217">
        <f t="shared" si="237"/>
        <v>2.5100133511348464</v>
      </c>
      <c r="DE98" s="173">
        <f t="shared" si="238"/>
        <v>1.6021361815754336</v>
      </c>
      <c r="DF98" s="173">
        <f t="shared" si="239"/>
        <v>2.8149682442633783</v>
      </c>
      <c r="DG98" s="173"/>
      <c r="DH98" s="173">
        <f t="shared" si="240"/>
        <v>0.85106382978723416</v>
      </c>
      <c r="DI98" s="545">
        <f t="shared" si="241"/>
        <v>2458.6874999999995</v>
      </c>
      <c r="DJ98" s="528">
        <f t="shared" si="242"/>
        <v>0.79432624113475192</v>
      </c>
      <c r="DL98" s="173">
        <f t="shared" si="243"/>
        <v>3.3801944153723298</v>
      </c>
      <c r="DM98" s="173">
        <f t="shared" si="244"/>
        <v>4.5520531914893612</v>
      </c>
      <c r="DN98" s="173">
        <f t="shared" si="245"/>
        <v>3.5842369319674274</v>
      </c>
      <c r="DP98" s="545">
        <f t="shared" si="246"/>
        <v>5580</v>
      </c>
      <c r="DQ98" s="460">
        <f t="shared" si="247"/>
        <v>192.99086279125029</v>
      </c>
      <c r="DS98">
        <f t="shared" si="311"/>
        <v>5580</v>
      </c>
      <c r="DT98">
        <f t="shared" si="312"/>
        <v>192.99086279125029</v>
      </c>
      <c r="DV98" s="5">
        <f t="shared" si="293"/>
        <v>5.1815924626527829</v>
      </c>
      <c r="DW98" s="5">
        <f t="shared" si="249"/>
        <v>2.2760265957446806</v>
      </c>
      <c r="DX98" s="5">
        <f t="shared" si="294"/>
        <v>2.9055658669081024</v>
      </c>
      <c r="DY98" s="173">
        <f t="shared" si="295"/>
        <v>0.43925233644859818</v>
      </c>
      <c r="EA98" s="5">
        <f t="shared" si="250"/>
        <v>317.50571010638294</v>
      </c>
      <c r="EB98" s="5">
        <f t="shared" si="251"/>
        <v>1.1759470744680851</v>
      </c>
      <c r="EC98" s="5">
        <f t="shared" si="252"/>
        <v>2.2518135468537794</v>
      </c>
      <c r="ED98" s="5"/>
      <c r="EE98" s="173">
        <f t="shared" si="296"/>
        <v>1.7418218772674947</v>
      </c>
      <c r="EF98" s="173">
        <f t="shared" si="253"/>
        <v>7.8720968495957928</v>
      </c>
      <c r="EG98" s="173">
        <f t="shared" si="254"/>
        <v>0.14999535889094687</v>
      </c>
      <c r="EH98" s="173"/>
      <c r="EI98" s="528">
        <f t="shared" si="255"/>
        <v>3.7014110115957441E-2</v>
      </c>
      <c r="EJ98" s="528">
        <f t="shared" si="256"/>
        <v>0.752</v>
      </c>
      <c r="EK98" s="528">
        <f t="shared" si="257"/>
        <v>2.4123857848906288E-2</v>
      </c>
      <c r="EL98" s="528">
        <f t="shared" si="258"/>
        <v>3.5352838209552387E-2</v>
      </c>
      <c r="EM98">
        <f t="shared" si="259"/>
        <v>1.0800000000000001E-2</v>
      </c>
      <c r="EN98" s="460">
        <f t="shared" si="297"/>
        <v>34.923857848906287</v>
      </c>
      <c r="EO98">
        <f t="shared" si="260"/>
        <v>0.87699741577687307</v>
      </c>
      <c r="EP98" s="460">
        <f t="shared" si="298"/>
        <v>876.99741577687303</v>
      </c>
      <c r="EQ98" s="173">
        <f t="shared" si="261"/>
        <v>3.4665749999999997</v>
      </c>
      <c r="ER98" s="173">
        <f t="shared" si="262"/>
        <v>4.1268750000000007E-2</v>
      </c>
      <c r="ES98" s="528"/>
      <c r="EU98" s="460">
        <f t="shared" si="299"/>
        <v>3507.8437499999995</v>
      </c>
      <c r="EV98" s="528">
        <f t="shared" si="263"/>
        <v>9.1018303563829783E-2</v>
      </c>
      <c r="EW98" s="528">
        <f t="shared" si="300"/>
        <v>1.8590972642824801</v>
      </c>
      <c r="EX98" s="528">
        <f t="shared" si="264"/>
        <v>1.1249303844411976E-4</v>
      </c>
      <c r="EY98" s="528">
        <f t="shared" si="265"/>
        <v>1.1437475956681542</v>
      </c>
      <c r="EZ98" s="528">
        <f t="shared" si="266"/>
        <v>4.2205063907096863</v>
      </c>
      <c r="FA98" s="625">
        <f t="shared" si="267"/>
        <v>9.9975000000000022E-2</v>
      </c>
      <c r="FB98" s="460">
        <f t="shared" si="301"/>
        <v>4320.4813907096859</v>
      </c>
      <c r="FC98" s="173">
        <f t="shared" si="302"/>
        <v>8.7053225564865606</v>
      </c>
      <c r="FD98" s="5">
        <f t="shared" si="303"/>
        <v>23.994</v>
      </c>
      <c r="FE98" s="173">
        <f t="shared" si="304"/>
        <v>0.73377666948761633</v>
      </c>
      <c r="FF98" s="5">
        <f t="shared" si="305"/>
        <v>73.377666948761629</v>
      </c>
      <c r="FG98">
        <f t="shared" si="306"/>
        <v>93</v>
      </c>
      <c r="FI98" s="562">
        <f t="shared" si="268"/>
        <v>-50</v>
      </c>
      <c r="FJ98">
        <f t="shared" si="269"/>
        <v>-50</v>
      </c>
      <c r="FL98">
        <f t="shared" si="270"/>
        <v>0.56074766355140182</v>
      </c>
    </row>
    <row r="99" spans="5:169">
      <c r="E99" s="170">
        <v>94</v>
      </c>
      <c r="F99" s="217">
        <f t="shared" si="307"/>
        <v>5.64</v>
      </c>
      <c r="G99" s="217">
        <f t="shared" si="271"/>
        <v>9.4E-2</v>
      </c>
      <c r="H99" s="217">
        <f t="shared" si="176"/>
        <v>22.56</v>
      </c>
      <c r="I99" s="217">
        <f t="shared" si="308"/>
        <v>1.6919999999999999</v>
      </c>
      <c r="J99" s="541">
        <f t="shared" si="177"/>
        <v>23.867891850301902</v>
      </c>
      <c r="K99" s="443">
        <f t="shared" si="178"/>
        <v>20.006959999999999</v>
      </c>
      <c r="L99" s="172">
        <f t="shared" si="179"/>
        <v>43.874851850301901</v>
      </c>
      <c r="M99" s="443"/>
      <c r="N99" s="217">
        <f t="shared" si="180"/>
        <v>0.4560006280650799</v>
      </c>
      <c r="O99" s="172">
        <f t="shared" si="272"/>
        <v>33.748135424269975</v>
      </c>
      <c r="P99" s="172">
        <f t="shared" si="181"/>
        <v>2.7209434185817671</v>
      </c>
      <c r="Q99" s="217">
        <f t="shared" si="182"/>
        <v>8.4370338560674938</v>
      </c>
      <c r="R99" s="217">
        <f t="shared" si="183"/>
        <v>1.8748964124594432</v>
      </c>
      <c r="S99" s="443">
        <f t="shared" si="184"/>
        <v>4</v>
      </c>
      <c r="T99" s="217">
        <f t="shared" si="185"/>
        <v>4.4565425055109795</v>
      </c>
      <c r="U99" s="217">
        <f t="shared" si="186"/>
        <v>2.2406046751655326</v>
      </c>
      <c r="V99" s="217">
        <f t="shared" si="187"/>
        <v>2.6729953009418606</v>
      </c>
      <c r="W99" s="197">
        <f t="shared" si="188"/>
        <v>350</v>
      </c>
      <c r="X99" s="443">
        <f t="shared" si="273"/>
        <v>195.55694709644186</v>
      </c>
      <c r="Z99" s="217">
        <f t="shared" si="189"/>
        <v>2.5913746843635876</v>
      </c>
      <c r="AA99" s="173">
        <f t="shared" si="190"/>
        <v>1.5542839198140572</v>
      </c>
      <c r="AB99" s="173">
        <f t="shared" si="191"/>
        <v>2.8194124014836861</v>
      </c>
      <c r="AC99" s="173"/>
      <c r="AD99" s="173">
        <f t="shared" si="192"/>
        <v>0.79972169684949657</v>
      </c>
      <c r="AE99" s="545">
        <f t="shared" si="193"/>
        <v>2644.670024999999</v>
      </c>
      <c r="AF99" s="528">
        <f t="shared" si="194"/>
        <v>0.74640691705953011</v>
      </c>
      <c r="AH99" s="173">
        <f t="shared" si="195"/>
        <v>3.3983189121345614</v>
      </c>
      <c r="AI99" s="173">
        <f t="shared" si="196"/>
        <v>4.4565425055109795</v>
      </c>
      <c r="AJ99" s="173">
        <f t="shared" si="197"/>
        <v>3.5134882756871448</v>
      </c>
      <c r="AL99" s="545">
        <f t="shared" si="198"/>
        <v>5640</v>
      </c>
      <c r="AM99" s="460">
        <f t="shared" si="199"/>
        <v>195.55694709644186</v>
      </c>
      <c r="AO99">
        <f t="shared" si="274"/>
        <v>5640</v>
      </c>
      <c r="AP99">
        <f t="shared" si="200"/>
        <v>195.55694709644186</v>
      </c>
      <c r="AR99" s="5">
        <f t="shared" si="275"/>
        <v>5.1135999761073938</v>
      </c>
      <c r="AS99" s="5">
        <f t="shared" si="201"/>
        <v>2.2406046751655326</v>
      </c>
      <c r="AT99" s="5">
        <f t="shared" si="276"/>
        <v>2.8729953009418612</v>
      </c>
      <c r="AU99" s="173">
        <f t="shared" si="277"/>
        <v>0.4381658099253864</v>
      </c>
      <c r="AW99" s="5">
        <f t="shared" si="202"/>
        <v>315.92525919834009</v>
      </c>
      <c r="AX99" s="5">
        <f t="shared" si="203"/>
        <v>1.1700935525864449</v>
      </c>
      <c r="AY99" s="5">
        <f t="shared" si="204"/>
        <v>2.2629695155512355</v>
      </c>
      <c r="AZ99" s="5"/>
      <c r="BA99" s="173">
        <f t="shared" si="278"/>
        <v>1.703164785164704</v>
      </c>
      <c r="BB99" s="173">
        <f t="shared" si="205"/>
        <v>7.7143883739933408</v>
      </c>
      <c r="BC99" s="173">
        <f t="shared" si="206"/>
        <v>0.14699037307203527</v>
      </c>
      <c r="BD99" s="173"/>
      <c r="BE99" s="528">
        <f t="shared" si="207"/>
        <v>3.5389397482186613E-2</v>
      </c>
      <c r="BF99" s="528">
        <f t="shared" si="208"/>
        <v>0.71694895636436051</v>
      </c>
      <c r="BG99" s="528">
        <f t="shared" si="209"/>
        <v>0.11668830159682712</v>
      </c>
      <c r="BH99" s="528">
        <f t="shared" si="210"/>
        <v>3.7644763647533157E-2</v>
      </c>
      <c r="BI99">
        <f t="shared" si="211"/>
        <v>1.0740551332635856E-2</v>
      </c>
      <c r="BJ99" s="460">
        <f t="shared" si="279"/>
        <v>127.42885292946299</v>
      </c>
      <c r="BK99">
        <f t="shared" si="212"/>
        <v>0.80631819818883799</v>
      </c>
      <c r="BL99" s="460">
        <f t="shared" si="280"/>
        <v>806.31819818883798</v>
      </c>
      <c r="BM99" s="173">
        <f t="shared" si="213"/>
        <v>3.5038499999999995</v>
      </c>
      <c r="BN99" s="173">
        <f t="shared" si="214"/>
        <v>4.17125E-2</v>
      </c>
      <c r="BO99" s="528"/>
      <c r="BQ99" s="460">
        <f t="shared" si="281"/>
        <v>3545.5624999999995</v>
      </c>
      <c r="BR99" s="528">
        <f t="shared" si="215"/>
        <v>8.702310856275397E-2</v>
      </c>
      <c r="BS99" s="528">
        <f t="shared" si="216"/>
        <v>1.7853536395441085</v>
      </c>
      <c r="BT99" s="528">
        <f t="shared" si="217"/>
        <v>1.0803084887928057E-4</v>
      </c>
      <c r="BU99" s="528">
        <f t="shared" si="218"/>
        <v>1.1211100838861403</v>
      </c>
      <c r="BV99" s="528">
        <f t="shared" si="219"/>
        <v>4.0496192409275045</v>
      </c>
      <c r="BW99" s="625">
        <f t="shared" si="220"/>
        <v>9.7097794099180887E-2</v>
      </c>
      <c r="BX99" s="460">
        <f t="shared" si="282"/>
        <v>4146.7170350266852</v>
      </c>
      <c r="BY99" s="173">
        <f t="shared" si="283"/>
        <v>8.4985977332155223</v>
      </c>
      <c r="BZ99" s="5">
        <f t="shared" si="284"/>
        <v>24.251999999999999</v>
      </c>
      <c r="CA99" s="173">
        <f t="shared" si="285"/>
        <v>0.7405055687091695</v>
      </c>
      <c r="CB99" s="5">
        <f t="shared" si="286"/>
        <v>74.050556870916949</v>
      </c>
      <c r="CC99">
        <f t="shared" si="287"/>
        <v>94</v>
      </c>
      <c r="CE99" s="562">
        <f t="shared" si="221"/>
        <v>-50</v>
      </c>
      <c r="CF99">
        <f t="shared" si="222"/>
        <v>-50</v>
      </c>
      <c r="CG99" s="173">
        <f t="shared" si="223"/>
        <v>0.56074766355140182</v>
      </c>
      <c r="CH99" s="173">
        <f t="shared" si="224"/>
        <v>0.15015627428311998</v>
      </c>
      <c r="CI99" s="170">
        <v>94</v>
      </c>
      <c r="CJ99" s="217">
        <f t="shared" si="309"/>
        <v>5.64</v>
      </c>
      <c r="CK99" s="217">
        <f t="shared" si="288"/>
        <v>9.4E-2</v>
      </c>
      <c r="CL99" s="217">
        <f t="shared" si="225"/>
        <v>22.56</v>
      </c>
      <c r="CM99" s="217">
        <f t="shared" si="310"/>
        <v>1.6919999999999999</v>
      </c>
      <c r="CN99" s="541">
        <f t="shared" si="289"/>
        <v>24</v>
      </c>
      <c r="CO99" s="443">
        <f t="shared" si="226"/>
        <v>18.8</v>
      </c>
      <c r="CP99" s="443">
        <f t="shared" si="227"/>
        <v>42.8</v>
      </c>
      <c r="CQ99" s="443"/>
      <c r="CR99" s="217">
        <f t="shared" si="228"/>
        <v>0.43925233644859818</v>
      </c>
      <c r="CS99" s="172">
        <f t="shared" si="290"/>
        <v>32.688545968267775</v>
      </c>
      <c r="CT99" s="172">
        <f t="shared" si="229"/>
        <v>2.6355140186915893</v>
      </c>
      <c r="CU99" s="217">
        <f t="shared" si="230"/>
        <v>8.1721364920669437</v>
      </c>
      <c r="CV99" s="217">
        <f t="shared" si="231"/>
        <v>1.816030331570432</v>
      </c>
      <c r="CW99" s="443">
        <f t="shared" si="232"/>
        <v>4</v>
      </c>
      <c r="CX99" s="217">
        <f t="shared" si="233"/>
        <v>4.6009999999999991</v>
      </c>
      <c r="CY99" s="217">
        <f t="shared" si="234"/>
        <v>2.3005</v>
      </c>
      <c r="CZ99" s="217">
        <f t="shared" si="235"/>
        <v>2.9368085106382975</v>
      </c>
      <c r="DA99" s="197">
        <f t="shared" si="236"/>
        <v>350</v>
      </c>
      <c r="DB99" s="443">
        <f t="shared" si="291"/>
        <v>190.93776850623698</v>
      </c>
      <c r="DD99" s="217">
        <f t="shared" si="237"/>
        <v>2.5100133511348464</v>
      </c>
      <c r="DE99" s="173">
        <f t="shared" si="238"/>
        <v>1.6021361815754336</v>
      </c>
      <c r="DF99" s="173">
        <f t="shared" si="239"/>
        <v>2.8149682442633783</v>
      </c>
      <c r="DG99" s="173"/>
      <c r="DH99" s="173">
        <f t="shared" si="240"/>
        <v>0.85106382978723416</v>
      </c>
      <c r="DI99" s="545">
        <f t="shared" si="241"/>
        <v>2485.1249999999991</v>
      </c>
      <c r="DJ99" s="528">
        <f t="shared" si="242"/>
        <v>0.79432624113475192</v>
      </c>
      <c r="DL99" s="173">
        <f t="shared" si="243"/>
        <v>3.3983189121345614</v>
      </c>
      <c r="DM99" s="173">
        <f t="shared" si="244"/>
        <v>4.6009999999999991</v>
      </c>
      <c r="DN99" s="173">
        <f t="shared" si="245"/>
        <v>3.6204938271604927</v>
      </c>
      <c r="DP99" s="545">
        <f t="shared" si="246"/>
        <v>5640</v>
      </c>
      <c r="DQ99" s="460">
        <f t="shared" si="247"/>
        <v>190.93776850623698</v>
      </c>
      <c r="DS99">
        <f t="shared" si="311"/>
        <v>5640</v>
      </c>
      <c r="DT99">
        <f t="shared" si="312"/>
        <v>190.93776850623698</v>
      </c>
      <c r="DV99" s="5">
        <f t="shared" si="293"/>
        <v>5.2373085106382975</v>
      </c>
      <c r="DW99" s="5">
        <f t="shared" si="249"/>
        <v>2.3005</v>
      </c>
      <c r="DX99" s="5">
        <f t="shared" si="294"/>
        <v>2.9368085106382975</v>
      </c>
      <c r="DY99" s="173">
        <f t="shared" si="295"/>
        <v>0.43925233644859818</v>
      </c>
      <c r="EA99" s="5">
        <f t="shared" si="250"/>
        <v>324.37049999999999</v>
      </c>
      <c r="EB99" s="5">
        <f t="shared" si="251"/>
        <v>1.2013722222222223</v>
      </c>
      <c r="EC99" s="5">
        <f t="shared" si="252"/>
        <v>2.3004999999999995</v>
      </c>
      <c r="ED99" s="5"/>
      <c r="EE99" s="173">
        <f t="shared" si="296"/>
        <v>1.7605511447649946</v>
      </c>
      <c r="EF99" s="173">
        <f t="shared" si="253"/>
        <v>7.9567430522796174</v>
      </c>
      <c r="EG99" s="173">
        <f t="shared" si="254"/>
        <v>0.1516082122123549</v>
      </c>
      <c r="EH99" s="173"/>
      <c r="EI99" s="528">
        <f t="shared" si="255"/>
        <v>3.7814392066666661E-2</v>
      </c>
      <c r="EJ99" s="528">
        <f t="shared" si="256"/>
        <v>0.75199999999999989</v>
      </c>
      <c r="EK99" s="528">
        <f t="shared" si="257"/>
        <v>2.3867221063279622E-2</v>
      </c>
      <c r="EL99" s="528">
        <f t="shared" si="258"/>
        <v>3.4976744186046509E-2</v>
      </c>
      <c r="EM99">
        <f t="shared" si="259"/>
        <v>1.0800000000000001E-2</v>
      </c>
      <c r="EN99" s="460">
        <f t="shared" si="297"/>
        <v>34.667221063279619</v>
      </c>
      <c r="EO99">
        <f t="shared" si="260"/>
        <v>0.87755279134794062</v>
      </c>
      <c r="EP99" s="460">
        <f t="shared" si="298"/>
        <v>877.55279134794057</v>
      </c>
      <c r="EQ99" s="173">
        <f t="shared" si="261"/>
        <v>3.5038499999999995</v>
      </c>
      <c r="ER99" s="173">
        <f t="shared" si="262"/>
        <v>4.17125E-2</v>
      </c>
      <c r="ES99" s="528"/>
      <c r="EU99" s="460">
        <f t="shared" si="299"/>
        <v>3545.5624999999995</v>
      </c>
      <c r="EV99" s="528">
        <f t="shared" si="263"/>
        <v>9.2986209999999986E-2</v>
      </c>
      <c r="EW99" s="528">
        <f t="shared" si="300"/>
        <v>1.8992927999999987</v>
      </c>
      <c r="EX99" s="528">
        <f t="shared" si="264"/>
        <v>1.1492525005113219E-4</v>
      </c>
      <c r="EY99" s="528">
        <f t="shared" si="265"/>
        <v>1.1437475956681513</v>
      </c>
      <c r="EZ99" s="528">
        <f t="shared" si="266"/>
        <v>4.2996426268577279</v>
      </c>
      <c r="FA99" s="625">
        <f t="shared" si="267"/>
        <v>0.10104999999999997</v>
      </c>
      <c r="FB99" s="460">
        <f t="shared" si="301"/>
        <v>4400.6926268577281</v>
      </c>
      <c r="FC99" s="173">
        <f t="shared" si="302"/>
        <v>8.8238079182056683</v>
      </c>
      <c r="FD99" s="5">
        <f t="shared" si="303"/>
        <v>24.251999999999999</v>
      </c>
      <c r="FE99" s="173">
        <f t="shared" si="304"/>
        <v>0.73322472001208938</v>
      </c>
      <c r="FF99" s="5">
        <f t="shared" si="305"/>
        <v>73.322472001208936</v>
      </c>
      <c r="FG99">
        <f t="shared" si="306"/>
        <v>94</v>
      </c>
      <c r="FI99" s="562">
        <f t="shared" si="268"/>
        <v>-50</v>
      </c>
      <c r="FJ99">
        <f t="shared" si="269"/>
        <v>-50</v>
      </c>
      <c r="FL99">
        <f t="shared" si="270"/>
        <v>0.56074766355140182</v>
      </c>
    </row>
    <row r="100" spans="5:169">
      <c r="E100" s="170">
        <v>95</v>
      </c>
      <c r="F100" s="217">
        <f t="shared" si="307"/>
        <v>5.6999999999999993</v>
      </c>
      <c r="G100" s="217">
        <f t="shared" si="271"/>
        <v>9.5000000000000001E-2</v>
      </c>
      <c r="H100" s="217">
        <f t="shared" si="176"/>
        <v>22.799999999999997</v>
      </c>
      <c r="I100" s="217">
        <f t="shared" si="308"/>
        <v>1.71</v>
      </c>
      <c r="J100" s="541">
        <f t="shared" si="177"/>
        <v>23.866486444454051</v>
      </c>
      <c r="K100" s="443">
        <f t="shared" si="178"/>
        <v>20.0198</v>
      </c>
      <c r="L100" s="172">
        <f t="shared" si="179"/>
        <v>43.886286444454051</v>
      </c>
      <c r="M100" s="443"/>
      <c r="N100" s="217">
        <f t="shared" si="180"/>
        <v>0.45617439118114128</v>
      </c>
      <c r="O100" s="172">
        <f t="shared" si="272"/>
        <v>33.759007514517172</v>
      </c>
      <c r="P100" s="172">
        <f t="shared" si="181"/>
        <v>2.7218199808579469</v>
      </c>
      <c r="Q100" s="217">
        <f t="shared" si="182"/>
        <v>8.4397518786292931</v>
      </c>
      <c r="R100" s="217">
        <f t="shared" si="183"/>
        <v>1.8755004174731762</v>
      </c>
      <c r="S100" s="443">
        <f t="shared" si="184"/>
        <v>4</v>
      </c>
      <c r="T100" s="217">
        <f t="shared" si="185"/>
        <v>4.5025020340019299</v>
      </c>
      <c r="U100" s="217">
        <f t="shared" si="186"/>
        <v>2.2638449330935484</v>
      </c>
      <c r="V100" s="217">
        <f t="shared" si="187"/>
        <v>2.6988293793156353</v>
      </c>
      <c r="W100" s="197">
        <f t="shared" si="188"/>
        <v>350</v>
      </c>
      <c r="X100" s="443">
        <f t="shared" si="273"/>
        <v>193.69806024686955</v>
      </c>
      <c r="Z100" s="217">
        <f t="shared" si="189"/>
        <v>2.5922095055789969</v>
      </c>
      <c r="AA100" s="173">
        <f t="shared" si="190"/>
        <v>1.5537874537681675</v>
      </c>
      <c r="AB100" s="173">
        <f t="shared" si="191"/>
        <v>2.8194198251150611</v>
      </c>
      <c r="AC100" s="173"/>
      <c r="AD100" s="173">
        <f t="shared" si="192"/>
        <v>0.79920878330452871</v>
      </c>
      <c r="AE100" s="545">
        <f t="shared" si="193"/>
        <v>2674.5201562499988</v>
      </c>
      <c r="AF100" s="528">
        <f t="shared" si="194"/>
        <v>0.74592819775089358</v>
      </c>
      <c r="AH100" s="173">
        <f t="shared" si="195"/>
        <v>3.4163472556853134</v>
      </c>
      <c r="AI100" s="173">
        <f t="shared" si="196"/>
        <v>4.5025020340019299</v>
      </c>
      <c r="AJ100" s="173">
        <f t="shared" si="197"/>
        <v>3.5475323708656266</v>
      </c>
      <c r="AL100" s="545">
        <f t="shared" si="198"/>
        <v>5699.9999999999991</v>
      </c>
      <c r="AM100" s="460">
        <f t="shared" si="199"/>
        <v>193.69806024686955</v>
      </c>
      <c r="AO100">
        <f t="shared" si="274"/>
        <v>5699.9999999999991</v>
      </c>
      <c r="AP100">
        <f t="shared" si="200"/>
        <v>193.69806024686955</v>
      </c>
      <c r="AR100" s="5">
        <f t="shared" si="275"/>
        <v>5.1626743124091847</v>
      </c>
      <c r="AS100" s="5">
        <f t="shared" si="201"/>
        <v>2.2638449330935484</v>
      </c>
      <c r="AT100" s="5">
        <f t="shared" si="276"/>
        <v>2.8988293793156363</v>
      </c>
      <c r="AU100" s="173">
        <f t="shared" si="277"/>
        <v>0.43850237223992444</v>
      </c>
      <c r="AW100" s="5">
        <f t="shared" si="202"/>
        <v>322.59790296583066</v>
      </c>
      <c r="AX100" s="5">
        <f t="shared" si="203"/>
        <v>1.1948070480215949</v>
      </c>
      <c r="AY100" s="5">
        <f t="shared" si="204"/>
        <v>2.3077447254409629</v>
      </c>
      <c r="AZ100" s="5"/>
      <c r="BA100" s="173">
        <f t="shared" si="278"/>
        <v>1.7213899532613295</v>
      </c>
      <c r="BB100" s="173">
        <f t="shared" si="205"/>
        <v>7.7916106859020768</v>
      </c>
      <c r="BC100" s="173">
        <f t="shared" si="206"/>
        <v>0.14846177117732334</v>
      </c>
      <c r="BD100" s="173"/>
      <c r="BE100" s="528">
        <f t="shared" si="207"/>
        <v>3.6150837128506308E-2</v>
      </c>
      <c r="BF100" s="528">
        <f t="shared" si="208"/>
        <v>0.71764439086102139</v>
      </c>
      <c r="BG100" s="528">
        <f t="shared" si="209"/>
        <v>0.1155723032299739</v>
      </c>
      <c r="BH100" s="528">
        <f t="shared" si="210"/>
        <v>3.7306365293182556E-2</v>
      </c>
      <c r="BI100">
        <f t="shared" si="211"/>
        <v>1.0739918900004322E-2</v>
      </c>
      <c r="BJ100" s="460">
        <f t="shared" si="279"/>
        <v>126.31222212997822</v>
      </c>
      <c r="BK100">
        <f t="shared" si="212"/>
        <v>0.80780087557290692</v>
      </c>
      <c r="BL100" s="460">
        <f t="shared" si="280"/>
        <v>807.80087557290688</v>
      </c>
      <c r="BM100" s="173">
        <f t="shared" si="213"/>
        <v>3.5411249999999992</v>
      </c>
      <c r="BN100" s="173">
        <f t="shared" si="214"/>
        <v>4.2156249999999999E-2</v>
      </c>
      <c r="BO100" s="528"/>
      <c r="BQ100" s="460">
        <f t="shared" si="281"/>
        <v>3583.2812499999991</v>
      </c>
      <c r="BR100" s="528">
        <f t="shared" si="215"/>
        <v>8.8895501135671254E-2</v>
      </c>
      <c r="BS100" s="528">
        <f t="shared" si="216"/>
        <v>1.8212759124199027</v>
      </c>
      <c r="BT100" s="528">
        <f t="shared" si="217"/>
        <v>1.1020448750553958E-4</v>
      </c>
      <c r="BU100" s="528">
        <f t="shared" si="218"/>
        <v>1.1230988369314834</v>
      </c>
      <c r="BV100" s="528">
        <f t="shared" si="219"/>
        <v>4.1217432765426727</v>
      </c>
      <c r="BW100" s="625">
        <f t="shared" si="220"/>
        <v>9.8168717119457682E-2</v>
      </c>
      <c r="BX100" s="460">
        <f t="shared" si="282"/>
        <v>4219.91199366213</v>
      </c>
      <c r="BY100" s="173">
        <f t="shared" si="283"/>
        <v>8.6109941192350359</v>
      </c>
      <c r="BZ100" s="5">
        <f t="shared" si="284"/>
        <v>24.509999999999998</v>
      </c>
      <c r="CA100" s="173">
        <f t="shared" si="285"/>
        <v>0.74001401986197635</v>
      </c>
      <c r="CB100" s="5">
        <f t="shared" si="286"/>
        <v>74.001401986197635</v>
      </c>
      <c r="CC100">
        <f t="shared" si="287"/>
        <v>94.999999999999986</v>
      </c>
      <c r="CE100" s="562">
        <f t="shared" si="221"/>
        <v>-50</v>
      </c>
      <c r="CF100">
        <f t="shared" si="222"/>
        <v>-50</v>
      </c>
      <c r="CG100" s="173">
        <f t="shared" si="223"/>
        <v>0.56074766355140193</v>
      </c>
      <c r="CH100" s="173">
        <f t="shared" si="224"/>
        <v>0.15015627428312001</v>
      </c>
      <c r="CI100" s="170">
        <v>95</v>
      </c>
      <c r="CJ100" s="217">
        <f t="shared" si="309"/>
        <v>5.6999999999999993</v>
      </c>
      <c r="CK100" s="217">
        <f t="shared" si="288"/>
        <v>9.5000000000000001E-2</v>
      </c>
      <c r="CL100" s="217">
        <f t="shared" si="225"/>
        <v>22.799999999999997</v>
      </c>
      <c r="CM100" s="217">
        <f t="shared" si="310"/>
        <v>1.71</v>
      </c>
      <c r="CN100" s="541">
        <f t="shared" si="289"/>
        <v>24</v>
      </c>
      <c r="CO100" s="443">
        <f t="shared" si="226"/>
        <v>18.8</v>
      </c>
      <c r="CP100" s="443">
        <f t="shared" si="227"/>
        <v>42.8</v>
      </c>
      <c r="CQ100" s="443"/>
      <c r="CR100" s="217">
        <f t="shared" si="228"/>
        <v>0.43925233644859818</v>
      </c>
      <c r="CS100" s="172">
        <f t="shared" si="290"/>
        <v>32.688545968267775</v>
      </c>
      <c r="CT100" s="172">
        <f t="shared" si="229"/>
        <v>2.6355140186915893</v>
      </c>
      <c r="CU100" s="217">
        <f t="shared" si="230"/>
        <v>8.1721364920669437</v>
      </c>
      <c r="CV100" s="217">
        <f t="shared" si="231"/>
        <v>1.816030331570432</v>
      </c>
      <c r="CW100" s="443">
        <f t="shared" si="232"/>
        <v>4</v>
      </c>
      <c r="CX100" s="217">
        <f t="shared" si="233"/>
        <v>4.649946808510637</v>
      </c>
      <c r="CY100" s="217">
        <f t="shared" si="234"/>
        <v>2.3249734042553185</v>
      </c>
      <c r="CZ100" s="217">
        <f t="shared" si="235"/>
        <v>2.9680511543684918</v>
      </c>
      <c r="DA100" s="197">
        <f t="shared" si="236"/>
        <v>350</v>
      </c>
      <c r="DB100" s="443">
        <f t="shared" si="291"/>
        <v>188.92789725880294</v>
      </c>
      <c r="DD100" s="217">
        <f t="shared" si="237"/>
        <v>2.5100133511348464</v>
      </c>
      <c r="DE100" s="173">
        <f t="shared" si="238"/>
        <v>1.6021361815754336</v>
      </c>
      <c r="DF100" s="173">
        <f t="shared" si="239"/>
        <v>2.8149682442633783</v>
      </c>
      <c r="DG100" s="173"/>
      <c r="DH100" s="173">
        <f t="shared" si="240"/>
        <v>0.85106382978723416</v>
      </c>
      <c r="DI100" s="545">
        <f t="shared" si="241"/>
        <v>2511.5624999999991</v>
      </c>
      <c r="DJ100" s="528">
        <f t="shared" si="242"/>
        <v>0.79432624113475192</v>
      </c>
      <c r="DL100" s="173">
        <f t="shared" si="243"/>
        <v>3.4163472556853134</v>
      </c>
      <c r="DM100" s="173">
        <f t="shared" si="244"/>
        <v>4.649946808510637</v>
      </c>
      <c r="DN100" s="173">
        <f t="shared" si="245"/>
        <v>3.656750722353558</v>
      </c>
      <c r="DP100" s="545">
        <f t="shared" si="246"/>
        <v>5699.9999999999991</v>
      </c>
      <c r="DQ100" s="460">
        <f t="shared" si="247"/>
        <v>188.92789725880294</v>
      </c>
      <c r="DS100">
        <f t="shared" si="311"/>
        <v>5699.9999999999991</v>
      </c>
      <c r="DT100">
        <f t="shared" si="312"/>
        <v>188.92789725880294</v>
      </c>
      <c r="DV100" s="5">
        <f t="shared" si="293"/>
        <v>5.2930245586238103</v>
      </c>
      <c r="DW100" s="5">
        <f t="shared" si="249"/>
        <v>2.3249734042553185</v>
      </c>
      <c r="DX100" s="5">
        <f t="shared" si="294"/>
        <v>2.9680511543684918</v>
      </c>
      <c r="DY100" s="173">
        <f t="shared" si="295"/>
        <v>0.43925233644859812</v>
      </c>
      <c r="EA100" s="5">
        <f t="shared" si="250"/>
        <v>331.30871010638288</v>
      </c>
      <c r="EB100" s="5">
        <f t="shared" si="251"/>
        <v>1.227069296690307</v>
      </c>
      <c r="EC100" s="5">
        <f t="shared" si="252"/>
        <v>2.3497071638750553</v>
      </c>
      <c r="ED100" s="5"/>
      <c r="EE100" s="173">
        <f t="shared" si="296"/>
        <v>1.7792804122624941</v>
      </c>
      <c r="EF100" s="173">
        <f t="shared" si="253"/>
        <v>8.0413892549634447</v>
      </c>
      <c r="EG100" s="173">
        <f t="shared" si="254"/>
        <v>0.15322106553376294</v>
      </c>
      <c r="EH100" s="173"/>
      <c r="EI100" s="528">
        <f t="shared" si="255"/>
        <v>3.8623233182624082E-2</v>
      </c>
      <c r="EJ100" s="528">
        <f t="shared" si="256"/>
        <v>0.752</v>
      </c>
      <c r="EK100" s="528">
        <f t="shared" si="257"/>
        <v>2.3615987157350367E-2</v>
      </c>
      <c r="EL100" s="528">
        <f t="shared" si="258"/>
        <v>3.4608567931456558E-2</v>
      </c>
      <c r="EM100">
        <f t="shared" si="259"/>
        <v>1.0800000000000001E-2</v>
      </c>
      <c r="EN100" s="460">
        <f t="shared" si="297"/>
        <v>34.415987157350365</v>
      </c>
      <c r="EO100">
        <f t="shared" si="260"/>
        <v>0.87813459723269993</v>
      </c>
      <c r="EP100" s="460">
        <f t="shared" si="298"/>
        <v>878.13459723269989</v>
      </c>
      <c r="EQ100" s="173">
        <f t="shared" si="261"/>
        <v>3.5411249999999992</v>
      </c>
      <c r="ER100" s="173">
        <f t="shared" si="262"/>
        <v>4.2156249999999999E-2</v>
      </c>
      <c r="ES100" s="528"/>
      <c r="EU100" s="460">
        <f t="shared" si="299"/>
        <v>3583.2812499999991</v>
      </c>
      <c r="EV100" s="528">
        <f t="shared" si="263"/>
        <v>9.497516356382972E-2</v>
      </c>
      <c r="EW100" s="528">
        <f t="shared" si="300"/>
        <v>1.9399182344952464</v>
      </c>
      <c r="EX100" s="528">
        <f t="shared" si="264"/>
        <v>1.1738347461650839E-4</v>
      </c>
      <c r="EY100" s="528">
        <f t="shared" si="265"/>
        <v>1.1437475956681546</v>
      </c>
      <c r="EZ100" s="528">
        <f t="shared" si="266"/>
        <v>4.3802732236681816</v>
      </c>
      <c r="FA100" s="625">
        <f t="shared" si="267"/>
        <v>0.10212499999999998</v>
      </c>
      <c r="FB100" s="460">
        <f t="shared" si="301"/>
        <v>4482.3982236681813</v>
      </c>
      <c r="FC100" s="173">
        <f t="shared" si="302"/>
        <v>8.9438140709008795</v>
      </c>
      <c r="FD100" s="5">
        <f t="shared" si="303"/>
        <v>24.509999999999998</v>
      </c>
      <c r="FE100" s="173">
        <f t="shared" si="304"/>
        <v>0.73265188680891025</v>
      </c>
      <c r="FF100" s="5">
        <f t="shared" si="305"/>
        <v>73.265188680891029</v>
      </c>
      <c r="FG100">
        <f t="shared" si="306"/>
        <v>94.999999999999986</v>
      </c>
      <c r="FI100" s="562">
        <f t="shared" si="268"/>
        <v>-50</v>
      </c>
      <c r="FJ100">
        <f t="shared" si="269"/>
        <v>-50</v>
      </c>
      <c r="FL100">
        <f t="shared" si="270"/>
        <v>0.56074766355140193</v>
      </c>
    </row>
    <row r="101" spans="5:169">
      <c r="E101" s="170">
        <v>96</v>
      </c>
      <c r="F101" s="217">
        <f t="shared" si="307"/>
        <v>5.76</v>
      </c>
      <c r="G101" s="217">
        <f t="shared" si="271"/>
        <v>9.6000000000000002E-2</v>
      </c>
      <c r="H101" s="217">
        <f t="shared" si="176"/>
        <v>23.04</v>
      </c>
      <c r="I101" s="217">
        <f t="shared" si="308"/>
        <v>1.728</v>
      </c>
      <c r="J101" s="541">
        <f t="shared" si="177"/>
        <v>23.865081038606199</v>
      </c>
      <c r="K101" s="443">
        <f t="shared" si="178"/>
        <v>20.032640000000001</v>
      </c>
      <c r="L101" s="172">
        <f t="shared" si="179"/>
        <v>43.8977210386062</v>
      </c>
      <c r="M101" s="443"/>
      <c r="N101" s="217">
        <f t="shared" si="180"/>
        <v>0.45634806377265319</v>
      </c>
      <c r="O101" s="172">
        <f t="shared" si="272"/>
        <v>33.769871391458601</v>
      </c>
      <c r="P101" s="172">
        <f t="shared" si="181"/>
        <v>2.72269588093635</v>
      </c>
      <c r="Q101" s="217">
        <f t="shared" si="182"/>
        <v>8.4424678478646502</v>
      </c>
      <c r="R101" s="217">
        <f t="shared" si="183"/>
        <v>1.8761039661921446</v>
      </c>
      <c r="S101" s="443">
        <f t="shared" si="184"/>
        <v>4</v>
      </c>
      <c r="T101" s="217">
        <f t="shared" si="185"/>
        <v>4.5484330757282656</v>
      </c>
      <c r="U101" s="217">
        <f t="shared" si="186"/>
        <v>2.2870736043361415</v>
      </c>
      <c r="V101" s="217">
        <f t="shared" si="187"/>
        <v>2.7246132765695981</v>
      </c>
      <c r="W101" s="197">
        <f t="shared" si="188"/>
        <v>350</v>
      </c>
      <c r="X101" s="443">
        <f t="shared" si="273"/>
        <v>191.87645437099053</v>
      </c>
      <c r="Z101" s="217">
        <f t="shared" si="189"/>
        <v>2.5930436961298566</v>
      </c>
      <c r="AA101" s="173">
        <f t="shared" si="190"/>
        <v>1.5532912463638482</v>
      </c>
      <c r="AB101" s="173">
        <f>0.5*AA101*Z101*Nps*W101/1000*(Pout/Pout_total)</f>
        <v>2.8194264522462253</v>
      </c>
      <c r="AC101" s="173"/>
      <c r="AD101" s="173">
        <f t="shared" si="192"/>
        <v>0.79869652726749951</v>
      </c>
      <c r="AE101" s="545">
        <f>MAX(10, F101/(0.5*AD101/1000000*Isw_min*Nps)/1000*Pout_total/Pout)</f>
        <v>2704.4063999999994</v>
      </c>
      <c r="AF101" s="528">
        <f t="shared" si="194"/>
        <v>0.74545009211633295</v>
      </c>
      <c r="AH101" s="173">
        <f t="shared" si="195"/>
        <v>3.4342809603009643</v>
      </c>
      <c r="AI101" s="173">
        <f>MAX(IF(F101&gt;AB101,T101,AH101),Isw_min)</f>
        <v>4.5484330757282656</v>
      </c>
      <c r="AJ101" s="173">
        <f>IF(F101&gt;AF101, (AI101-Isw_min)/1.08*0.8+1.2, AE101*0.2/350+1)</f>
        <v>3.5815553647369871</v>
      </c>
      <c r="AL101" s="545">
        <f t="shared" si="198"/>
        <v>5760</v>
      </c>
      <c r="AM101" s="460">
        <f t="shared" si="199"/>
        <v>191.87645437099053</v>
      </c>
      <c r="AO101">
        <f t="shared" si="274"/>
        <v>5760</v>
      </c>
      <c r="AP101">
        <f t="shared" si="200"/>
        <v>191.87645437099053</v>
      </c>
      <c r="AR101" s="5">
        <f t="shared" si="275"/>
        <v>5.2116868809057388</v>
      </c>
      <c r="AS101" s="5">
        <f t="shared" si="201"/>
        <v>2.2870736043361415</v>
      </c>
      <c r="AT101" s="5">
        <f t="shared" si="276"/>
        <v>2.9246132765695974</v>
      </c>
      <c r="AU101" s="173">
        <f t="shared" si="277"/>
        <v>0.4388355740855005</v>
      </c>
      <c r="AW101" s="5">
        <f t="shared" si="202"/>
        <v>329.33859902440435</v>
      </c>
      <c r="AX101" s="5">
        <f t="shared" si="203"/>
        <v>1.2197725889792757</v>
      </c>
      <c r="AY101" s="5">
        <f t="shared" si="204"/>
        <v>2.3529178392186911</v>
      </c>
      <c r="AZ101" s="5"/>
      <c r="BA101" s="173">
        <f t="shared" si="278"/>
        <v>1.7396107983046669</v>
      </c>
      <c r="BB101" s="173">
        <f t="shared" si="205"/>
        <v>7.8687589044759489</v>
      </c>
      <c r="BC101" s="173">
        <f t="shared" si="206"/>
        <v>0.1499317575042039</v>
      </c>
      <c r="BD101" s="173"/>
      <c r="BE101" s="528">
        <f t="shared" si="207"/>
        <v>3.6920197900854039E-2</v>
      </c>
      <c r="BF101" s="528">
        <f t="shared" si="208"/>
        <v>0.71833452470763071</v>
      </c>
      <c r="BG101" s="528">
        <f t="shared" si="209"/>
        <v>0.11447867832410284</v>
      </c>
      <c r="BH101" s="528">
        <f t="shared" si="210"/>
        <v>3.6974782952585869E-2</v>
      </c>
      <c r="BI101">
        <f t="shared" si="211"/>
        <v>1.0739286467372789E-2</v>
      </c>
      <c r="BJ101" s="460">
        <f t="shared" si="279"/>
        <v>125.21796479147562</v>
      </c>
      <c r="BK101">
        <f t="shared" si="212"/>
        <v>0.8092973084230366</v>
      </c>
      <c r="BL101" s="460">
        <f t="shared" si="280"/>
        <v>809.29730842303661</v>
      </c>
      <c r="BM101" s="173">
        <f t="shared" si="213"/>
        <v>3.5783999999999998</v>
      </c>
      <c r="BN101" s="173">
        <f t="shared" si="214"/>
        <v>4.2599999999999999E-2</v>
      </c>
      <c r="BO101" s="528"/>
      <c r="BQ101" s="460">
        <f t="shared" si="281"/>
        <v>3621</v>
      </c>
      <c r="BR101" s="528">
        <f t="shared" si="215"/>
        <v>9.0787371887346008E-2</v>
      </c>
      <c r="BS101" s="528">
        <f t="shared" si="216"/>
        <v>1.857521000903086</v>
      </c>
      <c r="BT101" s="528">
        <f t="shared" si="217"/>
        <v>1.1239765954149701E-4</v>
      </c>
      <c r="BU101" s="528">
        <f t="shared" si="218"/>
        <v>1.125067912439969</v>
      </c>
      <c r="BV101" s="528">
        <f>(BU101+(BR101+BS101+BT101)*(1+Ltc*(Ta-25)))/(1-(BR101+BS101+BT101)*Ltc*ThetaCa)</f>
        <v>4.1949996189681116</v>
      </c>
      <c r="BW101" s="625">
        <f t="shared" si="220"/>
        <v>9.9239669981782755E-2</v>
      </c>
      <c r="BX101" s="460">
        <f t="shared" si="282"/>
        <v>4294.2392889498942</v>
      </c>
      <c r="BY101" s="173">
        <f t="shared" si="283"/>
        <v>8.7245365973729303</v>
      </c>
      <c r="BZ101" s="5">
        <f t="shared" si="284"/>
        <v>24.768000000000001</v>
      </c>
      <c r="CA101" s="173">
        <f t="shared" si="285"/>
        <v>0.73950803720082336</v>
      </c>
      <c r="CB101" s="5">
        <f t="shared" si="286"/>
        <v>73.950803720082334</v>
      </c>
      <c r="CC101">
        <f t="shared" si="287"/>
        <v>96</v>
      </c>
      <c r="CE101" s="562">
        <f t="shared" si="221"/>
        <v>-50</v>
      </c>
      <c r="CF101">
        <f t="shared" si="222"/>
        <v>-50</v>
      </c>
      <c r="CG101" s="173">
        <f t="shared" si="223"/>
        <v>0.56074766355140193</v>
      </c>
      <c r="CH101" s="173">
        <f t="shared" si="224"/>
        <v>0.15015627428311998</v>
      </c>
      <c r="CI101" s="170">
        <v>96</v>
      </c>
      <c r="CJ101" s="217">
        <f t="shared" si="309"/>
        <v>5.76</v>
      </c>
      <c r="CK101" s="217">
        <f t="shared" si="288"/>
        <v>9.6000000000000002E-2</v>
      </c>
      <c r="CL101" s="217">
        <f t="shared" si="225"/>
        <v>23.04</v>
      </c>
      <c r="CM101" s="217">
        <f t="shared" si="310"/>
        <v>1.728</v>
      </c>
      <c r="CN101" s="541">
        <f t="shared" si="289"/>
        <v>24</v>
      </c>
      <c r="CO101" s="443">
        <f t="shared" si="226"/>
        <v>18.8</v>
      </c>
      <c r="CP101" s="443">
        <f t="shared" si="227"/>
        <v>42.8</v>
      </c>
      <c r="CQ101" s="443"/>
      <c r="CR101" s="217">
        <f t="shared" si="228"/>
        <v>0.43925233644859818</v>
      </c>
      <c r="CS101" s="172">
        <f t="shared" si="290"/>
        <v>32.688545968267775</v>
      </c>
      <c r="CT101" s="172">
        <f t="shared" si="229"/>
        <v>2.6355140186915893</v>
      </c>
      <c r="CU101" s="217">
        <f t="shared" si="230"/>
        <v>8.1721364920669437</v>
      </c>
      <c r="CV101" s="217">
        <f t="shared" si="231"/>
        <v>1.816030331570432</v>
      </c>
      <c r="CW101" s="443">
        <f t="shared" si="232"/>
        <v>4</v>
      </c>
      <c r="CX101" s="217">
        <f t="shared" si="233"/>
        <v>4.6988936170212758</v>
      </c>
      <c r="CY101" s="217">
        <f t="shared" si="234"/>
        <v>2.3494468085106379</v>
      </c>
      <c r="CZ101" s="217">
        <f t="shared" si="235"/>
        <v>2.9992937980986869</v>
      </c>
      <c r="DA101" s="197">
        <f t="shared" si="236"/>
        <v>350</v>
      </c>
      <c r="DB101" s="443">
        <f t="shared" si="291"/>
        <v>186.9598983290237</v>
      </c>
      <c r="DD101" s="217">
        <f t="shared" si="237"/>
        <v>2.5100133511348464</v>
      </c>
      <c r="DE101" s="173">
        <f t="shared" si="238"/>
        <v>1.6021361815754336</v>
      </c>
      <c r="DF101" s="173">
        <f t="shared" si="239"/>
        <v>2.8149682442633783</v>
      </c>
      <c r="DG101" s="173"/>
      <c r="DH101" s="173">
        <f t="shared" si="240"/>
        <v>0.85106382978723416</v>
      </c>
      <c r="DI101" s="545">
        <f t="shared" si="241"/>
        <v>2537.9999999999995</v>
      </c>
      <c r="DJ101" s="528">
        <f t="shared" si="242"/>
        <v>0.79432624113475192</v>
      </c>
      <c r="DL101" s="173">
        <f t="shared" si="243"/>
        <v>3.4342809603009643</v>
      </c>
      <c r="DM101" s="173">
        <f t="shared" si="244"/>
        <v>4.6988936170212758</v>
      </c>
      <c r="DN101" s="173">
        <f t="shared" si="245"/>
        <v>3.6930076175466242</v>
      </c>
      <c r="DP101" s="545">
        <f t="shared" si="246"/>
        <v>5760</v>
      </c>
      <c r="DQ101" s="460">
        <f t="shared" si="247"/>
        <v>186.9598983290237</v>
      </c>
      <c r="DS101">
        <f t="shared" si="311"/>
        <v>5760</v>
      </c>
      <c r="DT101">
        <f t="shared" si="312"/>
        <v>186.9598983290237</v>
      </c>
      <c r="DV101" s="5">
        <f t="shared" si="293"/>
        <v>5.3487406066093257</v>
      </c>
      <c r="DW101" s="5">
        <f t="shared" si="249"/>
        <v>2.3494468085106379</v>
      </c>
      <c r="DX101" s="5">
        <f t="shared" si="294"/>
        <v>2.9992937980986878</v>
      </c>
      <c r="DY101" s="173">
        <f t="shared" si="295"/>
        <v>0.43925233644859807</v>
      </c>
      <c r="EA101" s="5">
        <f t="shared" si="250"/>
        <v>338.32034042553181</v>
      </c>
      <c r="EB101" s="5">
        <f t="shared" si="251"/>
        <v>1.2530382978723402</v>
      </c>
      <c r="EC101" s="5">
        <f t="shared" si="252"/>
        <v>2.3994350384789498</v>
      </c>
      <c r="ED101" s="5"/>
      <c r="EE101" s="173">
        <f t="shared" si="296"/>
        <v>1.7980096797599943</v>
      </c>
      <c r="EF101" s="173">
        <f t="shared" si="253"/>
        <v>8.1260354576472711</v>
      </c>
      <c r="EG101" s="173">
        <f t="shared" si="254"/>
        <v>0.15483391885517098</v>
      </c>
      <c r="EH101" s="173"/>
      <c r="EI101" s="528">
        <f t="shared" si="255"/>
        <v>3.9440633463829769E-2</v>
      </c>
      <c r="EJ101" s="528">
        <f t="shared" si="256"/>
        <v>0.75199999999999989</v>
      </c>
      <c r="EK101" s="528">
        <f t="shared" si="257"/>
        <v>2.336998729112796E-2</v>
      </c>
      <c r="EL101" s="528">
        <f t="shared" si="258"/>
        <v>3.4248062015503872E-2</v>
      </c>
      <c r="EM101">
        <f t="shared" si="259"/>
        <v>1.0800000000000001E-2</v>
      </c>
      <c r="EN101" s="460">
        <f t="shared" si="297"/>
        <v>34.16998729112796</v>
      </c>
      <c r="EO101">
        <f t="shared" si="260"/>
        <v>0.87874243218856585</v>
      </c>
      <c r="EP101" s="460">
        <f t="shared" si="298"/>
        <v>878.74243218856589</v>
      </c>
      <c r="EQ101" s="173">
        <f t="shared" si="261"/>
        <v>3.5783999999999998</v>
      </c>
      <c r="ER101" s="173">
        <f t="shared" si="262"/>
        <v>4.2599999999999999E-2</v>
      </c>
      <c r="ES101" s="528"/>
      <c r="EU101" s="460">
        <f t="shared" si="299"/>
        <v>3621</v>
      </c>
      <c r="EV101" s="528">
        <f t="shared" si="263"/>
        <v>9.6985164255319112E-2</v>
      </c>
      <c r="EW101" s="528">
        <f t="shared" si="300"/>
        <v>1.9809735677682208</v>
      </c>
      <c r="EX101" s="528">
        <f t="shared" si="264"/>
        <v>1.1986771214024835E-4</v>
      </c>
      <c r="EY101" s="528">
        <f t="shared" si="265"/>
        <v>1.1437475956681524</v>
      </c>
      <c r="EZ101" s="528">
        <f t="shared" si="266"/>
        <v>4.4624269801704157</v>
      </c>
      <c r="FA101" s="625">
        <f t="shared" si="267"/>
        <v>0.10319999999999997</v>
      </c>
      <c r="FB101" s="460">
        <f t="shared" si="301"/>
        <v>4565.6269801704157</v>
      </c>
      <c r="FC101" s="173">
        <f t="shared" si="302"/>
        <v>9.0653694123589812</v>
      </c>
      <c r="FD101" s="5">
        <f t="shared" si="303"/>
        <v>24.768000000000001</v>
      </c>
      <c r="FE101" s="173">
        <f t="shared" si="304"/>
        <v>0.73205833265168396</v>
      </c>
      <c r="FF101" s="5">
        <f t="shared" si="305"/>
        <v>73.205833265168394</v>
      </c>
      <c r="FG101">
        <f t="shared" si="306"/>
        <v>96</v>
      </c>
      <c r="FI101" s="562">
        <f t="shared" si="268"/>
        <v>-50</v>
      </c>
      <c r="FJ101">
        <f t="shared" si="269"/>
        <v>-50</v>
      </c>
      <c r="FL101">
        <f t="shared" si="270"/>
        <v>0.56074766355140193</v>
      </c>
    </row>
    <row r="102" spans="5:169">
      <c r="E102" s="170">
        <v>97</v>
      </c>
      <c r="F102" s="217">
        <f t="shared" si="307"/>
        <v>5.82</v>
      </c>
      <c r="G102" s="217">
        <f t="shared" si="271"/>
        <v>9.7000000000000003E-2</v>
      </c>
      <c r="H102" s="217">
        <f t="shared" si="176"/>
        <v>23.28</v>
      </c>
      <c r="I102" s="217">
        <f t="shared" si="308"/>
        <v>1.746</v>
      </c>
      <c r="J102" s="541">
        <f t="shared" si="177"/>
        <v>23.863675632758348</v>
      </c>
      <c r="K102" s="443">
        <f t="shared" si="178"/>
        <v>20.045480000000001</v>
      </c>
      <c r="L102" s="172">
        <f t="shared" si="179"/>
        <v>43.909155632758349</v>
      </c>
      <c r="M102" s="443"/>
      <c r="N102" s="217">
        <f t="shared" si="180"/>
        <v>0.45652164591033734</v>
      </c>
      <c r="O102" s="172">
        <f>N102*J102*Isw_max*0.5*Efficiency*Pout/(Pout+Pout2)</f>
        <v>33.780727061510859</v>
      </c>
      <c r="P102" s="172">
        <f t="shared" si="181"/>
        <v>2.7235711193343128</v>
      </c>
      <c r="Q102" s="217">
        <f t="shared" si="182"/>
        <v>8.4451817653777148</v>
      </c>
      <c r="R102" s="217">
        <f t="shared" si="183"/>
        <v>1.8767070589728254</v>
      </c>
      <c r="S102" s="443">
        <f t="shared" si="184"/>
        <v>4</v>
      </c>
      <c r="T102" s="217">
        <f t="shared" si="185"/>
        <v>4.5943356908037671</v>
      </c>
      <c r="U102" s="217">
        <f t="shared" si="186"/>
        <v>2.3102907170747788</v>
      </c>
      <c r="V102" s="217">
        <f t="shared" si="187"/>
        <v>2.7503471251197382</v>
      </c>
      <c r="W102" s="197">
        <f t="shared" si="188"/>
        <v>350</v>
      </c>
      <c r="X102" s="443">
        <f t="shared" si="273"/>
        <v>190.09101747685449</v>
      </c>
      <c r="Z102" s="217">
        <f t="shared" si="189"/>
        <v>2.5938772565088697</v>
      </c>
      <c r="AA102" s="173">
        <f t="shared" si="190"/>
        <v>1.5527952973990362</v>
      </c>
      <c r="AB102" s="173">
        <f>0.5*AA102*Z102*Nps*W102/1000*(Pout/Pout_total)</f>
        <v>2.8194322841561004</v>
      </c>
      <c r="AC102" s="173"/>
      <c r="AD102" s="173">
        <f t="shared" si="192"/>
        <v>0.7981849274749222</v>
      </c>
      <c r="AE102" s="545">
        <f>MAX(10, F102/(0.5*AD102/1000000*Isw_min*Nps)/1000*Pout_total/Pout)</f>
        <v>2734.3287562499991</v>
      </c>
      <c r="AF102" s="528">
        <f t="shared" si="194"/>
        <v>0.74497259897659407</v>
      </c>
      <c r="AH102" s="173">
        <f t="shared" si="195"/>
        <v>3.4521215009241573</v>
      </c>
      <c r="AI102" s="173">
        <f>MAX(IF(F102&gt;AB102,T102,AH102),Isw_min)</f>
        <v>4.5943356908037671</v>
      </c>
      <c r="AJ102" s="173">
        <f>IF(F102&gt;AF102, (AI102-Isw_min)/1.08*0.8+1.2, AE102*0.2/350+1)</f>
        <v>3.6155573018299512</v>
      </c>
      <c r="AL102" s="545">
        <f t="shared" si="198"/>
        <v>5820</v>
      </c>
      <c r="AM102" s="460">
        <f t="shared" si="199"/>
        <v>190.09101747685449</v>
      </c>
      <c r="AO102">
        <f t="shared" si="274"/>
        <v>5820</v>
      </c>
      <c r="AP102">
        <f t="shared" si="200"/>
        <v>190.09101747685449</v>
      </c>
      <c r="AR102" s="5">
        <f t="shared" si="275"/>
        <v>5.2606378421945168</v>
      </c>
      <c r="AS102" s="5">
        <f t="shared" si="201"/>
        <v>2.3102907170747788</v>
      </c>
      <c r="AT102" s="5">
        <f t="shared" si="276"/>
        <v>2.950347125119738</v>
      </c>
      <c r="AU102" s="173">
        <f t="shared" si="277"/>
        <v>0.43916551307607649</v>
      </c>
      <c r="AW102" s="5">
        <f t="shared" si="202"/>
        <v>336.14729933438031</v>
      </c>
      <c r="AX102" s="5">
        <f t="shared" si="203"/>
        <v>1.2449899975347418</v>
      </c>
      <c r="AY102" s="5">
        <f t="shared" si="204"/>
        <v>2.398487773138871</v>
      </c>
      <c r="AZ102" s="5"/>
      <c r="BA102" s="173">
        <f t="shared" si="278"/>
        <v>1.7578273246549596</v>
      </c>
      <c r="BB102" s="173">
        <f t="shared" si="205"/>
        <v>7.9458331989817115</v>
      </c>
      <c r="BC102" s="173">
        <f t="shared" si="206"/>
        <v>0.15140033527789476</v>
      </c>
      <c r="BD102" s="173"/>
      <c r="BE102" s="528">
        <f t="shared" si="207"/>
        <v>3.7697474220304075E-2</v>
      </c>
      <c r="BF102" s="528">
        <f t="shared" si="208"/>
        <v>0.71901951434449607</v>
      </c>
      <c r="BG102" s="528">
        <f t="shared" si="209"/>
        <v>0.11340675954421633</v>
      </c>
      <c r="BH102" s="528">
        <f t="shared" si="210"/>
        <v>3.6649813315746294E-2</v>
      </c>
      <c r="BI102">
        <f t="shared" si="211"/>
        <v>1.0738654034741257E-2</v>
      </c>
      <c r="BJ102" s="460">
        <f t="shared" si="279"/>
        <v>124.14541357895759</v>
      </c>
      <c r="BK102">
        <f t="shared" si="212"/>
        <v>0.81080745734935189</v>
      </c>
      <c r="BL102" s="460">
        <f t="shared" si="280"/>
        <v>810.80745734935192</v>
      </c>
      <c r="BM102" s="173">
        <f t="shared" si="213"/>
        <v>3.6156749999999995</v>
      </c>
      <c r="BN102" s="173">
        <f t="shared" si="214"/>
        <v>4.3043749999999999E-2</v>
      </c>
      <c r="BO102" s="528"/>
      <c r="BQ102" s="460">
        <f t="shared" si="281"/>
        <v>3658.7187499999995</v>
      </c>
      <c r="BR102" s="528">
        <f t="shared" si="215"/>
        <v>9.2698707099108379E-2</v>
      </c>
      <c r="BS102" s="528">
        <f t="shared" si="216"/>
        <v>1.8940879567811981</v>
      </c>
      <c r="BT102" s="528">
        <f t="shared" si="217"/>
        <v>1.1461030761129473E-4</v>
      </c>
      <c r="BU102" s="528">
        <f t="shared" si="218"/>
        <v>1.1270178725275593</v>
      </c>
      <c r="BV102" s="528">
        <f>(BU102+(BR102+BS102+BT102)*(1+Ltc*(Ta-25)))/(1-(BR102+BS102+BT102)*Ltc*ThetaCa)</f>
        <v>4.2694066066653535</v>
      </c>
      <c r="BW102" s="625">
        <f t="shared" si="220"/>
        <v>0.10031065183052021</v>
      </c>
      <c r="BX102" s="460">
        <f t="shared" si="282"/>
        <v>4369.7172584958744</v>
      </c>
      <c r="BY102" s="173">
        <f t="shared" si="283"/>
        <v>8.8392434658452252</v>
      </c>
      <c r="BZ102" s="5">
        <f t="shared" si="284"/>
        <v>25.026</v>
      </c>
      <c r="CA102" s="173">
        <f t="shared" si="285"/>
        <v>0.73898774787312427</v>
      </c>
      <c r="CB102" s="5">
        <f t="shared" si="286"/>
        <v>73.898774787312433</v>
      </c>
      <c r="CC102">
        <f t="shared" si="287"/>
        <v>97.000000000000014</v>
      </c>
      <c r="CE102" s="562">
        <f t="shared" si="221"/>
        <v>-50</v>
      </c>
      <c r="CF102">
        <f t="shared" si="222"/>
        <v>-50</v>
      </c>
      <c r="CG102" s="173">
        <f t="shared" si="223"/>
        <v>0.56074766355140193</v>
      </c>
      <c r="CH102" s="173">
        <f t="shared" si="224"/>
        <v>0.15015627428311998</v>
      </c>
      <c r="CI102" s="170">
        <v>97</v>
      </c>
      <c r="CJ102" s="217">
        <f t="shared" si="309"/>
        <v>5.82</v>
      </c>
      <c r="CK102" s="217">
        <f t="shared" si="288"/>
        <v>9.7000000000000003E-2</v>
      </c>
      <c r="CL102" s="217">
        <f t="shared" si="225"/>
        <v>23.28</v>
      </c>
      <c r="CM102" s="217">
        <f t="shared" si="310"/>
        <v>1.746</v>
      </c>
      <c r="CN102" s="541">
        <f t="shared" si="289"/>
        <v>24</v>
      </c>
      <c r="CO102" s="443">
        <f t="shared" si="226"/>
        <v>18.8</v>
      </c>
      <c r="CP102" s="443">
        <f t="shared" si="227"/>
        <v>42.8</v>
      </c>
      <c r="CQ102" s="443"/>
      <c r="CR102" s="217">
        <f t="shared" si="228"/>
        <v>0.43925233644859818</v>
      </c>
      <c r="CS102" s="172">
        <f t="shared" si="290"/>
        <v>32.688545968267775</v>
      </c>
      <c r="CT102" s="172">
        <f t="shared" si="229"/>
        <v>2.6355140186915893</v>
      </c>
      <c r="CU102" s="217">
        <f t="shared" si="230"/>
        <v>8.1721364920669437</v>
      </c>
      <c r="CV102" s="217">
        <f t="shared" si="231"/>
        <v>1.816030331570432</v>
      </c>
      <c r="CW102" s="443">
        <f t="shared" si="232"/>
        <v>4</v>
      </c>
      <c r="CX102" s="217">
        <f t="shared" si="233"/>
        <v>4.7478404255319138</v>
      </c>
      <c r="CY102" s="217">
        <f t="shared" si="234"/>
        <v>2.3739202127659569</v>
      </c>
      <c r="CZ102" s="217">
        <f t="shared" si="235"/>
        <v>3.0305364418288812</v>
      </c>
      <c r="DA102" s="197">
        <f t="shared" si="236"/>
        <v>350</v>
      </c>
      <c r="DB102" s="443">
        <f t="shared" si="291"/>
        <v>185.03247669676574</v>
      </c>
      <c r="DD102" s="217">
        <f t="shared" si="237"/>
        <v>2.5100133511348464</v>
      </c>
      <c r="DE102" s="173">
        <f t="shared" si="238"/>
        <v>1.6021361815754336</v>
      </c>
      <c r="DF102" s="173">
        <f t="shared" si="239"/>
        <v>2.8149682442633783</v>
      </c>
      <c r="DG102" s="173"/>
      <c r="DH102" s="173">
        <f t="shared" si="240"/>
        <v>0.85106382978723416</v>
      </c>
      <c r="DI102" s="545">
        <f t="shared" si="241"/>
        <v>2564.4374999999995</v>
      </c>
      <c r="DJ102" s="528">
        <f t="shared" si="242"/>
        <v>0.79432624113475192</v>
      </c>
      <c r="DL102" s="173">
        <f t="shared" si="243"/>
        <v>3.4521215009241573</v>
      </c>
      <c r="DM102" s="173">
        <f t="shared" si="244"/>
        <v>4.7478404255319138</v>
      </c>
      <c r="DN102" s="173">
        <f t="shared" si="245"/>
        <v>3.7292645127396886</v>
      </c>
      <c r="DP102" s="545">
        <f t="shared" si="246"/>
        <v>5820</v>
      </c>
      <c r="DQ102" s="460">
        <f t="shared" si="247"/>
        <v>185.03247669676574</v>
      </c>
      <c r="DS102">
        <f t="shared" si="311"/>
        <v>5820</v>
      </c>
      <c r="DT102">
        <f t="shared" si="312"/>
        <v>185.03247669676574</v>
      </c>
      <c r="DV102" s="5">
        <f t="shared" si="293"/>
        <v>5.4044566545948385</v>
      </c>
      <c r="DW102" s="5">
        <f t="shared" si="249"/>
        <v>2.3739202127659569</v>
      </c>
      <c r="DX102" s="5">
        <f t="shared" si="294"/>
        <v>3.0305364418288816</v>
      </c>
      <c r="DY102" s="173">
        <f t="shared" si="295"/>
        <v>0.43925233644859807</v>
      </c>
      <c r="EA102" s="5">
        <f t="shared" si="250"/>
        <v>345.40539095744668</v>
      </c>
      <c r="EB102" s="5">
        <f t="shared" si="251"/>
        <v>1.2792792257683212</v>
      </c>
      <c r="EC102" s="5">
        <f t="shared" si="252"/>
        <v>2.4496836238116795</v>
      </c>
      <c r="ED102" s="5"/>
      <c r="EE102" s="173">
        <f t="shared" si="296"/>
        <v>1.816738947257494</v>
      </c>
      <c r="EF102" s="173">
        <f t="shared" si="253"/>
        <v>8.2106816603310957</v>
      </c>
      <c r="EG102" s="173">
        <f t="shared" si="254"/>
        <v>0.15644677217657901</v>
      </c>
      <c r="EH102" s="173"/>
      <c r="EI102" s="528">
        <f t="shared" si="255"/>
        <v>4.0266592910283658E-2</v>
      </c>
      <c r="EJ102" s="528">
        <f t="shared" si="256"/>
        <v>0.75199999999999989</v>
      </c>
      <c r="EK102" s="528">
        <f t="shared" si="257"/>
        <v>2.3129059587095716E-2</v>
      </c>
      <c r="EL102" s="528">
        <f t="shared" si="258"/>
        <v>3.3894989211220333E-2</v>
      </c>
      <c r="EM102">
        <f t="shared" si="259"/>
        <v>1.0800000000000001E-2</v>
      </c>
      <c r="EN102" s="460">
        <f t="shared" si="297"/>
        <v>33.929059587095715</v>
      </c>
      <c r="EO102">
        <f t="shared" si="260"/>
        <v>0.87937591231215739</v>
      </c>
      <c r="EP102" s="460">
        <f t="shared" si="298"/>
        <v>879.37591231215742</v>
      </c>
      <c r="EQ102" s="173">
        <f t="shared" si="261"/>
        <v>3.6156749999999995</v>
      </c>
      <c r="ER102" s="173">
        <f t="shared" si="262"/>
        <v>4.3043749999999999E-2</v>
      </c>
      <c r="ES102" s="528"/>
      <c r="EU102" s="460">
        <f t="shared" si="299"/>
        <v>3658.7187499999995</v>
      </c>
      <c r="EV102" s="528">
        <f t="shared" si="263"/>
        <v>9.9016212074468021E-2</v>
      </c>
      <c r="EW102" s="528">
        <f t="shared" si="300"/>
        <v>2.0224587998189221</v>
      </c>
      <c r="EX102" s="528">
        <f t="shared" si="264"/>
        <v>1.2237796262235209E-4</v>
      </c>
      <c r="EY102" s="528">
        <f t="shared" si="265"/>
        <v>1.1437475956681524</v>
      </c>
      <c r="EZ102" s="528">
        <f t="shared" si="266"/>
        <v>4.5461335680410171</v>
      </c>
      <c r="FA102" s="625">
        <f t="shared" si="267"/>
        <v>0.10427499999999998</v>
      </c>
      <c r="FB102" s="460">
        <f t="shared" si="301"/>
        <v>4650.4085680410171</v>
      </c>
      <c r="FC102" s="173">
        <f t="shared" si="302"/>
        <v>9.1885032303531737</v>
      </c>
      <c r="FD102" s="5">
        <f t="shared" si="303"/>
        <v>25.026</v>
      </c>
      <c r="FE102" s="173">
        <f t="shared" si="304"/>
        <v>0.73144420164482604</v>
      </c>
      <c r="FF102" s="5">
        <f t="shared" si="305"/>
        <v>73.144420164482611</v>
      </c>
      <c r="FG102">
        <f t="shared" si="306"/>
        <v>97.000000000000014</v>
      </c>
      <c r="FI102" s="562">
        <f t="shared" si="268"/>
        <v>-50</v>
      </c>
      <c r="FJ102">
        <f t="shared" si="269"/>
        <v>-50</v>
      </c>
      <c r="FL102">
        <f t="shared" si="270"/>
        <v>0.56074766355140193</v>
      </c>
    </row>
    <row r="103" spans="5:169">
      <c r="E103" s="170">
        <v>98</v>
      </c>
      <c r="F103" s="217">
        <f t="shared" si="307"/>
        <v>5.88</v>
      </c>
      <c r="G103" s="217">
        <f t="shared" si="271"/>
        <v>9.8000000000000004E-2</v>
      </c>
      <c r="H103" s="217">
        <f t="shared" si="176"/>
        <v>23.52</v>
      </c>
      <c r="I103" s="217">
        <f t="shared" si="308"/>
        <v>1.764</v>
      </c>
      <c r="J103" s="541">
        <f t="shared" si="177"/>
        <v>23.862270226910493</v>
      </c>
      <c r="K103" s="443">
        <f t="shared" si="178"/>
        <v>20.058320000000002</v>
      </c>
      <c r="L103" s="172">
        <f t="shared" si="179"/>
        <v>43.920590226910491</v>
      </c>
      <c r="M103" s="443"/>
      <c r="N103" s="217">
        <f t="shared" si="180"/>
        <v>0.45669513766484204</v>
      </c>
      <c r="O103" s="172">
        <f>N103*J103*Isw_max*0.5*Efficiency*Pout/(Pout+Pout2)</f>
        <v>33.791574531083874</v>
      </c>
      <c r="P103" s="172">
        <f t="shared" si="181"/>
        <v>2.7244456965686372</v>
      </c>
      <c r="Q103" s="217">
        <f t="shared" si="182"/>
        <v>8.4478936327709686</v>
      </c>
      <c r="R103" s="217">
        <f t="shared" si="183"/>
        <v>1.8773096961713263</v>
      </c>
      <c r="S103" s="443">
        <f t="shared" si="184"/>
        <v>4</v>
      </c>
      <c r="T103" s="217">
        <f t="shared" si="185"/>
        <v>4.6402099391895542</v>
      </c>
      <c r="U103" s="217">
        <f t="shared" si="186"/>
        <v>2.3334962994207955</v>
      </c>
      <c r="V103" s="217">
        <f t="shared" si="187"/>
        <v>2.7760310569516613</v>
      </c>
      <c r="W103" s="197">
        <f t="shared" si="188"/>
        <v>350</v>
      </c>
      <c r="X103" s="443">
        <f t="shared" si="273"/>
        <v>188.34068136023581</v>
      </c>
      <c r="Z103" s="217">
        <f t="shared" si="189"/>
        <v>2.5947101872082254</v>
      </c>
      <c r="AA103" s="173">
        <f t="shared" si="190"/>
        <v>1.5522996066718799</v>
      </c>
      <c r="AB103" s="173">
        <f>0.5*AA103*Z103*Nps*W103/1000*(Pout/Pout_total)</f>
        <v>2.8194373221215936</v>
      </c>
      <c r="AC103" s="173"/>
      <c r="AD103" s="173">
        <f t="shared" si="192"/>
        <v>0.79767398266654432</v>
      </c>
      <c r="AE103" s="545">
        <f>MAX(10, F103/(0.5*AD103/1000000*Isw_min*Nps)/1000*Pout_total/Pout)</f>
        <v>2764.2872249999996</v>
      </c>
      <c r="AF103" s="528">
        <f t="shared" si="194"/>
        <v>0.74449571715544149</v>
      </c>
      <c r="AH103" s="173">
        <f t="shared" si="195"/>
        <v>3.4698703145794942</v>
      </c>
      <c r="AI103" s="173">
        <f>MAX(IF(F103&gt;AB103,T103,AH103),Isw_min)</f>
        <v>4.6402099391895542</v>
      </c>
      <c r="AJ103" s="173">
        <f>IF(F103&gt;AF103, (AI103-Isw_min)/1.08*0.8+1.2, AE103*0.2/350+1)</f>
        <v>3.6495382265601632</v>
      </c>
      <c r="AL103" s="545">
        <f t="shared" si="198"/>
        <v>5880</v>
      </c>
      <c r="AM103" s="460">
        <f t="shared" si="199"/>
        <v>188.34068136023581</v>
      </c>
      <c r="AO103">
        <f t="shared" si="274"/>
        <v>5880</v>
      </c>
      <c r="AP103">
        <f t="shared" si="200"/>
        <v>188.34068136023581</v>
      </c>
      <c r="AR103" s="5">
        <f t="shared" si="275"/>
        <v>5.3095273563724561</v>
      </c>
      <c r="AS103" s="5">
        <f t="shared" si="201"/>
        <v>2.3334962994207955</v>
      </c>
      <c r="AT103" s="5">
        <f t="shared" si="276"/>
        <v>2.9760310569516606</v>
      </c>
      <c r="AU103" s="173">
        <f t="shared" si="277"/>
        <v>0.43949228298450149</v>
      </c>
      <c r="AW103" s="5">
        <f t="shared" si="202"/>
        <v>343.02395601485694</v>
      </c>
      <c r="AX103" s="5">
        <f t="shared" si="203"/>
        <v>1.270459096351322</v>
      </c>
      <c r="AY103" s="5">
        <f t="shared" si="204"/>
        <v>2.4444534472864654</v>
      </c>
      <c r="AZ103" s="5"/>
      <c r="BA103" s="173">
        <f t="shared" si="278"/>
        <v>1.7760395368778528</v>
      </c>
      <c r="BB103" s="173">
        <f t="shared" si="205"/>
        <v>8.02283373714255</v>
      </c>
      <c r="BC103" s="173">
        <f t="shared" si="206"/>
        <v>0.15286750769420263</v>
      </c>
      <c r="BD103" s="173"/>
      <c r="BE103" s="528">
        <f t="shared" si="207"/>
        <v>3.848266052595023E-2</v>
      </c>
      <c r="BF103" s="528">
        <f t="shared" si="208"/>
        <v>0.71969951005166244</v>
      </c>
      <c r="BG103" s="528">
        <f t="shared" si="209"/>
        <v>0.11235590583345977</v>
      </c>
      <c r="BH103" s="528">
        <f t="shared" si="210"/>
        <v>3.6331261078540102E-2</v>
      </c>
      <c r="BI103">
        <f t="shared" si="211"/>
        <v>1.0738021602109722E-2</v>
      </c>
      <c r="BJ103" s="460">
        <f t="shared" si="279"/>
        <v>123.09392743556948</v>
      </c>
      <c r="BK103">
        <f t="shared" si="212"/>
        <v>0.81233128497016938</v>
      </c>
      <c r="BL103" s="460">
        <f t="shared" si="280"/>
        <v>812.33128497016935</v>
      </c>
      <c r="BM103" s="173">
        <f t="shared" si="213"/>
        <v>3.6529499999999997</v>
      </c>
      <c r="BN103" s="173">
        <f t="shared" si="214"/>
        <v>4.3487499999999998E-2</v>
      </c>
      <c r="BO103" s="528"/>
      <c r="BQ103" s="460">
        <f t="shared" si="281"/>
        <v>3696.4374999999995</v>
      </c>
      <c r="BR103" s="528">
        <f t="shared" si="215"/>
        <v>9.4629493096598932E-2</v>
      </c>
      <c r="BS103" s="528">
        <f t="shared" si="216"/>
        <v>1.9309758352149808</v>
      </c>
      <c r="BT103" s="528">
        <f t="shared" si="217"/>
        <v>1.1684237454318551E-4</v>
      </c>
      <c r="BU103" s="528">
        <f t="shared" si="218"/>
        <v>1.1289492577966018</v>
      </c>
      <c r="BV103" s="528">
        <f>(BU103+(BR103+BS103+BT103)*(1+Ltc*(Ta-25)))/(1-(BR103+BS103+BT103)*Ltc*ThetaCa)</f>
        <v>4.3449830250563082</v>
      </c>
      <c r="BW103" s="625">
        <f t="shared" si="220"/>
        <v>0.1013816618437398</v>
      </c>
      <c r="BX103" s="460">
        <f t="shared" si="282"/>
        <v>4446.3646869000477</v>
      </c>
      <c r="BY103" s="173">
        <f t="shared" si="283"/>
        <v>8.9551334718702176</v>
      </c>
      <c r="BZ103" s="5">
        <f t="shared" si="284"/>
        <v>25.283999999999999</v>
      </c>
      <c r="CA103" s="173">
        <f t="shared" si="285"/>
        <v>0.73845326783087339</v>
      </c>
      <c r="CB103" s="5">
        <f t="shared" si="286"/>
        <v>73.845326783087344</v>
      </c>
      <c r="CC103">
        <f t="shared" si="287"/>
        <v>98</v>
      </c>
      <c r="CE103" s="562">
        <f t="shared" si="221"/>
        <v>-50</v>
      </c>
      <c r="CF103">
        <f t="shared" si="222"/>
        <v>-50</v>
      </c>
      <c r="CG103" s="173">
        <f t="shared" si="223"/>
        <v>0.56074766355140193</v>
      </c>
      <c r="CH103" s="173">
        <f t="shared" si="224"/>
        <v>0.15015627428312001</v>
      </c>
      <c r="CI103" s="170">
        <v>98</v>
      </c>
      <c r="CJ103" s="217">
        <f t="shared" si="309"/>
        <v>5.88</v>
      </c>
      <c r="CK103" s="217">
        <f t="shared" si="288"/>
        <v>9.8000000000000004E-2</v>
      </c>
      <c r="CL103" s="217">
        <f t="shared" si="225"/>
        <v>23.52</v>
      </c>
      <c r="CM103" s="217">
        <f t="shared" si="310"/>
        <v>1.764</v>
      </c>
      <c r="CN103" s="541">
        <f t="shared" si="289"/>
        <v>24</v>
      </c>
      <c r="CO103" s="443">
        <f t="shared" si="226"/>
        <v>18.8</v>
      </c>
      <c r="CP103" s="443">
        <f t="shared" si="227"/>
        <v>42.8</v>
      </c>
      <c r="CQ103" s="443"/>
      <c r="CR103" s="217">
        <f t="shared" si="228"/>
        <v>0.43925233644859818</v>
      </c>
      <c r="CS103" s="172">
        <f t="shared" si="290"/>
        <v>32.688545968267775</v>
      </c>
      <c r="CT103" s="172">
        <f t="shared" si="229"/>
        <v>2.6355140186915893</v>
      </c>
      <c r="CU103" s="217">
        <f t="shared" si="230"/>
        <v>8.1721364920669437</v>
      </c>
      <c r="CV103" s="217">
        <f t="shared" si="231"/>
        <v>1.816030331570432</v>
      </c>
      <c r="CW103" s="443">
        <f t="shared" si="232"/>
        <v>4</v>
      </c>
      <c r="CX103" s="217">
        <f t="shared" si="233"/>
        <v>4.7967872340425517</v>
      </c>
      <c r="CY103" s="217">
        <f t="shared" si="234"/>
        <v>2.3983936170212758</v>
      </c>
      <c r="CZ103" s="217">
        <f t="shared" si="235"/>
        <v>3.0617790855590754</v>
      </c>
      <c r="DA103" s="197">
        <f t="shared" si="236"/>
        <v>350</v>
      </c>
      <c r="DB103" s="443">
        <f t="shared" si="291"/>
        <v>183.14439019986</v>
      </c>
      <c r="DD103" s="217">
        <f t="shared" si="237"/>
        <v>2.5100133511348464</v>
      </c>
      <c r="DE103" s="173">
        <f t="shared" si="238"/>
        <v>1.6021361815754336</v>
      </c>
      <c r="DF103" s="173">
        <f t="shared" si="239"/>
        <v>2.8149682442633783</v>
      </c>
      <c r="DG103" s="173"/>
      <c r="DH103" s="173">
        <f t="shared" si="240"/>
        <v>0.85106382978723416</v>
      </c>
      <c r="DI103" s="545">
        <f t="shared" si="241"/>
        <v>2590.8749999999995</v>
      </c>
      <c r="DJ103" s="528">
        <f t="shared" si="242"/>
        <v>0.79432624113475192</v>
      </c>
      <c r="DL103" s="173">
        <f t="shared" si="243"/>
        <v>3.4698703145794942</v>
      </c>
      <c r="DM103" s="173">
        <f t="shared" si="244"/>
        <v>4.7967872340425517</v>
      </c>
      <c r="DN103" s="173">
        <f t="shared" si="245"/>
        <v>3.7655214079327539</v>
      </c>
      <c r="DP103" s="545">
        <f t="shared" si="246"/>
        <v>5880</v>
      </c>
      <c r="DQ103" s="460">
        <f t="shared" si="247"/>
        <v>183.14439019986</v>
      </c>
      <c r="DS103">
        <f t="shared" si="311"/>
        <v>5880</v>
      </c>
      <c r="DT103">
        <f t="shared" si="312"/>
        <v>183.14439019986</v>
      </c>
      <c r="DV103" s="5">
        <f t="shared" si="293"/>
        <v>5.4601727025803513</v>
      </c>
      <c r="DW103" s="5">
        <f t="shared" si="249"/>
        <v>2.3983936170212758</v>
      </c>
      <c r="DX103" s="5">
        <f t="shared" si="294"/>
        <v>3.0617790855590754</v>
      </c>
      <c r="DY103" s="173">
        <f t="shared" si="295"/>
        <v>0.43925233644859812</v>
      </c>
      <c r="EA103" s="5">
        <f t="shared" si="250"/>
        <v>352.5638617021275</v>
      </c>
      <c r="EB103" s="5">
        <f t="shared" si="251"/>
        <v>1.3057920803782503</v>
      </c>
      <c r="EC103" s="5">
        <f t="shared" si="252"/>
        <v>2.5004529198732448</v>
      </c>
      <c r="ED103" s="5"/>
      <c r="EE103" s="173">
        <f t="shared" si="296"/>
        <v>1.8354682147549939</v>
      </c>
      <c r="EF103" s="173">
        <f t="shared" si="253"/>
        <v>8.2953278630149203</v>
      </c>
      <c r="EG103" s="173">
        <f t="shared" si="254"/>
        <v>0.15805962549798699</v>
      </c>
      <c r="EH103" s="173"/>
      <c r="EI103" s="528">
        <f t="shared" si="255"/>
        <v>4.1101111521985784E-2</v>
      </c>
      <c r="EJ103" s="528">
        <f t="shared" si="256"/>
        <v>0.752</v>
      </c>
      <c r="EK103" s="528">
        <f t="shared" si="257"/>
        <v>2.2893048774982497E-2</v>
      </c>
      <c r="EL103" s="528">
        <f t="shared" si="258"/>
        <v>3.3549121974371147E-2</v>
      </c>
      <c r="EM103">
        <f t="shared" si="259"/>
        <v>1.0800000000000001E-2</v>
      </c>
      <c r="EN103" s="460">
        <f t="shared" si="297"/>
        <v>33.693048774982501</v>
      </c>
      <c r="EO103">
        <f t="shared" si="260"/>
        <v>0.8800346701639733</v>
      </c>
      <c r="EP103" s="460">
        <f t="shared" si="298"/>
        <v>880.03467016397326</v>
      </c>
      <c r="EQ103" s="173">
        <f t="shared" si="261"/>
        <v>3.6529499999999997</v>
      </c>
      <c r="ER103" s="173">
        <f t="shared" si="262"/>
        <v>4.3487499999999998E-2</v>
      </c>
      <c r="ES103" s="528"/>
      <c r="EU103" s="460">
        <f t="shared" si="299"/>
        <v>3696.4374999999995</v>
      </c>
      <c r="EV103" s="528">
        <f t="shared" si="263"/>
        <v>0.10106830702127652</v>
      </c>
      <c r="EW103" s="528">
        <f t="shared" si="300"/>
        <v>2.0643739306473505</v>
      </c>
      <c r="EX103" s="528">
        <f t="shared" si="264"/>
        <v>1.2491422606281951E-4</v>
      </c>
      <c r="EY103" s="528">
        <f t="shared" si="265"/>
        <v>1.143747595668152</v>
      </c>
      <c r="EZ103" s="528">
        <f t="shared" si="266"/>
        <v>4.6314235627352014</v>
      </c>
      <c r="FA103" s="625">
        <f t="shared" si="267"/>
        <v>0.10534999999999996</v>
      </c>
      <c r="FB103" s="460">
        <f t="shared" si="301"/>
        <v>4736.7735627352013</v>
      </c>
      <c r="FC103" s="173">
        <f t="shared" si="302"/>
        <v>9.3132457328991745</v>
      </c>
      <c r="FD103" s="5">
        <f t="shared" si="303"/>
        <v>25.283999999999999</v>
      </c>
      <c r="FE103" s="173">
        <f t="shared" si="304"/>
        <v>0.73080961979458858</v>
      </c>
      <c r="FF103" s="5">
        <f t="shared" si="305"/>
        <v>73.080961979458863</v>
      </c>
      <c r="FG103">
        <f t="shared" si="306"/>
        <v>98</v>
      </c>
      <c r="FI103" s="562">
        <f t="shared" si="268"/>
        <v>-50</v>
      </c>
      <c r="FJ103">
        <f t="shared" si="269"/>
        <v>-50</v>
      </c>
      <c r="FL103">
        <f t="shared" si="270"/>
        <v>0.56074766355140193</v>
      </c>
    </row>
    <row r="104" spans="5:169">
      <c r="E104" s="170">
        <v>99</v>
      </c>
      <c r="F104" s="217">
        <f>IF(PLOT_TYPE=1, E104/100*Iout_max, min_I*EXP(O104*rr/100))</f>
        <v>5.9399999999999995</v>
      </c>
      <c r="G104" s="217">
        <f t="shared" si="271"/>
        <v>9.9000000000000005E-2</v>
      </c>
      <c r="H104" s="217">
        <f t="shared" si="176"/>
        <v>23.759999999999998</v>
      </c>
      <c r="I104" s="217">
        <f t="shared" si="308"/>
        <v>1.782</v>
      </c>
      <c r="J104" s="541">
        <f t="shared" si="177"/>
        <v>23.860864821062641</v>
      </c>
      <c r="K104" s="443">
        <f t="shared" si="178"/>
        <v>20.071159999999999</v>
      </c>
      <c r="L104" s="172">
        <f t="shared" si="179"/>
        <v>43.93202482106264</v>
      </c>
      <c r="M104" s="443"/>
      <c r="N104" s="217">
        <f t="shared" si="180"/>
        <v>0.45686853910674158</v>
      </c>
      <c r="O104" s="172">
        <f>N104*J104*Isw_max*0.5*Efficiency*Pout/(Pout+Pout2)</f>
        <v>33.802413806580873</v>
      </c>
      <c r="P104" s="172">
        <f t="shared" si="181"/>
        <v>2.7253196131555835</v>
      </c>
      <c r="Q104" s="217">
        <f t="shared" si="182"/>
        <v>8.4506034516452182</v>
      </c>
      <c r="R104" s="217">
        <f t="shared" si="183"/>
        <v>1.8779118781433819</v>
      </c>
      <c r="S104" s="443">
        <f t="shared" si="184"/>
        <v>4</v>
      </c>
      <c r="T104" s="217">
        <f t="shared" si="185"/>
        <v>4.6860558806945809</v>
      </c>
      <c r="U104" s="217">
        <f t="shared" si="186"/>
        <v>2.3566903794156215</v>
      </c>
      <c r="V104" s="217">
        <f t="shared" si="187"/>
        <v>2.8016652036222607</v>
      </c>
      <c r="W104" s="197">
        <f t="shared" si="188"/>
        <v>350</v>
      </c>
      <c r="X104" s="443">
        <f t="shared" si="273"/>
        <v>186.62441947032133</v>
      </c>
      <c r="Z104" s="217">
        <f t="shared" si="189"/>
        <v>2.595542488719603</v>
      </c>
      <c r="AA104" s="173">
        <f t="shared" si="190"/>
        <v>1.5518041739807384</v>
      </c>
      <c r="AB104" s="173">
        <f>0.5*AA104*Z104*Nps*W104/1000*(Pout/Pout_total)</f>
        <v>2.8194415674176034</v>
      </c>
      <c r="AC104" s="173"/>
      <c r="AD104" s="173">
        <f t="shared" si="192"/>
        <v>0.79716369158533951</v>
      </c>
      <c r="AE104" s="545">
        <f>MAX(10, F104/(0.5*AD104/1000000*Isw_min*Nps)/1000*Pout_total/Pout)</f>
        <v>2794.2818062499991</v>
      </c>
      <c r="AF104" s="528">
        <f t="shared" si="194"/>
        <v>0.74401944547965027</v>
      </c>
      <c r="AH104" s="173">
        <f t="shared" si="195"/>
        <v>3.4875288017243875</v>
      </c>
      <c r="AI104" s="173">
        <f>MAX(IF(F104&gt;AB104,T104,AH104),Isw_min)</f>
        <v>4.6860558806945809</v>
      </c>
      <c r="AJ104" s="173">
        <f>IF(F104&gt;AF104, (AI104-Isw_min)/1.08*0.8+1.2, AE104*0.2/350+1)</f>
        <v>3.6834981832305536</v>
      </c>
      <c r="AL104" s="545">
        <f t="shared" si="198"/>
        <v>5939.9999999999991</v>
      </c>
      <c r="AM104" s="460">
        <f t="shared" si="199"/>
        <v>186.62441947032133</v>
      </c>
      <c r="AO104">
        <f t="shared" si="274"/>
        <v>5939.9999999999991</v>
      </c>
      <c r="AP104">
        <f t="shared" si="200"/>
        <v>186.62441947032133</v>
      </c>
      <c r="AR104" s="5">
        <f t="shared" si="275"/>
        <v>5.3583555830378824</v>
      </c>
      <c r="AS104" s="5">
        <f t="shared" si="201"/>
        <v>2.3566903794156215</v>
      </c>
      <c r="AT104" s="5">
        <f t="shared" si="276"/>
        <v>3.0016652036222609</v>
      </c>
      <c r="AU104" s="173">
        <f t="shared" si="277"/>
        <v>0.43981597392973171</v>
      </c>
      <c r="AW104" s="5">
        <f t="shared" si="202"/>
        <v>349.96852134321978</v>
      </c>
      <c r="AX104" s="5">
        <f t="shared" si="203"/>
        <v>1.2961797086785918</v>
      </c>
      <c r="AY104" s="5">
        <f t="shared" si="204"/>
        <v>2.490813785561437</v>
      </c>
      <c r="AZ104" s="5"/>
      <c r="BA104" s="173">
        <f t="shared" si="278"/>
        <v>1.7942474397333021</v>
      </c>
      <c r="BB104" s="173">
        <f t="shared" si="205"/>
        <v>8.0997606851968129</v>
      </c>
      <c r="BC104" s="173">
        <f t="shared" si="206"/>
        <v>0.15433327792064194</v>
      </c>
      <c r="BD104" s="173"/>
      <c r="BE104" s="528">
        <f t="shared" si="207"/>
        <v>3.9275751274872019E-2</v>
      </c>
      <c r="BF104" s="528">
        <f t="shared" si="208"/>
        <v>0.72037465624917574</v>
      </c>
      <c r="BG104" s="528">
        <f t="shared" si="209"/>
        <v>0.11132550113226569</v>
      </c>
      <c r="BH104" s="528">
        <f t="shared" si="210"/>
        <v>3.6018938552492455E-2</v>
      </c>
      <c r="BI104">
        <f t="shared" si="211"/>
        <v>1.0737389169478188E-2</v>
      </c>
      <c r="BJ104" s="460">
        <f t="shared" si="279"/>
        <v>122.06289030174389</v>
      </c>
      <c r="BK104">
        <f t="shared" si="212"/>
        <v>0.81386875582215246</v>
      </c>
      <c r="BL104" s="460">
        <f t="shared" si="280"/>
        <v>813.86875582215248</v>
      </c>
      <c r="BM104" s="173">
        <f t="shared" si="213"/>
        <v>3.6902249999999994</v>
      </c>
      <c r="BN104" s="173">
        <f t="shared" si="214"/>
        <v>4.3931249999999998E-2</v>
      </c>
      <c r="BO104" s="528"/>
      <c r="BQ104" s="460">
        <f t="shared" si="281"/>
        <v>3734.1562499999995</v>
      </c>
      <c r="BR104" s="528">
        <f t="shared" si="215"/>
        <v>9.6579716249685296E-2</v>
      </c>
      <c r="BS104" s="528">
        <f t="shared" si="216"/>
        <v>1.9681836947237983</v>
      </c>
      <c r="BT104" s="528">
        <f t="shared" si="217"/>
        <v>1.1909380336865053E-4</v>
      </c>
      <c r="BU104" s="528">
        <f t="shared" si="218"/>
        <v>1.1308625883539241</v>
      </c>
      <c r="BV104" s="528">
        <f>(BU104+(BR104+BS104+BT104)*(1+Ltc*(Ta-25)))/(1-(BR104+BS104+BT104)*Ltc*ThetaCa)</f>
        <v>4.4217481211483527</v>
      </c>
      <c r="BW104" s="625">
        <f t="shared" si="220"/>
        <v>0.10245269923157423</v>
      </c>
      <c r="BX104" s="460">
        <f t="shared" si="282"/>
        <v>4524.2008203799269</v>
      </c>
      <c r="BY104" s="173">
        <f t="shared" si="283"/>
        <v>9.0722258262020787</v>
      </c>
      <c r="BZ104" s="5">
        <f t="shared" si="284"/>
        <v>25.541999999999998</v>
      </c>
      <c r="CA104" s="173">
        <f t="shared" si="285"/>
        <v>0.7379047021951699</v>
      </c>
      <c r="CB104" s="5">
        <f t="shared" si="286"/>
        <v>73.79047021951699</v>
      </c>
      <c r="CC104">
        <f t="shared" si="287"/>
        <v>98.999999999999986</v>
      </c>
      <c r="CE104" s="562">
        <f t="shared" si="221"/>
        <v>-50</v>
      </c>
      <c r="CF104">
        <f t="shared" si="222"/>
        <v>-50</v>
      </c>
      <c r="CG104" s="173">
        <f t="shared" si="223"/>
        <v>0.56074766355140193</v>
      </c>
      <c r="CH104" s="173">
        <f t="shared" si="224"/>
        <v>0.15015627428312001</v>
      </c>
      <c r="CI104" s="170">
        <v>99</v>
      </c>
      <c r="CJ104" s="217">
        <f t="shared" si="309"/>
        <v>5.9399999999999995</v>
      </c>
      <c r="CK104" s="217">
        <f t="shared" si="288"/>
        <v>9.9000000000000005E-2</v>
      </c>
      <c r="CL104" s="217">
        <f t="shared" si="225"/>
        <v>23.759999999999998</v>
      </c>
      <c r="CM104" s="217">
        <f t="shared" si="310"/>
        <v>1.782</v>
      </c>
      <c r="CN104" s="541">
        <f t="shared" si="289"/>
        <v>24</v>
      </c>
      <c r="CO104" s="443">
        <f t="shared" si="226"/>
        <v>18.8</v>
      </c>
      <c r="CP104" s="443">
        <f t="shared" si="227"/>
        <v>42.8</v>
      </c>
      <c r="CQ104" s="443"/>
      <c r="CR104" s="217">
        <f t="shared" si="228"/>
        <v>0.43925233644859818</v>
      </c>
      <c r="CS104" s="172">
        <f t="shared" si="290"/>
        <v>32.688545968267775</v>
      </c>
      <c r="CT104" s="172">
        <f t="shared" si="229"/>
        <v>2.6355140186915893</v>
      </c>
      <c r="CU104" s="217">
        <f t="shared" si="230"/>
        <v>8.1721364920669437</v>
      </c>
      <c r="CV104" s="217">
        <f t="shared" si="231"/>
        <v>1.816030331570432</v>
      </c>
      <c r="CW104" s="443">
        <f t="shared" si="232"/>
        <v>4</v>
      </c>
      <c r="CX104" s="217">
        <f t="shared" si="233"/>
        <v>4.8457340425531905</v>
      </c>
      <c r="CY104" s="217">
        <f t="shared" si="234"/>
        <v>2.4228670212765953</v>
      </c>
      <c r="CZ104" s="217">
        <f t="shared" si="235"/>
        <v>3.0930217292892705</v>
      </c>
      <c r="DA104" s="197">
        <f t="shared" si="236"/>
        <v>350</v>
      </c>
      <c r="DB104" s="443">
        <f t="shared" si="291"/>
        <v>181.29444686450785</v>
      </c>
      <c r="DD104" s="217">
        <f t="shared" si="237"/>
        <v>2.5100133511348464</v>
      </c>
      <c r="DE104" s="173">
        <f t="shared" si="238"/>
        <v>1.6021361815754336</v>
      </c>
      <c r="DF104" s="173">
        <f t="shared" si="239"/>
        <v>2.8149682442633783</v>
      </c>
      <c r="DG104" s="173"/>
      <c r="DH104" s="173">
        <f t="shared" si="240"/>
        <v>0.85106382978723416</v>
      </c>
      <c r="DI104" s="545">
        <f t="shared" si="241"/>
        <v>2617.3124999999991</v>
      </c>
      <c r="DJ104" s="528">
        <f t="shared" si="242"/>
        <v>0.79432624113475192</v>
      </c>
      <c r="DL104" s="173">
        <f t="shared" si="243"/>
        <v>3.4875288017243875</v>
      </c>
      <c r="DM104" s="173">
        <f t="shared" si="244"/>
        <v>4.8457340425531905</v>
      </c>
      <c r="DN104" s="173">
        <f t="shared" si="245"/>
        <v>3.8017783031258201</v>
      </c>
      <c r="DP104" s="545">
        <f t="shared" si="246"/>
        <v>5939.9999999999991</v>
      </c>
      <c r="DQ104" s="460">
        <f t="shared" si="247"/>
        <v>181.29444686450785</v>
      </c>
      <c r="DS104">
        <f t="shared" si="311"/>
        <v>5939.9999999999991</v>
      </c>
      <c r="DT104">
        <f t="shared" si="312"/>
        <v>181.29444686450785</v>
      </c>
      <c r="DV104" s="5">
        <f t="shared" si="293"/>
        <v>5.5158887505658667</v>
      </c>
      <c r="DW104" s="5">
        <f t="shared" si="249"/>
        <v>2.4228670212765953</v>
      </c>
      <c r="DX104" s="5">
        <f t="shared" si="294"/>
        <v>3.0930217292892714</v>
      </c>
      <c r="DY104" s="173">
        <f t="shared" si="295"/>
        <v>0.43925233644859807</v>
      </c>
      <c r="EA104" s="5">
        <f t="shared" si="250"/>
        <v>359.79575265957436</v>
      </c>
      <c r="EB104" s="5">
        <f t="shared" si="251"/>
        <v>1.3325768617021274</v>
      </c>
      <c r="EC104" s="5">
        <f t="shared" si="252"/>
        <v>2.551742926663648</v>
      </c>
      <c r="ED104" s="5"/>
      <c r="EE104" s="173">
        <f t="shared" si="296"/>
        <v>1.854197482252494</v>
      </c>
      <c r="EF104" s="173">
        <f t="shared" si="253"/>
        <v>8.3799740656987467</v>
      </c>
      <c r="EG104" s="173">
        <f t="shared" si="254"/>
        <v>0.15967247881939509</v>
      </c>
      <c r="EH104" s="173"/>
      <c r="EI104" s="528">
        <f t="shared" si="255"/>
        <v>4.1944189298936153E-2</v>
      </c>
      <c r="EJ104" s="528">
        <f t="shared" si="256"/>
        <v>0.75199999999999989</v>
      </c>
      <c r="EK104" s="528">
        <f t="shared" si="257"/>
        <v>2.2661805858063478E-2</v>
      </c>
      <c r="EL104" s="528">
        <f t="shared" si="258"/>
        <v>3.3210241954428003E-2</v>
      </c>
      <c r="EM104">
        <f t="shared" si="259"/>
        <v>1.0800000000000001E-2</v>
      </c>
      <c r="EN104" s="460">
        <f t="shared" si="297"/>
        <v>33.461805858063478</v>
      </c>
      <c r="EO104">
        <f t="shared" si="260"/>
        <v>0.88071835394615516</v>
      </c>
      <c r="EP104" s="460">
        <f t="shared" si="298"/>
        <v>880.71835394615516</v>
      </c>
      <c r="EQ104" s="173">
        <f t="shared" si="261"/>
        <v>3.6902249999999994</v>
      </c>
      <c r="ER104" s="173">
        <f t="shared" si="262"/>
        <v>4.3931249999999998E-2</v>
      </c>
      <c r="ES104" s="528"/>
      <c r="EU104" s="460">
        <f t="shared" si="299"/>
        <v>3734.1562499999995</v>
      </c>
      <c r="EV104" s="528">
        <f t="shared" si="263"/>
        <v>0.10314144909574464</v>
      </c>
      <c r="EW104" s="528">
        <f t="shared" si="300"/>
        <v>2.1067189602535072</v>
      </c>
      <c r="EX104" s="528">
        <f t="shared" si="264"/>
        <v>1.2747650246165086E-4</v>
      </c>
      <c r="EY104" s="528">
        <f t="shared" si="265"/>
        <v>1.1437475956681527</v>
      </c>
      <c r="EZ104" s="528">
        <f t="shared" si="266"/>
        <v>4.7183284759983133</v>
      </c>
      <c r="FA104" s="625">
        <f t="shared" si="267"/>
        <v>0.10642499999999998</v>
      </c>
      <c r="FB104" s="460">
        <f t="shared" si="301"/>
        <v>4824.7534759983128</v>
      </c>
      <c r="FC104" s="173">
        <f t="shared" si="302"/>
        <v>9.4396280799444678</v>
      </c>
      <c r="FD104" s="5">
        <f t="shared" si="303"/>
        <v>25.541999999999998</v>
      </c>
      <c r="FE104" s="173">
        <f t="shared" si="304"/>
        <v>0.73015469553412926</v>
      </c>
      <c r="FF104" s="5">
        <f t="shared" si="305"/>
        <v>73.015469553412927</v>
      </c>
      <c r="FG104">
        <f t="shared" si="306"/>
        <v>98.999999999999986</v>
      </c>
      <c r="FI104" s="562">
        <f t="shared" si="268"/>
        <v>-50</v>
      </c>
      <c r="FJ104">
        <f t="shared" si="269"/>
        <v>-50</v>
      </c>
      <c r="FL104">
        <f t="shared" si="270"/>
        <v>0.56074766355140193</v>
      </c>
    </row>
    <row r="105" spans="5:169" ht="13">
      <c r="E105" s="170">
        <v>100</v>
      </c>
      <c r="F105" s="217">
        <f>IF(PLOT_TYPE=1, E105/100*Iout_max, min_I*EXP(O105*rr/100))</f>
        <v>6</v>
      </c>
      <c r="G105" s="217">
        <f t="shared" si="271"/>
        <v>0.1</v>
      </c>
      <c r="H105" s="217">
        <f t="shared" si="176"/>
        <v>24</v>
      </c>
      <c r="I105" s="217">
        <f t="shared" si="308"/>
        <v>1.8</v>
      </c>
      <c r="J105" s="541">
        <f t="shared" si="177"/>
        <v>23.85945941521479</v>
      </c>
      <c r="K105" s="443">
        <f t="shared" si="178"/>
        <v>20.084</v>
      </c>
      <c r="L105" s="172">
        <f t="shared" si="179"/>
        <v>43.943459415214789</v>
      </c>
      <c r="M105" s="443"/>
      <c r="N105" s="217">
        <f t="shared" si="180"/>
        <v>0.45704185030653743</v>
      </c>
      <c r="O105" s="172">
        <f>N105*J105*Isw_max*0.5*Efficiency*Pout/(Pout+Pout2)</f>
        <v>33.813244894398466</v>
      </c>
      <c r="P105" s="172">
        <f t="shared" si="181"/>
        <v>2.7261928696108759</v>
      </c>
      <c r="Q105" s="217">
        <f t="shared" si="182"/>
        <v>8.4533112235996164</v>
      </c>
      <c r="R105" s="217">
        <f t="shared" si="183"/>
        <v>1.8785136052443592</v>
      </c>
      <c r="S105" s="443">
        <f t="shared" si="184"/>
        <v>4</v>
      </c>
      <c r="T105" s="217">
        <f t="shared" si="185"/>
        <v>4.7318735749761114</v>
      </c>
      <c r="U105" s="217">
        <f t="shared" si="186"/>
        <v>2.3798729850310054</v>
      </c>
      <c r="V105" s="217">
        <f t="shared" si="187"/>
        <v>2.8272496962613696</v>
      </c>
      <c r="W105" s="197">
        <f t="shared" si="188"/>
        <v>350</v>
      </c>
      <c r="X105" s="443">
        <f t="shared" si="273"/>
        <v>184.94124489903129</v>
      </c>
      <c r="Z105" s="217">
        <f t="shared" si="189"/>
        <v>2.5963741615341669</v>
      </c>
      <c r="AA105" s="173">
        <f t="shared" si="190"/>
        <v>1.5513089991241786</v>
      </c>
      <c r="AB105" s="173">
        <f>0.5*AA105*Z105*Nps*W105/1000*(Pout/Pout_total)</f>
        <v>2.8194450213170126</v>
      </c>
      <c r="AC105" s="173"/>
      <c r="AD105" s="173">
        <f t="shared" si="192"/>
        <v>0.7966540529774947</v>
      </c>
      <c r="AE105" s="545">
        <f>MAX(10, F105/(0.5*AD105/1000000*Isw_min*Nps)/1000*Pout_total/Pout)</f>
        <v>2824.3124999999986</v>
      </c>
      <c r="AF105" s="528">
        <f t="shared" si="194"/>
        <v>0.74354378277899524</v>
      </c>
      <c r="AH105" s="173">
        <f t="shared" si="195"/>
        <v>3.505098327538656</v>
      </c>
      <c r="AI105" s="173">
        <f>MAX(IF(F105&gt;AB105,T105,AH105),Isw_min)</f>
        <v>4.7318735749761114</v>
      </c>
      <c r="AJ105" s="173">
        <f>IF(F105&gt;AF105, (AI105-Isw_min)/1.08*0.8+1.2, AE105*0.2/350+1)</f>
        <v>3.7174372160316871</v>
      </c>
      <c r="AL105" s="545">
        <f t="shared" si="198"/>
        <v>6000</v>
      </c>
      <c r="AM105" s="460">
        <f t="shared" si="199"/>
        <v>184.94124489903129</v>
      </c>
      <c r="AO105">
        <f t="shared" si="274"/>
        <v>6000</v>
      </c>
      <c r="AP105" s="3">
        <f t="shared" si="200"/>
        <v>184.94124489903129</v>
      </c>
      <c r="AR105" s="5">
        <f t="shared" si="275"/>
        <v>5.4071226812923765</v>
      </c>
      <c r="AS105" s="5">
        <f t="shared" si="201"/>
        <v>2.3798729850310054</v>
      </c>
      <c r="AT105" s="5">
        <f t="shared" si="276"/>
        <v>3.0272496962613711</v>
      </c>
      <c r="AU105" s="173">
        <f t="shared" si="277"/>
        <v>0.44013667255320776</v>
      </c>
      <c r="AW105" s="5">
        <f t="shared" si="202"/>
        <v>356.98094775465086</v>
      </c>
      <c r="AX105" s="5">
        <f t="shared" si="203"/>
        <v>1.3221516583505586</v>
      </c>
      <c r="AY105" s="5">
        <f t="shared" si="204"/>
        <v>2.5375677156632834</v>
      </c>
      <c r="AZ105" s="5"/>
      <c r="BA105" s="173">
        <f t="shared" si="278"/>
        <v>1.8124510381651286</v>
      </c>
      <c r="BB105" s="173">
        <f t="shared" si="205"/>
        <v>8.1766142079533619</v>
      </c>
      <c r="BC105" s="173">
        <f t="shared" si="206"/>
        <v>0.15579764909748972</v>
      </c>
      <c r="BD105" s="173"/>
      <c r="BE105" s="528">
        <f t="shared" si="207"/>
        <v>4.0076740942099398E-2</v>
      </c>
      <c r="BF105" s="528">
        <f t="shared" si="208"/>
        <v>0.72104509177995524</v>
      </c>
      <c r="BG105" s="528">
        <f t="shared" si="209"/>
        <v>0.1103149531716934</v>
      </c>
      <c r="BH105" s="528">
        <f t="shared" si="210"/>
        <v>3.5712665297157407E-2</v>
      </c>
      <c r="BI105">
        <f t="shared" si="211"/>
        <v>1.0736756736846655E-2</v>
      </c>
      <c r="BJ105" s="460">
        <f t="shared" si="279"/>
        <v>121.05170990854006</v>
      </c>
      <c r="BK105">
        <f t="shared" si="212"/>
        <v>0.8154198362756816</v>
      </c>
      <c r="BL105" s="460">
        <f t="shared" si="280"/>
        <v>815.41983627568163</v>
      </c>
      <c r="BM105" s="173">
        <f t="shared" si="213"/>
        <v>3.7274999999999991</v>
      </c>
      <c r="BN105" s="173">
        <f t="shared" si="214"/>
        <v>4.4374999999999998E-2</v>
      </c>
      <c r="BO105" s="528"/>
      <c r="BQ105" s="460">
        <f t="shared" si="281"/>
        <v>3771.8749999999991</v>
      </c>
      <c r="BR105" s="528">
        <f t="shared" si="215"/>
        <v>9.854936297237557E-2</v>
      </c>
      <c r="BS105" s="528">
        <f t="shared" si="216"/>
        <v>2.0057105971711437</v>
      </c>
      <c r="BT105" s="528">
        <f t="shared" si="217"/>
        <v>1.213645373215227E-4</v>
      </c>
      <c r="BU105" s="528">
        <f t="shared" si="218"/>
        <v>1.1327583647717316</v>
      </c>
      <c r="BV105" s="528">
        <f>(BU105+(BR105+BS105+BT105)*(1+Ltc*(Ta-25)))/(1-(BR105+BS105+BT105)*Ltc*ThetaCa)</f>
        <v>4.4997216186138678</v>
      </c>
      <c r="BW105" s="625">
        <f t="shared" si="220"/>
        <v>0.10352376323467079</v>
      </c>
      <c r="BX105" s="460">
        <f t="shared" si="282"/>
        <v>4603.2453818485392</v>
      </c>
      <c r="BY105" s="173">
        <f>SUM(BK105,BM105:BP105,BV105:BW105)+BI105+BG105</f>
        <v>9.3115919280327599</v>
      </c>
      <c r="BZ105" s="5">
        <f t="shared" si="284"/>
        <v>25.8</v>
      </c>
      <c r="CA105" s="173">
        <f t="shared" si="285"/>
        <v>0.73480006411789967</v>
      </c>
      <c r="CB105" s="5">
        <f t="shared" si="286"/>
        <v>73.480006411789972</v>
      </c>
      <c r="CC105">
        <f t="shared" si="287"/>
        <v>100</v>
      </c>
      <c r="CE105" s="562">
        <f t="shared" si="221"/>
        <v>-50</v>
      </c>
      <c r="CF105">
        <f t="shared" si="222"/>
        <v>-50</v>
      </c>
      <c r="CG105" s="173">
        <f t="shared" si="223"/>
        <v>0.56074766355140182</v>
      </c>
      <c r="CH105" s="173">
        <f t="shared" si="224"/>
        <v>0.15015627428311998</v>
      </c>
      <c r="CI105" s="170">
        <v>100</v>
      </c>
      <c r="CJ105" s="217">
        <f t="shared" si="309"/>
        <v>6</v>
      </c>
      <c r="CK105" s="217">
        <f t="shared" si="288"/>
        <v>0.1</v>
      </c>
      <c r="CL105" s="217">
        <f t="shared" si="225"/>
        <v>24</v>
      </c>
      <c r="CM105" s="217">
        <f t="shared" si="310"/>
        <v>1.8</v>
      </c>
      <c r="CN105" s="541">
        <f t="shared" si="289"/>
        <v>24</v>
      </c>
      <c r="CO105" s="443">
        <f t="shared" si="226"/>
        <v>18.8</v>
      </c>
      <c r="CP105" s="443">
        <f t="shared" si="227"/>
        <v>42.8</v>
      </c>
      <c r="CQ105" s="443"/>
      <c r="CR105" s="217">
        <f t="shared" si="228"/>
        <v>0.43925233644859818</v>
      </c>
      <c r="CS105" s="172">
        <f t="shared" si="290"/>
        <v>32.688545968267775</v>
      </c>
      <c r="CT105" s="172">
        <f t="shared" si="229"/>
        <v>2.6355140186915893</v>
      </c>
      <c r="CU105" s="217">
        <f t="shared" si="230"/>
        <v>8.1721364920669437</v>
      </c>
      <c r="CV105" s="217">
        <f t="shared" si="231"/>
        <v>1.816030331570432</v>
      </c>
      <c r="CW105" s="443">
        <f t="shared" si="232"/>
        <v>4</v>
      </c>
      <c r="CX105" s="217">
        <f t="shared" si="233"/>
        <v>4.8946808510638293</v>
      </c>
      <c r="CY105" s="217">
        <f t="shared" si="234"/>
        <v>2.4473404255319151</v>
      </c>
      <c r="CZ105" s="217">
        <f t="shared" si="235"/>
        <v>3.1242643730194652</v>
      </c>
      <c r="DA105" s="197">
        <f t="shared" si="236"/>
        <v>350</v>
      </c>
      <c r="DB105" s="443">
        <f t="shared" si="291"/>
        <v>179.48150239586275</v>
      </c>
      <c r="DD105" s="217">
        <f t="shared" si="237"/>
        <v>2.5100133511348464</v>
      </c>
      <c r="DE105" s="173">
        <f t="shared" si="238"/>
        <v>1.6021361815754336</v>
      </c>
      <c r="DF105" s="173">
        <f t="shared" si="239"/>
        <v>2.8149682442633783</v>
      </c>
      <c r="DG105" s="173"/>
      <c r="DH105" s="173">
        <f t="shared" si="240"/>
        <v>0.85106382978723416</v>
      </c>
      <c r="DI105" s="545">
        <f t="shared" si="241"/>
        <v>2643.7499999999995</v>
      </c>
      <c r="DJ105" s="528">
        <f t="shared" si="242"/>
        <v>0.79432624113475192</v>
      </c>
      <c r="DL105" s="173">
        <f t="shared" si="243"/>
        <v>3.505098327538656</v>
      </c>
      <c r="DM105" s="173">
        <f t="shared" si="244"/>
        <v>4.8946808510638293</v>
      </c>
      <c r="DN105" s="173">
        <f t="shared" si="245"/>
        <v>3.8380351983188854</v>
      </c>
      <c r="DP105" s="545">
        <f t="shared" si="246"/>
        <v>6000</v>
      </c>
      <c r="DQ105" s="460">
        <f t="shared" si="247"/>
        <v>179.48150239586275</v>
      </c>
      <c r="DS105">
        <f t="shared" si="311"/>
        <v>6000</v>
      </c>
      <c r="DT105">
        <f t="shared" si="312"/>
        <v>179.48150239586275</v>
      </c>
      <c r="DV105" s="5">
        <f t="shared" si="293"/>
        <v>5.5716047985513804</v>
      </c>
      <c r="DW105" s="5">
        <f t="shared" si="249"/>
        <v>2.4473404255319151</v>
      </c>
      <c r="DX105" s="5">
        <f t="shared" si="294"/>
        <v>3.1242643730194652</v>
      </c>
      <c r="DY105" s="173">
        <f t="shared" si="295"/>
        <v>0.43925233644859818</v>
      </c>
      <c r="EA105" s="5">
        <f t="shared" si="250"/>
        <v>367.10106382978722</v>
      </c>
      <c r="EB105" s="5">
        <f t="shared" si="251"/>
        <v>1.3596335697399531</v>
      </c>
      <c r="EC105" s="5">
        <f t="shared" si="252"/>
        <v>2.6035536441828873</v>
      </c>
      <c r="ED105" s="5"/>
      <c r="EE105" s="173">
        <f t="shared" si="296"/>
        <v>1.8729267497499944</v>
      </c>
      <c r="EF105" s="173">
        <f t="shared" si="253"/>
        <v>8.4646202683825731</v>
      </c>
      <c r="EG105" s="173">
        <f t="shared" si="254"/>
        <v>0.16128533214080307</v>
      </c>
      <c r="EH105" s="173"/>
      <c r="EI105" s="528">
        <f t="shared" si="255"/>
        <v>4.2795826241134746E-2</v>
      </c>
      <c r="EJ105" s="528">
        <f t="shared" si="256"/>
        <v>0.752</v>
      </c>
      <c r="EK105" s="528">
        <f t="shared" si="257"/>
        <v>2.243518779948284E-2</v>
      </c>
      <c r="EL105" s="528">
        <f t="shared" si="258"/>
        <v>3.2878139534883721E-2</v>
      </c>
      <c r="EM105">
        <f t="shared" si="259"/>
        <v>1.0800000000000001E-2</v>
      </c>
      <c r="EN105" s="460">
        <f t="shared" si="297"/>
        <v>33.235187799482837</v>
      </c>
      <c r="EO105">
        <f t="shared" si="260"/>
        <v>0.88142662672961858</v>
      </c>
      <c r="EP105" s="460">
        <f t="shared" si="298"/>
        <v>881.42662672961853</v>
      </c>
      <c r="EQ105" s="173">
        <f t="shared" si="261"/>
        <v>3.7274999999999991</v>
      </c>
      <c r="ER105" s="173">
        <f t="shared" si="262"/>
        <v>4.4374999999999998E-2</v>
      </c>
      <c r="ES105" s="528"/>
      <c r="EU105" s="460">
        <f t="shared" si="299"/>
        <v>3771.8749999999991</v>
      </c>
      <c r="EV105" s="528">
        <f t="shared" si="263"/>
        <v>0.10523563829787233</v>
      </c>
      <c r="EW105" s="528">
        <f t="shared" si="300"/>
        <v>2.1494938886373918</v>
      </c>
      <c r="EX105" s="528">
        <f t="shared" si="264"/>
        <v>1.3006479181884581E-4</v>
      </c>
      <c r="EY105" s="528">
        <f t="shared" si="265"/>
        <v>1.1437475956681544</v>
      </c>
      <c r="EZ105" s="528">
        <f t="shared" si="266"/>
        <v>4.8068807898283943</v>
      </c>
      <c r="FA105" s="625">
        <f t="shared" si="267"/>
        <v>0.1075</v>
      </c>
      <c r="FB105" s="460">
        <f t="shared" si="301"/>
        <v>4914.380789828394</v>
      </c>
      <c r="FC105" s="173">
        <f t="shared" si="302"/>
        <v>9.5676824165580125</v>
      </c>
      <c r="FD105" s="5">
        <f t="shared" si="303"/>
        <v>25.8</v>
      </c>
      <c r="FE105" s="173">
        <f t="shared" si="304"/>
        <v>0.72947952020518225</v>
      </c>
      <c r="FF105" s="5">
        <f t="shared" si="305"/>
        <v>72.94795202051823</v>
      </c>
      <c r="FG105">
        <f t="shared" si="306"/>
        <v>100</v>
      </c>
      <c r="FI105" s="562">
        <f t="shared" si="268"/>
        <v>-50</v>
      </c>
      <c r="FJ105">
        <f t="shared" si="269"/>
        <v>-50</v>
      </c>
      <c r="FL105">
        <f t="shared" si="270"/>
        <v>0.56074766355140182</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1E-4</v>
      </c>
      <c r="H110" s="217">
        <f t="shared" ref="H110:H141" si="314">F110*Vout</f>
        <v>4.0000000000000002E-9</v>
      </c>
      <c r="I110" s="217">
        <f t="shared" ref="I110:I141" si="315">Vout2*G110</f>
        <v>1.8000000000000002E-3</v>
      </c>
      <c r="J110" s="541">
        <f t="shared" ref="J110:J141" si="316">VIN_min-(F110/CG110/Nps+G110/CH110/(Nps/Nsec1sec2))*(Rdcr_pri+RON/1000)</f>
        <v>17.996289056276019</v>
      </c>
      <c r="K110" s="443">
        <f t="shared" ref="K110:K141" si="317">MAX((S110+Vfwd2+Rdcr_sec*F110/CG110)*Nps,(Vout2+Vfwd22+Rdcr_sec2*G110/CH110)*Nps/Nsec1sec2)</f>
        <v>18.800453338381107</v>
      </c>
      <c r="L110" s="172">
        <f t="shared" ref="L110:L141" si="318">MAX((Vout+Vfwd2+F110/CG110*Rdcr_sec)*Nps+J110, (Vout2+Vfwd22+G110/CH110*Rdcr_sec2)*Nps/Nsec1sec2+J110)</f>
        <v>36.79674239465713</v>
      </c>
      <c r="M110" s="443"/>
      <c r="N110" s="217">
        <f t="shared" ref="N110:N141" si="319">MAX((Vout+Vfwd2+F110/CG110*Rdcr_sec)*Nps/((Vout+Vfwd2+F110/CG110*Rdcr_sec)*Nps+J110), (Vout2+Vfwd22+G110/CH110*Rdcr_sec2)*Nps/Nsec1sec2/((Vout2+Vfwd22+G110/CH110*Rdcr_sec2)*Nps/Nsec1sec2+J110))</f>
        <v>0.5109271124258794</v>
      </c>
      <c r="O110" s="172">
        <f t="shared" ref="O110:O141" si="320">N110*J110*Isw_max*0.5*Efficiency*Pout/(Pout+Pout2)</f>
        <v>28.510982951642053</v>
      </c>
      <c r="P110" s="172">
        <f t="shared" ref="P110:P141" si="321">N110*J110*Isw_max*0.5*Efficiency*(Pout2/Pout_total)</f>
        <v>2.2986980004761404</v>
      </c>
      <c r="Q110" s="217">
        <f t="shared" ref="Q110:Q173" si="322">O110/Vout</f>
        <v>7.1277457379105131</v>
      </c>
      <c r="R110" s="217">
        <f t="shared" ref="R110:R141" si="323">O110/Vout2</f>
        <v>1.5839434973134474</v>
      </c>
      <c r="S110" s="217">
        <f t="shared" ref="S110:S141" si="324">MIN(Vout,O110/F110)</f>
        <v>4</v>
      </c>
      <c r="T110" s="217">
        <f t="shared" ref="T110:T141" si="325">MIN(2*(Vout*F110+Vout2*G110)/(Efficiency*J110*N110), Isw_max)</f>
        <v>3.9152685555630988E-4</v>
      </c>
      <c r="U110" s="217">
        <f t="shared" ref="U110:U173" si="326">L*T110/J110*1000000</f>
        <v>2.610717271757328E-4</v>
      </c>
      <c r="V110" s="217">
        <f t="shared" ref="V110:V173" si="327">L*T110/K110*1000000</f>
        <v>2.4990473272706138E-4</v>
      </c>
      <c r="W110" s="197">
        <f t="shared" ref="W110:W173" si="328">IF(1/((350000*L)*(1/J110+1/K110))&gt;Isw_min, 350, 0.001/((Isw_min*L)*(1/J110+1/K110)))</f>
        <v>350</v>
      </c>
      <c r="X110" s="443">
        <f>MIN(1/(U110+V110+0.2)*1000, 350)</f>
        <v>350</v>
      </c>
      <c r="Z110" s="217">
        <f t="shared" ref="Z110:Z173" si="329">1/((W110*1000*L)*(1/J110+1/K110))</f>
        <v>2.1892361909296576</v>
      </c>
      <c r="AA110" s="173">
        <f t="shared" ref="AA110:AA173" si="330">L*Z110/K110*1000000</f>
        <v>1.3973511073546301</v>
      </c>
      <c r="AB110" s="173">
        <f t="shared" ref="AB110:AB141" si="331">0.5*AA110*Z110*Nps*W110/1000*(Pout/(Pout+Pout2))</f>
        <v>1.9919926799622998</v>
      </c>
      <c r="AC110" s="173"/>
      <c r="AD110" s="173">
        <f t="shared" ref="AD110:AD173" si="332">L*Isw_min/K110*1000000</f>
        <v>0.8510433079470493</v>
      </c>
      <c r="AE110" s="545">
        <f t="shared" ref="AE110:AE141" si="333">MAX(10, F110/(0.5*AD110/1000000*Isw_min*Nps)/1000*Pout_total/Pout)</f>
        <v>10</v>
      </c>
      <c r="AF110" s="528">
        <f t="shared" ref="AF110:AF141" si="334">0.5*AD110/1000000*Isw_min*Nps*W110*1000*(Pout/Pout_total)</f>
        <v>0.79430708741724609</v>
      </c>
      <c r="AH110" s="173">
        <f t="shared" ref="AH110:AH141" si="335">SQRT((H110+I110)/(0.5*L*Fsw_DCM))</f>
        <v>2.9277034718440356E-2</v>
      </c>
      <c r="AI110" s="173">
        <f t="shared" ref="AI110:AI141" si="336">MAX(IF(F110&gt;AB110,T110,AH110),Isw_min)</f>
        <v>1.3333333333333335</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0.889072183157681</v>
      </c>
      <c r="AT110" s="5">
        <f>AR110-AS110</f>
        <v>99.11092781684232</v>
      </c>
      <c r="AU110" s="173">
        <f>AS110/AR110</f>
        <v>8.8907218315768099E-3</v>
      </c>
      <c r="AW110" s="5">
        <f t="shared" ref="AW110:AW169" si="342">F110*AS110/Vout_ripple*1000</f>
        <v>2.2226804578942025E-8</v>
      </c>
      <c r="AX110" s="5">
        <f t="shared" ref="AX110:AX169" si="343">G110*AS110/Vout_ripple2*1000</f>
        <v>4.9392899064315608E-4</v>
      </c>
      <c r="AY110" s="5">
        <f t="shared" ref="AY110:AY169" si="344">H110/Efficiency/J110*AT110/Vinripple1</f>
        <v>1.8357660201854855E-8</v>
      </c>
      <c r="AZ110" s="5"/>
      <c r="BA110" s="173">
        <f t="shared" ref="BA110:BA169" si="345">AI110*SQRT(AU110/3)</f>
        <v>7.2584956431712935E-2</v>
      </c>
      <c r="BB110" s="173">
        <f t="shared" ref="BB110:BB169" si="346">AI110*Npri_sec1*SQRT((1-AU110)/3)*(Pout/Pout_total)</f>
        <v>3.0654827135507356</v>
      </c>
      <c r="BC110" s="173">
        <f t="shared" ref="BC110:BC169" si="347">AI110*Npri_sec2*SQRT((1-AU110)/3)*(Pout2/Pout_total)</f>
        <v>5.8409873325764014E-2</v>
      </c>
      <c r="BD110" s="173"/>
      <c r="BE110" s="528">
        <f t="shared" ref="BE110:BE169" si="348">Rdson*BA110^2</f>
        <v>6.4276625982362712E-5</v>
      </c>
      <c r="BF110" s="528">
        <f t="shared" ref="BF110:BF141" si="349">0.5*L110*AI110*AM110*1000*Tfall</f>
        <v>9.1991855986642834E-3</v>
      </c>
      <c r="BG110" s="528">
        <f t="shared" ref="BG110:BG141" si="350">Qg*Vdd*AM110*1000*0+Qg*J110*AM110*1000</f>
        <v>4.4990722640690043E-3</v>
      </c>
      <c r="BH110" s="528">
        <f t="shared" ref="BH110:BH169" si="351">0.5*(Coss+Csw)*L110^2*AM110*1000</f>
        <v>1.3540002508587575E-3</v>
      </c>
      <c r="BI110">
        <f t="shared" ref="BI110:BI169" si="352">J110*IQ</f>
        <v>8.0983300753242077E-3</v>
      </c>
      <c r="BJ110" s="460">
        <f>(BG110+BI110)*1000</f>
        <v>12.597402339393213</v>
      </c>
      <c r="BK110">
        <f t="shared" ref="BK110:BK141" si="353">(BF110+BG110*0+BH110+BI110*0+BE110*(1+RdsonTC*(Ta-25)))/(1-BE110*RdsonTC*ThetaJA)</f>
        <v>1.0634979583272393E-2</v>
      </c>
      <c r="BL110" s="460">
        <f>SUM(BE110:BI110)*1000</f>
        <v>23.214864814898615</v>
      </c>
      <c r="BM110" s="173">
        <f t="shared" ref="BM110:BM141" si="354">Vfwd2*F110*(1+Diode_TC/1000*(Ta-25))</f>
        <v>6.212499999999999E-10</v>
      </c>
      <c r="BN110" s="173">
        <f t="shared" ref="BN110:BN141" si="355">Vfwd2*G110*(1+Diode_TC/1000*(Ta-25))</f>
        <v>6.2124999999999992E-5</v>
      </c>
      <c r="BO110" s="528"/>
      <c r="BQ110" s="460">
        <f t="shared" ref="BQ110:BQ169" si="356">SUM(BM110:BP110)*1000</f>
        <v>6.2125621249999992E-2</v>
      </c>
      <c r="BR110" s="528">
        <f t="shared" ref="BR110:BR169" si="357">Rdcr_pri*BA110^2</f>
        <v>1.5805727700580997E-4</v>
      </c>
      <c r="BS110" s="528">
        <f t="shared" ref="BS110:BS169" si="358">Rdcr_sec*BB110^2</f>
        <v>0.28191552801235142</v>
      </c>
      <c r="BT110" s="528">
        <f t="shared" ref="BT110:BT169" si="359">Rdcr_sec2*BC110^2</f>
        <v>1.7058566509658992E-5</v>
      </c>
      <c r="BU110" s="528">
        <f t="shared" ref="BU110:BU169" si="360">AI110^2.5*AM110^2.5*k_core</f>
        <v>3.2457633037343212E-5</v>
      </c>
      <c r="BV110" s="528"/>
      <c r="BW110" s="625">
        <f t="shared" ref="BW110:BW141" si="361">0.5*Lleak*0.000000001*AI110^2*AM110*1000</f>
        <v>4.4444444444444452E-4</v>
      </c>
      <c r="BX110" s="460">
        <f t="shared" ref="BX110:BX169" si="362">SUM(BR110:BW110)*1000</f>
        <v>282.5675459333487</v>
      </c>
      <c r="BY110" s="173">
        <f t="shared" ref="BY110:BY169" si="363">SUM(BE110:BI110,BM110:BP110,BR110:BW110)</f>
        <v>0.30584453636949732</v>
      </c>
      <c r="BZ110" s="5">
        <f t="shared" ref="BZ110:BZ169" si="364">MIN(H110+I110,O110+P110)</f>
        <v>1.8000040000000002E-3</v>
      </c>
      <c r="CA110" s="173">
        <f t="shared" ref="CA110:CA169" si="365">BZ110/(BZ110+BY110)</f>
        <v>5.850921319254034E-3</v>
      </c>
      <c r="CB110" s="5">
        <f t="shared" ref="CB110:CB169" si="366">CA110*100</f>
        <v>0.58509213192540344</v>
      </c>
      <c r="CC110">
        <f t="shared" ref="CC110:CC169" si="367">F110/Iout*100</f>
        <v>1.6666666666666667E-8</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1.7864740025262411E-6</v>
      </c>
      <c r="CH110" s="173">
        <f t="shared" ref="CH110:CH141" si="371">MIN(SQRT(2*DT110*1000*Ls2_*(CM110+CK110*Vfwd22))/(Vout2+Vfwd22), 1-DY110)</f>
        <v>1.120814229026887E-3</v>
      </c>
      <c r="CI110" s="170">
        <v>0.1</v>
      </c>
      <c r="CJ110" s="217">
        <v>1.0000000000000001E-9</v>
      </c>
      <c r="CK110" s="217">
        <f t="shared" ref="CK110:CK173" si="372">IF(PLOT_TYPE=1, CI110/100*Iout2, min_I*EXP(CU110*rr/100))</f>
        <v>1E-4</v>
      </c>
      <c r="CL110" s="217">
        <f t="shared" ref="CL110:CL173" si="373">CJ110*Vout</f>
        <v>4.0000000000000002E-9</v>
      </c>
      <c r="CM110" s="217">
        <f t="shared" ref="CM110:CM173" si="374">Vout2*CK110</f>
        <v>1.8000000000000002E-3</v>
      </c>
      <c r="CN110" s="541">
        <f t="shared" ref="CN110:CN173" si="375">VIN_min</f>
        <v>18</v>
      </c>
      <c r="CO110" s="443">
        <f t="shared" ref="CO110:CO141" si="376">(CW110+Vfwd2)*Nps</f>
        <v>18.8</v>
      </c>
      <c r="CP110" s="443">
        <f t="shared" ref="CP110:CP141" si="377">(Vout+Vfwd2)*Nps+CN110</f>
        <v>36.799999999999997</v>
      </c>
      <c r="CQ110" s="443"/>
      <c r="CR110" s="217">
        <f t="shared" ref="CR110:CR173" si="378">(Vout+Vfwd1)*Nps/((Vout+Vfwd1)*Nps+CN110)</f>
        <v>0.51086956521739135</v>
      </c>
      <c r="CS110" s="172">
        <f t="shared" ref="CS110:CS173" si="379">CR110*CN110*Isw_max*0.5*Efficiency*Pout/(Pout+Pout2)</f>
        <v>28.513650151668358</v>
      </c>
      <c r="CT110" s="172">
        <f t="shared" ref="CT110:CT173" si="380">CR110*CN110*Isw_max*0.5*Efficiency*(Pout2/Pout_total)</f>
        <v>2.2989130434782612</v>
      </c>
      <c r="CU110" s="217">
        <f t="shared" ref="CU110:CU173" si="381">CS110/Vout</f>
        <v>7.1284125379170895</v>
      </c>
      <c r="CV110" s="217">
        <f t="shared" ref="CV110:CV173" si="382">CS110/Vout2</f>
        <v>1.5840916750926866</v>
      </c>
      <c r="CW110" s="217">
        <f t="shared" ref="CW110:CW173" si="383">MIN(Vout,CS110/CJ110)</f>
        <v>4</v>
      </c>
      <c r="CX110" s="217">
        <f t="shared" ref="CX110:CX173" si="384">MIN(2*(Vout*CJ110+Vout2*CK110)/(Efficiency*CN110*CR110), Isw_max)</f>
        <v>3.9149023167848698E-4</v>
      </c>
      <c r="CY110" s="217">
        <f t="shared" ref="CY110:CY173" si="385">L*CX110/CN110*1000000</f>
        <v>2.6099348778565795E-4</v>
      </c>
      <c r="CZ110" s="217">
        <f t="shared" ref="CZ110:CZ173" si="386">L*CX110/CO110*1000000</f>
        <v>2.4988738192243846E-4</v>
      </c>
      <c r="DA110" s="197">
        <f t="shared" ref="DA110:DA173" si="387">IF(1/((350000*L)*(1/CN110+1/CO110))&gt;Isw_min, 350, 0.001/((Isw_min*L)*(1/CN110+1/CO110)))</f>
        <v>350</v>
      </c>
      <c r="DB110" s="443">
        <f t="shared" ref="DB110:DB173" si="388">MIN(1/(CY110+CZ110)*1000, 350)</f>
        <v>350</v>
      </c>
      <c r="DD110" s="217">
        <f t="shared" ref="DD110:DD173" si="389">1/((DA110*1000*L)*(1/CN110+1/CO110))</f>
        <v>2.18944099378882</v>
      </c>
      <c r="DE110" s="173">
        <f t="shared" ref="DE110:DE173" si="390">L*DD110/CO110*1000000</f>
        <v>1.3975155279503106</v>
      </c>
      <c r="DF110" s="173">
        <f t="shared" ref="DF110:DF173" si="391">0.5*DE110*DD110*Nps*DA110/1000*(Pout/(Pout+Pout2))</f>
        <v>1.9924134422749624</v>
      </c>
      <c r="DG110" s="173"/>
      <c r="DH110" s="173">
        <f t="shared" ref="DH110:DH173" si="392">L*Isw_min/CO110*1000000</f>
        <v>0.85106382978723416</v>
      </c>
      <c r="DI110" s="545">
        <f t="shared" ref="DI110:DI173" si="393">MAX(10, CJ110/(0.5*DH110/1000000*Isw_min*Nps)/1000*Pout_total/Pout)</f>
        <v>10</v>
      </c>
      <c r="DJ110" s="528">
        <f t="shared" ref="DJ110:DJ173" si="394">0.5*DH110/1000000*Isw_min*Nps*DA110*1000*(Pout/Pout_total)</f>
        <v>0.79432624113475192</v>
      </c>
      <c r="DL110" s="173">
        <f t="shared" ref="DL110:DL173" si="395">SQRT((CL110+CM110)/(0.5*L*Fsw_DCM))</f>
        <v>2.9277034718440356E-2</v>
      </c>
      <c r="DM110" s="173">
        <f t="shared" ref="DM110:DM173" si="396">MAX(IF(CJ110&gt;DF110,CX110,DL110),Isw_min)</f>
        <v>1.3333333333333335</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0.88888888888888906</v>
      </c>
      <c r="DX110" s="5">
        <f t="shared" ref="DX110:DX173" si="404">DV110-DW110</f>
        <v>99.111111111111114</v>
      </c>
      <c r="DY110" s="173">
        <f t="shared" ref="DY110:DY173" si="405">DW110/DV110</f>
        <v>8.8888888888888906E-3</v>
      </c>
      <c r="EA110" s="5">
        <f t="shared" ref="EA110:EA173" si="406">CJ110*DW110/Vout_ripple*1000</f>
        <v>2.2222222222222227E-8</v>
      </c>
      <c r="EB110" s="5">
        <f t="shared" ref="EB110:EB173" si="407">CK110*DW110/Vout_ripple2*1000</f>
        <v>4.9382716049382728E-4</v>
      </c>
      <c r="EC110" s="5">
        <f t="shared" ref="EC110:EC173" si="408">CL110/Efficiency/CN110*DX110/Vinripple1</f>
        <v>1.8353909465020576E-8</v>
      </c>
      <c r="ED110" s="5"/>
      <c r="EE110" s="173">
        <f t="shared" ref="EE110:EE173" si="409">DM110*SQRT(DY110/3)</f>
        <v>7.2577473860242339E-2</v>
      </c>
      <c r="EF110" s="173">
        <f t="shared" ref="EF110:EF173" si="410">DM110*Npri_sec1*SQRT((1-DY110)/3)*(Pout/Pout_total)</f>
        <v>3.0654855481783856</v>
      </c>
      <c r="EG110" s="173">
        <f t="shared" ref="EG110:EG173" si="411">DM110*Npri_sec2*SQRT((1-DY110)/3)*(Pout2/Pout_total)</f>
        <v>5.8409927336912477E-2</v>
      </c>
      <c r="EH110" s="173"/>
      <c r="EI110" s="528">
        <f t="shared" ref="EI110:EI173" si="412">Rdson*EE110^2</f>
        <v>6.4263374485596753E-5</v>
      </c>
      <c r="EJ110" s="528">
        <f t="shared" ref="EJ110:EJ173" si="413">0.5*CP110*DM110*DQ110*1000*Trise</f>
        <v>9.8133333333333336E-3</v>
      </c>
      <c r="EK110" s="528">
        <f t="shared" ref="EK110:EK173" si="414">Qg*Vdd*DQ110*1000</f>
        <v>1.2499999999999998E-3</v>
      </c>
      <c r="EL110" s="528">
        <f t="shared" ref="EL110:EL173" si="415">0.5*(Coss+Csw)*CP110^2*DQ110*1000</f>
        <v>1.3542399999999998E-3</v>
      </c>
      <c r="EM110">
        <f t="shared" ref="EM110:EM173" si="416">CN110*IQ</f>
        <v>8.0999999999999996E-3</v>
      </c>
      <c r="EN110" s="460">
        <f t="shared" ref="EN110:EN173" si="417">(EK110+EM110)*1000</f>
        <v>9.35</v>
      </c>
      <c r="EP110" s="460">
        <f>SUM(EI110:EM110)*1000</f>
        <v>20.581836707818926</v>
      </c>
      <c r="EQ110" s="173">
        <f t="shared" ref="EQ110:EQ173" si="418">Vfwd2*CJ110</f>
        <v>6.9999999999999996E-10</v>
      </c>
      <c r="ER110" s="173">
        <f t="shared" ref="ER110:ER141" si="419">Vfwd22*CK110*(1+Diode_TC/1000*(Ta-25))</f>
        <v>4.4375000000000001E-5</v>
      </c>
      <c r="ES110" s="528"/>
      <c r="EU110" s="460">
        <f t="shared" ref="EU110:EU169" si="420">SUM(EQ110:ET110)*1000</f>
        <v>4.4375700000000004E-2</v>
      </c>
      <c r="EV110" s="528">
        <f t="shared" ref="EV110:EV173" si="421">Rdcr_pri*EE110^2</f>
        <v>1.580246913580248E-4</v>
      </c>
      <c r="EW110" s="528">
        <f t="shared" ref="EW110:EW173" si="422">Rdcr_sec*EF110^2</f>
        <v>0.28191604938271608</v>
      </c>
      <c r="EX110" s="528">
        <f t="shared" ref="EX110:EX173" si="423">Rdcr_sec2*EG110^2</f>
        <v>1.7058598057516977E-5</v>
      </c>
      <c r="EY110" s="528">
        <f t="shared" ref="EY110:EY173" si="424">DM110^2.5*DQ110^2.5*k_core</f>
        <v>3.2457633037343212E-5</v>
      </c>
      <c r="EZ110" s="528"/>
      <c r="FA110" s="625">
        <f t="shared" ref="FA110:FA173" si="425">0.5*Lleak*0.000000001*DM110^2*DQ110*1000</f>
        <v>4.4444444444444452E-4</v>
      </c>
      <c r="FB110" s="460">
        <f t="shared" ref="FB110:FB169" si="426">SUM(EV110:FA110)*1000</f>
        <v>282.56803474961339</v>
      </c>
      <c r="FC110" s="173">
        <f t="shared" ref="FC110:FC173" si="427">SUM(EI110:EM110,EQ110:ET110,EV110:FA110)</f>
        <v>0.30319424715743232</v>
      </c>
      <c r="FD110" s="5">
        <f t="shared" ref="FD110:FD173" si="428">MIN(CL110+CM110,CS110+CT110)</f>
        <v>1.8000040000000002E-3</v>
      </c>
      <c r="FE110" s="173">
        <f t="shared" ref="FE110:FE173" si="429">FD110/(FD110+FC110)</f>
        <v>5.9017636993782931E-3</v>
      </c>
      <c r="FF110" s="5">
        <f t="shared" ref="FF110:FF173" si="430">FE110*100</f>
        <v>0.59017636993782929</v>
      </c>
      <c r="FG110">
        <f t="shared" ref="FG110:FG173" si="431">CJ110/Iout*100</f>
        <v>1.6666666666666667E-8</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0.06</v>
      </c>
      <c r="G111" s="217">
        <f t="shared" si="313"/>
        <v>1E-3</v>
      </c>
      <c r="H111" s="217">
        <f t="shared" si="314"/>
        <v>0.24</v>
      </c>
      <c r="I111" s="217">
        <f t="shared" si="315"/>
        <v>1.8000000000000002E-2</v>
      </c>
      <c r="J111" s="541">
        <f t="shared" si="316"/>
        <v>17.964660861721935</v>
      </c>
      <c r="K111" s="443">
        <f t="shared" si="317"/>
        <v>19.12</v>
      </c>
      <c r="L111" s="172">
        <f t="shared" si="318"/>
        <v>37.084660861721936</v>
      </c>
      <c r="M111" s="443"/>
      <c r="N111" s="217">
        <f t="shared" si="319"/>
        <v>0.51557704872354093</v>
      </c>
      <c r="O111" s="172">
        <f t="shared" si="320"/>
        <v>28.719897142343875</v>
      </c>
      <c r="P111" s="172">
        <f t="shared" si="321"/>
        <v>2.3155417071014748</v>
      </c>
      <c r="Q111" s="217">
        <f t="shared" si="322"/>
        <v>7.1799742855859687</v>
      </c>
      <c r="R111" s="217">
        <f t="shared" si="323"/>
        <v>1.5955498412413265</v>
      </c>
      <c r="S111" s="217">
        <f t="shared" si="324"/>
        <v>4</v>
      </c>
      <c r="T111" s="217">
        <f t="shared" si="325"/>
        <v>5.5710505927996569E-2</v>
      </c>
      <c r="U111" s="217">
        <f t="shared" si="326"/>
        <v>3.7213397808161006E-2</v>
      </c>
      <c r="V111" s="217">
        <f t="shared" si="327"/>
        <v>3.4964752674474832E-2</v>
      </c>
      <c r="W111" s="197">
        <f t="shared" si="328"/>
        <v>350</v>
      </c>
      <c r="X111" s="443">
        <f t="shared" ref="X111:X174" si="435">MIN(1/(U111+V111+0.2)*1000, 350)</f>
        <v>350</v>
      </c>
      <c r="Z111" s="217">
        <f t="shared" si="329"/>
        <v>2.2052778162871185</v>
      </c>
      <c r="AA111" s="173">
        <f t="shared" si="330"/>
        <v>1.3840655750755975</v>
      </c>
      <c r="AB111" s="173">
        <f t="shared" si="331"/>
        <v>1.987511047721509</v>
      </c>
      <c r="AC111" s="173"/>
      <c r="AD111" s="173">
        <f t="shared" si="332"/>
        <v>0.83682008368200844</v>
      </c>
      <c r="AE111" s="545">
        <f t="shared" si="333"/>
        <v>26.887499999999992</v>
      </c>
      <c r="AF111" s="528">
        <f t="shared" si="334"/>
        <v>0.78103207810320796</v>
      </c>
      <c r="AH111" s="173">
        <f t="shared" si="335"/>
        <v>0.35050983275386566</v>
      </c>
      <c r="AI111" s="173">
        <f t="shared" si="336"/>
        <v>1.3333333333333335</v>
      </c>
      <c r="AJ111" s="173">
        <f t="shared" si="337"/>
        <v>1.0153642857142857</v>
      </c>
      <c r="AL111" s="545">
        <f t="shared" si="338"/>
        <v>60</v>
      </c>
      <c r="AM111" s="460">
        <f t="shared" si="339"/>
        <v>26.887499999999992</v>
      </c>
      <c r="AO111" s="460">
        <f t="shared" si="340"/>
        <v>60</v>
      </c>
      <c r="AP111" s="460">
        <f t="shared" si="341"/>
        <v>26.887499999999992</v>
      </c>
      <c r="AR111" s="5">
        <f t="shared" si="275"/>
        <v>37.192003719200379</v>
      </c>
      <c r="AS111" s="5">
        <f>L*AI111/J111*1000000</f>
        <v>0.89063746447292425</v>
      </c>
      <c r="AT111" s="5">
        <f>AR111-AS111</f>
        <v>36.301366254727455</v>
      </c>
      <c r="AU111" s="173">
        <f>AS111/AR111</f>
        <v>2.3947014826015744E-2</v>
      </c>
      <c r="AW111" s="5">
        <f t="shared" si="342"/>
        <v>1.3359561967093863</v>
      </c>
      <c r="AX111" s="5">
        <f t="shared" si="343"/>
        <v>4.9479859137384679E-3</v>
      </c>
      <c r="AY111" s="5">
        <f t="shared" si="344"/>
        <v>0.40414195997516777</v>
      </c>
      <c r="AZ111" s="5"/>
      <c r="BA111" s="173">
        <f t="shared" si="345"/>
        <v>0.11912524333910897</v>
      </c>
      <c r="BB111" s="173">
        <f t="shared" si="346"/>
        <v>3.0421091867110639</v>
      </c>
      <c r="BC111" s="173">
        <f t="shared" si="347"/>
        <v>5.7964512881927027E-2</v>
      </c>
      <c r="BD111" s="173"/>
      <c r="BE111" s="528">
        <f t="shared" si="348"/>
        <v>1.7312804792734348E-4</v>
      </c>
      <c r="BF111" s="528">
        <f t="shared" si="349"/>
        <v>2.4927845472988708E-2</v>
      </c>
      <c r="BG111" s="528">
        <f t="shared" si="350"/>
        <v>1.2075620472988708E-2</v>
      </c>
      <c r="BH111" s="528">
        <f t="shared" si="351"/>
        <v>3.6977627815167869E-3</v>
      </c>
      <c r="BI111">
        <f t="shared" si="352"/>
        <v>8.0840973877748697E-3</v>
      </c>
      <c r="BJ111" s="460">
        <f t="shared" ref="BJ111:BJ174" si="436">(BG111+BI111)*1000</f>
        <v>20.159717860763578</v>
      </c>
      <c r="BK111">
        <f t="shared" si="353"/>
        <v>2.8846667489507465E-2</v>
      </c>
      <c r="BL111" s="460">
        <f t="shared" ref="BL111:BL174" si="437">SUM(BE111:BI111)*1000</f>
        <v>48.958454163196414</v>
      </c>
      <c r="BM111" s="173">
        <f t="shared" si="354"/>
        <v>3.7274999999999996E-2</v>
      </c>
      <c r="BN111" s="173">
        <f t="shared" si="355"/>
        <v>6.2124999999999995E-4</v>
      </c>
      <c r="BO111" s="528"/>
      <c r="BQ111" s="460">
        <f t="shared" si="356"/>
        <v>37.896249999999995</v>
      </c>
      <c r="BR111" s="528">
        <f t="shared" si="357"/>
        <v>4.2572470801805775E-4</v>
      </c>
      <c r="BS111" s="528">
        <f t="shared" si="358"/>
        <v>0.27763284911615554</v>
      </c>
      <c r="BT111" s="528">
        <f t="shared" si="359"/>
        <v>1.6799423768195423E-5</v>
      </c>
      <c r="BU111" s="528">
        <f t="shared" si="360"/>
        <v>3.8476264745635342E-4</v>
      </c>
      <c r="BV111" s="528"/>
      <c r="BW111" s="625">
        <f t="shared" si="361"/>
        <v>1.1950000000000001E-3</v>
      </c>
      <c r="BX111" s="460">
        <f t="shared" si="362"/>
        <v>279.65513589539813</v>
      </c>
      <c r="BY111" s="173">
        <f t="shared" si="363"/>
        <v>0.3665098400585946</v>
      </c>
      <c r="BZ111" s="5">
        <f t="shared" si="364"/>
        <v>0.25800000000000001</v>
      </c>
      <c r="CA111" s="173">
        <f t="shared" si="365"/>
        <v>0.41312399493303925</v>
      </c>
      <c r="CB111" s="5">
        <f t="shared" si="366"/>
        <v>41.312399493303928</v>
      </c>
      <c r="CC111">
        <f t="shared" si="367"/>
        <v>1</v>
      </c>
      <c r="CE111" s="562">
        <f t="shared" si="368"/>
        <v>-50</v>
      </c>
      <c r="CF111">
        <f t="shared" si="369"/>
        <v>-50</v>
      </c>
      <c r="CG111" s="173">
        <f t="shared" si="370"/>
        <v>2.2499999999999992E-2</v>
      </c>
      <c r="CH111" s="173">
        <f t="shared" si="371"/>
        <v>5.7629364190673448E-3</v>
      </c>
      <c r="CI111" s="170">
        <v>1</v>
      </c>
      <c r="CJ111" s="217">
        <f t="shared" ref="CJ111:CJ174" si="438">IF(PLOT_TYPE=1, CI111/100*Iout_max, min_I*EXP(CS111*rr/100))</f>
        <v>0.06</v>
      </c>
      <c r="CK111" s="217">
        <f t="shared" si="372"/>
        <v>1E-3</v>
      </c>
      <c r="CL111" s="217">
        <f t="shared" si="373"/>
        <v>0.24</v>
      </c>
      <c r="CM111" s="217">
        <f t="shared" si="374"/>
        <v>1.8000000000000002E-2</v>
      </c>
      <c r="CN111" s="541">
        <f t="shared" si="375"/>
        <v>18</v>
      </c>
      <c r="CO111" s="443">
        <f t="shared" si="376"/>
        <v>18.8</v>
      </c>
      <c r="CP111" s="443">
        <f t="shared" si="377"/>
        <v>36.799999999999997</v>
      </c>
      <c r="CQ111" s="443"/>
      <c r="CR111" s="217">
        <f t="shared" si="378"/>
        <v>0.51086956521739135</v>
      </c>
      <c r="CS111" s="172">
        <f t="shared" si="379"/>
        <v>28.513650151668358</v>
      </c>
      <c r="CT111" s="172">
        <f t="shared" si="380"/>
        <v>2.2989130434782612</v>
      </c>
      <c r="CU111" s="217">
        <f t="shared" si="381"/>
        <v>7.1284125379170895</v>
      </c>
      <c r="CV111" s="217">
        <f t="shared" si="382"/>
        <v>1.5840916750926866</v>
      </c>
      <c r="CW111" s="217">
        <f t="shared" si="383"/>
        <v>4</v>
      </c>
      <c r="CX111" s="217">
        <f t="shared" si="384"/>
        <v>5.6113475177304958E-2</v>
      </c>
      <c r="CY111" s="217">
        <f t="shared" si="385"/>
        <v>3.7408983451536641E-2</v>
      </c>
      <c r="CZ111" s="217">
        <f t="shared" si="386"/>
        <v>3.5817111815301034E-2</v>
      </c>
      <c r="DA111" s="197">
        <f t="shared" si="387"/>
        <v>350</v>
      </c>
      <c r="DB111" s="443">
        <f t="shared" si="388"/>
        <v>350</v>
      </c>
      <c r="DD111" s="217">
        <f t="shared" si="389"/>
        <v>2.18944099378882</v>
      </c>
      <c r="DE111" s="173">
        <f t="shared" si="390"/>
        <v>1.3975155279503106</v>
      </c>
      <c r="DF111" s="173">
        <f t="shared" si="391"/>
        <v>1.9924134422749624</v>
      </c>
      <c r="DG111" s="173"/>
      <c r="DH111" s="173">
        <f t="shared" si="392"/>
        <v>0.85106382978723416</v>
      </c>
      <c r="DI111" s="545">
        <f t="shared" si="393"/>
        <v>26.437499999999989</v>
      </c>
      <c r="DJ111" s="528">
        <f t="shared" si="394"/>
        <v>0.79432624113475192</v>
      </c>
      <c r="DL111" s="173">
        <f t="shared" si="395"/>
        <v>0.35050983275386566</v>
      </c>
      <c r="DM111" s="173">
        <f t="shared" si="396"/>
        <v>1.3333333333333335</v>
      </c>
      <c r="DN111" s="173">
        <f t="shared" si="397"/>
        <v>1.0151071428571428</v>
      </c>
      <c r="DP111" s="545">
        <f t="shared" si="398"/>
        <v>60</v>
      </c>
      <c r="DQ111" s="460">
        <f t="shared" si="399"/>
        <v>26.437499999999989</v>
      </c>
      <c r="DS111" s="460">
        <f t="shared" si="400"/>
        <v>60</v>
      </c>
      <c r="DT111" s="460">
        <f t="shared" si="401"/>
        <v>26.437499999999989</v>
      </c>
      <c r="DV111" s="5">
        <f t="shared" si="402"/>
        <v>37.825059101654858</v>
      </c>
      <c r="DW111" s="5">
        <f t="shared" si="403"/>
        <v>0.88888888888888906</v>
      </c>
      <c r="DX111" s="5">
        <f t="shared" si="404"/>
        <v>36.936170212765973</v>
      </c>
      <c r="DY111" s="173">
        <f t="shared" si="405"/>
        <v>2.3499999999999997E-2</v>
      </c>
      <c r="EA111" s="5">
        <f t="shared" si="406"/>
        <v>1.3333333333333335</v>
      </c>
      <c r="EB111" s="5">
        <f t="shared" si="407"/>
        <v>4.9382716049382724E-3</v>
      </c>
      <c r="EC111" s="5">
        <f t="shared" si="408"/>
        <v>0.41040189125295518</v>
      </c>
      <c r="ED111" s="5"/>
      <c r="EE111" s="173">
        <f t="shared" si="409"/>
        <v>0.11800816042090448</v>
      </c>
      <c r="EF111" s="173">
        <f t="shared" si="410"/>
        <v>3.042805722793795</v>
      </c>
      <c r="EG111" s="173">
        <f t="shared" si="411"/>
        <v>5.7977784718097988E-2</v>
      </c>
      <c r="EH111" s="173"/>
      <c r="EI111" s="528">
        <f t="shared" si="412"/>
        <v>1.6989629629629628E-4</v>
      </c>
      <c r="EJ111" s="528">
        <f t="shared" si="413"/>
        <v>2.5943999999999991E-2</v>
      </c>
      <c r="EK111" s="528">
        <f t="shared" si="414"/>
        <v>3.3046874999999986E-3</v>
      </c>
      <c r="EL111" s="528">
        <f t="shared" si="415"/>
        <v>3.5802719999999981E-3</v>
      </c>
      <c r="EM111">
        <f t="shared" si="416"/>
        <v>8.0999999999999996E-3</v>
      </c>
      <c r="EN111" s="460">
        <f t="shared" si="417"/>
        <v>11.404687499999998</v>
      </c>
      <c r="EP111" s="460">
        <f t="shared" ref="EP111:EP174" si="439">SUM(EI111:EM111)*1000</f>
        <v>41.098855796296284</v>
      </c>
      <c r="EQ111" s="173">
        <f t="shared" si="418"/>
        <v>4.1999999999999996E-2</v>
      </c>
      <c r="ER111" s="173">
        <f t="shared" si="419"/>
        <v>4.4374999999999997E-4</v>
      </c>
      <c r="ES111" s="528"/>
      <c r="EU111" s="460">
        <f t="shared" si="420"/>
        <v>42.443749999999994</v>
      </c>
      <c r="EV111" s="528">
        <f t="shared" si="421"/>
        <v>4.1777777777777777E-4</v>
      </c>
      <c r="EW111" s="528">
        <f t="shared" si="422"/>
        <v>0.27776000000000012</v>
      </c>
      <c r="EX111" s="528">
        <f t="shared" si="423"/>
        <v>1.6807117604090583E-5</v>
      </c>
      <c r="EY111" s="528">
        <f t="shared" si="424"/>
        <v>3.6886530473812629E-4</v>
      </c>
      <c r="EZ111" s="528"/>
      <c r="FA111" s="625">
        <f t="shared" si="425"/>
        <v>1.1749999999999998E-3</v>
      </c>
      <c r="FB111" s="460">
        <f t="shared" si="426"/>
        <v>279.7384502001201</v>
      </c>
      <c r="FC111" s="173">
        <f t="shared" si="427"/>
        <v>0.36328105599641641</v>
      </c>
      <c r="FD111" s="5">
        <f t="shared" si="428"/>
        <v>0.25800000000000001</v>
      </c>
      <c r="FE111" s="173">
        <f t="shared" si="429"/>
        <v>0.41527099130073619</v>
      </c>
      <c r="FF111" s="5">
        <f t="shared" si="430"/>
        <v>41.527099130073623</v>
      </c>
      <c r="FG111">
        <f t="shared" si="431"/>
        <v>1</v>
      </c>
      <c r="FI111" s="562">
        <f t="shared" si="432"/>
        <v>-50</v>
      </c>
      <c r="FJ111">
        <f t="shared" si="433"/>
        <v>-50</v>
      </c>
    </row>
    <row r="112" spans="5:169">
      <c r="E112" s="170">
        <v>3</v>
      </c>
      <c r="F112" s="217">
        <f>IF(PLOT_TYPE=1, E112/100*Iout_max, min_I*EXP(O112*rr/100))</f>
        <v>0.18</v>
      </c>
      <c r="G112" s="217">
        <f>IF(PLOT_TYPE=1, E112/100*Iout2, min_I*EXP(Q112*rr/100))</f>
        <v>3.0000000000000001E-3</v>
      </c>
      <c r="H112" s="217">
        <f>F112*Vout</f>
        <v>0.72</v>
      </c>
      <c r="I112" s="217">
        <f>Vout2*G112</f>
        <v>5.3999999999999999E-2</v>
      </c>
      <c r="J112" s="541">
        <f>VIN_min-(F112/CG112/Nps+G112/CH112/(Nps/Nsec1sec2))*(Rdcr_pri+RON/1000)</f>
        <v>17.964660861721935</v>
      </c>
      <c r="K112" s="443">
        <f t="shared" si="317"/>
        <v>19.12</v>
      </c>
      <c r="L112" s="172">
        <f t="shared" si="318"/>
        <v>37.084660861721936</v>
      </c>
      <c r="M112" s="443"/>
      <c r="N112" s="217">
        <f t="shared" si="319"/>
        <v>0.51557704872354093</v>
      </c>
      <c r="O112" s="172">
        <f>N112*J112*Isw_max*0.5*Efficiency*Pout/(Pout+Pout2)</f>
        <v>28.719897142343875</v>
      </c>
      <c r="P112" s="172">
        <f>N112*J112*Isw_max*0.5*Efficiency*(Pout2/Pout_total)</f>
        <v>2.3155417071014748</v>
      </c>
      <c r="Q112" s="217">
        <f>O112/Vout</f>
        <v>7.1799742855859687</v>
      </c>
      <c r="R112" s="217">
        <f>O112/Vout2</f>
        <v>1.5955498412413265</v>
      </c>
      <c r="S112" s="217">
        <f>MIN(Vout,O112/F112)</f>
        <v>4</v>
      </c>
      <c r="T112" s="217">
        <f>MIN(2*(Vout*F112+Vout2*G112)/(Efficiency*J112*N112), Isw_max)</f>
        <v>0.16713151778398971</v>
      </c>
      <c r="U112" s="217">
        <f>L*T112/J112*1000000</f>
        <v>0.11164019342448303</v>
      </c>
      <c r="V112" s="217">
        <f>L*T112/K112*1000000</f>
        <v>0.10489425802342452</v>
      </c>
      <c r="W112" s="197">
        <f>IF(1/((350000*L)*(1/J112+1/K112))&gt;Isw_min, 350, 0.001/((Isw_min*L)*(1/J112+1/K112)))</f>
        <v>350</v>
      </c>
      <c r="X112" s="443">
        <f t="shared" si="435"/>
        <v>350</v>
      </c>
      <c r="Z112" s="217">
        <f>1/((W112*1000*L)*(1/J112+1/K112))</f>
        <v>2.2052778162871185</v>
      </c>
      <c r="AA112" s="173">
        <f>L*Z112/K112*1000000</f>
        <v>1.3840655750755975</v>
      </c>
      <c r="AB112" s="173">
        <f>0.5*AA112*Z112*Nps*W112/1000*(Pout/(Pout+Pout2))</f>
        <v>1.987511047721509</v>
      </c>
      <c r="AC112" s="173"/>
      <c r="AD112" s="173">
        <f>L*Isw_min/K112*1000000</f>
        <v>0.83682008368200844</v>
      </c>
      <c r="AE112" s="545">
        <f>MAX(10, F112/(0.5*AD112/1000000*Isw_min*Nps)/1000*Pout_total/Pout)</f>
        <v>80.662499999999966</v>
      </c>
      <c r="AF112" s="528">
        <f>0.5*AD112/1000000*Isw_min*Nps*W112*1000*(Pout/Pout_total)</f>
        <v>0.78103207810320796</v>
      </c>
      <c r="AH112" s="173">
        <f>SQRT((H112+I112)/(0.5*L*Fsw_DCM))</f>
        <v>0.60710083888216504</v>
      </c>
      <c r="AI112" s="173">
        <f>MAX(IF(F112&gt;AB112,T112,AH112),Isw_min)</f>
        <v>1.3333333333333335</v>
      </c>
      <c r="AJ112" s="173">
        <f>IF(F112&gt;AF112, (AI112-Isw_min)/1.08*0.8+1.2, AE112*0.2/350+1)</f>
        <v>1.0460928571428572</v>
      </c>
      <c r="AL112" s="545">
        <f>F112*1000</f>
        <v>180</v>
      </c>
      <c r="AM112" s="460">
        <f>IF(F112&gt;AF112, X112, AE112)</f>
        <v>80.662499999999966</v>
      </c>
      <c r="AO112" s="460">
        <f>IF(H112&gt;O112, "",AL112)</f>
        <v>180</v>
      </c>
      <c r="AP112" s="460">
        <f>IF(H112&gt;O112, "",AM112)</f>
        <v>80.662499999999966</v>
      </c>
      <c r="AR112" s="5">
        <f>1/AM112*1000</f>
        <v>12.397334573066797</v>
      </c>
      <c r="AS112" s="5">
        <f>L*AI112/J112*1000000</f>
        <v>0.89063746447292425</v>
      </c>
      <c r="AT112" s="5">
        <f>AR112-AS112</f>
        <v>11.506697108593873</v>
      </c>
      <c r="AU112" s="173">
        <f>AS112/AR112</f>
        <v>7.184104447804722E-2</v>
      </c>
      <c r="AW112" s="5">
        <f>F112*AS112/Vout_ripple*1000</f>
        <v>4.0078685901281581</v>
      </c>
      <c r="AX112" s="5">
        <f>G112*AS112/Vout_ripple2*1000</f>
        <v>1.4843957741215405E-2</v>
      </c>
      <c r="AY112" s="5">
        <f>H112/Efficiency/J112*AT112/Vinripple1</f>
        <v>0.3843110826470989</v>
      </c>
      <c r="AZ112" s="5"/>
      <c r="BA112" s="173">
        <f>AI112*SQRT(AU112/3)</f>
        <v>0.2063309739273427</v>
      </c>
      <c r="BB112" s="173">
        <f>AI112*Npri_sec1*SQRT((1-AU112)/3)*(Pout/Pout_total)</f>
        <v>2.9665336587762812</v>
      </c>
      <c r="BC112" s="173">
        <f>AI112*Npri_sec2*SQRT((1-AU112)/3)*(Pout2/Pout_total)</f>
        <v>5.6524492687494002E-2</v>
      </c>
      <c r="BD112" s="173"/>
      <c r="BE112" s="528">
        <f>Rdson*BA112^2</f>
        <v>5.1938414378203046E-4</v>
      </c>
      <c r="BF112" s="528">
        <f t="shared" si="349"/>
        <v>7.4783536418966123E-2</v>
      </c>
      <c r="BG112" s="528">
        <f t="shared" si="350"/>
        <v>3.6226861418966125E-2</v>
      </c>
      <c r="BH112" s="528">
        <f>0.5*(Coss+Csw)*L112^2*AM112*1000</f>
        <v>1.109328834455036E-2</v>
      </c>
      <c r="BI112">
        <f>J112*IQ</f>
        <v>8.0840973877748697E-3</v>
      </c>
      <c r="BJ112" s="460">
        <f>(BG112+BI112)*1000</f>
        <v>44.310958806740992</v>
      </c>
      <c r="BK112">
        <f t="shared" si="353"/>
        <v>8.65471230320458E-2</v>
      </c>
      <c r="BL112" s="460">
        <f>SUM(BE112:BI112)*1000</f>
        <v>130.70716771403951</v>
      </c>
      <c r="BM112" s="173">
        <f t="shared" si="354"/>
        <v>0.11182499999999999</v>
      </c>
      <c r="BN112" s="173">
        <f t="shared" si="355"/>
        <v>1.8637499999999997E-3</v>
      </c>
      <c r="BO112" s="528"/>
      <c r="BQ112" s="460">
        <f>SUM(BM112:BP112)*1000</f>
        <v>113.68874999999998</v>
      </c>
      <c r="BR112" s="528">
        <f>Rdcr_pri*BA112^2</f>
        <v>1.2771741240541732E-3</v>
      </c>
      <c r="BS112" s="528">
        <f>Rdcr_sec*BB112^2</f>
        <v>0.26400965845957769</v>
      </c>
      <c r="BT112" s="528">
        <f>Rdcr_sec2*BC112^2</f>
        <v>1.5975091367892814E-5</v>
      </c>
      <c r="BU112" s="528">
        <f>AI112^2.5*AM112^2.5*k_core</f>
        <v>5.9978560882420527E-3</v>
      </c>
      <c r="BV112" s="528"/>
      <c r="BW112" s="625">
        <f>0.5*Lleak*0.000000001*AI112^2*AM112*1000</f>
        <v>3.5849999999999992E-3</v>
      </c>
      <c r="BX112" s="460">
        <f>SUM(BR112:BW112)*1000</f>
        <v>274.88566376324178</v>
      </c>
      <c r="BY112" s="173">
        <f>SUM(BE112:BI112,BM112:BP112,BR112:BW112)</f>
        <v>0.51928158147728132</v>
      </c>
      <c r="BZ112" s="5">
        <f>MIN(H112+I112,O112+P112)</f>
        <v>0.77400000000000002</v>
      </c>
      <c r="CA112" s="173">
        <f>BZ112/(BZ112+BY112)</f>
        <v>0.59847755592086938</v>
      </c>
      <c r="CB112" s="5">
        <f>CA112*100</f>
        <v>59.847755592086941</v>
      </c>
      <c r="CC112">
        <f>F112/Iout*100</f>
        <v>3</v>
      </c>
      <c r="CE112" s="562">
        <f>IF(ABS(F112-Ioutmax_Vinmin)&lt;Iout/200, AM112, -50)</f>
        <v>-50</v>
      </c>
      <c r="CF112">
        <f>IF(ABS(F112-Ioutmax_Vinmin)&lt;Iout/200, (O112+P112)*CA112, -50)</f>
        <v>-50</v>
      </c>
      <c r="CG112" s="173">
        <f>MIN(SQRT(2*DT112*1000*Ls1_*(CL112+CJ112*Vfwd1))/(CW112+Vfwd1), 1-DY112)</f>
        <v>6.7499999999999991E-2</v>
      </c>
      <c r="CH112" s="173">
        <f t="shared" si="371"/>
        <v>1.7288809257202036E-2</v>
      </c>
      <c r="CI112" s="170">
        <v>3</v>
      </c>
      <c r="CJ112" s="217">
        <f>IF(PLOT_TYPE=1, CI112/100*Iout_max, min_I*EXP(CS112*rr/100))</f>
        <v>0.18</v>
      </c>
      <c r="CK112" s="217">
        <f>IF(PLOT_TYPE=1, CI112/100*Iout2, min_I*EXP(CU112*rr/100))</f>
        <v>3.0000000000000001E-3</v>
      </c>
      <c r="CL112" s="217">
        <f>CJ112*Vout</f>
        <v>0.72</v>
      </c>
      <c r="CM112" s="217">
        <f>Vout2*CK112</f>
        <v>5.3999999999999999E-2</v>
      </c>
      <c r="CN112" s="541">
        <f t="shared" si="375"/>
        <v>18</v>
      </c>
      <c r="CO112" s="443">
        <f t="shared" si="376"/>
        <v>18.8</v>
      </c>
      <c r="CP112" s="443">
        <f t="shared" si="377"/>
        <v>36.799999999999997</v>
      </c>
      <c r="CQ112" s="443"/>
      <c r="CR112" s="217">
        <f>(Vout+Vfwd1)*Nps/((Vout+Vfwd1)*Nps+CN112)</f>
        <v>0.51086956521739135</v>
      </c>
      <c r="CS112" s="172">
        <f>CR112*CN112*Isw_max*0.5*Efficiency*Pout/(Pout+Pout2)</f>
        <v>28.513650151668358</v>
      </c>
      <c r="CT112" s="172">
        <f>CR112*CN112*Isw_max*0.5*Efficiency*(Pout2/Pout_total)</f>
        <v>2.2989130434782612</v>
      </c>
      <c r="CU112" s="217">
        <f>CS112/Vout</f>
        <v>7.1284125379170895</v>
      </c>
      <c r="CV112" s="217">
        <f>CS112/Vout2</f>
        <v>1.5840916750926866</v>
      </c>
      <c r="CW112" s="217">
        <f>MIN(Vout,CS112/CJ112)</f>
        <v>4</v>
      </c>
      <c r="CX112" s="217">
        <f>MIN(2*(Vout*CJ112+Vout2*CK112)/(Efficiency*CN112*CR112), Isw_max)</f>
        <v>0.16834042553191486</v>
      </c>
      <c r="CY112" s="217">
        <f>L*CX112/CN112*1000000</f>
        <v>0.1122269503546099</v>
      </c>
      <c r="CZ112" s="217">
        <f>L*CX112/CO112*1000000</f>
        <v>0.10745133544590309</v>
      </c>
      <c r="DA112" s="197">
        <f>IF(1/((350000*L)*(1/CN112+1/CO112))&gt;Isw_min, 350, 0.001/((Isw_min*L)*(1/CN112+1/CO112)))</f>
        <v>350</v>
      </c>
      <c r="DB112" s="443">
        <f>MIN(1/(CY112+CZ112)*1000, 350)</f>
        <v>350</v>
      </c>
      <c r="DD112" s="217">
        <f>1/((DA112*1000*L)*(1/CN112+1/CO112))</f>
        <v>2.18944099378882</v>
      </c>
      <c r="DE112" s="173">
        <f>L*DD112/CO112*1000000</f>
        <v>1.3975155279503106</v>
      </c>
      <c r="DF112" s="173">
        <f>0.5*DE112*DD112*Nps*DA112/1000*(Pout/(Pout+Pout2))</f>
        <v>1.9924134422749624</v>
      </c>
      <c r="DG112" s="173"/>
      <c r="DH112" s="173">
        <f>L*Isw_min/CO112*1000000</f>
        <v>0.85106382978723416</v>
      </c>
      <c r="DI112" s="545">
        <f>MAX(10, CJ112/(0.5*DH112/1000000*Isw_min*Nps)/1000*Pout_total/Pout)</f>
        <v>79.312499999999986</v>
      </c>
      <c r="DJ112" s="528">
        <f>0.5*DH112/1000000*Isw_min*Nps*DA112*1000*(Pout/Pout_total)</f>
        <v>0.79432624113475192</v>
      </c>
      <c r="DL112" s="173">
        <f>SQRT((CL112+CM112)/(0.5*L*Fsw_DCM))</f>
        <v>0.60710083888216504</v>
      </c>
      <c r="DM112" s="173">
        <f>MAX(IF(CJ112&gt;DF112,CX112,DL112),Isw_min)</f>
        <v>1.3333333333333335</v>
      </c>
      <c r="DN112" s="173">
        <f>IF(CJ112&gt;DJ112, (DM112-Isw_min)/1.08*0.8+1.2, DI112*0.2/350+1)</f>
        <v>1.0453214285714285</v>
      </c>
      <c r="DP112" s="545">
        <f>CJ112*1000</f>
        <v>180</v>
      </c>
      <c r="DQ112" s="460">
        <f>IF(CJ112&gt;DJ112, DB112, DI112)</f>
        <v>79.312499999999986</v>
      </c>
      <c r="DS112" s="460">
        <f>IF(CL112&gt;CS112, "",DP112)</f>
        <v>180</v>
      </c>
      <c r="DT112" s="460">
        <f>IF(CL112&gt;CS112, "",DQ112)</f>
        <v>79.312499999999986</v>
      </c>
      <c r="DV112" s="5">
        <f>1/DQ112*1000</f>
        <v>12.608353033884951</v>
      </c>
      <c r="DW112" s="5">
        <f>L*DM112/CN112*1000000</f>
        <v>0.88888888888888906</v>
      </c>
      <c r="DX112" s="5">
        <f>DV112-DW112</f>
        <v>11.719464144996062</v>
      </c>
      <c r="DY112" s="173">
        <f>DW112/DV112</f>
        <v>7.0500000000000007E-2</v>
      </c>
      <c r="EA112" s="5">
        <f>CJ112*DW112/Vout_ripple*1000</f>
        <v>4.0000000000000009</v>
      </c>
      <c r="EB112" s="5">
        <f>CK112*DW112/Vout_ripple2*1000</f>
        <v>1.4814814814814819E-2</v>
      </c>
      <c r="EC112" s="5">
        <f>CL112/Efficiency/CN112*DX112/Vinripple1</f>
        <v>0.39064880483320197</v>
      </c>
      <c r="ED112" s="5"/>
      <c r="EE112" s="173">
        <f>DM112*SQRT(DY112/3)</f>
        <v>0.20439612955674527</v>
      </c>
      <c r="EF112" s="173">
        <f>DM112*Npri_sec1*SQRT((1-DY112)/3)*(Pout/Pout_total)</f>
        <v>2.9686759737359414</v>
      </c>
      <c r="EG112" s="173">
        <f>DM112*Npri_sec2*SQRT((1-DY112)/3)*(Pout2/Pout_total)</f>
        <v>5.6565312472536176E-2</v>
      </c>
      <c r="EH112" s="173"/>
      <c r="EI112" s="528">
        <f>Rdson*EE112^2</f>
        <v>5.0968888888888904E-4</v>
      </c>
      <c r="EJ112" s="528">
        <f>0.5*CP112*DM112*DQ112*1000*Trise</f>
        <v>7.7831999999999998E-2</v>
      </c>
      <c r="EK112" s="528">
        <f>Qg*Vdd*DQ112*1000</f>
        <v>9.9140624999999975E-3</v>
      </c>
      <c r="EL112" s="528">
        <f>0.5*(Coss+Csw)*CP112^2*DQ112*1000</f>
        <v>1.0740815999999997E-2</v>
      </c>
      <c r="EM112">
        <f>CN112*IQ</f>
        <v>8.0999999999999996E-3</v>
      </c>
      <c r="EN112" s="460">
        <f>(EK112+EM112)*1000</f>
        <v>18.014062499999998</v>
      </c>
      <c r="EP112" s="460">
        <f>SUM(EI112:EM112)*1000</f>
        <v>107.09656738888889</v>
      </c>
      <c r="EQ112" s="173">
        <f>Vfwd2*CJ112</f>
        <v>0.126</v>
      </c>
      <c r="ER112" s="173">
        <f t="shared" si="419"/>
        <v>1.33125E-3</v>
      </c>
      <c r="ES112" s="528"/>
      <c r="EU112" s="460">
        <f>SUM(EQ112:ET112)*1000</f>
        <v>127.33125000000001</v>
      </c>
      <c r="EV112" s="528">
        <f>Rdcr_pri*EE112^2</f>
        <v>1.2533333333333337E-3</v>
      </c>
      <c r="EW112" s="528">
        <f>Rdcr_sec*EF112^2</f>
        <v>0.26439111111111119</v>
      </c>
      <c r="EX112" s="528">
        <f>Rdcr_sec2*EG112^2</f>
        <v>1.5998172875578285E-5</v>
      </c>
      <c r="EY112" s="528">
        <f>DM112^2.5*DQ112^2.5*k_core</f>
        <v>5.750041040602301E-3</v>
      </c>
      <c r="EZ112" s="528"/>
      <c r="FA112" s="625">
        <f>0.5*Lleak*0.000000001*DM112^2*DQ112*1000</f>
        <v>3.5249999999999999E-3</v>
      </c>
      <c r="FB112" s="460">
        <f>SUM(EV112:FA112)*1000</f>
        <v>274.93548365792236</v>
      </c>
      <c r="FC112" s="173">
        <f>SUM(EI112:EM112,EQ112:ET112,EV112:FA112)</f>
        <v>0.50936330104681127</v>
      </c>
      <c r="FD112" s="5">
        <f>MIN(CL112+CM112,CS112+CT112)</f>
        <v>0.77400000000000002</v>
      </c>
      <c r="FE112" s="173">
        <f>FD112/(FD112+FC112)</f>
        <v>0.6031027997829338</v>
      </c>
      <c r="FF112" s="5">
        <f>FE112*100</f>
        <v>60.31027997829338</v>
      </c>
      <c r="FG112">
        <f>CJ112/Iout*100</f>
        <v>3</v>
      </c>
      <c r="FI112" s="562">
        <f>IF(ABS(CJ112-Ioutmax_Vinmin)&lt;Iout/200, DQ112, -50)</f>
        <v>-50</v>
      </c>
      <c r="FJ112">
        <f>IF(ABS(CJ112-Ioutmax_Vinmin)&lt;Iout/200, (CS112+CT112)*FE112, -50)</f>
        <v>-50</v>
      </c>
    </row>
    <row r="113" spans="5:166">
      <c r="E113" s="170">
        <v>3</v>
      </c>
      <c r="F113" s="217">
        <f t="shared" si="434"/>
        <v>0.18</v>
      </c>
      <c r="G113" s="217">
        <f t="shared" si="313"/>
        <v>3.0000000000000001E-3</v>
      </c>
      <c r="H113" s="217">
        <f t="shared" si="314"/>
        <v>0.72</v>
      </c>
      <c r="I113" s="217">
        <f t="shared" si="315"/>
        <v>5.3999999999999999E-2</v>
      </c>
      <c r="J113" s="541">
        <f t="shared" si="316"/>
        <v>17.964660861721935</v>
      </c>
      <c r="K113" s="443">
        <f t="shared" si="317"/>
        <v>19.12</v>
      </c>
      <c r="L113" s="172">
        <f t="shared" si="318"/>
        <v>37.084660861721936</v>
      </c>
      <c r="M113" s="443"/>
      <c r="N113" s="217">
        <f t="shared" si="319"/>
        <v>0.51557704872354093</v>
      </c>
      <c r="O113" s="172">
        <f t="shared" si="320"/>
        <v>28.719897142343875</v>
      </c>
      <c r="P113" s="172">
        <f t="shared" si="321"/>
        <v>2.3155417071014748</v>
      </c>
      <c r="Q113" s="217">
        <f t="shared" si="322"/>
        <v>7.1799742855859687</v>
      </c>
      <c r="R113" s="217">
        <f t="shared" si="323"/>
        <v>1.5955498412413265</v>
      </c>
      <c r="S113" s="217">
        <f t="shared" si="324"/>
        <v>4</v>
      </c>
      <c r="T113" s="217">
        <f t="shared" si="325"/>
        <v>0.16713151778398971</v>
      </c>
      <c r="U113" s="217">
        <f t="shared" si="326"/>
        <v>0.11164019342448303</v>
      </c>
      <c r="V113" s="217">
        <f t="shared" si="327"/>
        <v>0.10489425802342452</v>
      </c>
      <c r="W113" s="197">
        <f t="shared" si="328"/>
        <v>350</v>
      </c>
      <c r="X113" s="443">
        <f t="shared" si="435"/>
        <v>350</v>
      </c>
      <c r="Z113" s="217">
        <f t="shared" si="329"/>
        <v>2.2052778162871185</v>
      </c>
      <c r="AA113" s="173">
        <f t="shared" si="330"/>
        <v>1.3840655750755975</v>
      </c>
      <c r="AB113" s="173">
        <f t="shared" si="331"/>
        <v>1.987511047721509</v>
      </c>
      <c r="AC113" s="173"/>
      <c r="AD113" s="173">
        <f t="shared" si="332"/>
        <v>0.83682008368200844</v>
      </c>
      <c r="AE113" s="545">
        <f t="shared" si="333"/>
        <v>80.662499999999966</v>
      </c>
      <c r="AF113" s="528">
        <f t="shared" si="334"/>
        <v>0.78103207810320796</v>
      </c>
      <c r="AH113" s="173">
        <f t="shared" si="335"/>
        <v>0.60710083888216504</v>
      </c>
      <c r="AI113" s="173">
        <f t="shared" si="336"/>
        <v>1.3333333333333335</v>
      </c>
      <c r="AJ113" s="173">
        <f t="shared" si="337"/>
        <v>1.0460928571428572</v>
      </c>
      <c r="AL113" s="545">
        <f t="shared" si="338"/>
        <v>180</v>
      </c>
      <c r="AM113" s="460">
        <f t="shared" si="339"/>
        <v>80.662499999999966</v>
      </c>
      <c r="AO113" s="460">
        <f t="shared" si="340"/>
        <v>180</v>
      </c>
      <c r="AP113" s="460">
        <f t="shared" si="341"/>
        <v>80.662499999999966</v>
      </c>
      <c r="AR113" s="5">
        <f t="shared" si="275"/>
        <v>12.397334573066797</v>
      </c>
      <c r="AS113" s="5">
        <f>L*AI113/J113*1000000</f>
        <v>0.89063746447292425</v>
      </c>
      <c r="AT113" s="5">
        <f>AR113-AS113</f>
        <v>11.506697108593873</v>
      </c>
      <c r="AU113" s="173">
        <f>AS113/AR113</f>
        <v>7.184104447804722E-2</v>
      </c>
      <c r="AW113" s="5">
        <f t="shared" si="342"/>
        <v>4.0078685901281581</v>
      </c>
      <c r="AX113" s="5">
        <f t="shared" si="343"/>
        <v>1.4843957741215405E-2</v>
      </c>
      <c r="AY113" s="5">
        <f t="shared" si="344"/>
        <v>0.3843110826470989</v>
      </c>
      <c r="AZ113" s="5"/>
      <c r="BA113" s="173">
        <f t="shared" si="345"/>
        <v>0.2063309739273427</v>
      </c>
      <c r="BB113" s="173">
        <f t="shared" si="346"/>
        <v>2.9665336587762812</v>
      </c>
      <c r="BC113" s="173">
        <f t="shared" si="347"/>
        <v>5.6524492687494002E-2</v>
      </c>
      <c r="BD113" s="173"/>
      <c r="BE113" s="528">
        <f t="shared" si="348"/>
        <v>5.1938414378203046E-4</v>
      </c>
      <c r="BF113" s="528">
        <f t="shared" si="349"/>
        <v>7.4783536418966123E-2</v>
      </c>
      <c r="BG113" s="528">
        <f t="shared" si="350"/>
        <v>3.6226861418966125E-2</v>
      </c>
      <c r="BH113" s="528">
        <f t="shared" si="351"/>
        <v>1.109328834455036E-2</v>
      </c>
      <c r="BI113">
        <f t="shared" si="352"/>
        <v>8.0840973877748697E-3</v>
      </c>
      <c r="BJ113" s="460">
        <f t="shared" si="436"/>
        <v>44.310958806740992</v>
      </c>
      <c r="BK113">
        <f t="shared" si="353"/>
        <v>8.65471230320458E-2</v>
      </c>
      <c r="BL113" s="460">
        <f t="shared" si="437"/>
        <v>130.70716771403951</v>
      </c>
      <c r="BM113" s="173">
        <f t="shared" si="354"/>
        <v>0.11182499999999999</v>
      </c>
      <c r="BN113" s="173">
        <f t="shared" si="355"/>
        <v>1.8637499999999997E-3</v>
      </c>
      <c r="BO113" s="528"/>
      <c r="BQ113" s="460">
        <f t="shared" si="356"/>
        <v>113.68874999999998</v>
      </c>
      <c r="BR113" s="528">
        <f t="shared" si="357"/>
        <v>1.2771741240541732E-3</v>
      </c>
      <c r="BS113" s="528">
        <f t="shared" si="358"/>
        <v>0.26400965845957769</v>
      </c>
      <c r="BT113" s="528">
        <f t="shared" si="359"/>
        <v>1.5975091367892814E-5</v>
      </c>
      <c r="BU113" s="528">
        <f t="shared" si="360"/>
        <v>5.9978560882420527E-3</v>
      </c>
      <c r="BV113" s="528"/>
      <c r="BW113" s="625">
        <f t="shared" si="361"/>
        <v>3.5849999999999992E-3</v>
      </c>
      <c r="BX113" s="460">
        <f t="shared" si="362"/>
        <v>274.88566376324178</v>
      </c>
      <c r="BY113" s="173">
        <f t="shared" si="363"/>
        <v>0.51928158147728132</v>
      </c>
      <c r="BZ113" s="5">
        <f t="shared" si="364"/>
        <v>0.77400000000000002</v>
      </c>
      <c r="CA113" s="173">
        <f t="shared" si="365"/>
        <v>0.59847755592086938</v>
      </c>
      <c r="CB113" s="5">
        <f t="shared" si="366"/>
        <v>59.847755592086941</v>
      </c>
      <c r="CC113">
        <f t="shared" si="367"/>
        <v>3</v>
      </c>
      <c r="CE113" s="562">
        <f t="shared" si="368"/>
        <v>-50</v>
      </c>
      <c r="CF113">
        <f t="shared" si="369"/>
        <v>-50</v>
      </c>
      <c r="CG113" s="173">
        <f t="shared" si="370"/>
        <v>6.7499999999999991E-2</v>
      </c>
      <c r="CH113" s="173">
        <f t="shared" si="371"/>
        <v>1.7288809257202036E-2</v>
      </c>
      <c r="CI113" s="170">
        <v>3</v>
      </c>
      <c r="CJ113" s="217">
        <f t="shared" si="438"/>
        <v>0.18</v>
      </c>
      <c r="CK113" s="217">
        <f t="shared" si="372"/>
        <v>3.0000000000000001E-3</v>
      </c>
      <c r="CL113" s="217">
        <f t="shared" si="373"/>
        <v>0.72</v>
      </c>
      <c r="CM113" s="217">
        <f t="shared" si="374"/>
        <v>5.3999999999999999E-2</v>
      </c>
      <c r="CN113" s="541">
        <f t="shared" si="375"/>
        <v>18</v>
      </c>
      <c r="CO113" s="443">
        <f t="shared" si="376"/>
        <v>18.8</v>
      </c>
      <c r="CP113" s="443">
        <f t="shared" si="377"/>
        <v>36.799999999999997</v>
      </c>
      <c r="CQ113" s="443"/>
      <c r="CR113" s="217">
        <f t="shared" si="378"/>
        <v>0.51086956521739135</v>
      </c>
      <c r="CS113" s="172">
        <f t="shared" si="379"/>
        <v>28.513650151668358</v>
      </c>
      <c r="CT113" s="172">
        <f t="shared" si="380"/>
        <v>2.2989130434782612</v>
      </c>
      <c r="CU113" s="217">
        <f t="shared" si="381"/>
        <v>7.1284125379170895</v>
      </c>
      <c r="CV113" s="217">
        <f t="shared" si="382"/>
        <v>1.5840916750926866</v>
      </c>
      <c r="CW113" s="217">
        <f t="shared" si="383"/>
        <v>4</v>
      </c>
      <c r="CX113" s="217">
        <f t="shared" si="384"/>
        <v>0.16834042553191486</v>
      </c>
      <c r="CY113" s="217">
        <f t="shared" si="385"/>
        <v>0.1122269503546099</v>
      </c>
      <c r="CZ113" s="217">
        <f t="shared" si="386"/>
        <v>0.10745133544590309</v>
      </c>
      <c r="DA113" s="197">
        <f t="shared" si="387"/>
        <v>350</v>
      </c>
      <c r="DB113" s="443">
        <f t="shared" si="388"/>
        <v>350</v>
      </c>
      <c r="DD113" s="217">
        <f t="shared" si="389"/>
        <v>2.18944099378882</v>
      </c>
      <c r="DE113" s="173">
        <f t="shared" si="390"/>
        <v>1.3975155279503106</v>
      </c>
      <c r="DF113" s="173">
        <f t="shared" si="391"/>
        <v>1.9924134422749624</v>
      </c>
      <c r="DG113" s="173"/>
      <c r="DH113" s="173">
        <f t="shared" si="392"/>
        <v>0.85106382978723416</v>
      </c>
      <c r="DI113" s="545">
        <f t="shared" si="393"/>
        <v>79.312499999999986</v>
      </c>
      <c r="DJ113" s="528">
        <f t="shared" si="394"/>
        <v>0.79432624113475192</v>
      </c>
      <c r="DL113" s="173">
        <f t="shared" si="395"/>
        <v>0.60710083888216504</v>
      </c>
      <c r="DM113" s="173">
        <f t="shared" si="396"/>
        <v>1.3333333333333335</v>
      </c>
      <c r="DN113" s="173">
        <f t="shared" si="397"/>
        <v>1.0453214285714285</v>
      </c>
      <c r="DP113" s="545">
        <f t="shared" si="398"/>
        <v>180</v>
      </c>
      <c r="DQ113" s="460">
        <f t="shared" si="399"/>
        <v>79.312499999999986</v>
      </c>
      <c r="DS113" s="460">
        <f t="shared" si="400"/>
        <v>180</v>
      </c>
      <c r="DT113" s="460">
        <f t="shared" si="401"/>
        <v>79.312499999999986</v>
      </c>
      <c r="DV113" s="5">
        <f t="shared" si="402"/>
        <v>12.608353033884951</v>
      </c>
      <c r="DW113" s="5">
        <f t="shared" si="403"/>
        <v>0.88888888888888906</v>
      </c>
      <c r="DX113" s="5">
        <f t="shared" si="404"/>
        <v>11.719464144996062</v>
      </c>
      <c r="DY113" s="173">
        <f t="shared" si="405"/>
        <v>7.0500000000000007E-2</v>
      </c>
      <c r="EA113" s="5">
        <f t="shared" si="406"/>
        <v>4.0000000000000009</v>
      </c>
      <c r="EB113" s="5">
        <f t="shared" si="407"/>
        <v>1.4814814814814819E-2</v>
      </c>
      <c r="EC113" s="5">
        <f t="shared" si="408"/>
        <v>0.39064880483320197</v>
      </c>
      <c r="ED113" s="5"/>
      <c r="EE113" s="173">
        <f t="shared" si="409"/>
        <v>0.20439612955674527</v>
      </c>
      <c r="EF113" s="173">
        <f t="shared" si="410"/>
        <v>2.9686759737359414</v>
      </c>
      <c r="EG113" s="173">
        <f t="shared" si="411"/>
        <v>5.6565312472536176E-2</v>
      </c>
      <c r="EH113" s="173"/>
      <c r="EI113" s="528">
        <f t="shared" si="412"/>
        <v>5.0968888888888904E-4</v>
      </c>
      <c r="EJ113" s="528">
        <f t="shared" si="413"/>
        <v>7.7831999999999998E-2</v>
      </c>
      <c r="EK113" s="528">
        <f t="shared" si="414"/>
        <v>9.9140624999999975E-3</v>
      </c>
      <c r="EL113" s="528">
        <f t="shared" si="415"/>
        <v>1.0740815999999997E-2</v>
      </c>
      <c r="EM113">
        <f t="shared" si="416"/>
        <v>8.0999999999999996E-3</v>
      </c>
      <c r="EN113" s="460">
        <f t="shared" si="417"/>
        <v>18.014062499999998</v>
      </c>
      <c r="EP113" s="460">
        <f t="shared" si="439"/>
        <v>107.09656738888889</v>
      </c>
      <c r="EQ113" s="173">
        <f t="shared" si="418"/>
        <v>0.126</v>
      </c>
      <c r="ER113" s="173">
        <f t="shared" si="419"/>
        <v>1.33125E-3</v>
      </c>
      <c r="ES113" s="528"/>
      <c r="EU113" s="460">
        <f t="shared" si="420"/>
        <v>127.33125000000001</v>
      </c>
      <c r="EV113" s="528">
        <f t="shared" si="421"/>
        <v>1.2533333333333337E-3</v>
      </c>
      <c r="EW113" s="528">
        <f t="shared" si="422"/>
        <v>0.26439111111111119</v>
      </c>
      <c r="EX113" s="528">
        <f t="shared" si="423"/>
        <v>1.5998172875578285E-5</v>
      </c>
      <c r="EY113" s="528">
        <f t="shared" si="424"/>
        <v>5.750041040602301E-3</v>
      </c>
      <c r="EZ113" s="528"/>
      <c r="FA113" s="625">
        <f t="shared" si="425"/>
        <v>3.5249999999999999E-3</v>
      </c>
      <c r="FB113" s="460">
        <f t="shared" si="426"/>
        <v>274.93548365792236</v>
      </c>
      <c r="FC113" s="173">
        <f t="shared" si="427"/>
        <v>0.50936330104681127</v>
      </c>
      <c r="FD113" s="5">
        <f t="shared" si="428"/>
        <v>0.77400000000000002</v>
      </c>
      <c r="FE113" s="173">
        <f t="shared" si="429"/>
        <v>0.6031027997829338</v>
      </c>
      <c r="FF113" s="5">
        <f t="shared" si="430"/>
        <v>60.31027997829338</v>
      </c>
      <c r="FG113">
        <f t="shared" si="431"/>
        <v>3</v>
      </c>
      <c r="FI113" s="562">
        <f t="shared" si="432"/>
        <v>-50</v>
      </c>
      <c r="FJ113">
        <f t="shared" si="433"/>
        <v>-50</v>
      </c>
    </row>
    <row r="114" spans="5:166">
      <c r="E114" s="170">
        <v>4</v>
      </c>
      <c r="F114" s="217">
        <f t="shared" si="434"/>
        <v>0.24</v>
      </c>
      <c r="G114" s="217">
        <f t="shared" si="313"/>
        <v>4.0000000000000001E-3</v>
      </c>
      <c r="H114" s="217">
        <f t="shared" si="314"/>
        <v>0.96</v>
      </c>
      <c r="I114" s="217">
        <f t="shared" si="315"/>
        <v>7.2000000000000008E-2</v>
      </c>
      <c r="J114" s="541">
        <f t="shared" si="316"/>
        <v>17.964660861721935</v>
      </c>
      <c r="K114" s="443">
        <f t="shared" si="317"/>
        <v>19.12</v>
      </c>
      <c r="L114" s="172">
        <f t="shared" si="318"/>
        <v>37.084660861721936</v>
      </c>
      <c r="M114" s="443"/>
      <c r="N114" s="217">
        <f t="shared" si="319"/>
        <v>0.51557704872354093</v>
      </c>
      <c r="O114" s="172">
        <f t="shared" si="320"/>
        <v>28.719897142343875</v>
      </c>
      <c r="P114" s="172">
        <f t="shared" si="321"/>
        <v>2.3155417071014748</v>
      </c>
      <c r="Q114" s="217">
        <f t="shared" si="322"/>
        <v>7.1799742855859687</v>
      </c>
      <c r="R114" s="217">
        <f t="shared" si="323"/>
        <v>1.5955498412413265</v>
      </c>
      <c r="S114" s="217">
        <f t="shared" si="324"/>
        <v>4</v>
      </c>
      <c r="T114" s="217">
        <f t="shared" si="325"/>
        <v>0.22284202371198628</v>
      </c>
      <c r="U114" s="217">
        <f t="shared" si="326"/>
        <v>0.14885359123264402</v>
      </c>
      <c r="V114" s="217">
        <f t="shared" si="327"/>
        <v>0.13985901069789933</v>
      </c>
      <c r="W114" s="197">
        <f t="shared" si="328"/>
        <v>350</v>
      </c>
      <c r="X114" s="443">
        <f t="shared" si="435"/>
        <v>350</v>
      </c>
      <c r="Z114" s="217">
        <f t="shared" si="329"/>
        <v>2.2052778162871185</v>
      </c>
      <c r="AA114" s="173">
        <f t="shared" si="330"/>
        <v>1.3840655750755975</v>
      </c>
      <c r="AB114" s="173">
        <f t="shared" si="331"/>
        <v>1.987511047721509</v>
      </c>
      <c r="AC114" s="173"/>
      <c r="AD114" s="173">
        <f t="shared" si="332"/>
        <v>0.83682008368200844</v>
      </c>
      <c r="AE114" s="545">
        <f t="shared" si="333"/>
        <v>107.54999999999997</v>
      </c>
      <c r="AF114" s="528">
        <f t="shared" si="334"/>
        <v>0.78103207810320796</v>
      </c>
      <c r="AH114" s="173">
        <f t="shared" si="335"/>
        <v>0.70101966550773132</v>
      </c>
      <c r="AI114" s="173">
        <f t="shared" si="336"/>
        <v>1.3333333333333335</v>
      </c>
      <c r="AJ114" s="173">
        <f t="shared" si="337"/>
        <v>1.0614571428571429</v>
      </c>
      <c r="AL114" s="545">
        <f t="shared" si="338"/>
        <v>240</v>
      </c>
      <c r="AM114" s="460">
        <f t="shared" si="339"/>
        <v>107.54999999999997</v>
      </c>
      <c r="AO114" s="460">
        <f t="shared" si="340"/>
        <v>240</v>
      </c>
      <c r="AP114" s="460">
        <f t="shared" si="341"/>
        <v>107.54999999999997</v>
      </c>
      <c r="AR114" s="5">
        <f t="shared" si="275"/>
        <v>9.2980009298000947</v>
      </c>
      <c r="AS114" s="5">
        <f>L*AI114/J114*1000000</f>
        <v>0.89063746447292425</v>
      </c>
      <c r="AT114" s="5">
        <f>AR114-AS114</f>
        <v>8.4073634653271707</v>
      </c>
      <c r="AU114" s="173">
        <f>AS114/AR114</f>
        <v>9.5788059304062978E-2</v>
      </c>
      <c r="AW114" s="5">
        <f t="shared" si="342"/>
        <v>5.343824786837545</v>
      </c>
      <c r="AX114" s="5">
        <f t="shared" si="343"/>
        <v>1.9791943654953872E-2</v>
      </c>
      <c r="AY114" s="5">
        <f t="shared" si="344"/>
        <v>0.37439564398306435</v>
      </c>
      <c r="AZ114" s="5"/>
      <c r="BA114" s="173">
        <f t="shared" si="345"/>
        <v>0.23825048667821794</v>
      </c>
      <c r="BB114" s="173">
        <f t="shared" si="346"/>
        <v>2.9280144758936832</v>
      </c>
      <c r="BC114" s="173">
        <f t="shared" si="347"/>
        <v>5.5790546094730983E-2</v>
      </c>
      <c r="BD114" s="173"/>
      <c r="BE114" s="528">
        <f t="shared" si="348"/>
        <v>6.9251219170937391E-4</v>
      </c>
      <c r="BF114" s="528">
        <f t="shared" si="349"/>
        <v>9.9711381891954831E-2</v>
      </c>
      <c r="BG114" s="528">
        <f t="shared" si="350"/>
        <v>4.8302481891954831E-2</v>
      </c>
      <c r="BH114" s="528">
        <f t="shared" si="351"/>
        <v>1.4791051126067148E-2</v>
      </c>
      <c r="BI114">
        <f t="shared" si="352"/>
        <v>8.0840973877748697E-3</v>
      </c>
      <c r="BJ114" s="460">
        <f t="shared" si="436"/>
        <v>56.386579279729702</v>
      </c>
      <c r="BK114">
        <f t="shared" si="353"/>
        <v>0.115400911670985</v>
      </c>
      <c r="BL114" s="460">
        <f t="shared" si="437"/>
        <v>171.58152448946106</v>
      </c>
      <c r="BM114" s="173">
        <f t="shared" si="354"/>
        <v>0.14909999999999998</v>
      </c>
      <c r="BN114" s="173">
        <f t="shared" si="355"/>
        <v>2.4849999999999998E-3</v>
      </c>
      <c r="BO114" s="528"/>
      <c r="BQ114" s="460">
        <f t="shared" si="356"/>
        <v>151.58499999999998</v>
      </c>
      <c r="BR114" s="528">
        <f t="shared" si="357"/>
        <v>1.702898832072231E-3</v>
      </c>
      <c r="BS114" s="528">
        <f t="shared" si="358"/>
        <v>0.25719806313128879</v>
      </c>
      <c r="BT114" s="528">
        <f t="shared" si="359"/>
        <v>1.5562925167741514E-5</v>
      </c>
      <c r="BU114" s="528">
        <f t="shared" si="360"/>
        <v>1.2312404718603337E-2</v>
      </c>
      <c r="BV114" s="528"/>
      <c r="BW114" s="625">
        <f t="shared" si="361"/>
        <v>4.7800000000000004E-3</v>
      </c>
      <c r="BX114" s="460">
        <f t="shared" si="362"/>
        <v>276.00892960713213</v>
      </c>
      <c r="BY114" s="173">
        <f t="shared" si="363"/>
        <v>0.59917545409659312</v>
      </c>
      <c r="BZ114" s="5">
        <f t="shared" si="364"/>
        <v>1.032</v>
      </c>
      <c r="CA114" s="173">
        <f t="shared" si="365"/>
        <v>0.63267259043666813</v>
      </c>
      <c r="CB114" s="5">
        <f t="shared" si="366"/>
        <v>63.267259043666812</v>
      </c>
      <c r="CC114">
        <f t="shared" si="367"/>
        <v>4</v>
      </c>
      <c r="CE114" s="562">
        <f t="shared" si="368"/>
        <v>-50</v>
      </c>
      <c r="CF114">
        <f t="shared" si="369"/>
        <v>-50</v>
      </c>
      <c r="CG114" s="173">
        <f t="shared" si="370"/>
        <v>8.9999999999999969E-2</v>
      </c>
      <c r="CH114" s="173">
        <f t="shared" si="371"/>
        <v>2.3051745676269379E-2</v>
      </c>
      <c r="CI114" s="170">
        <v>4</v>
      </c>
      <c r="CJ114" s="217">
        <f t="shared" si="438"/>
        <v>0.24</v>
      </c>
      <c r="CK114" s="217">
        <f t="shared" si="372"/>
        <v>4.0000000000000001E-3</v>
      </c>
      <c r="CL114" s="217">
        <f t="shared" si="373"/>
        <v>0.96</v>
      </c>
      <c r="CM114" s="217">
        <f t="shared" si="374"/>
        <v>7.2000000000000008E-2</v>
      </c>
      <c r="CN114" s="541">
        <f t="shared" si="375"/>
        <v>18</v>
      </c>
      <c r="CO114" s="443">
        <f t="shared" si="376"/>
        <v>18.8</v>
      </c>
      <c r="CP114" s="443">
        <f t="shared" si="377"/>
        <v>36.799999999999997</v>
      </c>
      <c r="CQ114" s="443"/>
      <c r="CR114" s="217">
        <f t="shared" si="378"/>
        <v>0.51086956521739135</v>
      </c>
      <c r="CS114" s="172">
        <f t="shared" si="379"/>
        <v>28.513650151668358</v>
      </c>
      <c r="CT114" s="172">
        <f t="shared" si="380"/>
        <v>2.2989130434782612</v>
      </c>
      <c r="CU114" s="217">
        <f t="shared" si="381"/>
        <v>7.1284125379170895</v>
      </c>
      <c r="CV114" s="217">
        <f t="shared" si="382"/>
        <v>1.5840916750926866</v>
      </c>
      <c r="CW114" s="217">
        <f t="shared" si="383"/>
        <v>4</v>
      </c>
      <c r="CX114" s="217">
        <f t="shared" si="384"/>
        <v>0.22445390070921983</v>
      </c>
      <c r="CY114" s="217">
        <f t="shared" si="385"/>
        <v>0.14963593380614656</v>
      </c>
      <c r="CZ114" s="217">
        <f t="shared" si="386"/>
        <v>0.14326844726120413</v>
      </c>
      <c r="DA114" s="197">
        <f t="shared" si="387"/>
        <v>350</v>
      </c>
      <c r="DB114" s="443">
        <f t="shared" si="388"/>
        <v>350</v>
      </c>
      <c r="DD114" s="217">
        <f t="shared" si="389"/>
        <v>2.18944099378882</v>
      </c>
      <c r="DE114" s="173">
        <f t="shared" si="390"/>
        <v>1.3975155279503106</v>
      </c>
      <c r="DF114" s="173">
        <f t="shared" si="391"/>
        <v>1.9924134422749624</v>
      </c>
      <c r="DG114" s="173"/>
      <c r="DH114" s="173">
        <f t="shared" si="392"/>
        <v>0.85106382978723416</v>
      </c>
      <c r="DI114" s="545">
        <f t="shared" si="393"/>
        <v>105.74999999999996</v>
      </c>
      <c r="DJ114" s="528">
        <f t="shared" si="394"/>
        <v>0.79432624113475192</v>
      </c>
      <c r="DL114" s="173">
        <f t="shared" si="395"/>
        <v>0.70101966550773132</v>
      </c>
      <c r="DM114" s="173">
        <f t="shared" si="396"/>
        <v>1.3333333333333335</v>
      </c>
      <c r="DN114" s="173">
        <f t="shared" si="397"/>
        <v>1.0604285714285715</v>
      </c>
      <c r="DP114" s="545">
        <f t="shared" si="398"/>
        <v>240</v>
      </c>
      <c r="DQ114" s="460">
        <f t="shared" si="399"/>
        <v>105.74999999999996</v>
      </c>
      <c r="DS114" s="460">
        <f t="shared" si="400"/>
        <v>240</v>
      </c>
      <c r="DT114" s="460">
        <f t="shared" si="401"/>
        <v>105.74999999999996</v>
      </c>
      <c r="DV114" s="5">
        <f t="shared" si="402"/>
        <v>9.4562647754137146</v>
      </c>
      <c r="DW114" s="5">
        <f t="shared" si="403"/>
        <v>0.88888888888888906</v>
      </c>
      <c r="DX114" s="5">
        <f t="shared" si="404"/>
        <v>8.5673758865248253</v>
      </c>
      <c r="DY114" s="173">
        <f t="shared" si="405"/>
        <v>9.3999999999999986E-2</v>
      </c>
      <c r="EA114" s="5">
        <f t="shared" si="406"/>
        <v>5.3333333333333339</v>
      </c>
      <c r="EB114" s="5">
        <f t="shared" si="407"/>
        <v>1.9753086419753089E-2</v>
      </c>
      <c r="EC114" s="5">
        <f t="shared" si="408"/>
        <v>0.3807722616233255</v>
      </c>
      <c r="ED114" s="5"/>
      <c r="EE114" s="173">
        <f t="shared" si="409"/>
        <v>0.23601632084180896</v>
      </c>
      <c r="EF114" s="173">
        <f t="shared" si="410"/>
        <v>2.9309080883272722</v>
      </c>
      <c r="EG114" s="173">
        <f t="shared" si="411"/>
        <v>5.5845681142452079E-2</v>
      </c>
      <c r="EH114" s="173"/>
      <c r="EI114" s="528">
        <f t="shared" si="412"/>
        <v>6.7958518518518513E-4</v>
      </c>
      <c r="EJ114" s="528">
        <f t="shared" si="413"/>
        <v>0.10377599999999997</v>
      </c>
      <c r="EK114" s="528">
        <f t="shared" si="414"/>
        <v>1.3218749999999994E-2</v>
      </c>
      <c r="EL114" s="528">
        <f t="shared" si="415"/>
        <v>1.4321087999999992E-2</v>
      </c>
      <c r="EM114">
        <f t="shared" si="416"/>
        <v>8.0999999999999996E-3</v>
      </c>
      <c r="EN114" s="460">
        <f t="shared" si="417"/>
        <v>21.318749999999994</v>
      </c>
      <c r="EP114" s="460">
        <f t="shared" si="439"/>
        <v>140.09542318518513</v>
      </c>
      <c r="EQ114" s="173">
        <f t="shared" si="418"/>
        <v>0.16799999999999998</v>
      </c>
      <c r="ER114" s="173">
        <f t="shared" si="419"/>
        <v>1.7749999999999999E-3</v>
      </c>
      <c r="ES114" s="528"/>
      <c r="EU114" s="460">
        <f t="shared" si="420"/>
        <v>169.77499999999998</v>
      </c>
      <c r="EV114" s="528">
        <f t="shared" si="421"/>
        <v>1.6711111111111111E-3</v>
      </c>
      <c r="EW114" s="528">
        <f t="shared" si="422"/>
        <v>0.25770666666666675</v>
      </c>
      <c r="EX114" s="528">
        <f t="shared" si="423"/>
        <v>1.5593700511322141E-5</v>
      </c>
      <c r="EY114" s="528">
        <f t="shared" si="424"/>
        <v>1.1803689751620026E-2</v>
      </c>
      <c r="EZ114" s="528"/>
      <c r="FA114" s="625">
        <f t="shared" si="425"/>
        <v>4.6999999999999993E-3</v>
      </c>
      <c r="FB114" s="460">
        <f t="shared" si="426"/>
        <v>275.89706122990918</v>
      </c>
      <c r="FC114" s="173">
        <f t="shared" si="427"/>
        <v>0.58576748441509441</v>
      </c>
      <c r="FD114" s="5">
        <f t="shared" si="428"/>
        <v>1.032</v>
      </c>
      <c r="FE114" s="173">
        <f t="shared" si="429"/>
        <v>0.63791614675277064</v>
      </c>
      <c r="FF114" s="5">
        <f t="shared" si="430"/>
        <v>63.791614675277067</v>
      </c>
      <c r="FG114">
        <f t="shared" si="431"/>
        <v>4</v>
      </c>
      <c r="FI114" s="562">
        <f t="shared" si="432"/>
        <v>-50</v>
      </c>
      <c r="FJ114">
        <f t="shared" si="433"/>
        <v>-50</v>
      </c>
    </row>
    <row r="115" spans="5:166">
      <c r="E115" s="170">
        <v>5</v>
      </c>
      <c r="F115" s="217">
        <f t="shared" si="434"/>
        <v>0.30000000000000004</v>
      </c>
      <c r="G115" s="217">
        <f t="shared" si="313"/>
        <v>5.000000000000001E-3</v>
      </c>
      <c r="H115" s="217">
        <f t="shared" si="314"/>
        <v>1.2000000000000002</v>
      </c>
      <c r="I115" s="217">
        <f t="shared" si="315"/>
        <v>9.0000000000000024E-2</v>
      </c>
      <c r="J115" s="541">
        <f t="shared" si="316"/>
        <v>17.964660861721935</v>
      </c>
      <c r="K115" s="443">
        <f t="shared" si="317"/>
        <v>19.12</v>
      </c>
      <c r="L115" s="172">
        <f t="shared" si="318"/>
        <v>37.084660861721936</v>
      </c>
      <c r="M115" s="443"/>
      <c r="N115" s="217">
        <f t="shared" si="319"/>
        <v>0.51557704872354093</v>
      </c>
      <c r="O115" s="172">
        <f t="shared" si="320"/>
        <v>28.719897142343875</v>
      </c>
      <c r="P115" s="172">
        <f t="shared" si="321"/>
        <v>2.3155417071014748</v>
      </c>
      <c r="Q115" s="217">
        <f t="shared" si="322"/>
        <v>7.1799742855859687</v>
      </c>
      <c r="R115" s="217">
        <f t="shared" si="323"/>
        <v>1.5955498412413265</v>
      </c>
      <c r="S115" s="217">
        <f t="shared" si="324"/>
        <v>4</v>
      </c>
      <c r="T115" s="217">
        <f t="shared" si="325"/>
        <v>0.27855252963998289</v>
      </c>
      <c r="U115" s="217">
        <f t="shared" si="326"/>
        <v>0.18606698904080504</v>
      </c>
      <c r="V115" s="217">
        <f t="shared" si="327"/>
        <v>0.17482376337237421</v>
      </c>
      <c r="W115" s="197">
        <f t="shared" si="328"/>
        <v>350</v>
      </c>
      <c r="X115" s="443">
        <f t="shared" si="435"/>
        <v>350</v>
      </c>
      <c r="Z115" s="217">
        <f t="shared" si="329"/>
        <v>2.2052778162871185</v>
      </c>
      <c r="AA115" s="173">
        <f t="shared" si="330"/>
        <v>1.3840655750755975</v>
      </c>
      <c r="AB115" s="173">
        <f t="shared" si="331"/>
        <v>1.987511047721509</v>
      </c>
      <c r="AC115" s="173"/>
      <c r="AD115" s="173">
        <f t="shared" si="332"/>
        <v>0.83682008368200844</v>
      </c>
      <c r="AE115" s="545">
        <f t="shared" si="333"/>
        <v>134.4375</v>
      </c>
      <c r="AF115" s="528">
        <f t="shared" si="334"/>
        <v>0.78103207810320796</v>
      </c>
      <c r="AH115" s="173">
        <f t="shared" si="335"/>
        <v>0.78376381281972596</v>
      </c>
      <c r="AI115" s="173">
        <f t="shared" si="336"/>
        <v>1.3333333333333335</v>
      </c>
      <c r="AJ115" s="173">
        <f t="shared" si="337"/>
        <v>1.0768214285714286</v>
      </c>
      <c r="AL115" s="545">
        <f t="shared" si="338"/>
        <v>300.00000000000006</v>
      </c>
      <c r="AM115" s="460">
        <f t="shared" si="339"/>
        <v>134.4375</v>
      </c>
      <c r="AO115" s="460">
        <f t="shared" si="340"/>
        <v>300.00000000000006</v>
      </c>
      <c r="AP115" s="460">
        <f t="shared" si="341"/>
        <v>134.4375</v>
      </c>
      <c r="AR115" s="5">
        <f t="shared" si="275"/>
        <v>7.4384007438400745</v>
      </c>
      <c r="AS115" s="5">
        <f t="shared" ref="AS115:AS178" si="440">L*AI115/J115*1000000</f>
        <v>0.89063746447292425</v>
      </c>
      <c r="AT115" s="5">
        <f t="shared" ref="AT115:AT178" si="441">AR115-AS115</f>
        <v>6.5477632793671505</v>
      </c>
      <c r="AU115" s="173">
        <f t="shared" ref="AU115:AU178" si="442">AS115/AR115</f>
        <v>0.11973507413007875</v>
      </c>
      <c r="AW115" s="5">
        <f t="shared" si="342"/>
        <v>6.6797809835469328</v>
      </c>
      <c r="AX115" s="5">
        <f t="shared" si="343"/>
        <v>2.4739929568692344E-2</v>
      </c>
      <c r="AY115" s="5">
        <f t="shared" si="344"/>
        <v>0.36448020531902986</v>
      </c>
      <c r="AZ115" s="5"/>
      <c r="BA115" s="173">
        <f t="shared" si="345"/>
        <v>0.26637214194245173</v>
      </c>
      <c r="BB115" s="173">
        <f t="shared" si="346"/>
        <v>2.8889817571998146</v>
      </c>
      <c r="BC115" s="173">
        <f t="shared" si="347"/>
        <v>5.5046814562861333E-2</v>
      </c>
      <c r="BD115" s="173"/>
      <c r="BE115" s="528">
        <f t="shared" si="348"/>
        <v>8.6564023963671779E-4</v>
      </c>
      <c r="BF115" s="528">
        <f t="shared" si="349"/>
        <v>0.12463922736494358</v>
      </c>
      <c r="BG115" s="528">
        <f t="shared" si="350"/>
        <v>6.0378102364943564E-2</v>
      </c>
      <c r="BH115" s="528">
        <f t="shared" si="351"/>
        <v>1.8488813907583942E-2</v>
      </c>
      <c r="BI115">
        <f t="shared" si="352"/>
        <v>8.0840973877748697E-3</v>
      </c>
      <c r="BJ115" s="460">
        <f t="shared" si="436"/>
        <v>68.462199752718433</v>
      </c>
      <c r="BK115">
        <f t="shared" si="353"/>
        <v>0.14425707461239023</v>
      </c>
      <c r="BL115" s="460">
        <f t="shared" si="437"/>
        <v>212.45588126488269</v>
      </c>
      <c r="BM115" s="173">
        <f t="shared" si="354"/>
        <v>0.18637500000000001</v>
      </c>
      <c r="BN115" s="173">
        <f t="shared" si="355"/>
        <v>3.1062500000000005E-3</v>
      </c>
      <c r="BO115" s="528"/>
      <c r="BQ115" s="460">
        <f t="shared" si="356"/>
        <v>189.48125000000002</v>
      </c>
      <c r="BR115" s="528">
        <f t="shared" si="357"/>
        <v>2.1286235400902898E-3</v>
      </c>
      <c r="BS115" s="528">
        <f t="shared" si="358"/>
        <v>0.25038646780299983</v>
      </c>
      <c r="BT115" s="528">
        <f t="shared" si="359"/>
        <v>1.5150758967590212E-5</v>
      </c>
      <c r="BU115" s="528">
        <f t="shared" si="360"/>
        <v>2.1508885872879857E-2</v>
      </c>
      <c r="BV115" s="528"/>
      <c r="BW115" s="625">
        <f t="shared" si="361"/>
        <v>5.9750000000000011E-3</v>
      </c>
      <c r="BX115" s="460">
        <f t="shared" si="362"/>
        <v>280.01412797493759</v>
      </c>
      <c r="BY115" s="173">
        <f t="shared" si="363"/>
        <v>0.68195125923982014</v>
      </c>
      <c r="BZ115" s="5">
        <f t="shared" si="364"/>
        <v>1.2900000000000003</v>
      </c>
      <c r="CA115" s="173">
        <f t="shared" si="365"/>
        <v>0.65417438385231197</v>
      </c>
      <c r="CB115" s="5">
        <f t="shared" si="366"/>
        <v>65.417438385231193</v>
      </c>
      <c r="CC115">
        <f t="shared" si="367"/>
        <v>5.0000000000000009</v>
      </c>
      <c r="CE115" s="562">
        <f t="shared" si="368"/>
        <v>-50</v>
      </c>
      <c r="CF115">
        <f t="shared" si="369"/>
        <v>-50</v>
      </c>
      <c r="CG115" s="173">
        <f t="shared" si="370"/>
        <v>0.1125</v>
      </c>
      <c r="CH115" s="173">
        <f t="shared" si="371"/>
        <v>2.8814682095336733E-2</v>
      </c>
      <c r="CI115" s="170">
        <v>5</v>
      </c>
      <c r="CJ115" s="217">
        <f t="shared" si="438"/>
        <v>0.30000000000000004</v>
      </c>
      <c r="CK115" s="217">
        <f t="shared" si="372"/>
        <v>5.000000000000001E-3</v>
      </c>
      <c r="CL115" s="217">
        <f t="shared" si="373"/>
        <v>1.2000000000000002</v>
      </c>
      <c r="CM115" s="217">
        <f t="shared" si="374"/>
        <v>9.0000000000000024E-2</v>
      </c>
      <c r="CN115" s="541">
        <f t="shared" si="375"/>
        <v>18</v>
      </c>
      <c r="CO115" s="443">
        <f t="shared" si="376"/>
        <v>18.8</v>
      </c>
      <c r="CP115" s="443">
        <f t="shared" si="377"/>
        <v>36.799999999999997</v>
      </c>
      <c r="CQ115" s="443"/>
      <c r="CR115" s="217">
        <f t="shared" si="378"/>
        <v>0.51086956521739135</v>
      </c>
      <c r="CS115" s="172">
        <f t="shared" si="379"/>
        <v>28.513650151668358</v>
      </c>
      <c r="CT115" s="172">
        <f t="shared" si="380"/>
        <v>2.2989130434782612</v>
      </c>
      <c r="CU115" s="217">
        <f t="shared" si="381"/>
        <v>7.1284125379170895</v>
      </c>
      <c r="CV115" s="217">
        <f t="shared" si="382"/>
        <v>1.5840916750926866</v>
      </c>
      <c r="CW115" s="217">
        <f t="shared" si="383"/>
        <v>4</v>
      </c>
      <c r="CX115" s="217">
        <f t="shared" si="384"/>
        <v>0.28056737588652486</v>
      </c>
      <c r="CY115" s="217">
        <f t="shared" si="385"/>
        <v>0.18704491725768327</v>
      </c>
      <c r="CZ115" s="217">
        <f t="shared" si="386"/>
        <v>0.17908555907650525</v>
      </c>
      <c r="DA115" s="197">
        <f t="shared" si="387"/>
        <v>350</v>
      </c>
      <c r="DB115" s="443">
        <f t="shared" si="388"/>
        <v>350</v>
      </c>
      <c r="DD115" s="217">
        <f t="shared" si="389"/>
        <v>2.18944099378882</v>
      </c>
      <c r="DE115" s="173">
        <f t="shared" si="390"/>
        <v>1.3975155279503106</v>
      </c>
      <c r="DF115" s="173">
        <f t="shared" si="391"/>
        <v>1.9924134422749624</v>
      </c>
      <c r="DG115" s="173"/>
      <c r="DH115" s="173">
        <f t="shared" si="392"/>
        <v>0.85106382978723416</v>
      </c>
      <c r="DI115" s="545">
        <f t="shared" si="393"/>
        <v>132.1875</v>
      </c>
      <c r="DJ115" s="528">
        <f t="shared" si="394"/>
        <v>0.79432624113475192</v>
      </c>
      <c r="DL115" s="173">
        <f t="shared" si="395"/>
        <v>0.78376381281972596</v>
      </c>
      <c r="DM115" s="173">
        <f t="shared" si="396"/>
        <v>1.3333333333333335</v>
      </c>
      <c r="DN115" s="173">
        <f t="shared" si="397"/>
        <v>1.0755357142857143</v>
      </c>
      <c r="DP115" s="545">
        <f t="shared" si="398"/>
        <v>300.00000000000006</v>
      </c>
      <c r="DQ115" s="460">
        <f t="shared" si="399"/>
        <v>132.1875</v>
      </c>
      <c r="DS115" s="460">
        <f t="shared" si="400"/>
        <v>300.00000000000006</v>
      </c>
      <c r="DT115" s="460">
        <f t="shared" si="401"/>
        <v>132.1875</v>
      </c>
      <c r="DV115" s="5">
        <f t="shared" si="402"/>
        <v>7.5650118203309686</v>
      </c>
      <c r="DW115" s="5">
        <f t="shared" si="403"/>
        <v>0.88888888888888906</v>
      </c>
      <c r="DX115" s="5">
        <f t="shared" si="404"/>
        <v>6.6761229314420794</v>
      </c>
      <c r="DY115" s="173">
        <f t="shared" si="405"/>
        <v>0.11750000000000003</v>
      </c>
      <c r="EA115" s="5">
        <f t="shared" si="406"/>
        <v>6.6666666666666696</v>
      </c>
      <c r="EB115" s="5">
        <f t="shared" si="407"/>
        <v>2.4691358024691367E-2</v>
      </c>
      <c r="EC115" s="5">
        <f t="shared" si="408"/>
        <v>0.37089571841344887</v>
      </c>
      <c r="ED115" s="5"/>
      <c r="EE115" s="173">
        <f t="shared" si="409"/>
        <v>0.26387426860084268</v>
      </c>
      <c r="EF115" s="173">
        <f t="shared" si="410"/>
        <v>2.8926471280485297</v>
      </c>
      <c r="EG115" s="173">
        <f t="shared" si="411"/>
        <v>5.5116654737140912E-2</v>
      </c>
      <c r="EH115" s="173"/>
      <c r="EI115" s="528">
        <f t="shared" si="412"/>
        <v>8.4948148148148188E-4</v>
      </c>
      <c r="EJ115" s="528">
        <f t="shared" si="413"/>
        <v>0.12972</v>
      </c>
      <c r="EK115" s="528">
        <f t="shared" si="414"/>
        <v>1.6523437499999998E-2</v>
      </c>
      <c r="EL115" s="528">
        <f t="shared" si="415"/>
        <v>1.7901359999999998E-2</v>
      </c>
      <c r="EM115">
        <f t="shared" si="416"/>
        <v>8.0999999999999996E-3</v>
      </c>
      <c r="EN115" s="460">
        <f t="shared" si="417"/>
        <v>24.623437499999998</v>
      </c>
      <c r="EP115" s="460">
        <f t="shared" si="439"/>
        <v>173.09427898148147</v>
      </c>
      <c r="EQ115" s="173">
        <f t="shared" si="418"/>
        <v>0.21000000000000002</v>
      </c>
      <c r="ER115" s="173">
        <f t="shared" si="419"/>
        <v>2.2187500000000002E-3</v>
      </c>
      <c r="ES115" s="528"/>
      <c r="EU115" s="460">
        <f t="shared" si="420"/>
        <v>212.21875</v>
      </c>
      <c r="EV115" s="528">
        <f t="shared" si="421"/>
        <v>2.0888888888888901E-3</v>
      </c>
      <c r="EW115" s="528">
        <f t="shared" si="422"/>
        <v>0.2510222222222222</v>
      </c>
      <c r="EX115" s="528">
        <f t="shared" si="423"/>
        <v>1.5189228147065989E-5</v>
      </c>
      <c r="EY115" s="528">
        <f t="shared" si="424"/>
        <v>2.0620197398390674E-2</v>
      </c>
      <c r="EZ115" s="528"/>
      <c r="FA115" s="625">
        <f t="shared" si="425"/>
        <v>5.8750000000000017E-3</v>
      </c>
      <c r="FB115" s="460">
        <f t="shared" si="426"/>
        <v>279.62149773764884</v>
      </c>
      <c r="FC115" s="173">
        <f t="shared" si="427"/>
        <v>0.66493452671913023</v>
      </c>
      <c r="FD115" s="5">
        <f t="shared" si="428"/>
        <v>1.2900000000000003</v>
      </c>
      <c r="FE115" s="173">
        <f t="shared" si="429"/>
        <v>0.65986864642722498</v>
      </c>
      <c r="FF115" s="5">
        <f t="shared" si="430"/>
        <v>65.986864642722495</v>
      </c>
      <c r="FG115">
        <f t="shared" si="431"/>
        <v>5.0000000000000009</v>
      </c>
      <c r="FI115" s="562">
        <f t="shared" si="432"/>
        <v>-50</v>
      </c>
      <c r="FJ115">
        <f t="shared" si="433"/>
        <v>-50</v>
      </c>
    </row>
    <row r="116" spans="5:166">
      <c r="E116" s="170">
        <v>6</v>
      </c>
      <c r="F116" s="217">
        <f t="shared" si="434"/>
        <v>0.36</v>
      </c>
      <c r="G116" s="217">
        <f t="shared" si="313"/>
        <v>6.0000000000000001E-3</v>
      </c>
      <c r="H116" s="217">
        <f t="shared" si="314"/>
        <v>1.44</v>
      </c>
      <c r="I116" s="217">
        <f t="shared" si="315"/>
        <v>0.108</v>
      </c>
      <c r="J116" s="541">
        <f t="shared" si="316"/>
        <v>17.964660861721935</v>
      </c>
      <c r="K116" s="443">
        <f t="shared" si="317"/>
        <v>19.12</v>
      </c>
      <c r="L116" s="172">
        <f t="shared" si="318"/>
        <v>37.084660861721936</v>
      </c>
      <c r="M116" s="443"/>
      <c r="N116" s="217">
        <f t="shared" si="319"/>
        <v>0.51557704872354093</v>
      </c>
      <c r="O116" s="172">
        <f t="shared" si="320"/>
        <v>28.719897142343875</v>
      </c>
      <c r="P116" s="172">
        <f t="shared" si="321"/>
        <v>2.3155417071014748</v>
      </c>
      <c r="Q116" s="217">
        <f t="shared" si="322"/>
        <v>7.1799742855859687</v>
      </c>
      <c r="R116" s="217">
        <f t="shared" si="323"/>
        <v>1.5955498412413265</v>
      </c>
      <c r="S116" s="217">
        <f t="shared" si="324"/>
        <v>4</v>
      </c>
      <c r="T116" s="217">
        <f t="shared" si="325"/>
        <v>0.33426303556797943</v>
      </c>
      <c r="U116" s="217">
        <f t="shared" si="326"/>
        <v>0.22328038684896606</v>
      </c>
      <c r="V116" s="217">
        <f t="shared" si="327"/>
        <v>0.20978851604684903</v>
      </c>
      <c r="W116" s="197">
        <f t="shared" si="328"/>
        <v>350</v>
      </c>
      <c r="X116" s="443">
        <f t="shared" si="435"/>
        <v>350</v>
      </c>
      <c r="Z116" s="217">
        <f t="shared" si="329"/>
        <v>2.2052778162871185</v>
      </c>
      <c r="AA116" s="173">
        <f t="shared" si="330"/>
        <v>1.3840655750755975</v>
      </c>
      <c r="AB116" s="173">
        <f t="shared" si="331"/>
        <v>1.987511047721509</v>
      </c>
      <c r="AC116" s="173"/>
      <c r="AD116" s="173">
        <f t="shared" si="332"/>
        <v>0.83682008368200844</v>
      </c>
      <c r="AE116" s="545">
        <f t="shared" si="333"/>
        <v>161.32499999999993</v>
      </c>
      <c r="AF116" s="528">
        <f t="shared" si="334"/>
        <v>0.78103207810320796</v>
      </c>
      <c r="AH116" s="173">
        <f t="shared" si="335"/>
        <v>0.85857024007524108</v>
      </c>
      <c r="AI116" s="173">
        <f t="shared" si="336"/>
        <v>1.3333333333333335</v>
      </c>
      <c r="AJ116" s="173">
        <f t="shared" si="337"/>
        <v>1.0921857142857143</v>
      </c>
      <c r="AL116" s="545">
        <f t="shared" si="338"/>
        <v>360</v>
      </c>
      <c r="AM116" s="460">
        <f t="shared" si="339"/>
        <v>161.32499999999993</v>
      </c>
      <c r="AO116" s="460">
        <f t="shared" si="340"/>
        <v>360</v>
      </c>
      <c r="AP116" s="460">
        <f t="shared" si="341"/>
        <v>161.32499999999993</v>
      </c>
      <c r="AR116" s="5">
        <f t="shared" si="275"/>
        <v>6.1986672865333983</v>
      </c>
      <c r="AS116" s="5">
        <f t="shared" si="440"/>
        <v>0.89063746447292425</v>
      </c>
      <c r="AT116" s="5">
        <f t="shared" si="441"/>
        <v>5.3080298220604742</v>
      </c>
      <c r="AU116" s="173">
        <f t="shared" si="442"/>
        <v>0.14368208895609444</v>
      </c>
      <c r="AW116" s="5">
        <f t="shared" si="342"/>
        <v>8.0157371802563162</v>
      </c>
      <c r="AX116" s="5">
        <f t="shared" si="343"/>
        <v>2.9687915482430809E-2</v>
      </c>
      <c r="AY116" s="5">
        <f t="shared" si="344"/>
        <v>0.35456476665499542</v>
      </c>
      <c r="AZ116" s="5"/>
      <c r="BA116" s="173">
        <f t="shared" si="345"/>
        <v>0.29179606166569755</v>
      </c>
      <c r="BB116" s="173">
        <f t="shared" si="346"/>
        <v>2.8494143987534875</v>
      </c>
      <c r="BC116" s="173">
        <f t="shared" si="347"/>
        <v>5.4292895976248881E-2</v>
      </c>
      <c r="BD116" s="173"/>
      <c r="BE116" s="528">
        <f t="shared" si="348"/>
        <v>1.0387682875640609E-3</v>
      </c>
      <c r="BF116" s="528">
        <f t="shared" si="349"/>
        <v>0.14956707283793225</v>
      </c>
      <c r="BG116" s="528">
        <f t="shared" si="350"/>
        <v>7.245372283793225E-2</v>
      </c>
      <c r="BH116" s="528">
        <f t="shared" si="351"/>
        <v>2.218657668910072E-2</v>
      </c>
      <c r="BI116">
        <f t="shared" si="352"/>
        <v>8.0840973877748697E-3</v>
      </c>
      <c r="BJ116" s="460">
        <f t="shared" si="436"/>
        <v>80.537820225707122</v>
      </c>
      <c r="BK116">
        <f t="shared" si="353"/>
        <v>0.1731156121493361</v>
      </c>
      <c r="BL116" s="460">
        <f t="shared" si="437"/>
        <v>253.33023804030412</v>
      </c>
      <c r="BM116" s="173">
        <f t="shared" si="354"/>
        <v>0.22364999999999999</v>
      </c>
      <c r="BN116" s="173">
        <f t="shared" si="355"/>
        <v>3.7274999999999995E-3</v>
      </c>
      <c r="BO116" s="528"/>
      <c r="BQ116" s="460">
        <f t="shared" si="356"/>
        <v>227.37749999999997</v>
      </c>
      <c r="BR116" s="528">
        <f t="shared" si="357"/>
        <v>2.5543482481083469E-3</v>
      </c>
      <c r="BS116" s="528">
        <f t="shared" si="358"/>
        <v>0.24357487247471094</v>
      </c>
      <c r="BT116" s="528">
        <f t="shared" si="359"/>
        <v>1.4738592767438909E-5</v>
      </c>
      <c r="BU116" s="528">
        <f t="shared" si="360"/>
        <v>3.3928997700615846E-2</v>
      </c>
      <c r="BV116" s="528"/>
      <c r="BW116" s="625">
        <f t="shared" si="361"/>
        <v>7.1699999999999984E-3</v>
      </c>
      <c r="BX116" s="460">
        <f t="shared" si="362"/>
        <v>287.24295701620258</v>
      </c>
      <c r="BY116" s="173">
        <f t="shared" si="363"/>
        <v>0.7679506950565067</v>
      </c>
      <c r="BZ116" s="5">
        <f t="shared" si="364"/>
        <v>1.548</v>
      </c>
      <c r="CA116" s="173">
        <f t="shared" si="365"/>
        <v>0.66840801201177158</v>
      </c>
      <c r="CB116" s="5">
        <f t="shared" si="366"/>
        <v>66.840801201177158</v>
      </c>
      <c r="CC116">
        <f t="shared" si="367"/>
        <v>6</v>
      </c>
      <c r="CE116" s="562">
        <f t="shared" si="368"/>
        <v>-50</v>
      </c>
      <c r="CF116">
        <f t="shared" si="369"/>
        <v>-50</v>
      </c>
      <c r="CG116" s="173">
        <f t="shared" si="370"/>
        <v>0.13499999999999998</v>
      </c>
      <c r="CH116" s="173">
        <f t="shared" si="371"/>
        <v>3.4577618514404072E-2</v>
      </c>
      <c r="CI116" s="170">
        <v>6</v>
      </c>
      <c r="CJ116" s="217">
        <f t="shared" si="438"/>
        <v>0.36</v>
      </c>
      <c r="CK116" s="217">
        <f t="shared" si="372"/>
        <v>6.0000000000000001E-3</v>
      </c>
      <c r="CL116" s="217">
        <f t="shared" si="373"/>
        <v>1.44</v>
      </c>
      <c r="CM116" s="217">
        <f t="shared" si="374"/>
        <v>0.108</v>
      </c>
      <c r="CN116" s="541">
        <f t="shared" si="375"/>
        <v>18</v>
      </c>
      <c r="CO116" s="443">
        <f t="shared" si="376"/>
        <v>18.8</v>
      </c>
      <c r="CP116" s="443">
        <f t="shared" si="377"/>
        <v>36.799999999999997</v>
      </c>
      <c r="CQ116" s="443"/>
      <c r="CR116" s="217">
        <f t="shared" si="378"/>
        <v>0.51086956521739135</v>
      </c>
      <c r="CS116" s="172">
        <f t="shared" si="379"/>
        <v>28.513650151668358</v>
      </c>
      <c r="CT116" s="172">
        <f t="shared" si="380"/>
        <v>2.2989130434782612</v>
      </c>
      <c r="CU116" s="217">
        <f t="shared" si="381"/>
        <v>7.1284125379170895</v>
      </c>
      <c r="CV116" s="217">
        <f t="shared" si="382"/>
        <v>1.5840916750926866</v>
      </c>
      <c r="CW116" s="217">
        <f t="shared" si="383"/>
        <v>4</v>
      </c>
      <c r="CX116" s="217">
        <f t="shared" si="384"/>
        <v>0.33668085106382972</v>
      </c>
      <c r="CY116" s="217">
        <f t="shared" si="385"/>
        <v>0.22445390070921981</v>
      </c>
      <c r="CZ116" s="217">
        <f t="shared" si="386"/>
        <v>0.21490267089180617</v>
      </c>
      <c r="DA116" s="197">
        <f t="shared" si="387"/>
        <v>350</v>
      </c>
      <c r="DB116" s="443">
        <f t="shared" si="388"/>
        <v>350</v>
      </c>
      <c r="DD116" s="217">
        <f t="shared" si="389"/>
        <v>2.18944099378882</v>
      </c>
      <c r="DE116" s="173">
        <f t="shared" si="390"/>
        <v>1.3975155279503106</v>
      </c>
      <c r="DF116" s="173">
        <f t="shared" si="391"/>
        <v>1.9924134422749624</v>
      </c>
      <c r="DG116" s="173"/>
      <c r="DH116" s="173">
        <f t="shared" si="392"/>
        <v>0.85106382978723416</v>
      </c>
      <c r="DI116" s="545">
        <f t="shared" si="393"/>
        <v>158.62499999999997</v>
      </c>
      <c r="DJ116" s="528">
        <f t="shared" si="394"/>
        <v>0.79432624113475192</v>
      </c>
      <c r="DL116" s="173">
        <f t="shared" si="395"/>
        <v>0.85857024007524108</v>
      </c>
      <c r="DM116" s="173">
        <f t="shared" si="396"/>
        <v>1.3333333333333335</v>
      </c>
      <c r="DN116" s="173">
        <f t="shared" si="397"/>
        <v>1.090642857142857</v>
      </c>
      <c r="DP116" s="545">
        <f t="shared" si="398"/>
        <v>360</v>
      </c>
      <c r="DQ116" s="460">
        <f t="shared" si="399"/>
        <v>158.62499999999997</v>
      </c>
      <c r="DS116" s="460">
        <f t="shared" si="400"/>
        <v>360</v>
      </c>
      <c r="DT116" s="460">
        <f t="shared" si="401"/>
        <v>158.62499999999997</v>
      </c>
      <c r="DV116" s="5">
        <f t="shared" si="402"/>
        <v>6.3041765169424755</v>
      </c>
      <c r="DW116" s="5">
        <f t="shared" si="403"/>
        <v>0.88888888888888906</v>
      </c>
      <c r="DX116" s="5">
        <f t="shared" si="404"/>
        <v>5.4152876280535862</v>
      </c>
      <c r="DY116" s="173">
        <f t="shared" si="405"/>
        <v>0.14100000000000001</v>
      </c>
      <c r="EA116" s="5">
        <f t="shared" si="406"/>
        <v>8.0000000000000018</v>
      </c>
      <c r="EB116" s="5">
        <f t="shared" si="407"/>
        <v>2.9629629629629638E-2</v>
      </c>
      <c r="EC116" s="5">
        <f t="shared" si="408"/>
        <v>0.36101917520357235</v>
      </c>
      <c r="ED116" s="5"/>
      <c r="EE116" s="173">
        <f t="shared" si="409"/>
        <v>0.2890597785157174</v>
      </c>
      <c r="EF116" s="173">
        <f t="shared" si="410"/>
        <v>2.8538732614803686</v>
      </c>
      <c r="EG116" s="173">
        <f t="shared" si="411"/>
        <v>5.4377855387666478E-2</v>
      </c>
      <c r="EH116" s="173"/>
      <c r="EI116" s="528">
        <f t="shared" si="412"/>
        <v>1.0193777777777783E-3</v>
      </c>
      <c r="EJ116" s="528">
        <f t="shared" si="413"/>
        <v>0.155664</v>
      </c>
      <c r="EK116" s="528">
        <f t="shared" si="414"/>
        <v>1.9828124999999995E-2</v>
      </c>
      <c r="EL116" s="528">
        <f t="shared" si="415"/>
        <v>2.1481631999999994E-2</v>
      </c>
      <c r="EM116">
        <f t="shared" si="416"/>
        <v>8.0999999999999996E-3</v>
      </c>
      <c r="EN116" s="460">
        <f t="shared" si="417"/>
        <v>27.928124999999994</v>
      </c>
      <c r="EP116" s="460">
        <f t="shared" si="439"/>
        <v>206.09313477777778</v>
      </c>
      <c r="EQ116" s="173">
        <f t="shared" si="418"/>
        <v>0.252</v>
      </c>
      <c r="ER116" s="173">
        <f t="shared" si="419"/>
        <v>2.6624999999999999E-3</v>
      </c>
      <c r="ES116" s="528"/>
      <c r="EU116" s="460">
        <f t="shared" si="420"/>
        <v>254.66250000000002</v>
      </c>
      <c r="EV116" s="528">
        <f t="shared" si="421"/>
        <v>2.5066666666666679E-3</v>
      </c>
      <c r="EW116" s="528">
        <f t="shared" si="422"/>
        <v>0.24433777777777788</v>
      </c>
      <c r="EX116" s="528">
        <f t="shared" si="423"/>
        <v>1.478475578280984E-5</v>
      </c>
      <c r="EY116" s="528">
        <f t="shared" si="424"/>
        <v>3.2527144095286696E-2</v>
      </c>
      <c r="EZ116" s="528"/>
      <c r="FA116" s="625">
        <f t="shared" si="425"/>
        <v>7.0499999999999998E-3</v>
      </c>
      <c r="FB116" s="460">
        <f t="shared" si="426"/>
        <v>286.43637329551404</v>
      </c>
      <c r="FC116" s="173">
        <f t="shared" si="427"/>
        <v>0.74719200807329178</v>
      </c>
      <c r="FD116" s="5">
        <f t="shared" si="428"/>
        <v>1.548</v>
      </c>
      <c r="FE116" s="173">
        <f t="shared" si="429"/>
        <v>0.67445337669133609</v>
      </c>
      <c r="FF116" s="5">
        <f t="shared" si="430"/>
        <v>67.445337669133608</v>
      </c>
      <c r="FG116">
        <f t="shared" si="431"/>
        <v>6</v>
      </c>
      <c r="FI116" s="562">
        <f t="shared" si="432"/>
        <v>-50</v>
      </c>
      <c r="FJ116">
        <f t="shared" si="433"/>
        <v>-50</v>
      </c>
    </row>
    <row r="117" spans="5:166">
      <c r="E117" s="170">
        <v>7</v>
      </c>
      <c r="F117" s="217">
        <f t="shared" si="434"/>
        <v>0.42000000000000004</v>
      </c>
      <c r="G117" s="217">
        <f t="shared" si="313"/>
        <v>7.000000000000001E-3</v>
      </c>
      <c r="H117" s="217">
        <f t="shared" si="314"/>
        <v>1.6800000000000002</v>
      </c>
      <c r="I117" s="217">
        <f t="shared" si="315"/>
        <v>0.12600000000000003</v>
      </c>
      <c r="J117" s="541">
        <f t="shared" si="316"/>
        <v>17.964660861721935</v>
      </c>
      <c r="K117" s="443">
        <f t="shared" si="317"/>
        <v>19.12</v>
      </c>
      <c r="L117" s="172">
        <f t="shared" si="318"/>
        <v>37.084660861721936</v>
      </c>
      <c r="M117" s="443"/>
      <c r="N117" s="217">
        <f t="shared" si="319"/>
        <v>0.51557704872354093</v>
      </c>
      <c r="O117" s="172">
        <f t="shared" si="320"/>
        <v>28.719897142343875</v>
      </c>
      <c r="P117" s="172">
        <f t="shared" si="321"/>
        <v>2.3155417071014748</v>
      </c>
      <c r="Q117" s="217">
        <f t="shared" si="322"/>
        <v>7.1799742855859687</v>
      </c>
      <c r="R117" s="217">
        <f t="shared" si="323"/>
        <v>1.5955498412413265</v>
      </c>
      <c r="S117" s="217">
        <f t="shared" si="324"/>
        <v>4</v>
      </c>
      <c r="T117" s="217">
        <f t="shared" si="325"/>
        <v>0.38997354149597602</v>
      </c>
      <c r="U117" s="217">
        <f t="shared" si="326"/>
        <v>0.26049378465712708</v>
      </c>
      <c r="V117" s="217">
        <f t="shared" si="327"/>
        <v>0.24475326872132386</v>
      </c>
      <c r="W117" s="197">
        <f t="shared" si="328"/>
        <v>350</v>
      </c>
      <c r="X117" s="443">
        <f t="shared" si="435"/>
        <v>350</v>
      </c>
      <c r="Z117" s="217">
        <f t="shared" si="329"/>
        <v>2.2052778162871185</v>
      </c>
      <c r="AA117" s="173">
        <f t="shared" si="330"/>
        <v>1.3840655750755975</v>
      </c>
      <c r="AB117" s="173">
        <f t="shared" si="331"/>
        <v>1.987511047721509</v>
      </c>
      <c r="AC117" s="173"/>
      <c r="AD117" s="173">
        <f t="shared" si="332"/>
        <v>0.83682008368200844</v>
      </c>
      <c r="AE117" s="545">
        <f t="shared" si="333"/>
        <v>188.21249999999998</v>
      </c>
      <c r="AF117" s="528">
        <f t="shared" si="334"/>
        <v>0.78103207810320796</v>
      </c>
      <c r="AH117" s="173">
        <f t="shared" si="335"/>
        <v>0.92736184954957046</v>
      </c>
      <c r="AI117" s="173">
        <f t="shared" si="336"/>
        <v>1.3333333333333335</v>
      </c>
      <c r="AJ117" s="173">
        <f t="shared" si="337"/>
        <v>1.10755</v>
      </c>
      <c r="AL117" s="545">
        <f t="shared" si="338"/>
        <v>420.00000000000006</v>
      </c>
      <c r="AM117" s="460">
        <f t="shared" si="339"/>
        <v>188.21249999999998</v>
      </c>
      <c r="AO117" s="460">
        <f t="shared" si="340"/>
        <v>420.00000000000006</v>
      </c>
      <c r="AP117" s="460">
        <f t="shared" si="341"/>
        <v>188.21249999999998</v>
      </c>
      <c r="AR117" s="5">
        <f t="shared" si="275"/>
        <v>5.3131433884571964</v>
      </c>
      <c r="AS117" s="5">
        <f t="shared" si="440"/>
        <v>0.89063746447292425</v>
      </c>
      <c r="AT117" s="5">
        <f t="shared" si="441"/>
        <v>4.4225059239842723</v>
      </c>
      <c r="AU117" s="173">
        <f t="shared" si="442"/>
        <v>0.16762910378211024</v>
      </c>
      <c r="AW117" s="5">
        <f t="shared" si="342"/>
        <v>9.3516933769657058</v>
      </c>
      <c r="AX117" s="5">
        <f t="shared" si="343"/>
        <v>3.4635901396169275E-2</v>
      </c>
      <c r="AY117" s="5">
        <f t="shared" si="344"/>
        <v>0.34464932799096087</v>
      </c>
      <c r="AZ117" s="5"/>
      <c r="BA117" s="173">
        <f t="shared" si="345"/>
        <v>0.31517576874533598</v>
      </c>
      <c r="BB117" s="173">
        <f t="shared" si="346"/>
        <v>2.809289810292642</v>
      </c>
      <c r="BC117" s="173">
        <f t="shared" si="347"/>
        <v>5.352835989881926E-2</v>
      </c>
      <c r="BD117" s="173"/>
      <c r="BE117" s="528">
        <f t="shared" si="348"/>
        <v>1.2118963354914047E-3</v>
      </c>
      <c r="BF117" s="528">
        <f t="shared" si="349"/>
        <v>0.17449491831092095</v>
      </c>
      <c r="BG117" s="528">
        <f t="shared" si="350"/>
        <v>8.4529343310920976E-2</v>
      </c>
      <c r="BH117" s="528">
        <f t="shared" si="351"/>
        <v>2.5884339470617513E-2</v>
      </c>
      <c r="BI117">
        <f t="shared" si="352"/>
        <v>8.0840973877748697E-3</v>
      </c>
      <c r="BJ117" s="460">
        <f t="shared" si="436"/>
        <v>92.61344069869584</v>
      </c>
      <c r="BK117">
        <f t="shared" si="353"/>
        <v>0.20197652457494564</v>
      </c>
      <c r="BL117" s="460">
        <f t="shared" si="437"/>
        <v>294.20459481572573</v>
      </c>
      <c r="BM117" s="173">
        <f t="shared" si="354"/>
        <v>0.26092499999999996</v>
      </c>
      <c r="BN117" s="173">
        <f t="shared" si="355"/>
        <v>4.3487500000000002E-3</v>
      </c>
      <c r="BO117" s="528"/>
      <c r="BQ117" s="460">
        <f t="shared" si="356"/>
        <v>265.27374999999995</v>
      </c>
      <c r="BR117" s="528">
        <f t="shared" si="357"/>
        <v>2.9800729561264049E-3</v>
      </c>
      <c r="BS117" s="528">
        <f t="shared" si="358"/>
        <v>0.23676327714642204</v>
      </c>
      <c r="BT117" s="528">
        <f t="shared" si="359"/>
        <v>1.4326426567287608E-5</v>
      </c>
      <c r="BU117" s="528">
        <f t="shared" si="360"/>
        <v>4.9881327668860234E-2</v>
      </c>
      <c r="BV117" s="528"/>
      <c r="BW117" s="625">
        <f t="shared" si="361"/>
        <v>8.3650000000000009E-3</v>
      </c>
      <c r="BX117" s="460">
        <f t="shared" si="362"/>
        <v>298.00400419797597</v>
      </c>
      <c r="BY117" s="173">
        <f t="shared" si="363"/>
        <v>0.85748234901370168</v>
      </c>
      <c r="BZ117" s="5">
        <f t="shared" si="364"/>
        <v>1.8060000000000003</v>
      </c>
      <c r="CA117" s="173">
        <f t="shared" si="365"/>
        <v>0.67805968403311145</v>
      </c>
      <c r="CB117" s="5">
        <f t="shared" si="366"/>
        <v>67.805968403311141</v>
      </c>
      <c r="CC117">
        <f t="shared" si="367"/>
        <v>7.0000000000000009</v>
      </c>
      <c r="CE117" s="562">
        <f t="shared" si="368"/>
        <v>-50</v>
      </c>
      <c r="CF117">
        <f t="shared" si="369"/>
        <v>-50</v>
      </c>
      <c r="CG117" s="173">
        <f t="shared" si="370"/>
        <v>0.15749999999999997</v>
      </c>
      <c r="CH117" s="173">
        <f t="shared" si="371"/>
        <v>4.0340554933471419E-2</v>
      </c>
      <c r="CI117" s="170">
        <v>7</v>
      </c>
      <c r="CJ117" s="217">
        <f t="shared" si="438"/>
        <v>0.42000000000000004</v>
      </c>
      <c r="CK117" s="217">
        <f t="shared" si="372"/>
        <v>7.000000000000001E-3</v>
      </c>
      <c r="CL117" s="217">
        <f t="shared" si="373"/>
        <v>1.6800000000000002</v>
      </c>
      <c r="CM117" s="217">
        <f t="shared" si="374"/>
        <v>0.12600000000000003</v>
      </c>
      <c r="CN117" s="541">
        <f t="shared" si="375"/>
        <v>18</v>
      </c>
      <c r="CO117" s="443">
        <f t="shared" si="376"/>
        <v>18.8</v>
      </c>
      <c r="CP117" s="443">
        <f t="shared" si="377"/>
        <v>36.799999999999997</v>
      </c>
      <c r="CQ117" s="443"/>
      <c r="CR117" s="217">
        <f t="shared" si="378"/>
        <v>0.51086956521739135</v>
      </c>
      <c r="CS117" s="172">
        <f t="shared" si="379"/>
        <v>28.513650151668358</v>
      </c>
      <c r="CT117" s="172">
        <f t="shared" si="380"/>
        <v>2.2989130434782612</v>
      </c>
      <c r="CU117" s="217">
        <f t="shared" si="381"/>
        <v>7.1284125379170895</v>
      </c>
      <c r="CV117" s="217">
        <f t="shared" si="382"/>
        <v>1.5840916750926866</v>
      </c>
      <c r="CW117" s="217">
        <f t="shared" si="383"/>
        <v>4</v>
      </c>
      <c r="CX117" s="217">
        <f t="shared" si="384"/>
        <v>0.39279432624113475</v>
      </c>
      <c r="CY117" s="217">
        <f t="shared" si="385"/>
        <v>0.26186288416075648</v>
      </c>
      <c r="CZ117" s="217">
        <f t="shared" si="386"/>
        <v>0.25071978270710732</v>
      </c>
      <c r="DA117" s="197">
        <f t="shared" si="387"/>
        <v>350</v>
      </c>
      <c r="DB117" s="443">
        <f t="shared" si="388"/>
        <v>350</v>
      </c>
      <c r="DD117" s="217">
        <f t="shared" si="389"/>
        <v>2.18944099378882</v>
      </c>
      <c r="DE117" s="173">
        <f t="shared" si="390"/>
        <v>1.3975155279503106</v>
      </c>
      <c r="DF117" s="173">
        <f t="shared" si="391"/>
        <v>1.9924134422749624</v>
      </c>
      <c r="DG117" s="173"/>
      <c r="DH117" s="173">
        <f t="shared" si="392"/>
        <v>0.85106382978723416</v>
      </c>
      <c r="DI117" s="545">
        <f t="shared" si="393"/>
        <v>185.06249999999997</v>
      </c>
      <c r="DJ117" s="528">
        <f t="shared" si="394"/>
        <v>0.79432624113475192</v>
      </c>
      <c r="DL117" s="173">
        <f t="shared" si="395"/>
        <v>0.92736184954957046</v>
      </c>
      <c r="DM117" s="173">
        <f t="shared" si="396"/>
        <v>1.3333333333333335</v>
      </c>
      <c r="DN117" s="173">
        <f t="shared" si="397"/>
        <v>1.10575</v>
      </c>
      <c r="DP117" s="545">
        <f t="shared" si="398"/>
        <v>420.00000000000006</v>
      </c>
      <c r="DQ117" s="460">
        <f t="shared" si="399"/>
        <v>185.06249999999997</v>
      </c>
      <c r="DS117" s="460">
        <f t="shared" si="400"/>
        <v>420.00000000000006</v>
      </c>
      <c r="DT117" s="460">
        <f t="shared" si="401"/>
        <v>185.06249999999997</v>
      </c>
      <c r="DV117" s="5">
        <f t="shared" si="402"/>
        <v>5.403579871664979</v>
      </c>
      <c r="DW117" s="5">
        <f t="shared" si="403"/>
        <v>0.88888888888888906</v>
      </c>
      <c r="DX117" s="5">
        <f t="shared" si="404"/>
        <v>4.5146909827760897</v>
      </c>
      <c r="DY117" s="173">
        <f t="shared" si="405"/>
        <v>0.16450000000000001</v>
      </c>
      <c r="EA117" s="5">
        <f t="shared" si="406"/>
        <v>9.3333333333333357</v>
      </c>
      <c r="EB117" s="5">
        <f t="shared" si="407"/>
        <v>3.4567901234567912E-2</v>
      </c>
      <c r="EC117" s="5">
        <f t="shared" si="408"/>
        <v>0.35114263199369583</v>
      </c>
      <c r="ED117" s="5"/>
      <c r="EE117" s="173">
        <f t="shared" si="409"/>
        <v>0.31222024514992858</v>
      </c>
      <c r="EF117" s="173">
        <f t="shared" si="410"/>
        <v>2.8145652910845365</v>
      </c>
      <c r="EG117" s="173">
        <f t="shared" si="411"/>
        <v>5.3628879194989133E-2</v>
      </c>
      <c r="EH117" s="173"/>
      <c r="EI117" s="528">
        <f t="shared" si="412"/>
        <v>1.1892740740740743E-3</v>
      </c>
      <c r="EJ117" s="528">
        <f t="shared" si="413"/>
        <v>0.18160799999999999</v>
      </c>
      <c r="EK117" s="528">
        <f t="shared" si="414"/>
        <v>2.3132812499999995E-2</v>
      </c>
      <c r="EL117" s="528">
        <f t="shared" si="415"/>
        <v>2.5061903999999992E-2</v>
      </c>
      <c r="EM117">
        <f t="shared" si="416"/>
        <v>8.0999999999999996E-3</v>
      </c>
      <c r="EN117" s="460">
        <f t="shared" si="417"/>
        <v>31.232812499999994</v>
      </c>
      <c r="EP117" s="460">
        <f t="shared" si="439"/>
        <v>239.09199057407403</v>
      </c>
      <c r="EQ117" s="173">
        <f t="shared" si="418"/>
        <v>0.29399999999999998</v>
      </c>
      <c r="ER117" s="173">
        <f t="shared" si="419"/>
        <v>3.1062500000000005E-3</v>
      </c>
      <c r="ES117" s="528"/>
      <c r="EU117" s="460">
        <f t="shared" si="420"/>
        <v>297.10624999999999</v>
      </c>
      <c r="EV117" s="528">
        <f t="shared" si="421"/>
        <v>2.9244444444444448E-3</v>
      </c>
      <c r="EW117" s="528">
        <f t="shared" si="422"/>
        <v>0.23765333333333344</v>
      </c>
      <c r="EX117" s="528">
        <f t="shared" si="423"/>
        <v>1.4380283418553691E-5</v>
      </c>
      <c r="EY117" s="528">
        <f t="shared" si="424"/>
        <v>4.7820367317239786E-2</v>
      </c>
      <c r="EZ117" s="528"/>
      <c r="FA117" s="625">
        <f t="shared" si="425"/>
        <v>8.2249999999999997E-3</v>
      </c>
      <c r="FB117" s="460">
        <f t="shared" si="426"/>
        <v>296.63752537843618</v>
      </c>
      <c r="FC117" s="173">
        <f t="shared" si="427"/>
        <v>0.83283576595251041</v>
      </c>
      <c r="FD117" s="5">
        <f t="shared" si="428"/>
        <v>1.8060000000000003</v>
      </c>
      <c r="FE117" s="173">
        <f t="shared" si="429"/>
        <v>0.68439272473939239</v>
      </c>
      <c r="FF117" s="5">
        <f t="shared" si="430"/>
        <v>68.439272473939241</v>
      </c>
      <c r="FG117">
        <f t="shared" si="431"/>
        <v>7.0000000000000009</v>
      </c>
      <c r="FI117" s="562">
        <f t="shared" si="432"/>
        <v>-50</v>
      </c>
      <c r="FJ117">
        <f t="shared" si="433"/>
        <v>-50</v>
      </c>
    </row>
    <row r="118" spans="5:166">
      <c r="E118" s="170">
        <v>8</v>
      </c>
      <c r="F118" s="217">
        <f t="shared" si="434"/>
        <v>0.48</v>
      </c>
      <c r="G118" s="217">
        <f t="shared" si="313"/>
        <v>8.0000000000000002E-3</v>
      </c>
      <c r="H118" s="217">
        <f t="shared" si="314"/>
        <v>1.92</v>
      </c>
      <c r="I118" s="217">
        <f t="shared" si="315"/>
        <v>0.14400000000000002</v>
      </c>
      <c r="J118" s="541">
        <f t="shared" si="316"/>
        <v>17.964660861721935</v>
      </c>
      <c r="K118" s="443">
        <f t="shared" si="317"/>
        <v>19.12</v>
      </c>
      <c r="L118" s="172">
        <f t="shared" si="318"/>
        <v>37.084660861721936</v>
      </c>
      <c r="M118" s="443"/>
      <c r="N118" s="217">
        <f t="shared" si="319"/>
        <v>0.51557704872354093</v>
      </c>
      <c r="O118" s="172">
        <f t="shared" si="320"/>
        <v>28.719897142343875</v>
      </c>
      <c r="P118" s="172">
        <f t="shared" si="321"/>
        <v>2.3155417071014748</v>
      </c>
      <c r="Q118" s="217">
        <f t="shared" si="322"/>
        <v>7.1799742855859687</v>
      </c>
      <c r="R118" s="217">
        <f t="shared" si="323"/>
        <v>1.5955498412413265</v>
      </c>
      <c r="S118" s="217">
        <f t="shared" si="324"/>
        <v>4</v>
      </c>
      <c r="T118" s="217">
        <f t="shared" si="325"/>
        <v>0.44568404742397255</v>
      </c>
      <c r="U118" s="217">
        <f t="shared" si="326"/>
        <v>0.29770718246528804</v>
      </c>
      <c r="V118" s="217">
        <f t="shared" si="327"/>
        <v>0.27971802139579865</v>
      </c>
      <c r="W118" s="197">
        <f t="shared" si="328"/>
        <v>350</v>
      </c>
      <c r="X118" s="443">
        <f t="shared" si="435"/>
        <v>350</v>
      </c>
      <c r="Z118" s="217">
        <f t="shared" si="329"/>
        <v>2.2052778162871185</v>
      </c>
      <c r="AA118" s="173">
        <f t="shared" si="330"/>
        <v>1.3840655750755975</v>
      </c>
      <c r="AB118" s="173">
        <f t="shared" si="331"/>
        <v>1.987511047721509</v>
      </c>
      <c r="AC118" s="173"/>
      <c r="AD118" s="173">
        <f t="shared" si="332"/>
        <v>0.83682008368200844</v>
      </c>
      <c r="AE118" s="545">
        <f t="shared" si="333"/>
        <v>215.09999999999994</v>
      </c>
      <c r="AF118" s="528">
        <f t="shared" si="334"/>
        <v>0.78103207810320796</v>
      </c>
      <c r="AH118" s="173">
        <f t="shared" si="335"/>
        <v>0.99139151845128415</v>
      </c>
      <c r="AI118" s="173">
        <f t="shared" si="336"/>
        <v>1.3333333333333335</v>
      </c>
      <c r="AJ118" s="173">
        <f t="shared" si="337"/>
        <v>1.1229142857142858</v>
      </c>
      <c r="AL118" s="545">
        <f t="shared" si="338"/>
        <v>480</v>
      </c>
      <c r="AM118" s="460">
        <f t="shared" si="339"/>
        <v>215.09999999999994</v>
      </c>
      <c r="AO118" s="460">
        <f t="shared" si="340"/>
        <v>480</v>
      </c>
      <c r="AP118" s="460">
        <f t="shared" si="341"/>
        <v>215.09999999999994</v>
      </c>
      <c r="AR118" s="5">
        <f t="shared" si="275"/>
        <v>4.6490004649000474</v>
      </c>
      <c r="AS118" s="5">
        <f t="shared" si="440"/>
        <v>0.89063746447292425</v>
      </c>
      <c r="AT118" s="5">
        <f t="shared" si="441"/>
        <v>3.7583630004271233</v>
      </c>
      <c r="AU118" s="173">
        <f t="shared" si="442"/>
        <v>0.19157611860812596</v>
      </c>
      <c r="AW118" s="5">
        <f t="shared" si="342"/>
        <v>10.68764957367509</v>
      </c>
      <c r="AX118" s="5">
        <f t="shared" si="343"/>
        <v>3.9583887309907743E-2</v>
      </c>
      <c r="AY118" s="5">
        <f t="shared" si="344"/>
        <v>0.33473388932692638</v>
      </c>
      <c r="AZ118" s="5"/>
      <c r="BA118" s="173">
        <f t="shared" si="345"/>
        <v>0.33693706950232621</v>
      </c>
      <c r="BB118" s="173">
        <f t="shared" si="346"/>
        <v>2.7685837644189921</v>
      </c>
      <c r="BC118" s="173">
        <f t="shared" si="347"/>
        <v>5.2752744700415931E-2</v>
      </c>
      <c r="BD118" s="173"/>
      <c r="BE118" s="528">
        <f t="shared" si="348"/>
        <v>1.3850243834187478E-3</v>
      </c>
      <c r="BF118" s="528">
        <f t="shared" si="349"/>
        <v>0.19942276378390966</v>
      </c>
      <c r="BG118" s="528">
        <f t="shared" si="350"/>
        <v>9.6604963783909661E-2</v>
      </c>
      <c r="BH118" s="528">
        <f t="shared" si="351"/>
        <v>2.9582102252134295E-2</v>
      </c>
      <c r="BI118">
        <f t="shared" si="352"/>
        <v>8.0840973877748697E-3</v>
      </c>
      <c r="BJ118" s="460">
        <f t="shared" si="436"/>
        <v>104.68906117168453</v>
      </c>
      <c r="BK118">
        <f t="shared" si="353"/>
        <v>0.23083981218239</v>
      </c>
      <c r="BL118" s="460">
        <f t="shared" si="437"/>
        <v>335.07895159114724</v>
      </c>
      <c r="BM118" s="173">
        <f t="shared" si="354"/>
        <v>0.29819999999999997</v>
      </c>
      <c r="BN118" s="173">
        <f t="shared" si="355"/>
        <v>4.9699999999999996E-3</v>
      </c>
      <c r="BO118" s="528"/>
      <c r="BQ118" s="460">
        <f t="shared" si="356"/>
        <v>303.16999999999996</v>
      </c>
      <c r="BR118" s="528">
        <f t="shared" si="357"/>
        <v>3.405797664144462E-3</v>
      </c>
      <c r="BS118" s="528">
        <f t="shared" si="358"/>
        <v>0.22995168181813311</v>
      </c>
      <c r="BT118" s="528">
        <f t="shared" si="359"/>
        <v>1.3914260367136304E-5</v>
      </c>
      <c r="BU118" s="528">
        <f t="shared" si="360"/>
        <v>6.9649478953901264E-2</v>
      </c>
      <c r="BV118" s="528"/>
      <c r="BW118" s="625">
        <f t="shared" si="361"/>
        <v>9.5600000000000008E-3</v>
      </c>
      <c r="BX118" s="460">
        <f t="shared" si="362"/>
        <v>312.58087269654601</v>
      </c>
      <c r="BY118" s="173">
        <f t="shared" si="363"/>
        <v>0.95082982428769325</v>
      </c>
      <c r="BZ118" s="5">
        <f t="shared" si="364"/>
        <v>2.0640000000000001</v>
      </c>
      <c r="CA118" s="173">
        <f t="shared" si="365"/>
        <v>0.68461575621027182</v>
      </c>
      <c r="CB118" s="5">
        <f t="shared" si="366"/>
        <v>68.46157562102718</v>
      </c>
      <c r="CC118">
        <f t="shared" si="367"/>
        <v>8</v>
      </c>
      <c r="CE118" s="562">
        <f t="shared" si="368"/>
        <v>-50</v>
      </c>
      <c r="CF118">
        <f t="shared" si="369"/>
        <v>-50</v>
      </c>
      <c r="CG118" s="173">
        <f t="shared" si="370"/>
        <v>0.17999999999999994</v>
      </c>
      <c r="CH118" s="173">
        <f t="shared" si="371"/>
        <v>4.6103491352538759E-2</v>
      </c>
      <c r="CI118" s="170">
        <v>8</v>
      </c>
      <c r="CJ118" s="217">
        <f t="shared" si="438"/>
        <v>0.48</v>
      </c>
      <c r="CK118" s="217">
        <f t="shared" si="372"/>
        <v>8.0000000000000002E-3</v>
      </c>
      <c r="CL118" s="217">
        <f t="shared" si="373"/>
        <v>1.92</v>
      </c>
      <c r="CM118" s="217">
        <f t="shared" si="374"/>
        <v>0.14400000000000002</v>
      </c>
      <c r="CN118" s="541">
        <f t="shared" si="375"/>
        <v>18</v>
      </c>
      <c r="CO118" s="443">
        <f t="shared" si="376"/>
        <v>18.8</v>
      </c>
      <c r="CP118" s="443">
        <f t="shared" si="377"/>
        <v>36.799999999999997</v>
      </c>
      <c r="CQ118" s="443"/>
      <c r="CR118" s="217">
        <f t="shared" si="378"/>
        <v>0.51086956521739135</v>
      </c>
      <c r="CS118" s="172">
        <f t="shared" si="379"/>
        <v>28.513650151668358</v>
      </c>
      <c r="CT118" s="172">
        <f t="shared" si="380"/>
        <v>2.2989130434782612</v>
      </c>
      <c r="CU118" s="217">
        <f t="shared" si="381"/>
        <v>7.1284125379170895</v>
      </c>
      <c r="CV118" s="217">
        <f t="shared" si="382"/>
        <v>1.5840916750926866</v>
      </c>
      <c r="CW118" s="217">
        <f t="shared" si="383"/>
        <v>4</v>
      </c>
      <c r="CX118" s="217">
        <f t="shared" si="384"/>
        <v>0.44890780141843967</v>
      </c>
      <c r="CY118" s="217">
        <f t="shared" si="385"/>
        <v>0.29927186761229313</v>
      </c>
      <c r="CZ118" s="217">
        <f t="shared" si="386"/>
        <v>0.28653689452240827</v>
      </c>
      <c r="DA118" s="197">
        <f t="shared" si="387"/>
        <v>350</v>
      </c>
      <c r="DB118" s="443">
        <f t="shared" si="388"/>
        <v>350</v>
      </c>
      <c r="DD118" s="217">
        <f t="shared" si="389"/>
        <v>2.18944099378882</v>
      </c>
      <c r="DE118" s="173">
        <f t="shared" si="390"/>
        <v>1.3975155279503106</v>
      </c>
      <c r="DF118" s="173">
        <f t="shared" si="391"/>
        <v>1.9924134422749624</v>
      </c>
      <c r="DG118" s="173"/>
      <c r="DH118" s="173">
        <f t="shared" si="392"/>
        <v>0.85106382978723416</v>
      </c>
      <c r="DI118" s="545">
        <f t="shared" si="393"/>
        <v>211.49999999999991</v>
      </c>
      <c r="DJ118" s="528">
        <f t="shared" si="394"/>
        <v>0.79432624113475192</v>
      </c>
      <c r="DL118" s="173">
        <f t="shared" si="395"/>
        <v>0.99139151845128415</v>
      </c>
      <c r="DM118" s="173">
        <f t="shared" si="396"/>
        <v>1.3333333333333335</v>
      </c>
      <c r="DN118" s="173">
        <f t="shared" si="397"/>
        <v>1.1208571428571428</v>
      </c>
      <c r="DP118" s="545">
        <f t="shared" si="398"/>
        <v>480</v>
      </c>
      <c r="DQ118" s="460">
        <f t="shared" si="399"/>
        <v>211.49999999999991</v>
      </c>
      <c r="DS118" s="460">
        <f t="shared" si="400"/>
        <v>480</v>
      </c>
      <c r="DT118" s="460">
        <f t="shared" si="401"/>
        <v>211.49999999999991</v>
      </c>
      <c r="DV118" s="5">
        <f t="shared" si="402"/>
        <v>4.7281323877068573</v>
      </c>
      <c r="DW118" s="5">
        <f t="shared" si="403"/>
        <v>0.88888888888888906</v>
      </c>
      <c r="DX118" s="5">
        <f t="shared" si="404"/>
        <v>3.839243498817968</v>
      </c>
      <c r="DY118" s="173">
        <f t="shared" si="405"/>
        <v>0.18799999999999997</v>
      </c>
      <c r="EA118" s="5">
        <f t="shared" si="406"/>
        <v>10.666666666666668</v>
      </c>
      <c r="EB118" s="5">
        <f t="shared" si="407"/>
        <v>3.9506172839506179E-2</v>
      </c>
      <c r="EC118" s="5">
        <f t="shared" si="408"/>
        <v>0.34126608878381931</v>
      </c>
      <c r="ED118" s="5"/>
      <c r="EE118" s="173">
        <f t="shared" si="409"/>
        <v>0.33377748187588602</v>
      </c>
      <c r="EF118" s="173">
        <f t="shared" si="410"/>
        <v>2.7747005177069046</v>
      </c>
      <c r="EG118" s="173">
        <f t="shared" si="411"/>
        <v>5.2869293648199124E-2</v>
      </c>
      <c r="EH118" s="173"/>
      <c r="EI118" s="528">
        <f t="shared" si="412"/>
        <v>1.3591703703703703E-3</v>
      </c>
      <c r="EJ118" s="528">
        <f t="shared" si="413"/>
        <v>0.20755199999999993</v>
      </c>
      <c r="EK118" s="528">
        <f t="shared" si="414"/>
        <v>2.6437499999999989E-2</v>
      </c>
      <c r="EL118" s="528">
        <f t="shared" si="415"/>
        <v>2.8642175999999984E-2</v>
      </c>
      <c r="EM118">
        <f t="shared" si="416"/>
        <v>8.0999999999999996E-3</v>
      </c>
      <c r="EN118" s="460">
        <f t="shared" si="417"/>
        <v>34.537499999999987</v>
      </c>
      <c r="EP118" s="460">
        <f t="shared" si="439"/>
        <v>272.09084637037023</v>
      </c>
      <c r="EQ118" s="173">
        <f t="shared" si="418"/>
        <v>0.33599999999999997</v>
      </c>
      <c r="ER118" s="173">
        <f t="shared" si="419"/>
        <v>3.5499999999999998E-3</v>
      </c>
      <c r="ES118" s="528"/>
      <c r="EU118" s="460">
        <f t="shared" si="420"/>
        <v>339.54999999999995</v>
      </c>
      <c r="EV118" s="528">
        <f t="shared" si="421"/>
        <v>3.3422222222222221E-3</v>
      </c>
      <c r="EW118" s="528">
        <f t="shared" si="422"/>
        <v>0.23096888888888892</v>
      </c>
      <c r="EX118" s="528">
        <f t="shared" si="423"/>
        <v>1.397581105429754E-5</v>
      </c>
      <c r="EY118" s="528">
        <f t="shared" si="424"/>
        <v>6.6771752531141357E-2</v>
      </c>
      <c r="EZ118" s="528"/>
      <c r="FA118" s="625">
        <f t="shared" si="425"/>
        <v>9.3999999999999986E-3</v>
      </c>
      <c r="FB118" s="460">
        <f t="shared" si="426"/>
        <v>310.49683945330679</v>
      </c>
      <c r="FC118" s="173">
        <f t="shared" si="427"/>
        <v>0.92213768582367706</v>
      </c>
      <c r="FD118" s="5">
        <f t="shared" si="428"/>
        <v>2.0640000000000001</v>
      </c>
      <c r="FE118" s="173">
        <f t="shared" si="429"/>
        <v>0.69119384876276369</v>
      </c>
      <c r="FF118" s="5">
        <f t="shared" si="430"/>
        <v>69.119384876276371</v>
      </c>
      <c r="FG118">
        <f t="shared" si="431"/>
        <v>8</v>
      </c>
      <c r="FI118" s="562">
        <f t="shared" si="432"/>
        <v>-50</v>
      </c>
      <c r="FJ118">
        <f t="shared" si="433"/>
        <v>-50</v>
      </c>
    </row>
    <row r="119" spans="5:166">
      <c r="E119" s="170">
        <v>9</v>
      </c>
      <c r="F119" s="217">
        <f t="shared" si="434"/>
        <v>0.54</v>
      </c>
      <c r="G119" s="217">
        <f t="shared" si="313"/>
        <v>8.9999999999999993E-3</v>
      </c>
      <c r="H119" s="217">
        <f t="shared" si="314"/>
        <v>2.16</v>
      </c>
      <c r="I119" s="217">
        <f t="shared" si="315"/>
        <v>0.16199999999999998</v>
      </c>
      <c r="J119" s="541">
        <f t="shared" si="316"/>
        <v>17.964660861721935</v>
      </c>
      <c r="K119" s="443">
        <f t="shared" si="317"/>
        <v>19.12</v>
      </c>
      <c r="L119" s="172">
        <f t="shared" si="318"/>
        <v>37.084660861721936</v>
      </c>
      <c r="M119" s="443"/>
      <c r="N119" s="217">
        <f t="shared" si="319"/>
        <v>0.51557704872354093</v>
      </c>
      <c r="O119" s="172">
        <f t="shared" si="320"/>
        <v>28.719897142343875</v>
      </c>
      <c r="P119" s="172">
        <f t="shared" si="321"/>
        <v>2.3155417071014748</v>
      </c>
      <c r="Q119" s="217">
        <f t="shared" si="322"/>
        <v>7.1799742855859687</v>
      </c>
      <c r="R119" s="217">
        <f t="shared" si="323"/>
        <v>1.5955498412413265</v>
      </c>
      <c r="S119" s="217">
        <f t="shared" si="324"/>
        <v>4</v>
      </c>
      <c r="T119" s="217">
        <f t="shared" si="325"/>
        <v>0.50139455335196914</v>
      </c>
      <c r="U119" s="217">
        <f t="shared" si="326"/>
        <v>0.33492058027344906</v>
      </c>
      <c r="V119" s="217">
        <f t="shared" si="327"/>
        <v>0.31468277407027351</v>
      </c>
      <c r="W119" s="197">
        <f t="shared" si="328"/>
        <v>350</v>
      </c>
      <c r="X119" s="443">
        <f t="shared" si="435"/>
        <v>350</v>
      </c>
      <c r="Z119" s="217">
        <f t="shared" si="329"/>
        <v>2.2052778162871185</v>
      </c>
      <c r="AA119" s="173">
        <f t="shared" si="330"/>
        <v>1.3840655750755975</v>
      </c>
      <c r="AB119" s="173">
        <f t="shared" si="331"/>
        <v>1.987511047721509</v>
      </c>
      <c r="AC119" s="173"/>
      <c r="AD119" s="173">
        <f t="shared" si="332"/>
        <v>0.83682008368200844</v>
      </c>
      <c r="AE119" s="545">
        <f t="shared" si="333"/>
        <v>241.98749999999998</v>
      </c>
      <c r="AF119" s="528">
        <f t="shared" si="334"/>
        <v>0.78103207810320796</v>
      </c>
      <c r="AH119" s="173">
        <f t="shared" si="335"/>
        <v>1.0515294982615968</v>
      </c>
      <c r="AI119" s="173">
        <f t="shared" si="336"/>
        <v>1.3333333333333335</v>
      </c>
      <c r="AJ119" s="173">
        <f t="shared" si="337"/>
        <v>1.1382785714285715</v>
      </c>
      <c r="AL119" s="545">
        <f t="shared" si="338"/>
        <v>540</v>
      </c>
      <c r="AM119" s="460">
        <f t="shared" si="339"/>
        <v>241.98749999999998</v>
      </c>
      <c r="AO119" s="460">
        <f t="shared" si="340"/>
        <v>540</v>
      </c>
      <c r="AP119" s="460">
        <f t="shared" si="341"/>
        <v>241.98749999999998</v>
      </c>
      <c r="AR119" s="5">
        <f t="shared" si="275"/>
        <v>4.1324448576889301</v>
      </c>
      <c r="AS119" s="5">
        <f t="shared" si="440"/>
        <v>0.89063746447292425</v>
      </c>
      <c r="AT119" s="5">
        <f t="shared" si="441"/>
        <v>3.2418073932160061</v>
      </c>
      <c r="AU119" s="173">
        <f t="shared" si="442"/>
        <v>0.21552313343414176</v>
      </c>
      <c r="AW119" s="5">
        <f t="shared" si="342"/>
        <v>12.023605770384478</v>
      </c>
      <c r="AX119" s="5">
        <f t="shared" si="343"/>
        <v>4.4531873223646205E-2</v>
      </c>
      <c r="AY119" s="5">
        <f t="shared" si="344"/>
        <v>0.32481845066289189</v>
      </c>
      <c r="AZ119" s="5"/>
      <c r="BA119" s="173">
        <f t="shared" si="345"/>
        <v>0.35737573001732692</v>
      </c>
      <c r="BB119" s="173">
        <f t="shared" si="346"/>
        <v>2.7272702255175973</v>
      </c>
      <c r="BC119" s="173">
        <f t="shared" si="347"/>
        <v>5.1965554297024492E-2</v>
      </c>
      <c r="BD119" s="173"/>
      <c r="BE119" s="528">
        <f t="shared" si="348"/>
        <v>1.5581524313460914E-3</v>
      </c>
      <c r="BF119" s="528">
        <f t="shared" si="349"/>
        <v>0.22435060925689843</v>
      </c>
      <c r="BG119" s="528">
        <f t="shared" si="350"/>
        <v>0.1086805842568984</v>
      </c>
      <c r="BH119" s="528">
        <f t="shared" si="351"/>
        <v>3.3279865033651095E-2</v>
      </c>
      <c r="BI119">
        <f t="shared" si="352"/>
        <v>8.0840973877748697E-3</v>
      </c>
      <c r="BJ119" s="460">
        <f t="shared" si="436"/>
        <v>116.76468164467327</v>
      </c>
      <c r="BK119">
        <f t="shared" si="353"/>
        <v>0.2597054752648888</v>
      </c>
      <c r="BL119" s="460">
        <f t="shared" si="437"/>
        <v>375.95330836656893</v>
      </c>
      <c r="BM119" s="173">
        <f t="shared" si="354"/>
        <v>0.33547499999999997</v>
      </c>
      <c r="BN119" s="173">
        <f t="shared" si="355"/>
        <v>5.591249999999999E-3</v>
      </c>
      <c r="BO119" s="528"/>
      <c r="BQ119" s="460">
        <f t="shared" si="356"/>
        <v>341.06624999999997</v>
      </c>
      <c r="BR119" s="528">
        <f t="shared" si="357"/>
        <v>3.83152237216252E-3</v>
      </c>
      <c r="BS119" s="528">
        <f t="shared" si="358"/>
        <v>0.22314008648984418</v>
      </c>
      <c r="BT119" s="528">
        <f t="shared" si="359"/>
        <v>1.3502094166985005E-5</v>
      </c>
      <c r="BU119" s="528">
        <f t="shared" si="360"/>
        <v>9.3497323331894117E-2</v>
      </c>
      <c r="BV119" s="528"/>
      <c r="BW119" s="625">
        <f t="shared" si="361"/>
        <v>1.0755000000000001E-2</v>
      </c>
      <c r="BX119" s="460">
        <f t="shared" si="362"/>
        <v>331.23743428806779</v>
      </c>
      <c r="BY119" s="173">
        <f t="shared" si="363"/>
        <v>1.0482569926546368</v>
      </c>
      <c r="BZ119" s="5">
        <f t="shared" si="364"/>
        <v>2.3220000000000001</v>
      </c>
      <c r="CA119" s="173">
        <f t="shared" si="365"/>
        <v>0.68896823152083708</v>
      </c>
      <c r="CB119" s="5">
        <f t="shared" si="366"/>
        <v>68.896823152083712</v>
      </c>
      <c r="CC119">
        <f t="shared" si="367"/>
        <v>9.0000000000000018</v>
      </c>
      <c r="CE119" s="562">
        <f t="shared" si="368"/>
        <v>-50</v>
      </c>
      <c r="CF119">
        <f t="shared" si="369"/>
        <v>-50</v>
      </c>
      <c r="CG119" s="173">
        <f t="shared" si="370"/>
        <v>0.20249999999999999</v>
      </c>
      <c r="CH119" s="173">
        <f t="shared" si="371"/>
        <v>5.1866427771606105E-2</v>
      </c>
      <c r="CI119" s="170">
        <v>9</v>
      </c>
      <c r="CJ119" s="217">
        <f t="shared" si="438"/>
        <v>0.54</v>
      </c>
      <c r="CK119" s="217">
        <f t="shared" si="372"/>
        <v>8.9999999999999993E-3</v>
      </c>
      <c r="CL119" s="217">
        <f t="shared" si="373"/>
        <v>2.16</v>
      </c>
      <c r="CM119" s="217">
        <f t="shared" si="374"/>
        <v>0.16199999999999998</v>
      </c>
      <c r="CN119" s="541">
        <f t="shared" si="375"/>
        <v>18</v>
      </c>
      <c r="CO119" s="443">
        <f t="shared" si="376"/>
        <v>18.8</v>
      </c>
      <c r="CP119" s="443">
        <f t="shared" si="377"/>
        <v>36.799999999999997</v>
      </c>
      <c r="CQ119" s="443"/>
      <c r="CR119" s="217">
        <f t="shared" si="378"/>
        <v>0.51086956521739135</v>
      </c>
      <c r="CS119" s="172">
        <f t="shared" si="379"/>
        <v>28.513650151668358</v>
      </c>
      <c r="CT119" s="172">
        <f t="shared" si="380"/>
        <v>2.2989130434782612</v>
      </c>
      <c r="CU119" s="217">
        <f t="shared" si="381"/>
        <v>7.1284125379170895</v>
      </c>
      <c r="CV119" s="217">
        <f t="shared" si="382"/>
        <v>1.5840916750926866</v>
      </c>
      <c r="CW119" s="217">
        <f t="shared" si="383"/>
        <v>4</v>
      </c>
      <c r="CX119" s="217">
        <f t="shared" si="384"/>
        <v>0.50502127659574458</v>
      </c>
      <c r="CY119" s="217">
        <f t="shared" si="385"/>
        <v>0.33668085106382972</v>
      </c>
      <c r="CZ119" s="217">
        <f t="shared" si="386"/>
        <v>0.32235400633770928</v>
      </c>
      <c r="DA119" s="197">
        <f t="shared" si="387"/>
        <v>350</v>
      </c>
      <c r="DB119" s="443">
        <f t="shared" si="388"/>
        <v>350</v>
      </c>
      <c r="DD119" s="217">
        <f t="shared" si="389"/>
        <v>2.18944099378882</v>
      </c>
      <c r="DE119" s="173">
        <f t="shared" si="390"/>
        <v>1.3975155279503106</v>
      </c>
      <c r="DF119" s="173">
        <f t="shared" si="391"/>
        <v>1.9924134422749624</v>
      </c>
      <c r="DG119" s="173"/>
      <c r="DH119" s="173">
        <f t="shared" si="392"/>
        <v>0.85106382978723416</v>
      </c>
      <c r="DI119" s="545">
        <f t="shared" si="393"/>
        <v>237.93749999999997</v>
      </c>
      <c r="DJ119" s="528">
        <f t="shared" si="394"/>
        <v>0.79432624113475192</v>
      </c>
      <c r="DL119" s="173">
        <f t="shared" si="395"/>
        <v>1.0515294982615968</v>
      </c>
      <c r="DM119" s="173">
        <f t="shared" si="396"/>
        <v>1.3333333333333335</v>
      </c>
      <c r="DN119" s="173">
        <f t="shared" si="397"/>
        <v>1.1359642857142858</v>
      </c>
      <c r="DP119" s="545">
        <f t="shared" si="398"/>
        <v>540</v>
      </c>
      <c r="DQ119" s="460">
        <f t="shared" si="399"/>
        <v>237.93749999999997</v>
      </c>
      <c r="DS119" s="460">
        <f t="shared" si="400"/>
        <v>540</v>
      </c>
      <c r="DT119" s="460">
        <f t="shared" si="401"/>
        <v>237.93749999999997</v>
      </c>
      <c r="DV119" s="5">
        <f t="shared" si="402"/>
        <v>4.2027843446283164</v>
      </c>
      <c r="DW119" s="5">
        <f t="shared" si="403"/>
        <v>0.88888888888888906</v>
      </c>
      <c r="DX119" s="5">
        <f t="shared" si="404"/>
        <v>3.3138954557394271</v>
      </c>
      <c r="DY119" s="173">
        <f t="shared" si="405"/>
        <v>0.21150000000000002</v>
      </c>
      <c r="EA119" s="5">
        <f t="shared" si="406"/>
        <v>12.000000000000004</v>
      </c>
      <c r="EB119" s="5">
        <f t="shared" si="407"/>
        <v>4.4444444444444446E-2</v>
      </c>
      <c r="EC119" s="5">
        <f t="shared" si="408"/>
        <v>0.33138954557394268</v>
      </c>
      <c r="ED119" s="5"/>
      <c r="EE119" s="173">
        <f t="shared" si="409"/>
        <v>0.35402448126271346</v>
      </c>
      <c r="EF119" s="173">
        <f t="shared" si="410"/>
        <v>2.7342545872958044</v>
      </c>
      <c r="EG119" s="173">
        <f t="shared" si="411"/>
        <v>5.2098634703879515E-2</v>
      </c>
      <c r="EH119" s="173"/>
      <c r="EI119" s="528">
        <f t="shared" si="412"/>
        <v>1.5290666666666667E-3</v>
      </c>
      <c r="EJ119" s="528">
        <f t="shared" si="413"/>
        <v>0.23349600000000001</v>
      </c>
      <c r="EK119" s="528">
        <f t="shared" si="414"/>
        <v>2.9742187499999993E-2</v>
      </c>
      <c r="EL119" s="528">
        <f t="shared" si="415"/>
        <v>3.2222447999999987E-2</v>
      </c>
      <c r="EM119">
        <f t="shared" si="416"/>
        <v>8.0999999999999996E-3</v>
      </c>
      <c r="EN119" s="460">
        <f t="shared" si="417"/>
        <v>37.842187499999994</v>
      </c>
      <c r="EP119" s="460">
        <f t="shared" si="439"/>
        <v>305.08970216666665</v>
      </c>
      <c r="EQ119" s="173">
        <f t="shared" si="418"/>
        <v>0.378</v>
      </c>
      <c r="ER119" s="173">
        <f t="shared" si="419"/>
        <v>3.9937499999999999E-3</v>
      </c>
      <c r="ES119" s="528"/>
      <c r="EU119" s="460">
        <f t="shared" si="420"/>
        <v>381.99375000000003</v>
      </c>
      <c r="EV119" s="528">
        <f t="shared" si="421"/>
        <v>3.7600000000000003E-3</v>
      </c>
      <c r="EW119" s="528">
        <f t="shared" si="422"/>
        <v>0.22428444444444448</v>
      </c>
      <c r="EX119" s="528">
        <f t="shared" si="423"/>
        <v>1.3571338690041395E-5</v>
      </c>
      <c r="EY119" s="528">
        <f t="shared" si="424"/>
        <v>8.9634269051364748E-2</v>
      </c>
      <c r="EZ119" s="528"/>
      <c r="FA119" s="625">
        <f t="shared" si="425"/>
        <v>1.0575000000000001E-2</v>
      </c>
      <c r="FB119" s="460">
        <f t="shared" si="426"/>
        <v>328.26728483449932</v>
      </c>
      <c r="FC119" s="173">
        <f t="shared" si="427"/>
        <v>1.0153507370011661</v>
      </c>
      <c r="FD119" s="5">
        <f t="shared" si="428"/>
        <v>2.3220000000000001</v>
      </c>
      <c r="FE119" s="173">
        <f t="shared" si="429"/>
        <v>0.69576145361529285</v>
      </c>
      <c r="FF119" s="5">
        <f t="shared" si="430"/>
        <v>69.576145361529285</v>
      </c>
      <c r="FG119">
        <f t="shared" si="431"/>
        <v>9.0000000000000018</v>
      </c>
      <c r="FI119" s="562">
        <f t="shared" si="432"/>
        <v>-50</v>
      </c>
      <c r="FJ119">
        <f t="shared" si="433"/>
        <v>-50</v>
      </c>
    </row>
    <row r="120" spans="5:166">
      <c r="E120" s="170">
        <v>10</v>
      </c>
      <c r="F120" s="217">
        <f t="shared" si="434"/>
        <v>0.60000000000000009</v>
      </c>
      <c r="G120" s="217">
        <f t="shared" si="313"/>
        <v>1.0000000000000002E-2</v>
      </c>
      <c r="H120" s="217">
        <f t="shared" si="314"/>
        <v>2.4000000000000004</v>
      </c>
      <c r="I120" s="217">
        <f t="shared" si="315"/>
        <v>0.18000000000000005</v>
      </c>
      <c r="J120" s="541">
        <f t="shared" si="316"/>
        <v>17.964660861721935</v>
      </c>
      <c r="K120" s="443">
        <f t="shared" si="317"/>
        <v>19.12</v>
      </c>
      <c r="L120" s="172">
        <f t="shared" si="318"/>
        <v>37.084660861721936</v>
      </c>
      <c r="M120" s="443"/>
      <c r="N120" s="217">
        <f t="shared" si="319"/>
        <v>0.51557704872354093</v>
      </c>
      <c r="O120" s="172">
        <f t="shared" si="320"/>
        <v>28.719897142343875</v>
      </c>
      <c r="P120" s="172">
        <f t="shared" si="321"/>
        <v>2.3155417071014748</v>
      </c>
      <c r="Q120" s="217">
        <f t="shared" si="322"/>
        <v>7.1799742855859687</v>
      </c>
      <c r="R120" s="217">
        <f t="shared" si="323"/>
        <v>1.5955498412413265</v>
      </c>
      <c r="S120" s="217">
        <f t="shared" si="324"/>
        <v>4</v>
      </c>
      <c r="T120" s="217">
        <f t="shared" si="325"/>
        <v>0.55710505927996579</v>
      </c>
      <c r="U120" s="217">
        <f t="shared" si="326"/>
        <v>0.37213397808161008</v>
      </c>
      <c r="V120" s="217">
        <f t="shared" si="327"/>
        <v>0.34964752674474842</v>
      </c>
      <c r="W120" s="197">
        <f t="shared" si="328"/>
        <v>350</v>
      </c>
      <c r="X120" s="443">
        <f t="shared" si="435"/>
        <v>350</v>
      </c>
      <c r="Z120" s="217">
        <f t="shared" si="329"/>
        <v>2.2052778162871185</v>
      </c>
      <c r="AA120" s="173">
        <f t="shared" si="330"/>
        <v>1.3840655750755975</v>
      </c>
      <c r="AB120" s="173">
        <f t="shared" si="331"/>
        <v>1.987511047721509</v>
      </c>
      <c r="AC120" s="173"/>
      <c r="AD120" s="173">
        <f t="shared" si="332"/>
        <v>0.83682008368200844</v>
      </c>
      <c r="AE120" s="545">
        <f t="shared" si="333"/>
        <v>268.875</v>
      </c>
      <c r="AF120" s="528">
        <f t="shared" si="334"/>
        <v>0.78103207810320796</v>
      </c>
      <c r="AH120" s="173">
        <f t="shared" si="335"/>
        <v>1.1084094137869043</v>
      </c>
      <c r="AI120" s="173">
        <f t="shared" si="336"/>
        <v>1.3333333333333335</v>
      </c>
      <c r="AJ120" s="173">
        <f t="shared" si="337"/>
        <v>1.1536428571428572</v>
      </c>
      <c r="AL120" s="545">
        <f t="shared" si="338"/>
        <v>600.00000000000011</v>
      </c>
      <c r="AM120" s="460">
        <f t="shared" si="339"/>
        <v>268.875</v>
      </c>
      <c r="AO120" s="460">
        <f t="shared" si="340"/>
        <v>600.00000000000011</v>
      </c>
      <c r="AP120" s="460">
        <f t="shared" si="341"/>
        <v>268.875</v>
      </c>
      <c r="AR120" s="5">
        <f t="shared" si="275"/>
        <v>3.7192003719200373</v>
      </c>
      <c r="AS120" s="5">
        <f t="shared" si="440"/>
        <v>0.89063746447292425</v>
      </c>
      <c r="AT120" s="5">
        <f t="shared" si="441"/>
        <v>2.8285629074471128</v>
      </c>
      <c r="AU120" s="173">
        <f t="shared" si="442"/>
        <v>0.2394701482601575</v>
      </c>
      <c r="AW120" s="5">
        <f t="shared" si="342"/>
        <v>13.359561967093866</v>
      </c>
      <c r="AX120" s="5">
        <f t="shared" si="343"/>
        <v>4.9479859137384688E-2</v>
      </c>
      <c r="AY120" s="5">
        <f t="shared" si="344"/>
        <v>0.31490301199885734</v>
      </c>
      <c r="AZ120" s="5"/>
      <c r="BA120" s="173">
        <f t="shared" si="345"/>
        <v>0.37670709577338635</v>
      </c>
      <c r="BB120" s="173">
        <f t="shared" si="346"/>
        <v>2.6853211549803819</v>
      </c>
      <c r="BC120" s="173">
        <f t="shared" si="347"/>
        <v>5.1166254439491056E-2</v>
      </c>
      <c r="BD120" s="173"/>
      <c r="BE120" s="528">
        <f t="shared" si="348"/>
        <v>1.7312804792734349E-3</v>
      </c>
      <c r="BF120" s="528">
        <f t="shared" si="349"/>
        <v>0.24927845472988716</v>
      </c>
      <c r="BG120" s="528">
        <f t="shared" si="350"/>
        <v>0.12075620472988713</v>
      </c>
      <c r="BH120" s="528">
        <f t="shared" si="351"/>
        <v>3.6977627815167884E-2</v>
      </c>
      <c r="BI120">
        <f t="shared" si="352"/>
        <v>8.0840973877748697E-3</v>
      </c>
      <c r="BJ120" s="460">
        <f t="shared" si="436"/>
        <v>128.84030211766202</v>
      </c>
      <c r="BK120">
        <f t="shared" si="353"/>
        <v>0.28857351411570964</v>
      </c>
      <c r="BL120" s="460">
        <f t="shared" si="437"/>
        <v>416.82766514199051</v>
      </c>
      <c r="BM120" s="173">
        <f t="shared" si="354"/>
        <v>0.37275000000000003</v>
      </c>
      <c r="BN120" s="173">
        <f t="shared" si="355"/>
        <v>6.212500000000001E-3</v>
      </c>
      <c r="BO120" s="528"/>
      <c r="BQ120" s="460">
        <f t="shared" si="356"/>
        <v>378.96250000000003</v>
      </c>
      <c r="BR120" s="528">
        <f t="shared" si="357"/>
        <v>4.2572470801805779E-3</v>
      </c>
      <c r="BS120" s="528">
        <f t="shared" si="358"/>
        <v>0.21632849116155517</v>
      </c>
      <c r="BT120" s="528">
        <f t="shared" si="359"/>
        <v>1.3089927966833691E-5</v>
      </c>
      <c r="BU120" s="528">
        <f t="shared" si="360"/>
        <v>0.12167263245184695</v>
      </c>
      <c r="BV120" s="528"/>
      <c r="BW120" s="625">
        <f t="shared" si="361"/>
        <v>1.1950000000000002E-2</v>
      </c>
      <c r="BX120" s="460">
        <f t="shared" si="362"/>
        <v>354.22146062154957</v>
      </c>
      <c r="BY120" s="173">
        <f t="shared" si="363"/>
        <v>1.15001162576354</v>
      </c>
      <c r="BZ120" s="5">
        <f t="shared" si="364"/>
        <v>2.5800000000000005</v>
      </c>
      <c r="CA120" s="173">
        <f t="shared" si="365"/>
        <v>0.69168685217485604</v>
      </c>
      <c r="CB120" s="5">
        <f t="shared" si="366"/>
        <v>69.168685217485603</v>
      </c>
      <c r="CC120">
        <f t="shared" si="367"/>
        <v>10.000000000000002</v>
      </c>
      <c r="CE120" s="562">
        <f t="shared" si="368"/>
        <v>-50</v>
      </c>
      <c r="CF120">
        <f t="shared" si="369"/>
        <v>-50</v>
      </c>
      <c r="CG120" s="173">
        <f t="shared" si="370"/>
        <v>0.22500000000000001</v>
      </c>
      <c r="CH120" s="173">
        <f t="shared" si="371"/>
        <v>5.7629364190673465E-2</v>
      </c>
      <c r="CI120" s="170">
        <v>10</v>
      </c>
      <c r="CJ120" s="217">
        <f t="shared" si="438"/>
        <v>0.60000000000000009</v>
      </c>
      <c r="CK120" s="217">
        <f t="shared" si="372"/>
        <v>1.0000000000000002E-2</v>
      </c>
      <c r="CL120" s="217">
        <f t="shared" si="373"/>
        <v>2.4000000000000004</v>
      </c>
      <c r="CM120" s="217">
        <f t="shared" si="374"/>
        <v>0.18000000000000005</v>
      </c>
      <c r="CN120" s="541">
        <f t="shared" si="375"/>
        <v>18</v>
      </c>
      <c r="CO120" s="443">
        <f t="shared" si="376"/>
        <v>18.8</v>
      </c>
      <c r="CP120" s="443">
        <f t="shared" si="377"/>
        <v>36.799999999999997</v>
      </c>
      <c r="CQ120" s="443"/>
      <c r="CR120" s="217">
        <f t="shared" si="378"/>
        <v>0.51086956521739135</v>
      </c>
      <c r="CS120" s="172">
        <f t="shared" si="379"/>
        <v>28.513650151668358</v>
      </c>
      <c r="CT120" s="172">
        <f t="shared" si="380"/>
        <v>2.2989130434782612</v>
      </c>
      <c r="CU120" s="217">
        <f t="shared" si="381"/>
        <v>7.1284125379170895</v>
      </c>
      <c r="CV120" s="217">
        <f t="shared" si="382"/>
        <v>1.5840916750926866</v>
      </c>
      <c r="CW120" s="217">
        <f t="shared" si="383"/>
        <v>4</v>
      </c>
      <c r="CX120" s="217">
        <f t="shared" si="384"/>
        <v>0.56113475177304972</v>
      </c>
      <c r="CY120" s="217">
        <f t="shared" si="385"/>
        <v>0.37408983451536654</v>
      </c>
      <c r="CZ120" s="217">
        <f t="shared" si="386"/>
        <v>0.3581711181530105</v>
      </c>
      <c r="DA120" s="197">
        <f t="shared" si="387"/>
        <v>350</v>
      </c>
      <c r="DB120" s="443">
        <f t="shared" si="388"/>
        <v>350</v>
      </c>
      <c r="DD120" s="217">
        <f t="shared" si="389"/>
        <v>2.18944099378882</v>
      </c>
      <c r="DE120" s="173">
        <f t="shared" si="390"/>
        <v>1.3975155279503106</v>
      </c>
      <c r="DF120" s="173">
        <f t="shared" si="391"/>
        <v>1.9924134422749624</v>
      </c>
      <c r="DG120" s="173"/>
      <c r="DH120" s="173">
        <f t="shared" si="392"/>
        <v>0.85106382978723416</v>
      </c>
      <c r="DI120" s="545">
        <f t="shared" si="393"/>
        <v>264.375</v>
      </c>
      <c r="DJ120" s="528">
        <f t="shared" si="394"/>
        <v>0.79432624113475192</v>
      </c>
      <c r="DL120" s="173">
        <f t="shared" si="395"/>
        <v>1.1084094137869043</v>
      </c>
      <c r="DM120" s="173">
        <f t="shared" si="396"/>
        <v>1.3333333333333335</v>
      </c>
      <c r="DN120" s="173">
        <f t="shared" si="397"/>
        <v>1.1510714285714285</v>
      </c>
      <c r="DP120" s="545">
        <f t="shared" si="398"/>
        <v>600.00000000000011</v>
      </c>
      <c r="DQ120" s="460">
        <f t="shared" si="399"/>
        <v>264.375</v>
      </c>
      <c r="DS120" s="460">
        <f t="shared" si="400"/>
        <v>600.00000000000011</v>
      </c>
      <c r="DT120" s="460">
        <f t="shared" si="401"/>
        <v>264.375</v>
      </c>
      <c r="DV120" s="5">
        <f t="shared" si="402"/>
        <v>3.7825059101654843</v>
      </c>
      <c r="DW120" s="5">
        <f t="shared" si="403"/>
        <v>0.88888888888888906</v>
      </c>
      <c r="DX120" s="5">
        <f t="shared" si="404"/>
        <v>2.8936170212765955</v>
      </c>
      <c r="DY120" s="173">
        <f t="shared" si="405"/>
        <v>0.23500000000000007</v>
      </c>
      <c r="EA120" s="5">
        <f t="shared" si="406"/>
        <v>13.333333333333339</v>
      </c>
      <c r="EB120" s="5">
        <f t="shared" si="407"/>
        <v>4.9382716049382734E-2</v>
      </c>
      <c r="EC120" s="5">
        <f t="shared" si="408"/>
        <v>0.32151300236406621</v>
      </c>
      <c r="ED120" s="5"/>
      <c r="EE120" s="173">
        <f t="shared" si="409"/>
        <v>0.37317456941659261</v>
      </c>
      <c r="EF120" s="173">
        <f t="shared" si="410"/>
        <v>2.6932013168965541</v>
      </c>
      <c r="EG120" s="173">
        <f t="shared" si="411"/>
        <v>5.1316403470596496E-2</v>
      </c>
      <c r="EH120" s="173"/>
      <c r="EI120" s="528">
        <f t="shared" si="412"/>
        <v>1.6989629629629633E-3</v>
      </c>
      <c r="EJ120" s="528">
        <f t="shared" si="413"/>
        <v>0.25944</v>
      </c>
      <c r="EK120" s="528">
        <f t="shared" si="414"/>
        <v>3.3046874999999996E-2</v>
      </c>
      <c r="EL120" s="528">
        <f t="shared" si="415"/>
        <v>3.5802719999999996E-2</v>
      </c>
      <c r="EM120">
        <f t="shared" si="416"/>
        <v>8.0999999999999996E-3</v>
      </c>
      <c r="EN120" s="460">
        <f t="shared" si="417"/>
        <v>41.146875000000001</v>
      </c>
      <c r="EP120" s="460">
        <f t="shared" si="439"/>
        <v>338.08855796296297</v>
      </c>
      <c r="EQ120" s="173">
        <f t="shared" si="418"/>
        <v>0.42000000000000004</v>
      </c>
      <c r="ER120" s="173">
        <f t="shared" si="419"/>
        <v>4.4375000000000005E-3</v>
      </c>
      <c r="ES120" s="528"/>
      <c r="EU120" s="460">
        <f t="shared" si="420"/>
        <v>424.4375</v>
      </c>
      <c r="EV120" s="528">
        <f t="shared" si="421"/>
        <v>4.1777777777777794E-3</v>
      </c>
      <c r="EW120" s="528">
        <f t="shared" si="422"/>
        <v>0.21759999999999999</v>
      </c>
      <c r="EX120" s="528">
        <f t="shared" si="423"/>
        <v>1.3166866325785241E-5</v>
      </c>
      <c r="EY120" s="528">
        <f t="shared" si="424"/>
        <v>0.11664545127845792</v>
      </c>
      <c r="EZ120" s="528"/>
      <c r="FA120" s="625">
        <f t="shared" si="425"/>
        <v>1.1750000000000003E-2</v>
      </c>
      <c r="FB120" s="460">
        <f t="shared" si="426"/>
        <v>350.18639592256147</v>
      </c>
      <c r="FC120" s="173">
        <f t="shared" si="427"/>
        <v>1.1127124538855244</v>
      </c>
      <c r="FD120" s="5">
        <f t="shared" si="428"/>
        <v>2.5800000000000005</v>
      </c>
      <c r="FE120" s="173">
        <f t="shared" si="429"/>
        <v>0.69867340937561695</v>
      </c>
      <c r="FF120" s="5">
        <f t="shared" si="430"/>
        <v>69.867340937561693</v>
      </c>
      <c r="FG120">
        <f t="shared" si="431"/>
        <v>10.000000000000002</v>
      </c>
      <c r="FI120" s="562">
        <f t="shared" si="432"/>
        <v>-50</v>
      </c>
      <c r="FJ120">
        <f t="shared" si="433"/>
        <v>-50</v>
      </c>
    </row>
    <row r="121" spans="5:166">
      <c r="E121" s="170">
        <v>11</v>
      </c>
      <c r="F121" s="217">
        <f t="shared" si="434"/>
        <v>0.66</v>
      </c>
      <c r="G121" s="217">
        <f t="shared" si="313"/>
        <v>1.1000000000000001E-2</v>
      </c>
      <c r="H121" s="217">
        <f t="shared" si="314"/>
        <v>2.64</v>
      </c>
      <c r="I121" s="217">
        <f t="shared" si="315"/>
        <v>0.19800000000000001</v>
      </c>
      <c r="J121" s="541">
        <f t="shared" si="316"/>
        <v>17.964660861721935</v>
      </c>
      <c r="K121" s="443">
        <f t="shared" si="317"/>
        <v>19.12</v>
      </c>
      <c r="L121" s="172">
        <f t="shared" si="318"/>
        <v>37.084660861721936</v>
      </c>
      <c r="M121" s="443"/>
      <c r="N121" s="217">
        <f t="shared" si="319"/>
        <v>0.51557704872354093</v>
      </c>
      <c r="O121" s="172">
        <f t="shared" si="320"/>
        <v>28.719897142343875</v>
      </c>
      <c r="P121" s="172">
        <f t="shared" si="321"/>
        <v>2.3155417071014748</v>
      </c>
      <c r="Q121" s="217">
        <f t="shared" si="322"/>
        <v>7.1799742855859687</v>
      </c>
      <c r="R121" s="217">
        <f t="shared" si="323"/>
        <v>1.5955498412413265</v>
      </c>
      <c r="S121" s="217">
        <f t="shared" si="324"/>
        <v>4</v>
      </c>
      <c r="T121" s="217">
        <f t="shared" si="325"/>
        <v>0.61281556520796221</v>
      </c>
      <c r="U121" s="217">
        <f t="shared" si="326"/>
        <v>0.40934737588977099</v>
      </c>
      <c r="V121" s="217">
        <f t="shared" si="327"/>
        <v>0.38461227941922316</v>
      </c>
      <c r="W121" s="197">
        <f t="shared" si="328"/>
        <v>350</v>
      </c>
      <c r="X121" s="443">
        <f t="shared" si="435"/>
        <v>350</v>
      </c>
      <c r="Z121" s="217">
        <f t="shared" si="329"/>
        <v>2.2052778162871185</v>
      </c>
      <c r="AA121" s="173">
        <f t="shared" si="330"/>
        <v>1.3840655750755975</v>
      </c>
      <c r="AB121" s="173">
        <f t="shared" si="331"/>
        <v>1.987511047721509</v>
      </c>
      <c r="AC121" s="173"/>
      <c r="AD121" s="173">
        <f t="shared" si="332"/>
        <v>0.83682008368200844</v>
      </c>
      <c r="AE121" s="545">
        <f t="shared" si="333"/>
        <v>295.76249999999993</v>
      </c>
      <c r="AF121" s="528">
        <f t="shared" si="334"/>
        <v>0.78103207810320796</v>
      </c>
      <c r="AH121" s="173">
        <f t="shared" si="335"/>
        <v>1.1625096005747959</v>
      </c>
      <c r="AI121" s="173">
        <f t="shared" si="336"/>
        <v>1.3333333333333335</v>
      </c>
      <c r="AJ121" s="173">
        <f t="shared" si="337"/>
        <v>1.1690071428571429</v>
      </c>
      <c r="AL121" s="545">
        <f t="shared" si="338"/>
        <v>660</v>
      </c>
      <c r="AM121" s="460">
        <f t="shared" si="339"/>
        <v>295.76249999999993</v>
      </c>
      <c r="AO121" s="460">
        <f t="shared" si="340"/>
        <v>660</v>
      </c>
      <c r="AP121" s="460">
        <f t="shared" si="341"/>
        <v>295.76249999999993</v>
      </c>
      <c r="AR121" s="5">
        <f t="shared" si="275"/>
        <v>3.3810912472000343</v>
      </c>
      <c r="AS121" s="5">
        <f t="shared" si="440"/>
        <v>0.89063746447292425</v>
      </c>
      <c r="AT121" s="5">
        <f t="shared" si="441"/>
        <v>2.4904537827271103</v>
      </c>
      <c r="AU121" s="173">
        <f t="shared" si="442"/>
        <v>0.26341716308617324</v>
      </c>
      <c r="AW121" s="5">
        <f t="shared" si="342"/>
        <v>14.69551816380325</v>
      </c>
      <c r="AX121" s="5">
        <f t="shared" si="343"/>
        <v>5.442784505112315E-2</v>
      </c>
      <c r="AY121" s="5">
        <f t="shared" si="344"/>
        <v>0.30498757333482296</v>
      </c>
      <c r="AZ121" s="5"/>
      <c r="BA121" s="173">
        <f t="shared" si="345"/>
        <v>0.39509373521560837</v>
      </c>
      <c r="BB121" s="173">
        <f t="shared" si="346"/>
        <v>2.6427062885942401</v>
      </c>
      <c r="BC121" s="173">
        <f t="shared" si="347"/>
        <v>5.0354268471863223E-2</v>
      </c>
      <c r="BD121" s="173"/>
      <c r="BE121" s="528">
        <f t="shared" si="348"/>
        <v>1.9044085272007794E-3</v>
      </c>
      <c r="BF121" s="528">
        <f t="shared" si="349"/>
        <v>0.27420630020287584</v>
      </c>
      <c r="BG121" s="528">
        <f t="shared" si="350"/>
        <v>0.13283182520287581</v>
      </c>
      <c r="BH121" s="528">
        <f t="shared" si="351"/>
        <v>4.0675390596684659E-2</v>
      </c>
      <c r="BI121">
        <f t="shared" si="352"/>
        <v>8.0840973877748697E-3</v>
      </c>
      <c r="BJ121" s="460">
        <f t="shared" si="436"/>
        <v>140.91592259065069</v>
      </c>
      <c r="BK121">
        <f t="shared" si="353"/>
        <v>0.31744392902816848</v>
      </c>
      <c r="BL121" s="460">
        <f t="shared" si="437"/>
        <v>457.70202191741197</v>
      </c>
      <c r="BM121" s="173">
        <f t="shared" si="354"/>
        <v>0.41002499999999997</v>
      </c>
      <c r="BN121" s="173">
        <f t="shared" si="355"/>
        <v>6.8337499999999995E-3</v>
      </c>
      <c r="BO121" s="528"/>
      <c r="BQ121" s="460">
        <f t="shared" si="356"/>
        <v>416.85874999999993</v>
      </c>
      <c r="BR121" s="528">
        <f t="shared" si="357"/>
        <v>4.6829717881986376E-3</v>
      </c>
      <c r="BS121" s="528">
        <f t="shared" si="358"/>
        <v>0.20951689583326627</v>
      </c>
      <c r="BT121" s="528">
        <f t="shared" si="359"/>
        <v>1.2677761766682393E-5</v>
      </c>
      <c r="BU121" s="528">
        <f t="shared" si="360"/>
        <v>0.15440971352973873</v>
      </c>
      <c r="BV121" s="528"/>
      <c r="BW121" s="625">
        <f t="shared" si="361"/>
        <v>1.3145E-2</v>
      </c>
      <c r="BX121" s="460">
        <f t="shared" si="362"/>
        <v>381.76725891297031</v>
      </c>
      <c r="BY121" s="173">
        <f t="shared" si="363"/>
        <v>1.2563280308303821</v>
      </c>
      <c r="BZ121" s="5">
        <f t="shared" si="364"/>
        <v>2.8380000000000001</v>
      </c>
      <c r="CA121" s="173">
        <f t="shared" si="365"/>
        <v>0.69315403617633853</v>
      </c>
      <c r="CB121" s="5">
        <f t="shared" si="366"/>
        <v>69.315403617633848</v>
      </c>
      <c r="CC121">
        <f t="shared" si="367"/>
        <v>11</v>
      </c>
      <c r="CE121" s="562">
        <f t="shared" si="368"/>
        <v>-50</v>
      </c>
      <c r="CF121">
        <f t="shared" si="369"/>
        <v>-50</v>
      </c>
      <c r="CG121" s="173">
        <f t="shared" si="370"/>
        <v>0.24749999999999997</v>
      </c>
      <c r="CH121" s="173">
        <f t="shared" si="371"/>
        <v>6.3392300609740798E-2</v>
      </c>
      <c r="CI121" s="170">
        <v>11</v>
      </c>
      <c r="CJ121" s="217">
        <f t="shared" si="438"/>
        <v>0.66</v>
      </c>
      <c r="CK121" s="217">
        <f t="shared" si="372"/>
        <v>1.1000000000000001E-2</v>
      </c>
      <c r="CL121" s="217">
        <f t="shared" si="373"/>
        <v>2.64</v>
      </c>
      <c r="CM121" s="217">
        <f t="shared" si="374"/>
        <v>0.19800000000000001</v>
      </c>
      <c r="CN121" s="541">
        <f t="shared" si="375"/>
        <v>18</v>
      </c>
      <c r="CO121" s="443">
        <f t="shared" si="376"/>
        <v>18.8</v>
      </c>
      <c r="CP121" s="443">
        <f t="shared" si="377"/>
        <v>36.799999999999997</v>
      </c>
      <c r="CQ121" s="443"/>
      <c r="CR121" s="217">
        <f t="shared" si="378"/>
        <v>0.51086956521739135</v>
      </c>
      <c r="CS121" s="172">
        <f t="shared" si="379"/>
        <v>28.513650151668358</v>
      </c>
      <c r="CT121" s="172">
        <f t="shared" si="380"/>
        <v>2.2989130434782612</v>
      </c>
      <c r="CU121" s="217">
        <f t="shared" si="381"/>
        <v>7.1284125379170895</v>
      </c>
      <c r="CV121" s="217">
        <f t="shared" si="382"/>
        <v>1.5840916750926866</v>
      </c>
      <c r="CW121" s="217">
        <f t="shared" si="383"/>
        <v>4</v>
      </c>
      <c r="CX121" s="217">
        <f t="shared" si="384"/>
        <v>0.61724822695035453</v>
      </c>
      <c r="CY121" s="217">
        <f t="shared" si="385"/>
        <v>0.41149881796690302</v>
      </c>
      <c r="CZ121" s="217">
        <f t="shared" si="386"/>
        <v>0.3939882299683114</v>
      </c>
      <c r="DA121" s="197">
        <f t="shared" si="387"/>
        <v>350</v>
      </c>
      <c r="DB121" s="443">
        <f t="shared" si="388"/>
        <v>350</v>
      </c>
      <c r="DD121" s="217">
        <f t="shared" si="389"/>
        <v>2.18944099378882</v>
      </c>
      <c r="DE121" s="173">
        <f t="shared" si="390"/>
        <v>1.3975155279503106</v>
      </c>
      <c r="DF121" s="173">
        <f t="shared" si="391"/>
        <v>1.9924134422749624</v>
      </c>
      <c r="DG121" s="173"/>
      <c r="DH121" s="173">
        <f t="shared" si="392"/>
        <v>0.85106382978723416</v>
      </c>
      <c r="DI121" s="545">
        <f t="shared" si="393"/>
        <v>290.81249999999994</v>
      </c>
      <c r="DJ121" s="528">
        <f t="shared" si="394"/>
        <v>0.79432624113475192</v>
      </c>
      <c r="DL121" s="173">
        <f t="shared" si="395"/>
        <v>1.1625096005747959</v>
      </c>
      <c r="DM121" s="173">
        <f t="shared" si="396"/>
        <v>1.3333333333333335</v>
      </c>
      <c r="DN121" s="173">
        <f t="shared" si="397"/>
        <v>1.1661785714285715</v>
      </c>
      <c r="DP121" s="545">
        <f t="shared" si="398"/>
        <v>660</v>
      </c>
      <c r="DQ121" s="460">
        <f t="shared" si="399"/>
        <v>290.81249999999994</v>
      </c>
      <c r="DS121" s="460">
        <f t="shared" si="400"/>
        <v>660</v>
      </c>
      <c r="DT121" s="460">
        <f t="shared" si="401"/>
        <v>290.81249999999994</v>
      </c>
      <c r="DV121" s="5">
        <f t="shared" si="402"/>
        <v>3.4386417365140778</v>
      </c>
      <c r="DW121" s="5">
        <f t="shared" si="403"/>
        <v>0.88888888888888906</v>
      </c>
      <c r="DX121" s="5">
        <f t="shared" si="404"/>
        <v>2.5497528476251885</v>
      </c>
      <c r="DY121" s="173">
        <f t="shared" si="405"/>
        <v>0.25850000000000001</v>
      </c>
      <c r="EA121" s="5">
        <f t="shared" si="406"/>
        <v>14.66666666666667</v>
      </c>
      <c r="EB121" s="5">
        <f t="shared" si="407"/>
        <v>5.4320987654321008E-2</v>
      </c>
      <c r="EC121" s="5">
        <f t="shared" si="408"/>
        <v>0.31163645915418969</v>
      </c>
      <c r="ED121" s="5"/>
      <c r="EE121" s="173">
        <f t="shared" si="409"/>
        <v>0.39138879031620871</v>
      </c>
      <c r="EF121" s="173">
        <f t="shared" si="410"/>
        <v>2.6515124963911672</v>
      </c>
      <c r="EG121" s="173">
        <f t="shared" si="411"/>
        <v>5.0522062431237108E-2</v>
      </c>
      <c r="EH121" s="173"/>
      <c r="EI121" s="528">
        <f t="shared" si="412"/>
        <v>1.8688592592592593E-3</v>
      </c>
      <c r="EJ121" s="528">
        <f t="shared" si="413"/>
        <v>0.28538399999999997</v>
      </c>
      <c r="EK121" s="528">
        <f t="shared" si="414"/>
        <v>3.6351562499999997E-2</v>
      </c>
      <c r="EL121" s="528">
        <f t="shared" si="415"/>
        <v>3.9382991999999992E-2</v>
      </c>
      <c r="EM121">
        <f t="shared" si="416"/>
        <v>8.0999999999999996E-3</v>
      </c>
      <c r="EN121" s="460">
        <f t="shared" si="417"/>
        <v>44.451562500000001</v>
      </c>
      <c r="EP121" s="460">
        <f t="shared" si="439"/>
        <v>371.08741375925922</v>
      </c>
      <c r="EQ121" s="173">
        <f t="shared" si="418"/>
        <v>0.46199999999999997</v>
      </c>
      <c r="ER121" s="173">
        <f t="shared" si="419"/>
        <v>4.8812500000000002E-3</v>
      </c>
      <c r="ES121" s="528"/>
      <c r="EU121" s="460">
        <f t="shared" si="420"/>
        <v>466.88124999999997</v>
      </c>
      <c r="EV121" s="528">
        <f t="shared" si="421"/>
        <v>4.5955555555555559E-3</v>
      </c>
      <c r="EW121" s="528">
        <f t="shared" si="422"/>
        <v>0.21091555555555558</v>
      </c>
      <c r="EX121" s="528">
        <f t="shared" si="423"/>
        <v>1.27623939615291E-5</v>
      </c>
      <c r="EY121" s="528">
        <f t="shared" si="424"/>
        <v>0.14802992549357291</v>
      </c>
      <c r="EZ121" s="528"/>
      <c r="FA121" s="625">
        <f t="shared" si="425"/>
        <v>1.2925000000000001E-2</v>
      </c>
      <c r="FB121" s="460">
        <f t="shared" si="426"/>
        <v>376.47879899864563</v>
      </c>
      <c r="FC121" s="173">
        <f t="shared" si="427"/>
        <v>1.2144474627579047</v>
      </c>
      <c r="FD121" s="5">
        <f t="shared" si="428"/>
        <v>2.8380000000000001</v>
      </c>
      <c r="FE121" s="173">
        <f t="shared" si="429"/>
        <v>0.70031753059880286</v>
      </c>
      <c r="FF121" s="5">
        <f t="shared" si="430"/>
        <v>70.031753059880288</v>
      </c>
      <c r="FG121">
        <f t="shared" si="431"/>
        <v>11</v>
      </c>
      <c r="FI121" s="562">
        <f t="shared" si="432"/>
        <v>-50</v>
      </c>
      <c r="FJ121">
        <f t="shared" si="433"/>
        <v>-50</v>
      </c>
    </row>
    <row r="122" spans="5:166">
      <c r="E122" s="170">
        <v>12</v>
      </c>
      <c r="F122" s="217">
        <f t="shared" si="434"/>
        <v>0.72</v>
      </c>
      <c r="G122" s="217">
        <f t="shared" si="313"/>
        <v>1.2E-2</v>
      </c>
      <c r="H122" s="217">
        <f t="shared" si="314"/>
        <v>2.88</v>
      </c>
      <c r="I122" s="217">
        <f t="shared" si="315"/>
        <v>0.216</v>
      </c>
      <c r="J122" s="541">
        <f t="shared" si="316"/>
        <v>17.964660861721935</v>
      </c>
      <c r="K122" s="443">
        <f t="shared" si="317"/>
        <v>19.12</v>
      </c>
      <c r="L122" s="172">
        <f t="shared" si="318"/>
        <v>37.084660861721936</v>
      </c>
      <c r="M122" s="443"/>
      <c r="N122" s="217">
        <f t="shared" si="319"/>
        <v>0.51557704872354093</v>
      </c>
      <c r="O122" s="172">
        <f t="shared" si="320"/>
        <v>28.719897142343875</v>
      </c>
      <c r="P122" s="172">
        <f t="shared" si="321"/>
        <v>2.3155417071014748</v>
      </c>
      <c r="Q122" s="217">
        <f t="shared" si="322"/>
        <v>7.1799742855859687</v>
      </c>
      <c r="R122" s="217">
        <f t="shared" si="323"/>
        <v>1.5955498412413265</v>
      </c>
      <c r="S122" s="217">
        <f t="shared" si="324"/>
        <v>4</v>
      </c>
      <c r="T122" s="217">
        <f t="shared" si="325"/>
        <v>0.66852607113595885</v>
      </c>
      <c r="U122" s="217">
        <f t="shared" si="326"/>
        <v>0.44656077369793212</v>
      </c>
      <c r="V122" s="217">
        <f t="shared" si="327"/>
        <v>0.41957703209369807</v>
      </c>
      <c r="W122" s="197">
        <f t="shared" si="328"/>
        <v>350</v>
      </c>
      <c r="X122" s="443">
        <f t="shared" si="435"/>
        <v>350</v>
      </c>
      <c r="Z122" s="217">
        <f t="shared" si="329"/>
        <v>2.2052778162871185</v>
      </c>
      <c r="AA122" s="173">
        <f t="shared" si="330"/>
        <v>1.3840655750755975</v>
      </c>
      <c r="AB122" s="173">
        <f t="shared" si="331"/>
        <v>1.987511047721509</v>
      </c>
      <c r="AC122" s="173"/>
      <c r="AD122" s="173">
        <f t="shared" si="332"/>
        <v>0.83682008368200844</v>
      </c>
      <c r="AE122" s="545">
        <f t="shared" si="333"/>
        <v>322.64999999999986</v>
      </c>
      <c r="AF122" s="528">
        <f t="shared" si="334"/>
        <v>0.78103207810320796</v>
      </c>
      <c r="AH122" s="173">
        <f t="shared" si="335"/>
        <v>1.2142016777643301</v>
      </c>
      <c r="AI122" s="173">
        <f t="shared" si="336"/>
        <v>1.3333333333333335</v>
      </c>
      <c r="AJ122" s="173">
        <f t="shared" si="337"/>
        <v>1.1843714285714284</v>
      </c>
      <c r="AL122" s="545">
        <f t="shared" si="338"/>
        <v>720</v>
      </c>
      <c r="AM122" s="460">
        <f t="shared" si="339"/>
        <v>322.64999999999986</v>
      </c>
      <c r="AO122" s="460">
        <f t="shared" si="340"/>
        <v>720</v>
      </c>
      <c r="AP122" s="460">
        <f t="shared" si="341"/>
        <v>322.64999999999986</v>
      </c>
      <c r="AR122" s="5">
        <f t="shared" si="275"/>
        <v>3.0993336432666991</v>
      </c>
      <c r="AS122" s="5">
        <f t="shared" si="440"/>
        <v>0.89063746447292425</v>
      </c>
      <c r="AT122" s="5">
        <f t="shared" si="441"/>
        <v>2.2086961787937751</v>
      </c>
      <c r="AU122" s="173">
        <f t="shared" si="442"/>
        <v>0.28736417791218888</v>
      </c>
      <c r="AW122" s="5">
        <f t="shared" si="342"/>
        <v>16.031474360512632</v>
      </c>
      <c r="AX122" s="5">
        <f t="shared" si="343"/>
        <v>5.9375830964861619E-2</v>
      </c>
      <c r="AY122" s="5">
        <f t="shared" si="344"/>
        <v>0.29507213467078852</v>
      </c>
      <c r="AZ122" s="5"/>
      <c r="BA122" s="173">
        <f t="shared" si="345"/>
        <v>0.41266194785468541</v>
      </c>
      <c r="BB122" s="173">
        <f t="shared" si="346"/>
        <v>2.5993928810716387</v>
      </c>
      <c r="BC122" s="173">
        <f t="shared" si="347"/>
        <v>4.9528972463662307E-2</v>
      </c>
      <c r="BD122" s="173"/>
      <c r="BE122" s="528">
        <f t="shared" si="348"/>
        <v>2.0775365751281218E-3</v>
      </c>
      <c r="BF122" s="528">
        <f t="shared" si="349"/>
        <v>0.29913414567586449</v>
      </c>
      <c r="BG122" s="528">
        <f t="shared" si="350"/>
        <v>0.1449074456758645</v>
      </c>
      <c r="BH122" s="528">
        <f t="shared" si="351"/>
        <v>4.4373153378201441E-2</v>
      </c>
      <c r="BI122">
        <f t="shared" si="352"/>
        <v>8.0840973877748697E-3</v>
      </c>
      <c r="BJ122" s="460">
        <f t="shared" si="436"/>
        <v>152.99154306363937</v>
      </c>
      <c r="BK122">
        <f t="shared" si="353"/>
        <v>0.34631672029562977</v>
      </c>
      <c r="BL122" s="460">
        <f t="shared" si="437"/>
        <v>498.57637869283337</v>
      </c>
      <c r="BM122" s="173">
        <f t="shared" si="354"/>
        <v>0.44729999999999998</v>
      </c>
      <c r="BN122" s="173">
        <f t="shared" si="355"/>
        <v>7.454999999999999E-3</v>
      </c>
      <c r="BO122" s="528"/>
      <c r="BQ122" s="460">
        <f t="shared" si="356"/>
        <v>454.75499999999994</v>
      </c>
      <c r="BR122" s="528">
        <f t="shared" si="357"/>
        <v>5.108696496216693E-3</v>
      </c>
      <c r="BS122" s="528">
        <f t="shared" si="358"/>
        <v>0.2027053005049774</v>
      </c>
      <c r="BT122" s="528">
        <f t="shared" si="359"/>
        <v>1.2265595566531097E-5</v>
      </c>
      <c r="BU122" s="528">
        <f t="shared" si="360"/>
        <v>0.19193139482374544</v>
      </c>
      <c r="BV122" s="528"/>
      <c r="BW122" s="625">
        <f t="shared" si="361"/>
        <v>1.4339999999999997E-2</v>
      </c>
      <c r="BX122" s="460">
        <f t="shared" si="362"/>
        <v>414.0976574205061</v>
      </c>
      <c r="BY122" s="173">
        <f t="shared" si="363"/>
        <v>1.3674290361133397</v>
      </c>
      <c r="BZ122" s="5">
        <f t="shared" si="364"/>
        <v>3.0960000000000001</v>
      </c>
      <c r="CA122" s="173">
        <f t="shared" si="365"/>
        <v>0.69363710612411389</v>
      </c>
      <c r="CB122" s="5">
        <f t="shared" si="366"/>
        <v>69.363710612411396</v>
      </c>
      <c r="CC122">
        <f t="shared" si="367"/>
        <v>12</v>
      </c>
      <c r="CE122" s="562">
        <f t="shared" si="368"/>
        <v>-50</v>
      </c>
      <c r="CF122">
        <f t="shared" si="369"/>
        <v>-50</v>
      </c>
      <c r="CG122" s="173">
        <f t="shared" si="370"/>
        <v>0.26999999999999996</v>
      </c>
      <c r="CH122" s="173">
        <f t="shared" si="371"/>
        <v>6.9155237028808145E-2</v>
      </c>
      <c r="CI122" s="170">
        <v>12</v>
      </c>
      <c r="CJ122" s="217">
        <f t="shared" si="438"/>
        <v>0.72</v>
      </c>
      <c r="CK122" s="217">
        <f t="shared" si="372"/>
        <v>1.2E-2</v>
      </c>
      <c r="CL122" s="217">
        <f t="shared" si="373"/>
        <v>2.88</v>
      </c>
      <c r="CM122" s="217">
        <f t="shared" si="374"/>
        <v>0.216</v>
      </c>
      <c r="CN122" s="541">
        <f t="shared" si="375"/>
        <v>18</v>
      </c>
      <c r="CO122" s="443">
        <f t="shared" si="376"/>
        <v>18.8</v>
      </c>
      <c r="CP122" s="443">
        <f t="shared" si="377"/>
        <v>36.799999999999997</v>
      </c>
      <c r="CQ122" s="443"/>
      <c r="CR122" s="217">
        <f t="shared" si="378"/>
        <v>0.51086956521739135</v>
      </c>
      <c r="CS122" s="172">
        <f t="shared" si="379"/>
        <v>28.513650151668358</v>
      </c>
      <c r="CT122" s="172">
        <f t="shared" si="380"/>
        <v>2.2989130434782612</v>
      </c>
      <c r="CU122" s="217">
        <f t="shared" si="381"/>
        <v>7.1284125379170895</v>
      </c>
      <c r="CV122" s="217">
        <f t="shared" si="382"/>
        <v>1.5840916750926866</v>
      </c>
      <c r="CW122" s="217">
        <f t="shared" si="383"/>
        <v>4</v>
      </c>
      <c r="CX122" s="217">
        <f t="shared" si="384"/>
        <v>0.67336170212765944</v>
      </c>
      <c r="CY122" s="217">
        <f t="shared" si="385"/>
        <v>0.44890780141843961</v>
      </c>
      <c r="CZ122" s="217">
        <f t="shared" si="386"/>
        <v>0.42980534178361235</v>
      </c>
      <c r="DA122" s="197">
        <f t="shared" si="387"/>
        <v>350</v>
      </c>
      <c r="DB122" s="443">
        <f t="shared" si="388"/>
        <v>350</v>
      </c>
      <c r="DD122" s="217">
        <f t="shared" si="389"/>
        <v>2.18944099378882</v>
      </c>
      <c r="DE122" s="173">
        <f t="shared" si="390"/>
        <v>1.3975155279503106</v>
      </c>
      <c r="DF122" s="173">
        <f t="shared" si="391"/>
        <v>1.9924134422749624</v>
      </c>
      <c r="DG122" s="173"/>
      <c r="DH122" s="173">
        <f t="shared" si="392"/>
        <v>0.85106382978723416</v>
      </c>
      <c r="DI122" s="545">
        <f t="shared" si="393"/>
        <v>317.24999999999994</v>
      </c>
      <c r="DJ122" s="528">
        <f t="shared" si="394"/>
        <v>0.79432624113475192</v>
      </c>
      <c r="DL122" s="173">
        <f t="shared" si="395"/>
        <v>1.2142016777643301</v>
      </c>
      <c r="DM122" s="173">
        <f t="shared" si="396"/>
        <v>1.3333333333333335</v>
      </c>
      <c r="DN122" s="173">
        <f t="shared" si="397"/>
        <v>1.1812857142857143</v>
      </c>
      <c r="DP122" s="545">
        <f t="shared" si="398"/>
        <v>720</v>
      </c>
      <c r="DQ122" s="460">
        <f t="shared" si="399"/>
        <v>317.24999999999994</v>
      </c>
      <c r="DS122" s="460">
        <f t="shared" si="400"/>
        <v>720</v>
      </c>
      <c r="DT122" s="460">
        <f t="shared" si="401"/>
        <v>317.24999999999994</v>
      </c>
      <c r="DV122" s="5">
        <f t="shared" si="402"/>
        <v>3.1520882584712377</v>
      </c>
      <c r="DW122" s="5">
        <f t="shared" si="403"/>
        <v>0.88888888888888906</v>
      </c>
      <c r="DX122" s="5">
        <f t="shared" si="404"/>
        <v>2.2631993695823489</v>
      </c>
      <c r="DY122" s="173">
        <f t="shared" si="405"/>
        <v>0.28200000000000003</v>
      </c>
      <c r="EA122" s="5">
        <f t="shared" si="406"/>
        <v>16.000000000000004</v>
      </c>
      <c r="EB122" s="5">
        <f t="shared" si="407"/>
        <v>5.9259259259259275E-2</v>
      </c>
      <c r="EC122" s="5">
        <f t="shared" si="408"/>
        <v>0.30175991594431312</v>
      </c>
      <c r="ED122" s="5"/>
      <c r="EE122" s="173">
        <f t="shared" si="409"/>
        <v>0.40879225911349054</v>
      </c>
      <c r="EF122" s="173">
        <f t="shared" si="410"/>
        <v>2.6091576617183763</v>
      </c>
      <c r="EG122" s="173">
        <f t="shared" si="411"/>
        <v>4.9715031121931215E-2</v>
      </c>
      <c r="EH122" s="173"/>
      <c r="EI122" s="528">
        <f t="shared" si="412"/>
        <v>2.0387555555555562E-3</v>
      </c>
      <c r="EJ122" s="528">
        <f t="shared" si="413"/>
        <v>0.31132799999999999</v>
      </c>
      <c r="EK122" s="528">
        <f t="shared" si="414"/>
        <v>3.965624999999999E-2</v>
      </c>
      <c r="EL122" s="528">
        <f t="shared" si="415"/>
        <v>4.2963263999999987E-2</v>
      </c>
      <c r="EM122">
        <f t="shared" si="416"/>
        <v>8.0999999999999996E-3</v>
      </c>
      <c r="EN122" s="460">
        <f t="shared" si="417"/>
        <v>47.756249999999987</v>
      </c>
      <c r="EP122" s="460">
        <f t="shared" si="439"/>
        <v>404.08626955555553</v>
      </c>
      <c r="EQ122" s="173">
        <f t="shared" si="418"/>
        <v>0.504</v>
      </c>
      <c r="ER122" s="173">
        <f t="shared" si="419"/>
        <v>5.3249999999999999E-3</v>
      </c>
      <c r="ES122" s="528"/>
      <c r="EU122" s="460">
        <f t="shared" si="420"/>
        <v>509.32500000000005</v>
      </c>
      <c r="EV122" s="528">
        <f t="shared" si="421"/>
        <v>5.0133333333333349E-3</v>
      </c>
      <c r="EW122" s="528">
        <f t="shared" si="422"/>
        <v>0.20423111111111114</v>
      </c>
      <c r="EX122" s="528">
        <f t="shared" si="423"/>
        <v>1.2357921597272946E-5</v>
      </c>
      <c r="EY122" s="528">
        <f t="shared" si="424"/>
        <v>0.18400131329927374</v>
      </c>
      <c r="EZ122" s="528"/>
      <c r="FA122" s="625">
        <f t="shared" si="425"/>
        <v>1.41E-2</v>
      </c>
      <c r="FB122" s="460">
        <f t="shared" si="426"/>
        <v>407.35811566531549</v>
      </c>
      <c r="FC122" s="173">
        <f t="shared" si="427"/>
        <v>1.3207693852208711</v>
      </c>
      <c r="FD122" s="5">
        <f t="shared" si="428"/>
        <v>3.0960000000000001</v>
      </c>
      <c r="FE122" s="173">
        <f t="shared" si="429"/>
        <v>0.70096482971459861</v>
      </c>
      <c r="FF122" s="5">
        <f t="shared" si="430"/>
        <v>70.096482971459864</v>
      </c>
      <c r="FG122">
        <f t="shared" si="431"/>
        <v>12</v>
      </c>
      <c r="FI122" s="562">
        <f t="shared" si="432"/>
        <v>-50</v>
      </c>
      <c r="FJ122">
        <f t="shared" si="433"/>
        <v>-50</v>
      </c>
    </row>
    <row r="123" spans="5:166">
      <c r="E123" s="170">
        <v>13</v>
      </c>
      <c r="F123" s="217">
        <f t="shared" si="434"/>
        <v>0.78</v>
      </c>
      <c r="G123" s="217">
        <f t="shared" si="313"/>
        <v>1.3000000000000001E-2</v>
      </c>
      <c r="H123" s="217">
        <f t="shared" si="314"/>
        <v>3.12</v>
      </c>
      <c r="I123" s="217">
        <f t="shared" si="315"/>
        <v>0.23400000000000001</v>
      </c>
      <c r="J123" s="541">
        <f t="shared" si="316"/>
        <v>17.964660861721935</v>
      </c>
      <c r="K123" s="443">
        <f t="shared" si="317"/>
        <v>19.12</v>
      </c>
      <c r="L123" s="172">
        <f t="shared" si="318"/>
        <v>37.084660861721936</v>
      </c>
      <c r="M123" s="443"/>
      <c r="N123" s="217">
        <f t="shared" si="319"/>
        <v>0.51557704872354093</v>
      </c>
      <c r="O123" s="172">
        <f t="shared" si="320"/>
        <v>28.719897142343875</v>
      </c>
      <c r="P123" s="172">
        <f t="shared" si="321"/>
        <v>2.3155417071014748</v>
      </c>
      <c r="Q123" s="217">
        <f t="shared" si="322"/>
        <v>7.1799742855859687</v>
      </c>
      <c r="R123" s="217">
        <f t="shared" si="323"/>
        <v>1.5955498412413265</v>
      </c>
      <c r="S123" s="217">
        <f t="shared" si="324"/>
        <v>4</v>
      </c>
      <c r="T123" s="217">
        <f t="shared" si="325"/>
        <v>0.72423657706395539</v>
      </c>
      <c r="U123" s="217">
        <f t="shared" si="326"/>
        <v>0.48377417150609314</v>
      </c>
      <c r="V123" s="217">
        <f t="shared" si="327"/>
        <v>0.45454178476817286</v>
      </c>
      <c r="W123" s="197">
        <f t="shared" si="328"/>
        <v>350</v>
      </c>
      <c r="X123" s="443">
        <f t="shared" si="435"/>
        <v>350</v>
      </c>
      <c r="Z123" s="217">
        <f t="shared" si="329"/>
        <v>2.2052778162871185</v>
      </c>
      <c r="AA123" s="173">
        <f t="shared" si="330"/>
        <v>1.3840655750755975</v>
      </c>
      <c r="AB123" s="173">
        <f t="shared" si="331"/>
        <v>1.987511047721509</v>
      </c>
      <c r="AC123" s="173"/>
      <c r="AD123" s="173">
        <f t="shared" si="332"/>
        <v>0.83682008368200844</v>
      </c>
      <c r="AE123" s="545">
        <f t="shared" si="333"/>
        <v>349.53749999999997</v>
      </c>
      <c r="AF123" s="528">
        <f t="shared" si="334"/>
        <v>0.78103207810320796</v>
      </c>
      <c r="AH123" s="173">
        <f t="shared" si="335"/>
        <v>1.2637811745483698</v>
      </c>
      <c r="AI123" s="173">
        <f t="shared" si="336"/>
        <v>1.3333333333333335</v>
      </c>
      <c r="AJ123" s="173">
        <f t="shared" si="337"/>
        <v>1.1997357142857143</v>
      </c>
      <c r="AL123" s="545">
        <f t="shared" si="338"/>
        <v>780</v>
      </c>
      <c r="AM123" s="460">
        <f t="shared" si="339"/>
        <v>349.53749999999997</v>
      </c>
      <c r="AO123" s="460">
        <f t="shared" si="340"/>
        <v>780</v>
      </c>
      <c r="AP123" s="460">
        <f t="shared" si="341"/>
        <v>349.53749999999997</v>
      </c>
      <c r="AR123" s="5">
        <f t="shared" si="275"/>
        <v>2.8609233630154134</v>
      </c>
      <c r="AS123" s="5">
        <f t="shared" si="440"/>
        <v>0.89063746447292425</v>
      </c>
      <c r="AT123" s="5">
        <f t="shared" si="441"/>
        <v>1.9702858985424891</v>
      </c>
      <c r="AU123" s="173">
        <f t="shared" si="442"/>
        <v>0.31131119273820473</v>
      </c>
      <c r="AW123" s="5">
        <f t="shared" si="342"/>
        <v>17.367430557222026</v>
      </c>
      <c r="AX123" s="5">
        <f t="shared" si="343"/>
        <v>6.4323816878600087E-2</v>
      </c>
      <c r="AY123" s="5">
        <f t="shared" si="344"/>
        <v>0.28515669600675392</v>
      </c>
      <c r="AZ123" s="5"/>
      <c r="BA123" s="173">
        <f t="shared" si="345"/>
        <v>0.42951217306128253</v>
      </c>
      <c r="BB123" s="173">
        <f t="shared" si="346"/>
        <v>2.555345411594347</v>
      </c>
      <c r="BC123" s="173">
        <f t="shared" si="347"/>
        <v>4.8689689599297689E-2</v>
      </c>
      <c r="BD123" s="173"/>
      <c r="BE123" s="528">
        <f t="shared" si="348"/>
        <v>2.250664623055466E-3</v>
      </c>
      <c r="BF123" s="528">
        <f t="shared" si="349"/>
        <v>0.32406199114885331</v>
      </c>
      <c r="BG123" s="528">
        <f t="shared" si="350"/>
        <v>0.15698306614885324</v>
      </c>
      <c r="BH123" s="528">
        <f t="shared" si="351"/>
        <v>4.8070916159718237E-2</v>
      </c>
      <c r="BI123">
        <f t="shared" si="352"/>
        <v>8.0840973877748697E-3</v>
      </c>
      <c r="BJ123" s="460">
        <f t="shared" si="436"/>
        <v>165.06716353662813</v>
      </c>
      <c r="BK123">
        <f t="shared" si="353"/>
        <v>0.37519188821150606</v>
      </c>
      <c r="BL123" s="460">
        <f t="shared" si="437"/>
        <v>539.45073546825506</v>
      </c>
      <c r="BM123" s="173">
        <f t="shared" si="354"/>
        <v>0.48457499999999992</v>
      </c>
      <c r="BN123" s="173">
        <f t="shared" si="355"/>
        <v>8.0762500000000001E-3</v>
      </c>
      <c r="BO123" s="528"/>
      <c r="BQ123" s="460">
        <f t="shared" si="356"/>
        <v>492.65124999999995</v>
      </c>
      <c r="BR123" s="528">
        <f t="shared" si="357"/>
        <v>5.5344212042347527E-3</v>
      </c>
      <c r="BS123" s="528">
        <f t="shared" si="358"/>
        <v>0.1958937051766885</v>
      </c>
      <c r="BT123" s="528">
        <f t="shared" si="359"/>
        <v>1.1853429366379788E-5</v>
      </c>
      <c r="BU123" s="528">
        <f t="shared" si="360"/>
        <v>0.23445056577453002</v>
      </c>
      <c r="BV123" s="528"/>
      <c r="BW123" s="625">
        <f t="shared" si="361"/>
        <v>1.5535000000000004E-2</v>
      </c>
      <c r="BX123" s="460">
        <f t="shared" si="362"/>
        <v>451.4255455848197</v>
      </c>
      <c r="BY123" s="173">
        <f t="shared" si="363"/>
        <v>1.4835275310530744</v>
      </c>
      <c r="BZ123" s="5">
        <f t="shared" si="364"/>
        <v>3.3540000000000001</v>
      </c>
      <c r="CA123" s="173">
        <f t="shared" si="365"/>
        <v>0.6933293874753147</v>
      </c>
      <c r="CB123" s="5">
        <f t="shared" si="366"/>
        <v>69.332938747531472</v>
      </c>
      <c r="CC123">
        <f t="shared" si="367"/>
        <v>13</v>
      </c>
      <c r="CE123" s="562">
        <f t="shared" si="368"/>
        <v>-50</v>
      </c>
      <c r="CF123">
        <f t="shared" si="369"/>
        <v>-50</v>
      </c>
      <c r="CG123" s="173">
        <f t="shared" si="370"/>
        <v>0.29249999999999993</v>
      </c>
      <c r="CH123" s="173">
        <f t="shared" si="371"/>
        <v>7.4918173447875491E-2</v>
      </c>
      <c r="CI123" s="170">
        <v>13</v>
      </c>
      <c r="CJ123" s="217">
        <f t="shared" si="438"/>
        <v>0.78</v>
      </c>
      <c r="CK123" s="217">
        <f t="shared" si="372"/>
        <v>1.3000000000000001E-2</v>
      </c>
      <c r="CL123" s="217">
        <f t="shared" si="373"/>
        <v>3.12</v>
      </c>
      <c r="CM123" s="217">
        <f t="shared" si="374"/>
        <v>0.23400000000000001</v>
      </c>
      <c r="CN123" s="541">
        <f t="shared" si="375"/>
        <v>18</v>
      </c>
      <c r="CO123" s="443">
        <f t="shared" si="376"/>
        <v>18.8</v>
      </c>
      <c r="CP123" s="443">
        <f t="shared" si="377"/>
        <v>36.799999999999997</v>
      </c>
      <c r="CQ123" s="443"/>
      <c r="CR123" s="217">
        <f t="shared" si="378"/>
        <v>0.51086956521739135</v>
      </c>
      <c r="CS123" s="172">
        <f t="shared" si="379"/>
        <v>28.513650151668358</v>
      </c>
      <c r="CT123" s="172">
        <f t="shared" si="380"/>
        <v>2.2989130434782612</v>
      </c>
      <c r="CU123" s="217">
        <f t="shared" si="381"/>
        <v>7.1284125379170895</v>
      </c>
      <c r="CV123" s="217">
        <f t="shared" si="382"/>
        <v>1.5840916750926866</v>
      </c>
      <c r="CW123" s="217">
        <f t="shared" si="383"/>
        <v>4</v>
      </c>
      <c r="CX123" s="217">
        <f t="shared" si="384"/>
        <v>0.72947517730496447</v>
      </c>
      <c r="CY123" s="217">
        <f t="shared" si="385"/>
        <v>0.48631678486997632</v>
      </c>
      <c r="CZ123" s="217">
        <f t="shared" si="386"/>
        <v>0.46562245359891352</v>
      </c>
      <c r="DA123" s="197">
        <f t="shared" si="387"/>
        <v>350</v>
      </c>
      <c r="DB123" s="443">
        <f t="shared" si="388"/>
        <v>350</v>
      </c>
      <c r="DD123" s="217">
        <f t="shared" si="389"/>
        <v>2.18944099378882</v>
      </c>
      <c r="DE123" s="173">
        <f t="shared" si="390"/>
        <v>1.3975155279503106</v>
      </c>
      <c r="DF123" s="173">
        <f t="shared" si="391"/>
        <v>1.9924134422749624</v>
      </c>
      <c r="DG123" s="173"/>
      <c r="DH123" s="173">
        <f t="shared" si="392"/>
        <v>0.85106382978723416</v>
      </c>
      <c r="DI123" s="545">
        <f t="shared" si="393"/>
        <v>343.68749999999994</v>
      </c>
      <c r="DJ123" s="528">
        <f t="shared" si="394"/>
        <v>0.79432624113475192</v>
      </c>
      <c r="DL123" s="173">
        <f t="shared" si="395"/>
        <v>1.2637811745483698</v>
      </c>
      <c r="DM123" s="173">
        <f t="shared" si="396"/>
        <v>1.3333333333333335</v>
      </c>
      <c r="DN123" s="173">
        <f t="shared" si="397"/>
        <v>1.196392857142857</v>
      </c>
      <c r="DP123" s="545">
        <f t="shared" si="398"/>
        <v>780</v>
      </c>
      <c r="DQ123" s="460">
        <f t="shared" si="399"/>
        <v>343.68749999999994</v>
      </c>
      <c r="DS123" s="460">
        <f t="shared" si="400"/>
        <v>780</v>
      </c>
      <c r="DT123" s="460">
        <f t="shared" si="401"/>
        <v>343.68749999999994</v>
      </c>
      <c r="DV123" s="5">
        <f t="shared" si="402"/>
        <v>2.9096199308965272</v>
      </c>
      <c r="DW123" s="5">
        <f t="shared" si="403"/>
        <v>0.88888888888888906</v>
      </c>
      <c r="DX123" s="5">
        <f t="shared" si="404"/>
        <v>2.0207310420076379</v>
      </c>
      <c r="DY123" s="173">
        <f t="shared" si="405"/>
        <v>0.30549999999999999</v>
      </c>
      <c r="EA123" s="5">
        <f t="shared" si="406"/>
        <v>17.333333333333336</v>
      </c>
      <c r="EB123" s="5">
        <f t="shared" si="407"/>
        <v>6.419753086419755E-2</v>
      </c>
      <c r="EC123" s="5">
        <f t="shared" si="408"/>
        <v>0.29188337273443654</v>
      </c>
      <c r="ED123" s="5"/>
      <c r="EE123" s="173">
        <f t="shared" si="409"/>
        <v>0.42548447332075123</v>
      </c>
      <c r="EF123" s="173">
        <f t="shared" si="410"/>
        <v>2.5661038343934739</v>
      </c>
      <c r="EG123" s="173">
        <f t="shared" si="411"/>
        <v>4.8894681168848632E-2</v>
      </c>
      <c r="EH123" s="173"/>
      <c r="EI123" s="528">
        <f t="shared" si="412"/>
        <v>2.2086518518518524E-3</v>
      </c>
      <c r="EJ123" s="528">
        <f t="shared" si="413"/>
        <v>0.33727200000000002</v>
      </c>
      <c r="EK123" s="528">
        <f t="shared" si="414"/>
        <v>4.296093749999999E-2</v>
      </c>
      <c r="EL123" s="528">
        <f t="shared" si="415"/>
        <v>4.6543535999999983E-2</v>
      </c>
      <c r="EM123">
        <f t="shared" si="416"/>
        <v>8.0999999999999996E-3</v>
      </c>
      <c r="EN123" s="460">
        <f t="shared" si="417"/>
        <v>51.060937499999987</v>
      </c>
      <c r="EP123" s="460">
        <f t="shared" si="439"/>
        <v>437.0851253518519</v>
      </c>
      <c r="EQ123" s="173">
        <f t="shared" si="418"/>
        <v>0.54599999999999993</v>
      </c>
      <c r="ER123" s="173">
        <f t="shared" si="419"/>
        <v>5.7687500000000004E-3</v>
      </c>
      <c r="ES123" s="528"/>
      <c r="EU123" s="460">
        <f t="shared" si="420"/>
        <v>551.76874999999995</v>
      </c>
      <c r="EV123" s="528">
        <f t="shared" si="421"/>
        <v>5.4311111111111122E-3</v>
      </c>
      <c r="EW123" s="528">
        <f t="shared" si="422"/>
        <v>0.19754666666666668</v>
      </c>
      <c r="EX123" s="528">
        <f t="shared" si="423"/>
        <v>1.1953449233016804E-5</v>
      </c>
      <c r="EY123" s="528">
        <f t="shared" si="424"/>
        <v>0.2247637081254307</v>
      </c>
      <c r="EZ123" s="528"/>
      <c r="FA123" s="625">
        <f t="shared" si="425"/>
        <v>1.5275000000000002E-2</v>
      </c>
      <c r="FB123" s="460">
        <f t="shared" si="426"/>
        <v>443.02843935244147</v>
      </c>
      <c r="FC123" s="173">
        <f t="shared" si="427"/>
        <v>1.4318823147042934</v>
      </c>
      <c r="FD123" s="5">
        <f t="shared" si="428"/>
        <v>3.3540000000000001</v>
      </c>
      <c r="FE123" s="173">
        <f t="shared" si="429"/>
        <v>0.70081121503867028</v>
      </c>
      <c r="FF123" s="5">
        <f t="shared" si="430"/>
        <v>70.081121503867024</v>
      </c>
      <c r="FG123">
        <f t="shared" si="431"/>
        <v>13</v>
      </c>
      <c r="FI123" s="562">
        <f t="shared" si="432"/>
        <v>-50</v>
      </c>
      <c r="FJ123">
        <f t="shared" si="433"/>
        <v>-50</v>
      </c>
    </row>
    <row r="124" spans="5:166">
      <c r="E124" s="170">
        <v>14</v>
      </c>
      <c r="F124" s="217">
        <f t="shared" si="434"/>
        <v>0.84000000000000008</v>
      </c>
      <c r="G124" s="217">
        <f t="shared" si="313"/>
        <v>1.4000000000000002E-2</v>
      </c>
      <c r="H124" s="217">
        <f t="shared" si="314"/>
        <v>3.3600000000000003</v>
      </c>
      <c r="I124" s="217">
        <f t="shared" si="315"/>
        <v>0.25200000000000006</v>
      </c>
      <c r="J124" s="541">
        <f t="shared" si="316"/>
        <v>17.963659061113468</v>
      </c>
      <c r="K124" s="443">
        <f t="shared" si="317"/>
        <v>19.129071420819251</v>
      </c>
      <c r="L124" s="172">
        <f t="shared" si="318"/>
        <v>37.092730481932719</v>
      </c>
      <c r="M124" s="443"/>
      <c r="N124" s="217">
        <f t="shared" si="319"/>
        <v>0.51570944420327103</v>
      </c>
      <c r="O124" s="172">
        <f t="shared" si="320"/>
        <v>28.725670171360868</v>
      </c>
      <c r="P124" s="172">
        <f t="shared" si="321"/>
        <v>2.31600715756597</v>
      </c>
      <c r="Q124" s="217">
        <f t="shared" si="322"/>
        <v>7.1814175428402169</v>
      </c>
      <c r="R124" s="217">
        <f t="shared" si="323"/>
        <v>1.5958705650756038</v>
      </c>
      <c r="S124" s="217">
        <f t="shared" si="324"/>
        <v>4</v>
      </c>
      <c r="T124" s="217">
        <f t="shared" si="325"/>
        <v>0.77979033618274018</v>
      </c>
      <c r="U124" s="217">
        <f t="shared" si="326"/>
        <v>0.52091191456919494</v>
      </c>
      <c r="V124" s="217">
        <f t="shared" si="327"/>
        <v>0.4891760728128498</v>
      </c>
      <c r="W124" s="197">
        <f t="shared" si="328"/>
        <v>350</v>
      </c>
      <c r="X124" s="443">
        <f t="shared" si="435"/>
        <v>350</v>
      </c>
      <c r="Z124" s="217">
        <f t="shared" si="329"/>
        <v>2.2057211024437806</v>
      </c>
      <c r="AA124" s="173">
        <f t="shared" si="330"/>
        <v>1.3836873022763685</v>
      </c>
      <c r="AB124" s="173">
        <f t="shared" si="331"/>
        <v>1.9873672532745532</v>
      </c>
      <c r="AC124" s="173"/>
      <c r="AD124" s="173">
        <f t="shared" si="332"/>
        <v>0.83642324543711499</v>
      </c>
      <c r="AE124" s="545">
        <f t="shared" si="333"/>
        <v>376.60359359737885</v>
      </c>
      <c r="AF124" s="528">
        <f t="shared" si="334"/>
        <v>0.7806616957413075</v>
      </c>
      <c r="AH124" s="173">
        <f t="shared" si="335"/>
        <v>1.3114877048604001</v>
      </c>
      <c r="AI124" s="173">
        <f t="shared" si="336"/>
        <v>1.3333333333333335</v>
      </c>
      <c r="AJ124" s="173">
        <f t="shared" si="337"/>
        <v>1.2</v>
      </c>
      <c r="AL124" s="545">
        <f t="shared" si="338"/>
        <v>840.00000000000011</v>
      </c>
      <c r="AM124" s="460">
        <f t="shared" si="339"/>
        <v>350</v>
      </c>
      <c r="AO124" s="460">
        <f t="shared" si="340"/>
        <v>840.00000000000011</v>
      </c>
      <c r="AP124" s="460">
        <f t="shared" si="341"/>
        <v>350</v>
      </c>
      <c r="AR124" s="5">
        <f t="shared" si="275"/>
        <v>2.8571428571428572</v>
      </c>
      <c r="AS124" s="5">
        <f t="shared" si="440"/>
        <v>0.89068713370516683</v>
      </c>
      <c r="AT124" s="5">
        <f t="shared" si="441"/>
        <v>1.9664557234376905</v>
      </c>
      <c r="AU124" s="173">
        <f t="shared" si="442"/>
        <v>0.31174049679680838</v>
      </c>
      <c r="AW124" s="5">
        <f t="shared" si="342"/>
        <v>18.704429807808506</v>
      </c>
      <c r="AX124" s="5">
        <f t="shared" si="343"/>
        <v>6.9275665954846327E-2</v>
      </c>
      <c r="AY124" s="5">
        <f t="shared" si="344"/>
        <v>0.30651194207669635</v>
      </c>
      <c r="AZ124" s="5"/>
      <c r="BA124" s="173">
        <f t="shared" si="345"/>
        <v>0.42980822376139283</v>
      </c>
      <c r="BB124" s="173">
        <f t="shared" si="346"/>
        <v>2.5545488318046901</v>
      </c>
      <c r="BC124" s="173">
        <f t="shared" si="347"/>
        <v>4.8674511524927203E-2</v>
      </c>
      <c r="BD124" s="173"/>
      <c r="BE124" s="528">
        <f t="shared" si="348"/>
        <v>2.2537683323976669E-3</v>
      </c>
      <c r="BF124" s="528">
        <f t="shared" si="349"/>
        <v>0.32456139171691134</v>
      </c>
      <c r="BG124" s="528">
        <f t="shared" si="350"/>
        <v>0.15718201678474286</v>
      </c>
      <c r="BH124" s="528">
        <f t="shared" si="351"/>
        <v>4.8155472911185521E-2</v>
      </c>
      <c r="BI124">
        <f t="shared" si="352"/>
        <v>8.0836465775010607E-3</v>
      </c>
      <c r="BJ124" s="460">
        <f t="shared" si="436"/>
        <v>165.26566336224391</v>
      </c>
      <c r="BK124">
        <f t="shared" si="353"/>
        <v>0.37578037905801981</v>
      </c>
      <c r="BL124" s="460">
        <f t="shared" si="437"/>
        <v>540.23629632273844</v>
      </c>
      <c r="BM124" s="173">
        <f t="shared" si="354"/>
        <v>0.52184999999999993</v>
      </c>
      <c r="BN124" s="173">
        <f t="shared" si="355"/>
        <v>8.6975000000000004E-3</v>
      </c>
      <c r="BO124" s="528"/>
      <c r="BQ124" s="460">
        <f t="shared" si="356"/>
        <v>530.5474999999999</v>
      </c>
      <c r="BR124" s="528">
        <f t="shared" si="357"/>
        <v>5.5420532763877052E-3</v>
      </c>
      <c r="BS124" s="528">
        <f t="shared" si="358"/>
        <v>0.19577159202224118</v>
      </c>
      <c r="BT124" s="528">
        <f t="shared" si="359"/>
        <v>1.1846040360951355E-5</v>
      </c>
      <c r="BU124" s="528">
        <f t="shared" si="360"/>
        <v>0.23522688460887753</v>
      </c>
      <c r="BV124" s="528"/>
      <c r="BW124" s="625">
        <f t="shared" si="361"/>
        <v>1.5555555555555559E-2</v>
      </c>
      <c r="BX124" s="460">
        <f t="shared" si="362"/>
        <v>452.10793150342289</v>
      </c>
      <c r="BY124" s="173">
        <f t="shared" si="363"/>
        <v>1.5228917278261609</v>
      </c>
      <c r="BZ124" s="5">
        <f t="shared" si="364"/>
        <v>3.6120000000000005</v>
      </c>
      <c r="CA124" s="173">
        <f t="shared" si="365"/>
        <v>0.70342281618645308</v>
      </c>
      <c r="CB124" s="5">
        <f t="shared" si="366"/>
        <v>70.342281618645302</v>
      </c>
      <c r="CC124">
        <f t="shared" si="367"/>
        <v>14.000000000000002</v>
      </c>
      <c r="CE124" s="562">
        <f t="shared" si="368"/>
        <v>-50</v>
      </c>
      <c r="CF124">
        <f t="shared" si="369"/>
        <v>-50</v>
      </c>
      <c r="CG124" s="173">
        <f t="shared" si="370"/>
        <v>0.30631648214557861</v>
      </c>
      <c r="CH124" s="173">
        <f t="shared" si="371"/>
        <v>7.8456996031882095E-2</v>
      </c>
      <c r="CI124" s="170">
        <v>14</v>
      </c>
      <c r="CJ124" s="217">
        <f t="shared" si="438"/>
        <v>0.84000000000000008</v>
      </c>
      <c r="CK124" s="217">
        <f t="shared" si="372"/>
        <v>1.4000000000000002E-2</v>
      </c>
      <c r="CL124" s="217">
        <f t="shared" si="373"/>
        <v>3.3600000000000003</v>
      </c>
      <c r="CM124" s="217">
        <f t="shared" si="374"/>
        <v>0.25200000000000006</v>
      </c>
      <c r="CN124" s="541">
        <f t="shared" si="375"/>
        <v>18</v>
      </c>
      <c r="CO124" s="443">
        <f t="shared" si="376"/>
        <v>18.8</v>
      </c>
      <c r="CP124" s="443">
        <f t="shared" si="377"/>
        <v>36.799999999999997</v>
      </c>
      <c r="CQ124" s="443"/>
      <c r="CR124" s="217">
        <f t="shared" si="378"/>
        <v>0.51086956521739135</v>
      </c>
      <c r="CS124" s="172">
        <f t="shared" si="379"/>
        <v>28.513650151668358</v>
      </c>
      <c r="CT124" s="172">
        <f t="shared" si="380"/>
        <v>2.2989130434782612</v>
      </c>
      <c r="CU124" s="217">
        <f t="shared" si="381"/>
        <v>7.1284125379170895</v>
      </c>
      <c r="CV124" s="217">
        <f t="shared" si="382"/>
        <v>1.5840916750926866</v>
      </c>
      <c r="CW124" s="217">
        <f t="shared" si="383"/>
        <v>4</v>
      </c>
      <c r="CX124" s="217">
        <f t="shared" si="384"/>
        <v>0.7855886524822695</v>
      </c>
      <c r="CY124" s="217">
        <f t="shared" si="385"/>
        <v>0.52372576832151296</v>
      </c>
      <c r="CZ124" s="217">
        <f t="shared" si="386"/>
        <v>0.50143956541421464</v>
      </c>
      <c r="DA124" s="197">
        <f t="shared" si="387"/>
        <v>350</v>
      </c>
      <c r="DB124" s="443">
        <f t="shared" si="388"/>
        <v>350</v>
      </c>
      <c r="DD124" s="217">
        <f t="shared" si="389"/>
        <v>2.18944099378882</v>
      </c>
      <c r="DE124" s="173">
        <f t="shared" si="390"/>
        <v>1.3975155279503106</v>
      </c>
      <c r="DF124" s="173">
        <f t="shared" si="391"/>
        <v>1.9924134422749624</v>
      </c>
      <c r="DG124" s="173"/>
      <c r="DH124" s="173">
        <f t="shared" si="392"/>
        <v>0.85106382978723416</v>
      </c>
      <c r="DI124" s="545">
        <f t="shared" si="393"/>
        <v>370.12499999999994</v>
      </c>
      <c r="DJ124" s="528">
        <f t="shared" si="394"/>
        <v>0.79432624113475192</v>
      </c>
      <c r="DL124" s="173">
        <f t="shared" si="395"/>
        <v>1.3114877048604001</v>
      </c>
      <c r="DM124" s="173">
        <f t="shared" si="396"/>
        <v>1.3333333333333335</v>
      </c>
      <c r="DN124" s="173">
        <f t="shared" si="397"/>
        <v>1.2</v>
      </c>
      <c r="DP124" s="545">
        <f t="shared" si="398"/>
        <v>840.00000000000011</v>
      </c>
      <c r="DQ124" s="460">
        <f t="shared" si="399"/>
        <v>350</v>
      </c>
      <c r="DS124" s="460">
        <f t="shared" si="400"/>
        <v>840.00000000000011</v>
      </c>
      <c r="DT124" s="460">
        <f t="shared" si="401"/>
        <v>350</v>
      </c>
      <c r="DV124" s="5">
        <f t="shared" si="402"/>
        <v>2.8571428571428572</v>
      </c>
      <c r="DW124" s="5">
        <f t="shared" si="403"/>
        <v>0.88888888888888906</v>
      </c>
      <c r="DX124" s="5">
        <f t="shared" si="404"/>
        <v>1.9682539682539681</v>
      </c>
      <c r="DY124" s="173">
        <f t="shared" si="405"/>
        <v>0.31111111111111117</v>
      </c>
      <c r="EA124" s="5">
        <f t="shared" si="406"/>
        <v>18.666666666666671</v>
      </c>
      <c r="EB124" s="5">
        <f t="shared" si="407"/>
        <v>6.9135802469135824E-2</v>
      </c>
      <c r="EC124" s="5">
        <f t="shared" si="408"/>
        <v>0.3061728395061728</v>
      </c>
      <c r="ED124" s="5"/>
      <c r="EE124" s="173">
        <f t="shared" si="409"/>
        <v>0.42937412581302048</v>
      </c>
      <c r="EF124" s="173">
        <f t="shared" si="410"/>
        <v>2.5557165810782609</v>
      </c>
      <c r="EG124" s="173">
        <f t="shared" si="411"/>
        <v>4.8696761882707405E-2</v>
      </c>
      <c r="EH124" s="173"/>
      <c r="EI124" s="528">
        <f t="shared" si="412"/>
        <v>2.2492181069958856E-3</v>
      </c>
      <c r="EJ124" s="528">
        <f t="shared" si="413"/>
        <v>0.3434666666666667</v>
      </c>
      <c r="EK124" s="528">
        <f t="shared" si="414"/>
        <v>4.3749999999999997E-2</v>
      </c>
      <c r="EL124" s="528">
        <f t="shared" si="415"/>
        <v>4.7398399999999993E-2</v>
      </c>
      <c r="EM124">
        <f t="shared" si="416"/>
        <v>8.0999999999999996E-3</v>
      </c>
      <c r="EN124" s="460">
        <f t="shared" si="417"/>
        <v>51.849999999999994</v>
      </c>
      <c r="EP124" s="460">
        <f t="shared" si="439"/>
        <v>444.9642847736626</v>
      </c>
      <c r="EQ124" s="173">
        <f t="shared" si="418"/>
        <v>0.58799999999999997</v>
      </c>
      <c r="ER124" s="173">
        <f t="shared" si="419"/>
        <v>6.212500000000001E-3</v>
      </c>
      <c r="ES124" s="528"/>
      <c r="EU124" s="460">
        <f t="shared" si="420"/>
        <v>594.21249999999998</v>
      </c>
      <c r="EV124" s="528">
        <f t="shared" si="421"/>
        <v>5.5308641975308657E-3</v>
      </c>
      <c r="EW124" s="528">
        <f t="shared" si="422"/>
        <v>0.19595061728395066</v>
      </c>
      <c r="EX124" s="528">
        <f t="shared" si="423"/>
        <v>1.1856873089305526E-5</v>
      </c>
      <c r="EY124" s="528">
        <f t="shared" si="424"/>
        <v>0.23522688460887753</v>
      </c>
      <c r="EZ124" s="528"/>
      <c r="FA124" s="625">
        <f t="shared" si="425"/>
        <v>1.5555555555555559E-2</v>
      </c>
      <c r="FB124" s="460">
        <f t="shared" si="426"/>
        <v>452.27577851900389</v>
      </c>
      <c r="FC124" s="173">
        <f t="shared" si="427"/>
        <v>1.4914525632926667</v>
      </c>
      <c r="FD124" s="5">
        <f t="shared" si="428"/>
        <v>3.6120000000000005</v>
      </c>
      <c r="FE124" s="173">
        <f t="shared" si="429"/>
        <v>0.70775616216751802</v>
      </c>
      <c r="FF124" s="5">
        <f t="shared" si="430"/>
        <v>70.7756162167518</v>
      </c>
      <c r="FG124">
        <f t="shared" si="431"/>
        <v>14.000000000000002</v>
      </c>
      <c r="FI124" s="562">
        <f t="shared" si="432"/>
        <v>-50</v>
      </c>
      <c r="FJ124">
        <f t="shared" si="433"/>
        <v>-50</v>
      </c>
    </row>
    <row r="125" spans="5:166">
      <c r="E125" s="170">
        <v>15</v>
      </c>
      <c r="F125" s="217">
        <f t="shared" si="434"/>
        <v>0.89999999999999991</v>
      </c>
      <c r="G125" s="217">
        <f t="shared" si="313"/>
        <v>1.4999999999999999E-2</v>
      </c>
      <c r="H125" s="217">
        <f t="shared" si="314"/>
        <v>3.5999999999999996</v>
      </c>
      <c r="I125" s="217">
        <f t="shared" si="315"/>
        <v>0.27</v>
      </c>
      <c r="J125" s="541">
        <f t="shared" si="316"/>
        <v>17.962383554520358</v>
      </c>
      <c r="K125" s="443">
        <f t="shared" si="317"/>
        <v>19.140621281106828</v>
      </c>
      <c r="L125" s="172">
        <f t="shared" si="318"/>
        <v>37.103004835627189</v>
      </c>
      <c r="M125" s="443"/>
      <c r="N125" s="217">
        <f t="shared" si="319"/>
        <v>0.51587792864494753</v>
      </c>
      <c r="O125" s="172">
        <f t="shared" si="320"/>
        <v>28.733014640719478</v>
      </c>
      <c r="P125" s="172">
        <f t="shared" si="321"/>
        <v>2.3165993054080078</v>
      </c>
      <c r="Q125" s="217">
        <f t="shared" si="322"/>
        <v>7.1832536601798695</v>
      </c>
      <c r="R125" s="217">
        <f t="shared" si="323"/>
        <v>1.5962785911510822</v>
      </c>
      <c r="S125" s="217">
        <f t="shared" si="324"/>
        <v>4</v>
      </c>
      <c r="T125" s="217">
        <f t="shared" si="325"/>
        <v>0.83527608571876033</v>
      </c>
      <c r="U125" s="217">
        <f t="shared" si="326"/>
        <v>0.55801686887499335</v>
      </c>
      <c r="V125" s="217">
        <f t="shared" si="327"/>
        <v>0.52366706813842334</v>
      </c>
      <c r="W125" s="197">
        <f t="shared" si="328"/>
        <v>350</v>
      </c>
      <c r="X125" s="443">
        <f t="shared" si="435"/>
        <v>350</v>
      </c>
      <c r="Z125" s="217">
        <f t="shared" si="329"/>
        <v>2.2062850527695317</v>
      </c>
      <c r="AA125" s="173">
        <f t="shared" si="330"/>
        <v>1.3832059181572924</v>
      </c>
      <c r="AB125" s="173">
        <f t="shared" si="331"/>
        <v>1.9871837948771658</v>
      </c>
      <c r="AC125" s="173"/>
      <c r="AD125" s="173">
        <f t="shared" si="332"/>
        <v>0.83591852976022019</v>
      </c>
      <c r="AE125" s="545">
        <f t="shared" si="333"/>
        <v>403.74748014834705</v>
      </c>
      <c r="AF125" s="528">
        <f t="shared" si="334"/>
        <v>0.78019062777620563</v>
      </c>
      <c r="AH125" s="173">
        <f t="shared" si="335"/>
        <v>1.3575187449376684</v>
      </c>
      <c r="AI125" s="173">
        <f t="shared" si="336"/>
        <v>1.3575187449376684</v>
      </c>
      <c r="AJ125" s="173">
        <f t="shared" si="337"/>
        <v>1.2179151197069147</v>
      </c>
      <c r="AL125" s="545">
        <f t="shared" si="338"/>
        <v>899.99999999999989</v>
      </c>
      <c r="AM125" s="460">
        <f t="shared" si="339"/>
        <v>350</v>
      </c>
      <c r="AO125" s="460">
        <f t="shared" si="340"/>
        <v>899.99999999999989</v>
      </c>
      <c r="AP125" s="460">
        <f t="shared" si="341"/>
        <v>350</v>
      </c>
      <c r="AR125" s="5">
        <f t="shared" si="275"/>
        <v>2.8571428571428572</v>
      </c>
      <c r="AS125" s="5">
        <f t="shared" si="440"/>
        <v>0.90690775474240848</v>
      </c>
      <c r="AT125" s="5">
        <f t="shared" si="441"/>
        <v>1.9502351024004487</v>
      </c>
      <c r="AU125" s="173">
        <f t="shared" si="442"/>
        <v>0.31741771415984293</v>
      </c>
      <c r="AW125" s="5">
        <f t="shared" si="342"/>
        <v>20.405424481704188</v>
      </c>
      <c r="AX125" s="5">
        <f t="shared" si="343"/>
        <v>7.5575646228534049E-2</v>
      </c>
      <c r="AY125" s="5">
        <f t="shared" si="344"/>
        <v>0.32571987394896568</v>
      </c>
      <c r="AZ125" s="5"/>
      <c r="BA125" s="173">
        <f t="shared" si="345"/>
        <v>0.44157124823704025</v>
      </c>
      <c r="BB125" s="173">
        <f t="shared" si="346"/>
        <v>2.5901368211462388</v>
      </c>
      <c r="BC125" s="173">
        <f t="shared" si="347"/>
        <v>4.9352606997516174E-2</v>
      </c>
      <c r="BD125" s="173"/>
      <c r="BE125" s="528">
        <f t="shared" si="348"/>
        <v>2.3788190406893372E-3</v>
      </c>
      <c r="BF125" s="528">
        <f t="shared" si="349"/>
        <v>0.33054016116106688</v>
      </c>
      <c r="BG125" s="528">
        <f t="shared" si="350"/>
        <v>0.15717085610205311</v>
      </c>
      <c r="BH125" s="528">
        <f t="shared" si="351"/>
        <v>4.8182153874140113E-2</v>
      </c>
      <c r="BI125">
        <f t="shared" si="352"/>
        <v>8.0830725995341603E-3</v>
      </c>
      <c r="BJ125" s="460">
        <f t="shared" si="436"/>
        <v>165.25392870158728</v>
      </c>
      <c r="BK125">
        <f t="shared" si="353"/>
        <v>0.38195930144211004</v>
      </c>
      <c r="BL125" s="460">
        <f t="shared" si="437"/>
        <v>546.35506277748357</v>
      </c>
      <c r="BM125" s="173">
        <f t="shared" si="354"/>
        <v>0.55912499999999987</v>
      </c>
      <c r="BN125" s="173">
        <f t="shared" si="355"/>
        <v>9.3187499999999989E-3</v>
      </c>
      <c r="BO125" s="528"/>
      <c r="BQ125" s="460">
        <f t="shared" si="356"/>
        <v>568.44374999999991</v>
      </c>
      <c r="BR125" s="528">
        <f t="shared" si="357"/>
        <v>5.8495550180885343E-3</v>
      </c>
      <c r="BS125" s="528">
        <f t="shared" si="358"/>
        <v>0.20126426256772628</v>
      </c>
      <c r="BT125" s="528">
        <f t="shared" si="359"/>
        <v>1.2178399087256412E-5</v>
      </c>
      <c r="BU125" s="528">
        <f t="shared" si="360"/>
        <v>0.24603942481395588</v>
      </c>
      <c r="BV125" s="528"/>
      <c r="BW125" s="625">
        <f t="shared" si="361"/>
        <v>1.6125E-2</v>
      </c>
      <c r="BX125" s="460">
        <f t="shared" si="362"/>
        <v>469.29042079885795</v>
      </c>
      <c r="BY125" s="173">
        <f t="shared" si="363"/>
        <v>1.5840892335763415</v>
      </c>
      <c r="BZ125" s="5">
        <f t="shared" si="364"/>
        <v>3.8699999999999997</v>
      </c>
      <c r="CA125" s="173">
        <f t="shared" si="365"/>
        <v>0.70955934790644659</v>
      </c>
      <c r="CB125" s="5">
        <f t="shared" si="366"/>
        <v>70.955934790644662</v>
      </c>
      <c r="CC125">
        <f t="shared" si="367"/>
        <v>15</v>
      </c>
      <c r="CE125" s="562">
        <f t="shared" si="368"/>
        <v>-50</v>
      </c>
      <c r="CF125">
        <f t="shared" si="369"/>
        <v>-50</v>
      </c>
      <c r="CG125" s="173">
        <f t="shared" si="370"/>
        <v>0.31706768188135637</v>
      </c>
      <c r="CH125" s="173">
        <f t="shared" si="371"/>
        <v>8.1210706276592368E-2</v>
      </c>
      <c r="CI125" s="170">
        <v>15</v>
      </c>
      <c r="CJ125" s="217">
        <f t="shared" si="438"/>
        <v>0.89999999999999991</v>
      </c>
      <c r="CK125" s="217">
        <f t="shared" si="372"/>
        <v>1.4999999999999999E-2</v>
      </c>
      <c r="CL125" s="217">
        <f t="shared" si="373"/>
        <v>3.5999999999999996</v>
      </c>
      <c r="CM125" s="217">
        <f t="shared" si="374"/>
        <v>0.27</v>
      </c>
      <c r="CN125" s="541">
        <f t="shared" si="375"/>
        <v>18</v>
      </c>
      <c r="CO125" s="443">
        <f t="shared" si="376"/>
        <v>18.8</v>
      </c>
      <c r="CP125" s="443">
        <f t="shared" si="377"/>
        <v>36.799999999999997</v>
      </c>
      <c r="CQ125" s="443"/>
      <c r="CR125" s="217">
        <f t="shared" si="378"/>
        <v>0.51086956521739135</v>
      </c>
      <c r="CS125" s="172">
        <f t="shared" si="379"/>
        <v>28.513650151668358</v>
      </c>
      <c r="CT125" s="172">
        <f t="shared" si="380"/>
        <v>2.2989130434782612</v>
      </c>
      <c r="CU125" s="217">
        <f t="shared" si="381"/>
        <v>7.1284125379170895</v>
      </c>
      <c r="CV125" s="217">
        <f t="shared" si="382"/>
        <v>1.5840916750926866</v>
      </c>
      <c r="CW125" s="217">
        <f t="shared" si="383"/>
        <v>4</v>
      </c>
      <c r="CX125" s="217">
        <f t="shared" si="384"/>
        <v>0.84170212765957431</v>
      </c>
      <c r="CY125" s="217">
        <f t="shared" si="385"/>
        <v>0.56113475177304961</v>
      </c>
      <c r="CZ125" s="217">
        <f t="shared" si="386"/>
        <v>0.53725667722951553</v>
      </c>
      <c r="DA125" s="197">
        <f t="shared" si="387"/>
        <v>350</v>
      </c>
      <c r="DB125" s="443">
        <f t="shared" si="388"/>
        <v>350</v>
      </c>
      <c r="DD125" s="217">
        <f t="shared" si="389"/>
        <v>2.18944099378882</v>
      </c>
      <c r="DE125" s="173">
        <f t="shared" si="390"/>
        <v>1.3975155279503106</v>
      </c>
      <c r="DF125" s="173">
        <f t="shared" si="391"/>
        <v>1.9924134422749624</v>
      </c>
      <c r="DG125" s="173"/>
      <c r="DH125" s="173">
        <f t="shared" si="392"/>
        <v>0.85106382978723416</v>
      </c>
      <c r="DI125" s="545">
        <f t="shared" si="393"/>
        <v>396.56249999999983</v>
      </c>
      <c r="DJ125" s="528">
        <f t="shared" si="394"/>
        <v>0.79432624113475192</v>
      </c>
      <c r="DL125" s="173">
        <f t="shared" si="395"/>
        <v>1.3575187449376684</v>
      </c>
      <c r="DM125" s="173">
        <f t="shared" si="396"/>
        <v>1.3575187449376684</v>
      </c>
      <c r="DN125" s="173">
        <f t="shared" si="397"/>
        <v>1.2179151197069147</v>
      </c>
      <c r="DP125" s="545">
        <f t="shared" si="398"/>
        <v>899.99999999999989</v>
      </c>
      <c r="DQ125" s="460">
        <f t="shared" si="399"/>
        <v>350</v>
      </c>
      <c r="DS125" s="460">
        <f t="shared" si="400"/>
        <v>899.99999999999989</v>
      </c>
      <c r="DT125" s="460">
        <f t="shared" si="401"/>
        <v>350</v>
      </c>
      <c r="DV125" s="5">
        <f t="shared" si="402"/>
        <v>2.8571428571428572</v>
      </c>
      <c r="DW125" s="5">
        <f t="shared" si="403"/>
        <v>0.90501249662511229</v>
      </c>
      <c r="DX125" s="5">
        <f t="shared" si="404"/>
        <v>1.9521303605177449</v>
      </c>
      <c r="DY125" s="173">
        <f t="shared" si="405"/>
        <v>0.31675437381878929</v>
      </c>
      <c r="EA125" s="5">
        <f t="shared" si="406"/>
        <v>20.362781174065027</v>
      </c>
      <c r="EB125" s="5">
        <f t="shared" si="407"/>
        <v>7.5417708052092691E-2</v>
      </c>
      <c r="EC125" s="5">
        <f t="shared" si="408"/>
        <v>0.32535506008629073</v>
      </c>
      <c r="ED125" s="5"/>
      <c r="EE125" s="173">
        <f t="shared" si="409"/>
        <v>0.44110960857183684</v>
      </c>
      <c r="EF125" s="173">
        <f t="shared" si="410"/>
        <v>2.591395076050937</v>
      </c>
      <c r="EG125" s="173">
        <f t="shared" si="411"/>
        <v>4.9376581854484076E-2</v>
      </c>
      <c r="EH125" s="173"/>
      <c r="EI125" s="528">
        <f t="shared" si="412"/>
        <v>2.373847778647669E-3</v>
      </c>
      <c r="EJ125" s="528">
        <f t="shared" si="413"/>
        <v>0.34969682869594343</v>
      </c>
      <c r="EK125" s="528">
        <f t="shared" si="414"/>
        <v>4.3749999999999997E-2</v>
      </c>
      <c r="EL125" s="528">
        <f t="shared" si="415"/>
        <v>4.7398399999999993E-2</v>
      </c>
      <c r="EM125">
        <f t="shared" si="416"/>
        <v>8.0999999999999996E-3</v>
      </c>
      <c r="EN125" s="460">
        <f t="shared" si="417"/>
        <v>51.849999999999994</v>
      </c>
      <c r="EP125" s="460">
        <f t="shared" si="439"/>
        <v>451.31907647459116</v>
      </c>
      <c r="EQ125" s="173">
        <f t="shared" si="418"/>
        <v>0.62999999999999989</v>
      </c>
      <c r="ER125" s="173">
        <f t="shared" si="419"/>
        <v>6.6562499999999998E-3</v>
      </c>
      <c r="ES125" s="528"/>
      <c r="EU125" s="460">
        <f t="shared" si="420"/>
        <v>636.65624999999989</v>
      </c>
      <c r="EV125" s="528">
        <f t="shared" si="421"/>
        <v>5.8373306032319739E-3</v>
      </c>
      <c r="EW125" s="528">
        <f t="shared" si="422"/>
        <v>0.20145985320543122</v>
      </c>
      <c r="EX125" s="528">
        <f t="shared" si="423"/>
        <v>1.2190234178162832E-5</v>
      </c>
      <c r="EY125" s="528">
        <f t="shared" si="424"/>
        <v>0.24603942481395588</v>
      </c>
      <c r="EZ125" s="528"/>
      <c r="FA125" s="625">
        <f t="shared" si="425"/>
        <v>1.6125E-2</v>
      </c>
      <c r="FB125" s="460">
        <f t="shared" si="426"/>
        <v>469.47379885679726</v>
      </c>
      <c r="FC125" s="173">
        <f t="shared" si="427"/>
        <v>1.5574491253313882</v>
      </c>
      <c r="FD125" s="5">
        <f t="shared" si="428"/>
        <v>3.8699999999999997</v>
      </c>
      <c r="FE125" s="173">
        <f t="shared" si="429"/>
        <v>0.71304215122674341</v>
      </c>
      <c r="FF125" s="5">
        <f t="shared" si="430"/>
        <v>71.304215122674336</v>
      </c>
      <c r="FG125">
        <f t="shared" si="431"/>
        <v>15</v>
      </c>
      <c r="FI125" s="562">
        <f t="shared" si="432"/>
        <v>-50</v>
      </c>
      <c r="FJ125">
        <f t="shared" si="433"/>
        <v>-50</v>
      </c>
    </row>
    <row r="126" spans="5:166">
      <c r="E126" s="170">
        <v>16</v>
      </c>
      <c r="F126" s="217">
        <f t="shared" si="434"/>
        <v>0.96</v>
      </c>
      <c r="G126" s="217">
        <f t="shared" si="313"/>
        <v>1.6E-2</v>
      </c>
      <c r="H126" s="217">
        <f t="shared" si="314"/>
        <v>3.84</v>
      </c>
      <c r="I126" s="217">
        <f t="shared" si="315"/>
        <v>0.28800000000000003</v>
      </c>
      <c r="J126" s="541">
        <f t="shared" si="316"/>
        <v>17.961149902163687</v>
      </c>
      <c r="K126" s="443">
        <f t="shared" si="317"/>
        <v>19.151792146424157</v>
      </c>
      <c r="L126" s="172">
        <f t="shared" si="318"/>
        <v>37.11294204858784</v>
      </c>
      <c r="M126" s="443"/>
      <c r="N126" s="217">
        <f t="shared" si="319"/>
        <v>0.51604079572432848</v>
      </c>
      <c r="O126" s="172">
        <f t="shared" si="320"/>
        <v>28.740111899648046</v>
      </c>
      <c r="P126" s="172">
        <f t="shared" si="321"/>
        <v>2.3171715219091236</v>
      </c>
      <c r="Q126" s="217">
        <f t="shared" si="322"/>
        <v>7.1850279749120114</v>
      </c>
      <c r="R126" s="217">
        <f t="shared" si="323"/>
        <v>1.5966728833137802</v>
      </c>
      <c r="S126" s="217">
        <f t="shared" si="324"/>
        <v>4</v>
      </c>
      <c r="T126" s="217">
        <f t="shared" si="325"/>
        <v>0.89074113870494365</v>
      </c>
      <c r="U126" s="217">
        <f t="shared" si="326"/>
        <v>0.59511187884310723</v>
      </c>
      <c r="V126" s="217">
        <f t="shared" si="327"/>
        <v>0.55811454002517746</v>
      </c>
      <c r="W126" s="197">
        <f t="shared" si="328"/>
        <v>350</v>
      </c>
      <c r="X126" s="443">
        <f t="shared" si="435"/>
        <v>350</v>
      </c>
      <c r="Z126" s="217">
        <f t="shared" si="329"/>
        <v>2.2068300208658309</v>
      </c>
      <c r="AA126" s="173">
        <f t="shared" si="330"/>
        <v>1.3827405836447757</v>
      </c>
      <c r="AB126" s="173">
        <f t="shared" si="331"/>
        <v>1.9870059551067742</v>
      </c>
      <c r="AC126" s="173"/>
      <c r="AD126" s="173">
        <f t="shared" si="332"/>
        <v>0.8354309548512604</v>
      </c>
      <c r="AE126" s="545">
        <f t="shared" si="333"/>
        <v>430.91532329454338</v>
      </c>
      <c r="AF126" s="528">
        <f t="shared" si="334"/>
        <v>0.77973555786117643</v>
      </c>
      <c r="AH126" s="173">
        <f t="shared" si="335"/>
        <v>1.4020393310154626</v>
      </c>
      <c r="AI126" s="173">
        <f t="shared" si="336"/>
        <v>1.4020393310154626</v>
      </c>
      <c r="AJ126" s="173">
        <f t="shared" si="337"/>
        <v>1.2508933316163919</v>
      </c>
      <c r="AL126" s="545">
        <f t="shared" si="338"/>
        <v>960</v>
      </c>
      <c r="AM126" s="460">
        <f t="shared" si="339"/>
        <v>350</v>
      </c>
      <c r="AO126" s="460">
        <f t="shared" si="340"/>
        <v>960</v>
      </c>
      <c r="AP126" s="460">
        <f t="shared" si="341"/>
        <v>350</v>
      </c>
      <c r="AR126" s="5">
        <f t="shared" si="275"/>
        <v>2.8571428571428572</v>
      </c>
      <c r="AS126" s="5">
        <f t="shared" si="440"/>
        <v>0.93671463485524364</v>
      </c>
      <c r="AT126" s="5">
        <f t="shared" si="441"/>
        <v>1.9204282222876135</v>
      </c>
      <c r="AU126" s="173">
        <f t="shared" si="442"/>
        <v>0.32785012219933529</v>
      </c>
      <c r="AW126" s="5">
        <f t="shared" si="342"/>
        <v>22.481151236525847</v>
      </c>
      <c r="AX126" s="5">
        <f t="shared" si="343"/>
        <v>8.3263523098243877E-2</v>
      </c>
      <c r="AY126" s="5">
        <f t="shared" si="344"/>
        <v>0.34214793288819784</v>
      </c>
      <c r="AZ126" s="5"/>
      <c r="BA126" s="173">
        <f t="shared" si="345"/>
        <v>0.46348666603632654</v>
      </c>
      <c r="BB126" s="173">
        <f t="shared" si="346"/>
        <v>2.6545604702688572</v>
      </c>
      <c r="BC126" s="173">
        <f t="shared" si="347"/>
        <v>5.0580138690257952E-2</v>
      </c>
      <c r="BD126" s="173"/>
      <c r="BE126" s="528">
        <f t="shared" si="348"/>
        <v>2.6208026530403251E-3</v>
      </c>
      <c r="BF126" s="528">
        <f t="shared" si="349"/>
        <v>0.34147184164942884</v>
      </c>
      <c r="BG126" s="528">
        <f t="shared" si="350"/>
        <v>0.15716006164393226</v>
      </c>
      <c r="BH126" s="528">
        <f t="shared" si="351"/>
        <v>4.8207966362564379E-2</v>
      </c>
      <c r="BI126">
        <f t="shared" si="352"/>
        <v>8.082517455973659E-3</v>
      </c>
      <c r="BJ126" s="460">
        <f t="shared" si="436"/>
        <v>165.24257909990592</v>
      </c>
      <c r="BK126">
        <f t="shared" si="353"/>
        <v>0.39325310715703954</v>
      </c>
      <c r="BL126" s="460">
        <f t="shared" si="437"/>
        <v>557.54318976493948</v>
      </c>
      <c r="BM126" s="173">
        <f t="shared" si="354"/>
        <v>0.59639999999999993</v>
      </c>
      <c r="BN126" s="173">
        <f t="shared" si="355"/>
        <v>9.9399999999999992E-3</v>
      </c>
      <c r="BO126" s="528"/>
      <c r="BQ126" s="460">
        <f t="shared" si="356"/>
        <v>606.33999999999992</v>
      </c>
      <c r="BR126" s="528">
        <f t="shared" si="357"/>
        <v>6.4445966878040788E-3</v>
      </c>
      <c r="BS126" s="528">
        <f t="shared" si="358"/>
        <v>0.21140073870942047</v>
      </c>
      <c r="BT126" s="528">
        <f t="shared" si="359"/>
        <v>1.2791752149628647E-5</v>
      </c>
      <c r="BU126" s="528">
        <f t="shared" si="360"/>
        <v>0.26671080338153846</v>
      </c>
      <c r="BV126" s="528"/>
      <c r="BW126" s="625">
        <f t="shared" si="361"/>
        <v>1.7200000000000003E-2</v>
      </c>
      <c r="BX126" s="460">
        <f t="shared" si="362"/>
        <v>501.76893053091266</v>
      </c>
      <c r="BY126" s="173">
        <f t="shared" si="363"/>
        <v>1.6656521202958521</v>
      </c>
      <c r="BZ126" s="5">
        <f t="shared" si="364"/>
        <v>4.1280000000000001</v>
      </c>
      <c r="CA126" s="173">
        <f t="shared" si="365"/>
        <v>0.71250394643805504</v>
      </c>
      <c r="CB126" s="5">
        <f t="shared" si="366"/>
        <v>71.250394643805507</v>
      </c>
      <c r="CC126">
        <f t="shared" si="367"/>
        <v>16</v>
      </c>
      <c r="CE126" s="562">
        <f t="shared" si="368"/>
        <v>-50</v>
      </c>
      <c r="CF126">
        <f t="shared" si="369"/>
        <v>-50</v>
      </c>
      <c r="CG126" s="173">
        <f t="shared" si="370"/>
        <v>0.3274660937458892</v>
      </c>
      <c r="CH126" s="173">
        <f t="shared" si="371"/>
        <v>8.3874056784795842E-2</v>
      </c>
      <c r="CI126" s="170">
        <v>16</v>
      </c>
      <c r="CJ126" s="217">
        <f t="shared" si="438"/>
        <v>0.96</v>
      </c>
      <c r="CK126" s="217">
        <f t="shared" si="372"/>
        <v>1.6E-2</v>
      </c>
      <c r="CL126" s="217">
        <f t="shared" si="373"/>
        <v>3.84</v>
      </c>
      <c r="CM126" s="217">
        <f t="shared" si="374"/>
        <v>0.28800000000000003</v>
      </c>
      <c r="CN126" s="541">
        <f t="shared" si="375"/>
        <v>18</v>
      </c>
      <c r="CO126" s="443">
        <f t="shared" si="376"/>
        <v>18.8</v>
      </c>
      <c r="CP126" s="443">
        <f t="shared" si="377"/>
        <v>36.799999999999997</v>
      </c>
      <c r="CQ126" s="443"/>
      <c r="CR126" s="217">
        <f t="shared" si="378"/>
        <v>0.51086956521739135</v>
      </c>
      <c r="CS126" s="172">
        <f t="shared" si="379"/>
        <v>28.513650151668358</v>
      </c>
      <c r="CT126" s="172">
        <f t="shared" si="380"/>
        <v>2.2989130434782612</v>
      </c>
      <c r="CU126" s="217">
        <f t="shared" si="381"/>
        <v>7.1284125379170895</v>
      </c>
      <c r="CV126" s="217">
        <f t="shared" si="382"/>
        <v>1.5840916750926866</v>
      </c>
      <c r="CW126" s="217">
        <f t="shared" si="383"/>
        <v>4</v>
      </c>
      <c r="CX126" s="217">
        <f t="shared" si="384"/>
        <v>0.89781560283687933</v>
      </c>
      <c r="CY126" s="217">
        <f t="shared" si="385"/>
        <v>0.59854373522458626</v>
      </c>
      <c r="CZ126" s="217">
        <f t="shared" si="386"/>
        <v>0.57307378904481654</v>
      </c>
      <c r="DA126" s="197">
        <f t="shared" si="387"/>
        <v>350</v>
      </c>
      <c r="DB126" s="443">
        <f t="shared" si="388"/>
        <v>350</v>
      </c>
      <c r="DD126" s="217">
        <f t="shared" si="389"/>
        <v>2.18944099378882</v>
      </c>
      <c r="DE126" s="173">
        <f t="shared" si="390"/>
        <v>1.3975155279503106</v>
      </c>
      <c r="DF126" s="173">
        <f t="shared" si="391"/>
        <v>1.9924134422749624</v>
      </c>
      <c r="DG126" s="173"/>
      <c r="DH126" s="173">
        <f t="shared" si="392"/>
        <v>0.85106382978723416</v>
      </c>
      <c r="DI126" s="545">
        <f t="shared" si="393"/>
        <v>422.99999999999983</v>
      </c>
      <c r="DJ126" s="528">
        <f t="shared" si="394"/>
        <v>0.79432624113475192</v>
      </c>
      <c r="DL126" s="173">
        <f t="shared" si="395"/>
        <v>1.4020393310154626</v>
      </c>
      <c r="DM126" s="173">
        <f t="shared" si="396"/>
        <v>1.4020393310154626</v>
      </c>
      <c r="DN126" s="173">
        <f t="shared" si="397"/>
        <v>1.2508933316163919</v>
      </c>
      <c r="DP126" s="545">
        <f t="shared" si="398"/>
        <v>960</v>
      </c>
      <c r="DQ126" s="460">
        <f t="shared" si="399"/>
        <v>350</v>
      </c>
      <c r="DS126" s="460">
        <f t="shared" si="400"/>
        <v>960</v>
      </c>
      <c r="DT126" s="460">
        <f t="shared" si="401"/>
        <v>350</v>
      </c>
      <c r="DV126" s="5">
        <f t="shared" si="402"/>
        <v>2.8571428571428572</v>
      </c>
      <c r="DW126" s="5">
        <f t="shared" si="403"/>
        <v>0.93469288734364186</v>
      </c>
      <c r="DX126" s="5">
        <f t="shared" si="404"/>
        <v>1.9224499697992155</v>
      </c>
      <c r="DY126" s="173">
        <f t="shared" si="405"/>
        <v>0.32714251057027466</v>
      </c>
      <c r="EA126" s="5">
        <f t="shared" si="406"/>
        <v>22.432629296247406</v>
      </c>
      <c r="EB126" s="5">
        <f t="shared" si="407"/>
        <v>8.3083812208323726E-2</v>
      </c>
      <c r="EC126" s="5">
        <f t="shared" si="408"/>
        <v>0.34176888351986046</v>
      </c>
      <c r="ED126" s="5"/>
      <c r="EE126" s="173">
        <f t="shared" si="409"/>
        <v>0.46298621523483313</v>
      </c>
      <c r="EF126" s="173">
        <f t="shared" si="410"/>
        <v>2.6559574085157922</v>
      </c>
      <c r="EG126" s="173">
        <f t="shared" si="411"/>
        <v>5.0606756027125221E-2</v>
      </c>
      <c r="EH126" s="173"/>
      <c r="EI126" s="528">
        <f t="shared" si="412"/>
        <v>2.6151460730691974E-3</v>
      </c>
      <c r="EJ126" s="528">
        <f t="shared" si="413"/>
        <v>0.3611653316695832</v>
      </c>
      <c r="EK126" s="528">
        <f t="shared" si="414"/>
        <v>4.3749999999999997E-2</v>
      </c>
      <c r="EL126" s="528">
        <f t="shared" si="415"/>
        <v>4.7398399999999993E-2</v>
      </c>
      <c r="EM126">
        <f t="shared" si="416"/>
        <v>8.0999999999999996E-3</v>
      </c>
      <c r="EN126" s="460">
        <f t="shared" si="417"/>
        <v>51.849999999999994</v>
      </c>
      <c r="EP126" s="460">
        <f t="shared" si="439"/>
        <v>463.02887774265241</v>
      </c>
      <c r="EQ126" s="173">
        <f t="shared" si="418"/>
        <v>0.67199999999999993</v>
      </c>
      <c r="ER126" s="173">
        <f t="shared" si="419"/>
        <v>7.0999999999999995E-3</v>
      </c>
      <c r="ES126" s="528"/>
      <c r="EU126" s="460">
        <f t="shared" si="420"/>
        <v>679.09999999999991</v>
      </c>
      <c r="EV126" s="528">
        <f t="shared" si="421"/>
        <v>6.430687064924257E-3</v>
      </c>
      <c r="EW126" s="528">
        <f t="shared" si="422"/>
        <v>0.21162329267549768</v>
      </c>
      <c r="EX126" s="528">
        <f t="shared" si="423"/>
        <v>1.2805218777944874E-5</v>
      </c>
      <c r="EY126" s="528">
        <f t="shared" si="424"/>
        <v>0.26671080338153846</v>
      </c>
      <c r="EZ126" s="528"/>
      <c r="FA126" s="625">
        <f t="shared" si="425"/>
        <v>1.7200000000000003E-2</v>
      </c>
      <c r="FB126" s="460">
        <f t="shared" si="426"/>
        <v>501.97758834073835</v>
      </c>
      <c r="FC126" s="173">
        <f t="shared" si="427"/>
        <v>1.6441064660833908</v>
      </c>
      <c r="FD126" s="5">
        <f t="shared" si="428"/>
        <v>4.1280000000000001</v>
      </c>
      <c r="FE126" s="173">
        <f t="shared" si="429"/>
        <v>0.71516352379428927</v>
      </c>
      <c r="FF126" s="5">
        <f t="shared" si="430"/>
        <v>71.516352379428923</v>
      </c>
      <c r="FG126">
        <f t="shared" si="431"/>
        <v>16</v>
      </c>
      <c r="FI126" s="562">
        <f t="shared" si="432"/>
        <v>-50</v>
      </c>
      <c r="FJ126">
        <f t="shared" si="433"/>
        <v>-50</v>
      </c>
    </row>
    <row r="127" spans="5:166">
      <c r="E127" s="170">
        <v>17</v>
      </c>
      <c r="F127" s="217">
        <f t="shared" si="434"/>
        <v>1.02</v>
      </c>
      <c r="G127" s="217">
        <f t="shared" si="313"/>
        <v>1.7000000000000001E-2</v>
      </c>
      <c r="H127" s="217">
        <f t="shared" si="314"/>
        <v>4.08</v>
      </c>
      <c r="I127" s="217">
        <f t="shared" si="315"/>
        <v>0.30600000000000005</v>
      </c>
      <c r="J127" s="541">
        <f t="shared" si="316"/>
        <v>17.959954235763824</v>
      </c>
      <c r="K127" s="443">
        <f t="shared" si="317"/>
        <v>19.162619044492388</v>
      </c>
      <c r="L127" s="172">
        <f t="shared" si="318"/>
        <v>37.122573280256212</v>
      </c>
      <c r="M127" s="443"/>
      <c r="N127" s="217">
        <f t="shared" si="319"/>
        <v>0.51619856467989256</v>
      </c>
      <c r="O127" s="172">
        <f t="shared" si="320"/>
        <v>28.746984800675481</v>
      </c>
      <c r="P127" s="172">
        <f t="shared" si="321"/>
        <v>2.3177256495544607</v>
      </c>
      <c r="Q127" s="217">
        <f t="shared" si="322"/>
        <v>7.1867462001688702</v>
      </c>
      <c r="R127" s="217">
        <f t="shared" si="323"/>
        <v>1.5970547111486377</v>
      </c>
      <c r="S127" s="217">
        <f t="shared" si="324"/>
        <v>4</v>
      </c>
      <c r="T127" s="217">
        <f t="shared" si="325"/>
        <v>0.9461861892159511</v>
      </c>
      <c r="U127" s="217">
        <f t="shared" si="326"/>
        <v>0.63219728299650235</v>
      </c>
      <c r="V127" s="217">
        <f t="shared" si="327"/>
        <v>0.59251996004454222</v>
      </c>
      <c r="W127" s="197">
        <f t="shared" si="328"/>
        <v>350</v>
      </c>
      <c r="X127" s="443">
        <f t="shared" si="435"/>
        <v>350</v>
      </c>
      <c r="Z127" s="217">
        <f t="shared" si="329"/>
        <v>2.2073577614804387</v>
      </c>
      <c r="AA127" s="173">
        <f t="shared" si="330"/>
        <v>1.3822898152003071</v>
      </c>
      <c r="AB127" s="173">
        <f t="shared" si="331"/>
        <v>1.9868332153845873</v>
      </c>
      <c r="AC127" s="173"/>
      <c r="AD127" s="173">
        <f t="shared" si="332"/>
        <v>0.83495893556359313</v>
      </c>
      <c r="AE127" s="545">
        <f t="shared" si="333"/>
        <v>458.10636153239608</v>
      </c>
      <c r="AF127" s="528">
        <f t="shared" si="334"/>
        <v>0.77929500652602035</v>
      </c>
      <c r="AH127" s="173">
        <f t="shared" si="335"/>
        <v>1.4451890632617688</v>
      </c>
      <c r="AI127" s="173">
        <f t="shared" si="336"/>
        <v>1.4451890632617688</v>
      </c>
      <c r="AJ127" s="173">
        <f t="shared" si="337"/>
        <v>1.2828560962432853</v>
      </c>
      <c r="AL127" s="545">
        <f t="shared" si="338"/>
        <v>1020</v>
      </c>
      <c r="AM127" s="460">
        <f t="shared" si="339"/>
        <v>350</v>
      </c>
      <c r="AO127" s="460">
        <f t="shared" si="340"/>
        <v>1020</v>
      </c>
      <c r="AP127" s="460">
        <f t="shared" si="341"/>
        <v>350</v>
      </c>
      <c r="AR127" s="5">
        <f t="shared" si="275"/>
        <v>2.8571428571428572</v>
      </c>
      <c r="AS127" s="5">
        <f t="shared" si="440"/>
        <v>0.96560762524702881</v>
      </c>
      <c r="AT127" s="5">
        <f t="shared" si="441"/>
        <v>1.8915352318958285</v>
      </c>
      <c r="AU127" s="173">
        <f t="shared" si="442"/>
        <v>0.33796266883646009</v>
      </c>
      <c r="AW127" s="5">
        <f t="shared" si="342"/>
        <v>24.622994443799236</v>
      </c>
      <c r="AX127" s="5">
        <f t="shared" si="343"/>
        <v>9.1196275717774944E-2</v>
      </c>
      <c r="AY127" s="5">
        <f t="shared" si="344"/>
        <v>0.35808664677102958</v>
      </c>
      <c r="AZ127" s="5"/>
      <c r="BA127" s="173">
        <f t="shared" si="345"/>
        <v>0.48506328592448572</v>
      </c>
      <c r="BB127" s="173">
        <f t="shared" si="346"/>
        <v>2.7155966853378408</v>
      </c>
      <c r="BC127" s="173">
        <f t="shared" si="347"/>
        <v>5.1743126031437242E-2</v>
      </c>
      <c r="BD127" s="173"/>
      <c r="BE127" s="528">
        <f t="shared" si="348"/>
        <v>2.8704939744926845E-3</v>
      </c>
      <c r="BF127" s="528">
        <f t="shared" si="349"/>
        <v>0.35207246093748645</v>
      </c>
      <c r="BG127" s="528">
        <f t="shared" si="350"/>
        <v>0.15714959956293342</v>
      </c>
      <c r="BH127" s="528">
        <f t="shared" si="351"/>
        <v>4.8232990643179742E-2</v>
      </c>
      <c r="BI127">
        <f t="shared" si="352"/>
        <v>8.0819794060937207E-3</v>
      </c>
      <c r="BJ127" s="460">
        <f t="shared" si="436"/>
        <v>165.23157896902714</v>
      </c>
      <c r="BK127">
        <f t="shared" si="353"/>
        <v>0.40422667339099078</v>
      </c>
      <c r="BL127" s="460">
        <f t="shared" si="437"/>
        <v>568.40752452418599</v>
      </c>
      <c r="BM127" s="173">
        <f t="shared" si="354"/>
        <v>0.63367499999999999</v>
      </c>
      <c r="BN127" s="173">
        <f t="shared" si="355"/>
        <v>1.0561249999999999E-2</v>
      </c>
      <c r="BO127" s="528"/>
      <c r="BQ127" s="460">
        <f t="shared" si="356"/>
        <v>644.23624999999993</v>
      </c>
      <c r="BR127" s="528">
        <f t="shared" si="357"/>
        <v>7.0585917405557811E-3</v>
      </c>
      <c r="BS127" s="528">
        <f t="shared" si="358"/>
        <v>0.22123396072253604</v>
      </c>
      <c r="BT127" s="528">
        <f t="shared" si="359"/>
        <v>1.3386755457525992E-5</v>
      </c>
      <c r="BU127" s="528">
        <f t="shared" si="360"/>
        <v>0.28770789594794077</v>
      </c>
      <c r="BV127" s="528"/>
      <c r="BW127" s="625">
        <f t="shared" si="361"/>
        <v>1.8275000000000003E-2</v>
      </c>
      <c r="BX127" s="460">
        <f t="shared" si="362"/>
        <v>534.28883516649012</v>
      </c>
      <c r="BY127" s="173">
        <f t="shared" si="363"/>
        <v>1.7469326096906759</v>
      </c>
      <c r="BZ127" s="5">
        <f t="shared" si="364"/>
        <v>4.3860000000000001</v>
      </c>
      <c r="CA127" s="173">
        <f t="shared" si="365"/>
        <v>0.71515542060084936</v>
      </c>
      <c r="CB127" s="5">
        <f t="shared" si="366"/>
        <v>71.51554206008494</v>
      </c>
      <c r="CC127">
        <f t="shared" si="367"/>
        <v>17</v>
      </c>
      <c r="CE127" s="562">
        <f t="shared" si="368"/>
        <v>-50</v>
      </c>
      <c r="CF127">
        <f t="shared" si="369"/>
        <v>-50</v>
      </c>
      <c r="CG127" s="173">
        <f t="shared" si="370"/>
        <v>0.33754432333067896</v>
      </c>
      <c r="CH127" s="173">
        <f t="shared" si="371"/>
        <v>8.6455398843191714E-2</v>
      </c>
      <c r="CI127" s="170">
        <v>17</v>
      </c>
      <c r="CJ127" s="217">
        <f t="shared" si="438"/>
        <v>1.02</v>
      </c>
      <c r="CK127" s="217">
        <f t="shared" si="372"/>
        <v>1.7000000000000001E-2</v>
      </c>
      <c r="CL127" s="217">
        <f t="shared" si="373"/>
        <v>4.08</v>
      </c>
      <c r="CM127" s="217">
        <f t="shared" si="374"/>
        <v>0.30600000000000005</v>
      </c>
      <c r="CN127" s="541">
        <f t="shared" si="375"/>
        <v>18</v>
      </c>
      <c r="CO127" s="443">
        <f t="shared" si="376"/>
        <v>18.8</v>
      </c>
      <c r="CP127" s="443">
        <f t="shared" si="377"/>
        <v>36.799999999999997</v>
      </c>
      <c r="CQ127" s="443"/>
      <c r="CR127" s="217">
        <f t="shared" si="378"/>
        <v>0.51086956521739135</v>
      </c>
      <c r="CS127" s="172">
        <f t="shared" si="379"/>
        <v>28.513650151668358</v>
      </c>
      <c r="CT127" s="172">
        <f t="shared" si="380"/>
        <v>2.2989130434782612</v>
      </c>
      <c r="CU127" s="217">
        <f t="shared" si="381"/>
        <v>7.1284125379170895</v>
      </c>
      <c r="CV127" s="217">
        <f t="shared" si="382"/>
        <v>1.5840916750926866</v>
      </c>
      <c r="CW127" s="217">
        <f t="shared" si="383"/>
        <v>4</v>
      </c>
      <c r="CX127" s="217">
        <f t="shared" si="384"/>
        <v>0.95392907801418425</v>
      </c>
      <c r="CY127" s="217">
        <f t="shared" si="385"/>
        <v>0.6359527186761228</v>
      </c>
      <c r="CZ127" s="217">
        <f t="shared" si="386"/>
        <v>0.60889090086011766</v>
      </c>
      <c r="DA127" s="197">
        <f t="shared" si="387"/>
        <v>350</v>
      </c>
      <c r="DB127" s="443">
        <f t="shared" si="388"/>
        <v>350</v>
      </c>
      <c r="DD127" s="217">
        <f t="shared" si="389"/>
        <v>2.18944099378882</v>
      </c>
      <c r="DE127" s="173">
        <f t="shared" si="390"/>
        <v>1.3975155279503106</v>
      </c>
      <c r="DF127" s="173">
        <f t="shared" si="391"/>
        <v>1.9924134422749624</v>
      </c>
      <c r="DG127" s="173"/>
      <c r="DH127" s="173">
        <f t="shared" si="392"/>
        <v>0.85106382978723416</v>
      </c>
      <c r="DI127" s="545">
        <f t="shared" si="393"/>
        <v>449.43749999999983</v>
      </c>
      <c r="DJ127" s="528">
        <f t="shared" si="394"/>
        <v>0.79432624113475192</v>
      </c>
      <c r="DL127" s="173">
        <f t="shared" si="395"/>
        <v>1.4451890632617688</v>
      </c>
      <c r="DM127" s="173">
        <f t="shared" si="396"/>
        <v>1.4451890632617688</v>
      </c>
      <c r="DN127" s="173">
        <f t="shared" si="397"/>
        <v>1.2828560962432853</v>
      </c>
      <c r="DP127" s="545">
        <f t="shared" si="398"/>
        <v>1020</v>
      </c>
      <c r="DQ127" s="460">
        <f t="shared" si="399"/>
        <v>350</v>
      </c>
      <c r="DS127" s="460">
        <f t="shared" si="400"/>
        <v>1020</v>
      </c>
      <c r="DT127" s="460">
        <f t="shared" si="401"/>
        <v>350</v>
      </c>
      <c r="DV127" s="5">
        <f t="shared" si="402"/>
        <v>2.8571428571428572</v>
      </c>
      <c r="DW127" s="5">
        <f t="shared" si="403"/>
        <v>0.96345937550784588</v>
      </c>
      <c r="DX127" s="5">
        <f t="shared" si="404"/>
        <v>1.8936834816350112</v>
      </c>
      <c r="DY127" s="173">
        <f t="shared" si="405"/>
        <v>0.33721078142774608</v>
      </c>
      <c r="EA127" s="5">
        <f t="shared" si="406"/>
        <v>24.568214075450072</v>
      </c>
      <c r="EB127" s="5">
        <f t="shared" si="407"/>
        <v>9.0993385464629886E-2</v>
      </c>
      <c r="EC127" s="5">
        <f t="shared" si="408"/>
        <v>0.35769576875327985</v>
      </c>
      <c r="ED127" s="5"/>
      <c r="EE127" s="173">
        <f t="shared" si="409"/>
        <v>0.48452340964987967</v>
      </c>
      <c r="EF127" s="173">
        <f t="shared" si="410"/>
        <v>2.7171383231384629</v>
      </c>
      <c r="EG127" s="173">
        <f t="shared" si="411"/>
        <v>5.1772500481422061E-2</v>
      </c>
      <c r="EH127" s="173"/>
      <c r="EI127" s="528">
        <f t="shared" si="412"/>
        <v>2.86410780088469E-3</v>
      </c>
      <c r="EJ127" s="528">
        <f t="shared" si="413"/>
        <v>0.37228070269623159</v>
      </c>
      <c r="EK127" s="528">
        <f t="shared" si="414"/>
        <v>4.3749999999999997E-2</v>
      </c>
      <c r="EL127" s="528">
        <f t="shared" si="415"/>
        <v>4.7398399999999993E-2</v>
      </c>
      <c r="EM127">
        <f t="shared" si="416"/>
        <v>8.0999999999999996E-3</v>
      </c>
      <c r="EN127" s="460">
        <f t="shared" si="417"/>
        <v>51.849999999999994</v>
      </c>
      <c r="EP127" s="460">
        <f t="shared" si="439"/>
        <v>474.39321049711629</v>
      </c>
      <c r="EQ127" s="173">
        <f t="shared" si="418"/>
        <v>0.71399999999999997</v>
      </c>
      <c r="ER127" s="173">
        <f t="shared" si="419"/>
        <v>7.5437500000000001E-3</v>
      </c>
      <c r="ES127" s="528"/>
      <c r="EU127" s="460">
        <f t="shared" si="420"/>
        <v>721.54374999999993</v>
      </c>
      <c r="EV127" s="528">
        <f t="shared" si="421"/>
        <v>7.0428880349623531E-3</v>
      </c>
      <c r="EW127" s="528">
        <f t="shared" si="422"/>
        <v>0.22148522001203091</v>
      </c>
      <c r="EX127" s="528">
        <f t="shared" si="423"/>
        <v>1.3401959030494239E-5</v>
      </c>
      <c r="EY127" s="528">
        <f t="shared" si="424"/>
        <v>0.28770789594794077</v>
      </c>
      <c r="EZ127" s="528"/>
      <c r="FA127" s="625">
        <f t="shared" si="425"/>
        <v>1.8275000000000003E-2</v>
      </c>
      <c r="FB127" s="460">
        <f t="shared" si="426"/>
        <v>534.52440595396456</v>
      </c>
      <c r="FC127" s="173">
        <f t="shared" si="427"/>
        <v>1.7304613664510811</v>
      </c>
      <c r="FD127" s="5">
        <f t="shared" si="428"/>
        <v>4.3860000000000001</v>
      </c>
      <c r="FE127" s="173">
        <f t="shared" si="429"/>
        <v>0.71708128887354738</v>
      </c>
      <c r="FF127" s="5">
        <f t="shared" si="430"/>
        <v>71.708128887354732</v>
      </c>
      <c r="FG127">
        <f t="shared" si="431"/>
        <v>17</v>
      </c>
      <c r="FI127" s="562">
        <f t="shared" si="432"/>
        <v>-50</v>
      </c>
      <c r="FJ127">
        <f t="shared" si="433"/>
        <v>-50</v>
      </c>
    </row>
    <row r="128" spans="5:166">
      <c r="E128" s="170">
        <v>18</v>
      </c>
      <c r="F128" s="217">
        <f t="shared" si="434"/>
        <v>1.08</v>
      </c>
      <c r="G128" s="217">
        <f t="shared" si="313"/>
        <v>1.7999999999999999E-2</v>
      </c>
      <c r="H128" s="217">
        <f t="shared" si="314"/>
        <v>4.32</v>
      </c>
      <c r="I128" s="217">
        <f t="shared" si="315"/>
        <v>0.32399999999999995</v>
      </c>
      <c r="J128" s="541">
        <f t="shared" si="316"/>
        <v>17.958793248555274</v>
      </c>
      <c r="K128" s="443">
        <f t="shared" si="317"/>
        <v>19.173131918457038</v>
      </c>
      <c r="L128" s="172">
        <f t="shared" si="318"/>
        <v>37.131925167012312</v>
      </c>
      <c r="M128" s="443"/>
      <c r="N128" s="217">
        <f t="shared" si="319"/>
        <v>0.51635167937616888</v>
      </c>
      <c r="O128" s="172">
        <f t="shared" si="320"/>
        <v>28.753652878948589</v>
      </c>
      <c r="P128" s="172">
        <f t="shared" si="321"/>
        <v>2.31826326336523</v>
      </c>
      <c r="Q128" s="217">
        <f t="shared" si="322"/>
        <v>7.1884132197371473</v>
      </c>
      <c r="R128" s="217">
        <f t="shared" si="323"/>
        <v>1.5974251599415883</v>
      </c>
      <c r="S128" s="217">
        <f t="shared" si="324"/>
        <v>4</v>
      </c>
      <c r="T128" s="217">
        <f t="shared" si="325"/>
        <v>1.0016118689770142</v>
      </c>
      <c r="U128" s="217">
        <f t="shared" si="326"/>
        <v>0.66927338944063453</v>
      </c>
      <c r="V128" s="217">
        <f t="shared" si="327"/>
        <v>0.62688466750462069</v>
      </c>
      <c r="W128" s="197">
        <f t="shared" si="328"/>
        <v>350</v>
      </c>
      <c r="X128" s="443">
        <f t="shared" si="435"/>
        <v>350</v>
      </c>
      <c r="Z128" s="217">
        <f t="shared" si="329"/>
        <v>2.2078697746335525</v>
      </c>
      <c r="AA128" s="173">
        <f t="shared" si="330"/>
        <v>1.3818523446395174</v>
      </c>
      <c r="AB128" s="173">
        <f t="shared" si="331"/>
        <v>1.9866651323862961</v>
      </c>
      <c r="AC128" s="173"/>
      <c r="AD128" s="173">
        <f t="shared" si="332"/>
        <v>0.83450111687791517</v>
      </c>
      <c r="AE128" s="545">
        <f t="shared" si="333"/>
        <v>485.31990168594365</v>
      </c>
      <c r="AF128" s="528">
        <f t="shared" si="334"/>
        <v>0.77886770908605429</v>
      </c>
      <c r="AH128" s="173">
        <f t="shared" si="335"/>
        <v>1.4870872776769262</v>
      </c>
      <c r="AI128" s="173">
        <f t="shared" si="336"/>
        <v>1.4870872776769262</v>
      </c>
      <c r="AJ128" s="173">
        <f t="shared" si="337"/>
        <v>1.3138918106248834</v>
      </c>
      <c r="AL128" s="545">
        <f t="shared" si="338"/>
        <v>1080</v>
      </c>
      <c r="AM128" s="460">
        <f t="shared" si="339"/>
        <v>350</v>
      </c>
      <c r="AO128" s="460">
        <f t="shared" si="340"/>
        <v>1080</v>
      </c>
      <c r="AP128" s="460">
        <f t="shared" si="341"/>
        <v>350</v>
      </c>
      <c r="AR128" s="5">
        <f t="shared" si="275"/>
        <v>2.8571428571428572</v>
      </c>
      <c r="AS128" s="5">
        <f t="shared" si="440"/>
        <v>0.99366628287001912</v>
      </c>
      <c r="AT128" s="5">
        <f t="shared" si="441"/>
        <v>1.8634765742728381</v>
      </c>
      <c r="AU128" s="173">
        <f t="shared" si="442"/>
        <v>0.34778319900450666</v>
      </c>
      <c r="AW128" s="5">
        <f t="shared" si="342"/>
        <v>26.828989637490519</v>
      </c>
      <c r="AX128" s="5">
        <f t="shared" si="343"/>
        <v>9.9366628287001907E-2</v>
      </c>
      <c r="AY128" s="5">
        <f t="shared" si="344"/>
        <v>0.37355047048731377</v>
      </c>
      <c r="AZ128" s="5"/>
      <c r="BA128" s="173">
        <f t="shared" si="345"/>
        <v>0.5063258841699334</v>
      </c>
      <c r="BB128" s="173">
        <f t="shared" si="346"/>
        <v>2.7735232644775625</v>
      </c>
      <c r="BC128" s="173">
        <f t="shared" si="347"/>
        <v>5.2846862201531945E-2</v>
      </c>
      <c r="BD128" s="173"/>
      <c r="BE128" s="528">
        <f t="shared" si="348"/>
        <v>3.1276639919616705E-3</v>
      </c>
      <c r="BF128" s="528">
        <f t="shared" si="349"/>
        <v>0.36237083866932168</v>
      </c>
      <c r="BG128" s="528">
        <f t="shared" si="350"/>
        <v>0.15713944092485865</v>
      </c>
      <c r="BH128" s="528">
        <f t="shared" si="351"/>
        <v>4.8257295331301076E-2</v>
      </c>
      <c r="BI128">
        <f t="shared" si="352"/>
        <v>8.0814569618498731E-3</v>
      </c>
      <c r="BJ128" s="460">
        <f t="shared" si="436"/>
        <v>165.22089788670851</v>
      </c>
      <c r="BK128">
        <f t="shared" si="353"/>
        <v>0.41490859952797376</v>
      </c>
      <c r="BL128" s="460">
        <f t="shared" si="437"/>
        <v>578.97669587929306</v>
      </c>
      <c r="BM128" s="173">
        <f t="shared" si="354"/>
        <v>0.67094999999999994</v>
      </c>
      <c r="BN128" s="173">
        <f t="shared" si="355"/>
        <v>1.1182499999999998E-2</v>
      </c>
      <c r="BO128" s="528"/>
      <c r="BQ128" s="460">
        <f t="shared" si="356"/>
        <v>682.13249999999994</v>
      </c>
      <c r="BR128" s="528">
        <f t="shared" si="357"/>
        <v>7.6909770294139434E-3</v>
      </c>
      <c r="BS128" s="528">
        <f t="shared" si="358"/>
        <v>0.23077293895794823</v>
      </c>
      <c r="BT128" s="528">
        <f t="shared" si="359"/>
        <v>1.396395422273853E-5</v>
      </c>
      <c r="BU128" s="528">
        <f t="shared" si="360"/>
        <v>0.30901620922332984</v>
      </c>
      <c r="BV128" s="528"/>
      <c r="BW128" s="625">
        <f t="shared" si="361"/>
        <v>1.9350000000000003E-2</v>
      </c>
      <c r="BX128" s="460">
        <f t="shared" si="362"/>
        <v>566.84408916491464</v>
      </c>
      <c r="BY128" s="173">
        <f t="shared" si="363"/>
        <v>1.827953285044208</v>
      </c>
      <c r="BZ128" s="5">
        <f t="shared" si="364"/>
        <v>4.6440000000000001</v>
      </c>
      <c r="CA128" s="173">
        <f t="shared" si="365"/>
        <v>0.71755771333078755</v>
      </c>
      <c r="CB128" s="5">
        <f t="shared" si="366"/>
        <v>71.755771333078755</v>
      </c>
      <c r="CC128">
        <f t="shared" si="367"/>
        <v>18.000000000000004</v>
      </c>
      <c r="CE128" s="562">
        <f t="shared" si="368"/>
        <v>-50</v>
      </c>
      <c r="CF128">
        <f t="shared" si="369"/>
        <v>-50</v>
      </c>
      <c r="CG128" s="173">
        <f t="shared" si="370"/>
        <v>0.34733024324458189</v>
      </c>
      <c r="CH128" s="173">
        <f t="shared" si="371"/>
        <v>8.8961871477232043E-2</v>
      </c>
      <c r="CI128" s="170">
        <v>18</v>
      </c>
      <c r="CJ128" s="217">
        <f t="shared" si="438"/>
        <v>1.08</v>
      </c>
      <c r="CK128" s="217">
        <f t="shared" si="372"/>
        <v>1.7999999999999999E-2</v>
      </c>
      <c r="CL128" s="217">
        <f t="shared" si="373"/>
        <v>4.32</v>
      </c>
      <c r="CM128" s="217">
        <f t="shared" si="374"/>
        <v>0.32399999999999995</v>
      </c>
      <c r="CN128" s="541">
        <f t="shared" si="375"/>
        <v>18</v>
      </c>
      <c r="CO128" s="443">
        <f t="shared" si="376"/>
        <v>18.8</v>
      </c>
      <c r="CP128" s="443">
        <f t="shared" si="377"/>
        <v>36.799999999999997</v>
      </c>
      <c r="CQ128" s="443"/>
      <c r="CR128" s="217">
        <f t="shared" si="378"/>
        <v>0.51086956521739135</v>
      </c>
      <c r="CS128" s="172">
        <f t="shared" si="379"/>
        <v>28.513650151668358</v>
      </c>
      <c r="CT128" s="172">
        <f t="shared" si="380"/>
        <v>2.2989130434782612</v>
      </c>
      <c r="CU128" s="217">
        <f t="shared" si="381"/>
        <v>7.1284125379170895</v>
      </c>
      <c r="CV128" s="217">
        <f t="shared" si="382"/>
        <v>1.5840916750926866</v>
      </c>
      <c r="CW128" s="217">
        <f t="shared" si="383"/>
        <v>4</v>
      </c>
      <c r="CX128" s="217">
        <f t="shared" si="384"/>
        <v>1.0100425531914892</v>
      </c>
      <c r="CY128" s="217">
        <f t="shared" si="385"/>
        <v>0.67336170212765944</v>
      </c>
      <c r="CZ128" s="217">
        <f t="shared" si="386"/>
        <v>0.64470801267541855</v>
      </c>
      <c r="DA128" s="197">
        <f t="shared" si="387"/>
        <v>350</v>
      </c>
      <c r="DB128" s="443">
        <f t="shared" si="388"/>
        <v>350</v>
      </c>
      <c r="DD128" s="217">
        <f t="shared" si="389"/>
        <v>2.18944099378882</v>
      </c>
      <c r="DE128" s="173">
        <f t="shared" si="390"/>
        <v>1.3975155279503106</v>
      </c>
      <c r="DF128" s="173">
        <f t="shared" si="391"/>
        <v>1.9924134422749624</v>
      </c>
      <c r="DG128" s="173"/>
      <c r="DH128" s="173">
        <f t="shared" si="392"/>
        <v>0.85106382978723416</v>
      </c>
      <c r="DI128" s="545">
        <f t="shared" si="393"/>
        <v>475.87499999999994</v>
      </c>
      <c r="DJ128" s="528">
        <f t="shared" si="394"/>
        <v>0.79432624113475192</v>
      </c>
      <c r="DL128" s="173">
        <f t="shared" si="395"/>
        <v>1.4870872776769262</v>
      </c>
      <c r="DM128" s="173">
        <f t="shared" si="396"/>
        <v>1.4870872776769262</v>
      </c>
      <c r="DN128" s="173">
        <f t="shared" si="397"/>
        <v>1.3138918106248834</v>
      </c>
      <c r="DP128" s="545">
        <f t="shared" si="398"/>
        <v>1080</v>
      </c>
      <c r="DQ128" s="460">
        <f t="shared" si="399"/>
        <v>350</v>
      </c>
      <c r="DS128" s="460">
        <f t="shared" si="400"/>
        <v>1080</v>
      </c>
      <c r="DT128" s="460">
        <f t="shared" si="401"/>
        <v>350</v>
      </c>
      <c r="DV128" s="5">
        <f t="shared" si="402"/>
        <v>2.8571428571428572</v>
      </c>
      <c r="DW128" s="5">
        <f t="shared" si="403"/>
        <v>0.99139151845128426</v>
      </c>
      <c r="DX128" s="5">
        <f t="shared" si="404"/>
        <v>1.8657513386915729</v>
      </c>
      <c r="DY128" s="173">
        <f t="shared" si="405"/>
        <v>0.34698703145794946</v>
      </c>
      <c r="EA128" s="5">
        <f t="shared" si="406"/>
        <v>26.767570998184674</v>
      </c>
      <c r="EB128" s="5">
        <f t="shared" si="407"/>
        <v>9.9139151845128434E-2</v>
      </c>
      <c r="EC128" s="5">
        <f t="shared" si="408"/>
        <v>0.37315026773831456</v>
      </c>
      <c r="ED128" s="5"/>
      <c r="EE128" s="173">
        <f t="shared" si="409"/>
        <v>0.50574599529846143</v>
      </c>
      <c r="EF128" s="173">
        <f t="shared" si="410"/>
        <v>2.7752155819177027</v>
      </c>
      <c r="EG128" s="173">
        <f t="shared" si="411"/>
        <v>5.2879107709512992E-2</v>
      </c>
      <c r="EH128" s="173"/>
      <c r="EI128" s="528">
        <f t="shared" si="412"/>
        <v>3.1205039434772626E-3</v>
      </c>
      <c r="EJ128" s="528">
        <f t="shared" si="413"/>
        <v>0.38307368272957615</v>
      </c>
      <c r="EK128" s="528">
        <f t="shared" si="414"/>
        <v>4.3749999999999997E-2</v>
      </c>
      <c r="EL128" s="528">
        <f t="shared" si="415"/>
        <v>4.7398399999999993E-2</v>
      </c>
      <c r="EM128">
        <f t="shared" si="416"/>
        <v>8.0999999999999996E-3</v>
      </c>
      <c r="EN128" s="460">
        <f t="shared" si="417"/>
        <v>51.849999999999994</v>
      </c>
      <c r="EP128" s="460">
        <f t="shared" si="439"/>
        <v>485.44258667305343</v>
      </c>
      <c r="EQ128" s="173">
        <f t="shared" si="418"/>
        <v>0.75600000000000001</v>
      </c>
      <c r="ER128" s="173">
        <f t="shared" si="419"/>
        <v>7.9874999999999998E-3</v>
      </c>
      <c r="ES128" s="528"/>
      <c r="EU128" s="460">
        <f t="shared" si="420"/>
        <v>763.98750000000007</v>
      </c>
      <c r="EV128" s="528">
        <f t="shared" si="421"/>
        <v>7.6733703528129409E-3</v>
      </c>
      <c r="EW128" s="528">
        <f t="shared" si="422"/>
        <v>0.23105464578356438</v>
      </c>
      <c r="EX128" s="528">
        <f t="shared" si="423"/>
        <v>1.398100016077138E-5</v>
      </c>
      <c r="EY128" s="528">
        <f t="shared" si="424"/>
        <v>0.30901620922332984</v>
      </c>
      <c r="EZ128" s="528"/>
      <c r="FA128" s="625">
        <f t="shared" si="425"/>
        <v>1.9350000000000003E-2</v>
      </c>
      <c r="FB128" s="460">
        <f t="shared" si="426"/>
        <v>567.10820635986795</v>
      </c>
      <c r="FC128" s="173">
        <f t="shared" si="427"/>
        <v>1.8165382930329212</v>
      </c>
      <c r="FD128" s="5">
        <f t="shared" si="428"/>
        <v>4.6440000000000001</v>
      </c>
      <c r="FE128" s="173">
        <f t="shared" si="429"/>
        <v>0.71882555127149617</v>
      </c>
      <c r="FF128" s="5">
        <f t="shared" si="430"/>
        <v>71.882555127149615</v>
      </c>
      <c r="FG128">
        <f t="shared" si="431"/>
        <v>18.000000000000004</v>
      </c>
      <c r="FI128" s="562">
        <f t="shared" si="432"/>
        <v>-50</v>
      </c>
      <c r="FJ128">
        <f t="shared" si="433"/>
        <v>-50</v>
      </c>
    </row>
    <row r="129" spans="5:166">
      <c r="E129" s="170">
        <v>19</v>
      </c>
      <c r="F129" s="217">
        <f t="shared" si="434"/>
        <v>1.1400000000000001</v>
      </c>
      <c r="G129" s="217">
        <f t="shared" si="313"/>
        <v>1.9000000000000003E-2</v>
      </c>
      <c r="H129" s="217">
        <f t="shared" si="314"/>
        <v>4.5600000000000005</v>
      </c>
      <c r="I129" s="217">
        <f t="shared" si="315"/>
        <v>0.34200000000000008</v>
      </c>
      <c r="J129" s="541">
        <f t="shared" si="316"/>
        <v>17.957664087396211</v>
      </c>
      <c r="K129" s="443">
        <f t="shared" si="317"/>
        <v>19.183356603848541</v>
      </c>
      <c r="L129" s="172">
        <f t="shared" si="318"/>
        <v>37.141020691244748</v>
      </c>
      <c r="M129" s="443"/>
      <c r="N129" s="217">
        <f t="shared" si="319"/>
        <v>0.51650052278640346</v>
      </c>
      <c r="O129" s="172">
        <f t="shared" si="320"/>
        <v>28.760132989651986</v>
      </c>
      <c r="P129" s="172">
        <f t="shared" si="321"/>
        <v>2.3187857222906914</v>
      </c>
      <c r="Q129" s="217">
        <f t="shared" si="322"/>
        <v>7.1900332474129964</v>
      </c>
      <c r="R129" s="217">
        <f t="shared" si="323"/>
        <v>1.597785166091777</v>
      </c>
      <c r="S129" s="217">
        <f t="shared" si="324"/>
        <v>4</v>
      </c>
      <c r="T129" s="217">
        <f t="shared" si="325"/>
        <v>1.0570187561698012</v>
      </c>
      <c r="U129" s="217">
        <f t="shared" si="326"/>
        <v>0.70634048015967632</v>
      </c>
      <c r="V129" s="217">
        <f t="shared" si="327"/>
        <v>0.66120988813255555</v>
      </c>
      <c r="W129" s="197">
        <f t="shared" si="328"/>
        <v>350</v>
      </c>
      <c r="X129" s="443">
        <f t="shared" si="435"/>
        <v>350</v>
      </c>
      <c r="Z129" s="217">
        <f t="shared" si="329"/>
        <v>2.2083673545625628</v>
      </c>
      <c r="AA129" s="173">
        <f t="shared" si="330"/>
        <v>1.381427077753133</v>
      </c>
      <c r="AB129" s="173">
        <f t="shared" si="331"/>
        <v>1.9865013235843205</v>
      </c>
      <c r="AC129" s="173"/>
      <c r="AD129" s="173">
        <f t="shared" si="332"/>
        <v>0.83405632968268462</v>
      </c>
      <c r="AE129" s="545">
        <f t="shared" si="333"/>
        <v>512.55530925907817</v>
      </c>
      <c r="AF129" s="528">
        <f t="shared" si="334"/>
        <v>0.77845257437050575</v>
      </c>
      <c r="AH129" s="173">
        <f t="shared" si="335"/>
        <v>1.5278369396914431</v>
      </c>
      <c r="AI129" s="173">
        <f t="shared" si="336"/>
        <v>1.5278369396914431</v>
      </c>
      <c r="AJ129" s="173">
        <f t="shared" si="337"/>
        <v>1.3440767454504514</v>
      </c>
      <c r="AL129" s="545">
        <f t="shared" si="338"/>
        <v>1140.0000000000002</v>
      </c>
      <c r="AM129" s="460">
        <f t="shared" si="339"/>
        <v>350</v>
      </c>
      <c r="AO129" s="460">
        <f t="shared" si="340"/>
        <v>1140.0000000000002</v>
      </c>
      <c r="AP129" s="460">
        <f t="shared" si="341"/>
        <v>350</v>
      </c>
      <c r="AR129" s="5">
        <f t="shared" si="275"/>
        <v>2.8571428571428572</v>
      </c>
      <c r="AS129" s="5">
        <f t="shared" si="440"/>
        <v>1.0209592509955274</v>
      </c>
      <c r="AT129" s="5">
        <f t="shared" si="441"/>
        <v>1.8361836061473298</v>
      </c>
      <c r="AU129" s="173">
        <f t="shared" si="442"/>
        <v>0.35733573784843459</v>
      </c>
      <c r="AW129" s="5">
        <f t="shared" si="342"/>
        <v>29.097338653372532</v>
      </c>
      <c r="AX129" s="5">
        <f t="shared" si="343"/>
        <v>0.10776792093841679</v>
      </c>
      <c r="AY129" s="5">
        <f t="shared" si="344"/>
        <v>0.38855263520922456</v>
      </c>
      <c r="AZ129" s="5"/>
      <c r="BA129" s="173">
        <f t="shared" si="345"/>
        <v>0.52729615589449852</v>
      </c>
      <c r="BB129" s="173">
        <f t="shared" si="346"/>
        <v>2.8285798615534912</v>
      </c>
      <c r="BC129" s="173">
        <f t="shared" si="347"/>
        <v>5.3895913578248952E-2</v>
      </c>
      <c r="BD129" s="173"/>
      <c r="BE129" s="528">
        <f t="shared" si="348"/>
        <v>3.3921030794576063E-3</v>
      </c>
      <c r="BF129" s="528">
        <f t="shared" si="349"/>
        <v>0.37239184099640216</v>
      </c>
      <c r="BG129" s="528">
        <f t="shared" si="350"/>
        <v>0.15712956076471685</v>
      </c>
      <c r="BH129" s="528">
        <f t="shared" si="351"/>
        <v>4.8280939629561467E-2</v>
      </c>
      <c r="BI129">
        <f t="shared" si="352"/>
        <v>8.0809488393282954E-3</v>
      </c>
      <c r="BJ129" s="460">
        <f t="shared" si="436"/>
        <v>165.21050960404514</v>
      </c>
      <c r="BK129">
        <f t="shared" si="353"/>
        <v>0.42532354687287055</v>
      </c>
      <c r="BL129" s="460">
        <f t="shared" si="437"/>
        <v>589.27539330946638</v>
      </c>
      <c r="BM129" s="173">
        <f t="shared" si="354"/>
        <v>0.70822499999999999</v>
      </c>
      <c r="BN129" s="173">
        <f t="shared" si="355"/>
        <v>1.180375E-2</v>
      </c>
      <c r="BO129" s="528"/>
      <c r="BQ129" s="460">
        <f t="shared" si="356"/>
        <v>720.02874999999995</v>
      </c>
      <c r="BR129" s="528">
        <f t="shared" si="357"/>
        <v>8.3412370806334596E-3</v>
      </c>
      <c r="BS129" s="528">
        <f t="shared" si="358"/>
        <v>0.24002592099557901</v>
      </c>
      <c r="BT129" s="528">
        <f t="shared" si="359"/>
        <v>1.45238475021704E-5</v>
      </c>
      <c r="BU129" s="528">
        <f t="shared" si="360"/>
        <v>0.33062267126114214</v>
      </c>
      <c r="BV129" s="528"/>
      <c r="BW129" s="625">
        <f t="shared" si="361"/>
        <v>2.0425000000000002E-2</v>
      </c>
      <c r="BX129" s="460">
        <f t="shared" si="362"/>
        <v>599.42935318485684</v>
      </c>
      <c r="BY129" s="173">
        <f t="shared" si="363"/>
        <v>1.9087334964943232</v>
      </c>
      <c r="BZ129" s="5">
        <f t="shared" si="364"/>
        <v>4.902000000000001</v>
      </c>
      <c r="CA129" s="173">
        <f t="shared" si="365"/>
        <v>0.71974626558552002</v>
      </c>
      <c r="CB129" s="5">
        <f t="shared" si="366"/>
        <v>71.974626558552004</v>
      </c>
      <c r="CC129">
        <f t="shared" si="367"/>
        <v>19.000000000000004</v>
      </c>
      <c r="CE129" s="562">
        <f t="shared" si="368"/>
        <v>-50</v>
      </c>
      <c r="CF129">
        <f t="shared" si="369"/>
        <v>-50</v>
      </c>
      <c r="CG129" s="173">
        <f t="shared" si="370"/>
        <v>0.35684790251858689</v>
      </c>
      <c r="CH129" s="173">
        <f t="shared" si="371"/>
        <v>9.1399634377429276E-2</v>
      </c>
      <c r="CI129" s="170">
        <v>19</v>
      </c>
      <c r="CJ129" s="217">
        <f t="shared" si="438"/>
        <v>1.1400000000000001</v>
      </c>
      <c r="CK129" s="217">
        <f t="shared" si="372"/>
        <v>1.9000000000000003E-2</v>
      </c>
      <c r="CL129" s="217">
        <f t="shared" si="373"/>
        <v>4.5600000000000005</v>
      </c>
      <c r="CM129" s="217">
        <f t="shared" si="374"/>
        <v>0.34200000000000008</v>
      </c>
      <c r="CN129" s="541">
        <f t="shared" si="375"/>
        <v>18</v>
      </c>
      <c r="CO129" s="443">
        <f t="shared" si="376"/>
        <v>18.8</v>
      </c>
      <c r="CP129" s="443">
        <f t="shared" si="377"/>
        <v>36.799999999999997</v>
      </c>
      <c r="CQ129" s="443"/>
      <c r="CR129" s="217">
        <f t="shared" si="378"/>
        <v>0.51086956521739135</v>
      </c>
      <c r="CS129" s="172">
        <f t="shared" si="379"/>
        <v>28.513650151668358</v>
      </c>
      <c r="CT129" s="172">
        <f t="shared" si="380"/>
        <v>2.2989130434782612</v>
      </c>
      <c r="CU129" s="217">
        <f t="shared" si="381"/>
        <v>7.1284125379170895</v>
      </c>
      <c r="CV129" s="217">
        <f t="shared" si="382"/>
        <v>1.5840916750926866</v>
      </c>
      <c r="CW129" s="217">
        <f t="shared" si="383"/>
        <v>4</v>
      </c>
      <c r="CX129" s="217">
        <f t="shared" si="384"/>
        <v>1.0661560283687943</v>
      </c>
      <c r="CY129" s="217">
        <f t="shared" si="385"/>
        <v>0.7107706855791962</v>
      </c>
      <c r="CZ129" s="217">
        <f t="shared" si="386"/>
        <v>0.68052512449071967</v>
      </c>
      <c r="DA129" s="197">
        <f t="shared" si="387"/>
        <v>350</v>
      </c>
      <c r="DB129" s="443">
        <f t="shared" si="388"/>
        <v>350</v>
      </c>
      <c r="DD129" s="217">
        <f t="shared" si="389"/>
        <v>2.18944099378882</v>
      </c>
      <c r="DE129" s="173">
        <f t="shared" si="390"/>
        <v>1.3975155279503106</v>
      </c>
      <c r="DF129" s="173">
        <f t="shared" si="391"/>
        <v>1.9924134422749624</v>
      </c>
      <c r="DG129" s="173"/>
      <c r="DH129" s="173">
        <f t="shared" si="392"/>
        <v>0.85106382978723416</v>
      </c>
      <c r="DI129" s="545">
        <f t="shared" si="393"/>
        <v>502.31249999999994</v>
      </c>
      <c r="DJ129" s="528">
        <f t="shared" si="394"/>
        <v>0.79432624113475192</v>
      </c>
      <c r="DL129" s="173">
        <f t="shared" si="395"/>
        <v>1.5278369396914431</v>
      </c>
      <c r="DM129" s="173">
        <f t="shared" si="396"/>
        <v>1.5278369396914431</v>
      </c>
      <c r="DN129" s="173">
        <f t="shared" si="397"/>
        <v>1.3440767454504514</v>
      </c>
      <c r="DP129" s="545">
        <f t="shared" si="398"/>
        <v>1140.0000000000002</v>
      </c>
      <c r="DQ129" s="460">
        <f t="shared" si="399"/>
        <v>350</v>
      </c>
      <c r="DS129" s="460">
        <f t="shared" si="400"/>
        <v>1140.0000000000002</v>
      </c>
      <c r="DT129" s="460">
        <f t="shared" si="401"/>
        <v>350</v>
      </c>
      <c r="DV129" s="5">
        <f t="shared" si="402"/>
        <v>2.8571428571428572</v>
      </c>
      <c r="DW129" s="5">
        <f t="shared" si="403"/>
        <v>1.0185579597942953</v>
      </c>
      <c r="DX129" s="5">
        <f t="shared" si="404"/>
        <v>1.8385848973485619</v>
      </c>
      <c r="DY129" s="173">
        <f t="shared" si="405"/>
        <v>0.35649528592800334</v>
      </c>
      <c r="EA129" s="5">
        <f t="shared" si="406"/>
        <v>29.028901854137416</v>
      </c>
      <c r="EB129" s="5">
        <f t="shared" si="407"/>
        <v>0.10751445131162009</v>
      </c>
      <c r="EC129" s="5">
        <f t="shared" si="408"/>
        <v>0.38814570055136305</v>
      </c>
      <c r="ED129" s="5"/>
      <c r="EE129" s="173">
        <f t="shared" si="409"/>
        <v>0.52667569184838947</v>
      </c>
      <c r="EF129" s="173">
        <f t="shared" si="410"/>
        <v>2.8304288119258776</v>
      </c>
      <c r="EG129" s="173">
        <f t="shared" si="411"/>
        <v>5.3931143578587672E-2</v>
      </c>
      <c r="EH129" s="173"/>
      <c r="EI129" s="528">
        <f t="shared" si="412"/>
        <v>3.3841248694845521E-3</v>
      </c>
      <c r="EJ129" s="528">
        <f t="shared" si="413"/>
        <v>0.39357079566451575</v>
      </c>
      <c r="EK129" s="528">
        <f t="shared" si="414"/>
        <v>4.3749999999999997E-2</v>
      </c>
      <c r="EL129" s="528">
        <f t="shared" si="415"/>
        <v>4.7398399999999993E-2</v>
      </c>
      <c r="EM129">
        <f t="shared" si="416"/>
        <v>8.0999999999999996E-3</v>
      </c>
      <c r="EN129" s="460">
        <f t="shared" si="417"/>
        <v>51.849999999999994</v>
      </c>
      <c r="EP129" s="460">
        <f t="shared" si="439"/>
        <v>496.20332053400028</v>
      </c>
      <c r="EQ129" s="173">
        <f t="shared" si="418"/>
        <v>0.79800000000000004</v>
      </c>
      <c r="ER129" s="173">
        <f t="shared" si="419"/>
        <v>8.4312500000000012E-3</v>
      </c>
      <c r="ES129" s="528"/>
      <c r="EU129" s="460">
        <f t="shared" si="420"/>
        <v>806.43125000000009</v>
      </c>
      <c r="EV129" s="528">
        <f t="shared" si="421"/>
        <v>8.3216185315193904E-3</v>
      </c>
      <c r="EW129" s="528">
        <f t="shared" si="422"/>
        <v>0.24033981778140404</v>
      </c>
      <c r="EX129" s="528">
        <f t="shared" si="423"/>
        <v>1.4542841238471191E-5</v>
      </c>
      <c r="EY129" s="528">
        <f t="shared" si="424"/>
        <v>0.33062267126114214</v>
      </c>
      <c r="EZ129" s="528"/>
      <c r="FA129" s="625">
        <f t="shared" si="425"/>
        <v>2.0425000000000002E-2</v>
      </c>
      <c r="FB129" s="460">
        <f t="shared" si="426"/>
        <v>599.72365041530406</v>
      </c>
      <c r="FC129" s="173">
        <f t="shared" si="427"/>
        <v>1.9023582209493042</v>
      </c>
      <c r="FD129" s="5">
        <f t="shared" si="428"/>
        <v>4.902000000000001</v>
      </c>
      <c r="FE129" s="173">
        <f t="shared" si="429"/>
        <v>0.72042062466783263</v>
      </c>
      <c r="FF129" s="5">
        <f t="shared" si="430"/>
        <v>72.042062466783264</v>
      </c>
      <c r="FG129">
        <f t="shared" si="431"/>
        <v>19.000000000000004</v>
      </c>
      <c r="FI129" s="562">
        <f t="shared" si="432"/>
        <v>-50</v>
      </c>
      <c r="FJ129">
        <f t="shared" si="433"/>
        <v>-50</v>
      </c>
    </row>
    <row r="130" spans="5:166">
      <c r="E130" s="170">
        <v>20</v>
      </c>
      <c r="F130" s="217">
        <f t="shared" si="434"/>
        <v>1.2000000000000002</v>
      </c>
      <c r="G130" s="217">
        <f t="shared" si="313"/>
        <v>2.0000000000000004E-2</v>
      </c>
      <c r="H130" s="217">
        <f t="shared" si="314"/>
        <v>4.8000000000000007</v>
      </c>
      <c r="I130" s="217">
        <f t="shared" si="315"/>
        <v>0.3600000000000001</v>
      </c>
      <c r="J130" s="541">
        <f t="shared" si="316"/>
        <v>17.956564270152743</v>
      </c>
      <c r="K130" s="443">
        <f t="shared" si="317"/>
        <v>19.193315576677485</v>
      </c>
      <c r="L130" s="172">
        <f t="shared" si="318"/>
        <v>37.149879846830231</v>
      </c>
      <c r="M130" s="443"/>
      <c r="N130" s="217">
        <f t="shared" si="319"/>
        <v>0.51664542808245806</v>
      </c>
      <c r="O130" s="172">
        <f t="shared" si="320"/>
        <v>28.766439796103054</v>
      </c>
      <c r="P130" s="172">
        <f t="shared" si="321"/>
        <v>2.3192942085608088</v>
      </c>
      <c r="Q130" s="217">
        <f t="shared" si="322"/>
        <v>7.1916099490257634</v>
      </c>
      <c r="R130" s="217">
        <f t="shared" si="323"/>
        <v>1.5981355442279475</v>
      </c>
      <c r="S130" s="217">
        <f t="shared" si="324"/>
        <v>4</v>
      </c>
      <c r="T130" s="217">
        <f t="shared" si="325"/>
        <v>1.1124073825894505</v>
      </c>
      <c r="U130" s="217">
        <f t="shared" si="326"/>
        <v>0.74339881450828671</v>
      </c>
      <c r="V130" s="217">
        <f t="shared" si="327"/>
        <v>0.69549674925858773</v>
      </c>
      <c r="W130" s="197">
        <f t="shared" si="328"/>
        <v>350</v>
      </c>
      <c r="X130" s="443">
        <f t="shared" si="435"/>
        <v>350</v>
      </c>
      <c r="Z130" s="217">
        <f t="shared" si="329"/>
        <v>2.2088516272007701</v>
      </c>
      <c r="AA130" s="173">
        <f t="shared" si="330"/>
        <v>1.3810130626215482</v>
      </c>
      <c r="AB130" s="173">
        <f t="shared" si="331"/>
        <v>1.9863414561767327</v>
      </c>
      <c r="AC130" s="173"/>
      <c r="AD130" s="173">
        <f t="shared" si="332"/>
        <v>0.83362355691385603</v>
      </c>
      <c r="AE130" s="545">
        <f t="shared" si="333"/>
        <v>539.8120005940541</v>
      </c>
      <c r="AF130" s="528">
        <f t="shared" si="334"/>
        <v>0.77804865311959914</v>
      </c>
      <c r="AH130" s="173">
        <f t="shared" si="335"/>
        <v>1.5675276256394519</v>
      </c>
      <c r="AI130" s="173">
        <f t="shared" si="336"/>
        <v>1.5675276256394519</v>
      </c>
      <c r="AJ130" s="173">
        <f t="shared" si="337"/>
        <v>1.3734772535600877</v>
      </c>
      <c r="AL130" s="545">
        <f t="shared" si="338"/>
        <v>1200.0000000000002</v>
      </c>
      <c r="AM130" s="460">
        <f t="shared" si="339"/>
        <v>350</v>
      </c>
      <c r="AO130" s="460">
        <f t="shared" si="340"/>
        <v>1200.0000000000002</v>
      </c>
      <c r="AP130" s="460">
        <f t="shared" si="341"/>
        <v>350</v>
      </c>
      <c r="AR130" s="5">
        <f t="shared" si="275"/>
        <v>2.8571428571428572</v>
      </c>
      <c r="AS130" s="5">
        <f t="shared" si="440"/>
        <v>1.0475462468585821</v>
      </c>
      <c r="AT130" s="5">
        <f t="shared" si="441"/>
        <v>1.8095966102842751</v>
      </c>
      <c r="AU130" s="173">
        <f t="shared" si="442"/>
        <v>0.36664118640050375</v>
      </c>
      <c r="AW130" s="5">
        <f t="shared" si="342"/>
        <v>31.42638740575747</v>
      </c>
      <c r="AX130" s="5">
        <f t="shared" si="343"/>
        <v>0.11639402742873137</v>
      </c>
      <c r="AY130" s="5">
        <f t="shared" si="344"/>
        <v>0.40310531192031479</v>
      </c>
      <c r="AZ130" s="5"/>
      <c r="BA130" s="173">
        <f t="shared" si="345"/>
        <v>0.54799323970841729</v>
      </c>
      <c r="BB130" s="173">
        <f t="shared" si="346"/>
        <v>2.8809749135499043</v>
      </c>
      <c r="BC130" s="173">
        <f t="shared" si="347"/>
        <v>5.4894251731153587E-2</v>
      </c>
      <c r="BD130" s="173"/>
      <c r="BE130" s="528">
        <f t="shared" si="348"/>
        <v>3.6636184073467479E-3</v>
      </c>
      <c r="BF130" s="528">
        <f t="shared" si="349"/>
        <v>0.38215710060342095</v>
      </c>
      <c r="BG130" s="528">
        <f t="shared" si="350"/>
        <v>0.15711993736383648</v>
      </c>
      <c r="BH130" s="528">
        <f t="shared" si="351"/>
        <v>4.8303975042187301E-2</v>
      </c>
      <c r="BI130">
        <f t="shared" si="352"/>
        <v>8.0804539215687341E-3</v>
      </c>
      <c r="BJ130" s="460">
        <f t="shared" si="436"/>
        <v>165.2003912854052</v>
      </c>
      <c r="BK130">
        <f t="shared" si="353"/>
        <v>0.43549295707421914</v>
      </c>
      <c r="BL130" s="460">
        <f t="shared" si="437"/>
        <v>599.32508533836028</v>
      </c>
      <c r="BM130" s="173">
        <f t="shared" si="354"/>
        <v>0.74550000000000005</v>
      </c>
      <c r="BN130" s="173">
        <f t="shared" si="355"/>
        <v>1.2425000000000002E-2</v>
      </c>
      <c r="BO130" s="528"/>
      <c r="BQ130" s="460">
        <f t="shared" si="356"/>
        <v>757.92500000000007</v>
      </c>
      <c r="BR130" s="528">
        <f t="shared" si="357"/>
        <v>9.0088977229838066E-3</v>
      </c>
      <c r="BS130" s="528">
        <f t="shared" si="358"/>
        <v>0.24900049357511636</v>
      </c>
      <c r="BT130" s="528">
        <f t="shared" si="359"/>
        <v>1.5066894365616295E-5</v>
      </c>
      <c r="BU130" s="528">
        <f t="shared" si="360"/>
        <v>0.35251542393098156</v>
      </c>
      <c r="BV130" s="528"/>
      <c r="BW130" s="625">
        <f t="shared" si="361"/>
        <v>2.1500000000000009E-2</v>
      </c>
      <c r="BX130" s="460">
        <f t="shared" si="362"/>
        <v>632.03988212344734</v>
      </c>
      <c r="BY130" s="173">
        <f t="shared" si="363"/>
        <v>1.9892899674618079</v>
      </c>
      <c r="BZ130" s="5">
        <f t="shared" si="364"/>
        <v>5.160000000000001</v>
      </c>
      <c r="CA130" s="173">
        <f t="shared" si="365"/>
        <v>0.72174999524210659</v>
      </c>
      <c r="CB130" s="5">
        <f t="shared" si="366"/>
        <v>72.174999524210662</v>
      </c>
      <c r="CC130">
        <f t="shared" si="367"/>
        <v>20.000000000000004</v>
      </c>
      <c r="CE130" s="562">
        <f t="shared" si="368"/>
        <v>-50</v>
      </c>
      <c r="CF130">
        <f t="shared" si="369"/>
        <v>-50</v>
      </c>
      <c r="CG130" s="173">
        <f t="shared" si="370"/>
        <v>0.3661182229710635</v>
      </c>
      <c r="CH130" s="173">
        <f t="shared" si="371"/>
        <v>9.3774046259740493E-2</v>
      </c>
      <c r="CI130" s="170">
        <v>20</v>
      </c>
      <c r="CJ130" s="217">
        <f t="shared" si="438"/>
        <v>1.2000000000000002</v>
      </c>
      <c r="CK130" s="217">
        <f t="shared" si="372"/>
        <v>2.0000000000000004E-2</v>
      </c>
      <c r="CL130" s="217">
        <f t="shared" si="373"/>
        <v>4.8000000000000007</v>
      </c>
      <c r="CM130" s="217">
        <f t="shared" si="374"/>
        <v>0.3600000000000001</v>
      </c>
      <c r="CN130" s="541">
        <f t="shared" si="375"/>
        <v>18</v>
      </c>
      <c r="CO130" s="443">
        <f t="shared" si="376"/>
        <v>18.8</v>
      </c>
      <c r="CP130" s="443">
        <f t="shared" si="377"/>
        <v>36.799999999999997</v>
      </c>
      <c r="CQ130" s="443"/>
      <c r="CR130" s="217">
        <f t="shared" si="378"/>
        <v>0.51086956521739135</v>
      </c>
      <c r="CS130" s="172">
        <f t="shared" si="379"/>
        <v>28.513650151668358</v>
      </c>
      <c r="CT130" s="172">
        <f t="shared" si="380"/>
        <v>2.2989130434782612</v>
      </c>
      <c r="CU130" s="217">
        <f t="shared" si="381"/>
        <v>7.1284125379170895</v>
      </c>
      <c r="CV130" s="217">
        <f t="shared" si="382"/>
        <v>1.5840916750926866</v>
      </c>
      <c r="CW130" s="217">
        <f t="shared" si="383"/>
        <v>4</v>
      </c>
      <c r="CX130" s="217">
        <f t="shared" si="384"/>
        <v>1.1222695035460994</v>
      </c>
      <c r="CY130" s="217">
        <f t="shared" si="385"/>
        <v>0.74817966903073307</v>
      </c>
      <c r="CZ130" s="217">
        <f t="shared" si="386"/>
        <v>0.71634223630602101</v>
      </c>
      <c r="DA130" s="197">
        <f t="shared" si="387"/>
        <v>350</v>
      </c>
      <c r="DB130" s="443">
        <f t="shared" si="388"/>
        <v>350</v>
      </c>
      <c r="DD130" s="217">
        <f t="shared" si="389"/>
        <v>2.18944099378882</v>
      </c>
      <c r="DE130" s="173">
        <f t="shared" si="390"/>
        <v>1.3975155279503106</v>
      </c>
      <c r="DF130" s="173">
        <f t="shared" si="391"/>
        <v>1.9924134422749624</v>
      </c>
      <c r="DG130" s="173"/>
      <c r="DH130" s="173">
        <f t="shared" si="392"/>
        <v>0.85106382978723416</v>
      </c>
      <c r="DI130" s="545">
        <f t="shared" si="393"/>
        <v>528.75</v>
      </c>
      <c r="DJ130" s="528">
        <f t="shared" si="394"/>
        <v>0.79432624113475192</v>
      </c>
      <c r="DL130" s="173">
        <f t="shared" si="395"/>
        <v>1.5675276256394519</v>
      </c>
      <c r="DM130" s="173">
        <f t="shared" si="396"/>
        <v>1.5675276256394519</v>
      </c>
      <c r="DN130" s="173">
        <f t="shared" si="397"/>
        <v>1.3734772535600877</v>
      </c>
      <c r="DP130" s="545">
        <f t="shared" si="398"/>
        <v>1200.0000000000002</v>
      </c>
      <c r="DQ130" s="460">
        <f t="shared" si="399"/>
        <v>350</v>
      </c>
      <c r="DS130" s="460">
        <f t="shared" si="400"/>
        <v>1200.0000000000002</v>
      </c>
      <c r="DT130" s="460">
        <f t="shared" si="401"/>
        <v>350</v>
      </c>
      <c r="DV130" s="5">
        <f t="shared" si="402"/>
        <v>2.8571428571428572</v>
      </c>
      <c r="DW130" s="5">
        <f t="shared" si="403"/>
        <v>1.0450184170929679</v>
      </c>
      <c r="DX130" s="5">
        <f t="shared" si="404"/>
        <v>1.8121244400498893</v>
      </c>
      <c r="DY130" s="173">
        <f t="shared" si="405"/>
        <v>0.36575644598253876</v>
      </c>
      <c r="EA130" s="5">
        <f t="shared" si="406"/>
        <v>31.350552512789044</v>
      </c>
      <c r="EB130" s="5">
        <f t="shared" si="407"/>
        <v>0.11611315745477424</v>
      </c>
      <c r="EC130" s="5">
        <f t="shared" si="408"/>
        <v>0.40269432001108652</v>
      </c>
      <c r="ED130" s="5"/>
      <c r="EE130" s="173">
        <f t="shared" si="409"/>
        <v>0.5473316601781022</v>
      </c>
      <c r="EF130" s="173">
        <f t="shared" si="410"/>
        <v>2.8829864316414722</v>
      </c>
      <c r="EG130" s="173">
        <f t="shared" si="411"/>
        <v>5.4932579305601033E-2</v>
      </c>
      <c r="EH130" s="173"/>
      <c r="EI130" s="528">
        <f t="shared" si="412"/>
        <v>3.6547777440464739E-3</v>
      </c>
      <c r="EJ130" s="528">
        <f t="shared" si="413"/>
        <v>0.40379511636472276</v>
      </c>
      <c r="EK130" s="528">
        <f t="shared" si="414"/>
        <v>4.3749999999999997E-2</v>
      </c>
      <c r="EL130" s="528">
        <f t="shared" si="415"/>
        <v>4.7398399999999993E-2</v>
      </c>
      <c r="EM130">
        <f t="shared" si="416"/>
        <v>8.0999999999999996E-3</v>
      </c>
      <c r="EN130" s="460">
        <f t="shared" si="417"/>
        <v>51.849999999999994</v>
      </c>
      <c r="EP130" s="460">
        <f t="shared" si="439"/>
        <v>506.69829410876935</v>
      </c>
      <c r="EQ130" s="173">
        <f t="shared" si="418"/>
        <v>0.84000000000000008</v>
      </c>
      <c r="ER130" s="173">
        <f t="shared" si="419"/>
        <v>8.8750000000000009E-3</v>
      </c>
      <c r="ES130" s="528"/>
      <c r="EU130" s="460">
        <f t="shared" si="420"/>
        <v>848.875</v>
      </c>
      <c r="EV130" s="528">
        <f t="shared" si="421"/>
        <v>8.9871583869995265E-3</v>
      </c>
      <c r="EW130" s="528">
        <f t="shared" si="422"/>
        <v>0.24934832295086487</v>
      </c>
      <c r="EX130" s="528">
        <f t="shared" si="423"/>
        <v>1.5087941345830734E-5</v>
      </c>
      <c r="EY130" s="528">
        <f t="shared" si="424"/>
        <v>0.35251542393098156</v>
      </c>
      <c r="EZ130" s="528"/>
      <c r="FA130" s="625">
        <f t="shared" si="425"/>
        <v>2.1500000000000009E-2</v>
      </c>
      <c r="FB130" s="460">
        <f t="shared" si="426"/>
        <v>632.36599321019173</v>
      </c>
      <c r="FC130" s="173">
        <f t="shared" si="427"/>
        <v>1.9879392873189612</v>
      </c>
      <c r="FD130" s="5">
        <f t="shared" si="428"/>
        <v>5.160000000000001</v>
      </c>
      <c r="FE130" s="173">
        <f t="shared" si="429"/>
        <v>0.72188637768010555</v>
      </c>
      <c r="FF130" s="5">
        <f t="shared" si="430"/>
        <v>72.188637768010551</v>
      </c>
      <c r="FG130">
        <f t="shared" si="431"/>
        <v>20.000000000000004</v>
      </c>
      <c r="FI130" s="562">
        <f t="shared" si="432"/>
        <v>-50</v>
      </c>
      <c r="FJ130">
        <f t="shared" si="433"/>
        <v>-50</v>
      </c>
    </row>
    <row r="131" spans="5:166">
      <c r="E131" s="170">
        <v>21</v>
      </c>
      <c r="F131" s="217">
        <f t="shared" si="434"/>
        <v>1.26</v>
      </c>
      <c r="G131" s="217">
        <f t="shared" si="313"/>
        <v>2.1000000000000001E-2</v>
      </c>
      <c r="H131" s="217">
        <f t="shared" si="314"/>
        <v>5.04</v>
      </c>
      <c r="I131" s="217">
        <f t="shared" si="315"/>
        <v>0.378</v>
      </c>
      <c r="J131" s="541">
        <f t="shared" si="316"/>
        <v>17.955491621477165</v>
      </c>
      <c r="K131" s="443">
        <f t="shared" si="317"/>
        <v>19.203028534969921</v>
      </c>
      <c r="L131" s="172">
        <f t="shared" si="318"/>
        <v>37.158520156447082</v>
      </c>
      <c r="M131" s="443"/>
      <c r="N131" s="217">
        <f t="shared" si="319"/>
        <v>0.5167866872555783</v>
      </c>
      <c r="O131" s="172">
        <f t="shared" si="320"/>
        <v>28.77258614917357</v>
      </c>
      <c r="P131" s="172">
        <f t="shared" si="321"/>
        <v>2.319789758277119</v>
      </c>
      <c r="Q131" s="217">
        <f t="shared" si="322"/>
        <v>7.1931465372933925</v>
      </c>
      <c r="R131" s="217">
        <f t="shared" si="323"/>
        <v>1.5984770082874205</v>
      </c>
      <c r="S131" s="217">
        <f t="shared" si="324"/>
        <v>4</v>
      </c>
      <c r="T131" s="217">
        <f t="shared" si="325"/>
        <v>1.1677782395297507</v>
      </c>
      <c r="U131" s="217">
        <f t="shared" si="326"/>
        <v>0.78044863208285442</v>
      </c>
      <c r="V131" s="217">
        <f t="shared" si="327"/>
        <v>0.729746292301646</v>
      </c>
      <c r="W131" s="197">
        <f t="shared" si="328"/>
        <v>350</v>
      </c>
      <c r="X131" s="443">
        <f t="shared" si="435"/>
        <v>350</v>
      </c>
      <c r="Z131" s="217">
        <f t="shared" si="329"/>
        <v>2.2093235793115418</v>
      </c>
      <c r="AA131" s="173">
        <f t="shared" si="330"/>
        <v>1.3806094649840621</v>
      </c>
      <c r="AB131" s="173">
        <f t="shared" si="331"/>
        <v>1.986185238480918</v>
      </c>
      <c r="AC131" s="173"/>
      <c r="AD131" s="173">
        <f t="shared" si="332"/>
        <v>0.83320190723369481</v>
      </c>
      <c r="AE131" s="545">
        <f t="shared" si="333"/>
        <v>567.08943642333043</v>
      </c>
      <c r="AF131" s="528">
        <f t="shared" si="334"/>
        <v>0.77765511341811511</v>
      </c>
      <c r="AH131" s="173">
        <f t="shared" si="335"/>
        <v>1.606237840420901</v>
      </c>
      <c r="AI131" s="173">
        <f t="shared" si="336"/>
        <v>1.606237840420901</v>
      </c>
      <c r="AJ131" s="173">
        <f t="shared" si="337"/>
        <v>1.4021514867315314</v>
      </c>
      <c r="AL131" s="545">
        <f t="shared" si="338"/>
        <v>1260</v>
      </c>
      <c r="AM131" s="460">
        <f t="shared" si="339"/>
        <v>350</v>
      </c>
      <c r="AO131" s="460">
        <f t="shared" si="340"/>
        <v>1260</v>
      </c>
      <c r="AP131" s="460">
        <f t="shared" si="341"/>
        <v>350</v>
      </c>
      <c r="AR131" s="5">
        <f t="shared" si="275"/>
        <v>2.8571428571428572</v>
      </c>
      <c r="AS131" s="5">
        <f t="shared" si="440"/>
        <v>1.0734796067625081</v>
      </c>
      <c r="AT131" s="5">
        <f t="shared" si="441"/>
        <v>1.7836632503803491</v>
      </c>
      <c r="AU131" s="173">
        <f t="shared" si="442"/>
        <v>0.37571786236687782</v>
      </c>
      <c r="AW131" s="5">
        <f t="shared" si="342"/>
        <v>33.814607613019007</v>
      </c>
      <c r="AX131" s="5">
        <f t="shared" si="343"/>
        <v>0.12523928745562596</v>
      </c>
      <c r="AY131" s="5">
        <f t="shared" si="344"/>
        <v>0.41721974588747929</v>
      </c>
      <c r="AZ131" s="5"/>
      <c r="BA131" s="173">
        <f t="shared" si="345"/>
        <v>0.56843413130767828</v>
      </c>
      <c r="BB131" s="173">
        <f t="shared" si="346"/>
        <v>2.9308910272870539</v>
      </c>
      <c r="BC131" s="173">
        <f t="shared" si="347"/>
        <v>5.5845356060469545E-2</v>
      </c>
      <c r="BD131" s="173"/>
      <c r="BE131" s="528">
        <f t="shared" si="348"/>
        <v>3.942031811953281E-3</v>
      </c>
      <c r="BF131" s="528">
        <f t="shared" si="349"/>
        <v>0.39168557642371554</v>
      </c>
      <c r="BG131" s="528">
        <f t="shared" si="350"/>
        <v>0.15711055168792518</v>
      </c>
      <c r="BH131" s="528">
        <f t="shared" si="351"/>
        <v>4.8326446707597941E-2</v>
      </c>
      <c r="BI131">
        <f t="shared" si="352"/>
        <v>8.0799712296647248E-3</v>
      </c>
      <c r="BJ131" s="460">
        <f t="shared" si="436"/>
        <v>165.1905229175899</v>
      </c>
      <c r="BK131">
        <f t="shared" si="353"/>
        <v>0.44543561044443419</v>
      </c>
      <c r="BL131" s="460">
        <f t="shared" si="437"/>
        <v>609.14457786085666</v>
      </c>
      <c r="BM131" s="173">
        <f t="shared" si="354"/>
        <v>0.78277499999999989</v>
      </c>
      <c r="BN131" s="173">
        <f t="shared" si="355"/>
        <v>1.3046249999999999E-2</v>
      </c>
      <c r="BO131" s="528"/>
      <c r="BQ131" s="460">
        <f t="shared" si="356"/>
        <v>795.82124999999996</v>
      </c>
      <c r="BR131" s="528">
        <f t="shared" si="357"/>
        <v>9.6935208490654453E-3</v>
      </c>
      <c r="BS131" s="528">
        <f t="shared" si="358"/>
        <v>0.25770366641495285</v>
      </c>
      <c r="BT131" s="528">
        <f t="shared" si="359"/>
        <v>1.5593518967603112E-5</v>
      </c>
      <c r="BU131" s="528">
        <f t="shared" si="360"/>
        <v>0.37468365464598036</v>
      </c>
      <c r="BV131" s="528"/>
      <c r="BW131" s="625">
        <f t="shared" si="361"/>
        <v>2.2575000000000001E-2</v>
      </c>
      <c r="BX131" s="460">
        <f t="shared" si="362"/>
        <v>664.67143542896622</v>
      </c>
      <c r="BY131" s="173">
        <f t="shared" si="363"/>
        <v>2.0696372632898226</v>
      </c>
      <c r="BZ131" s="5">
        <f t="shared" si="364"/>
        <v>5.4180000000000001</v>
      </c>
      <c r="CA131" s="173">
        <f t="shared" si="365"/>
        <v>0.72359274487871061</v>
      </c>
      <c r="CB131" s="5">
        <f t="shared" si="366"/>
        <v>72.359274487871062</v>
      </c>
      <c r="CC131">
        <f t="shared" si="367"/>
        <v>21</v>
      </c>
      <c r="CE131" s="562">
        <f t="shared" si="368"/>
        <v>-50</v>
      </c>
      <c r="CF131">
        <f t="shared" si="369"/>
        <v>-50</v>
      </c>
      <c r="CG131" s="173">
        <f t="shared" si="370"/>
        <v>0.37515954053051059</v>
      </c>
      <c r="CH131" s="173">
        <f t="shared" si="371"/>
        <v>9.608980351483784E-2</v>
      </c>
      <c r="CI131" s="170">
        <v>21</v>
      </c>
      <c r="CJ131" s="217">
        <f t="shared" si="438"/>
        <v>1.26</v>
      </c>
      <c r="CK131" s="217">
        <f t="shared" si="372"/>
        <v>2.1000000000000001E-2</v>
      </c>
      <c r="CL131" s="217">
        <f t="shared" si="373"/>
        <v>5.04</v>
      </c>
      <c r="CM131" s="217">
        <f t="shared" si="374"/>
        <v>0.378</v>
      </c>
      <c r="CN131" s="541">
        <f t="shared" si="375"/>
        <v>18</v>
      </c>
      <c r="CO131" s="443">
        <f t="shared" si="376"/>
        <v>18.8</v>
      </c>
      <c r="CP131" s="443">
        <f t="shared" si="377"/>
        <v>36.799999999999997</v>
      </c>
      <c r="CQ131" s="443"/>
      <c r="CR131" s="217">
        <f t="shared" si="378"/>
        <v>0.51086956521739135</v>
      </c>
      <c r="CS131" s="172">
        <f t="shared" si="379"/>
        <v>28.513650151668358</v>
      </c>
      <c r="CT131" s="172">
        <f t="shared" si="380"/>
        <v>2.2989130434782612</v>
      </c>
      <c r="CU131" s="217">
        <f t="shared" si="381"/>
        <v>7.1284125379170895</v>
      </c>
      <c r="CV131" s="217">
        <f t="shared" si="382"/>
        <v>1.5840916750926866</v>
      </c>
      <c r="CW131" s="217">
        <f t="shared" si="383"/>
        <v>4</v>
      </c>
      <c r="CX131" s="217">
        <f t="shared" si="384"/>
        <v>1.1783829787234041</v>
      </c>
      <c r="CY131" s="217">
        <f t="shared" si="385"/>
        <v>0.78558865248226939</v>
      </c>
      <c r="CZ131" s="217">
        <f t="shared" si="386"/>
        <v>0.75215934812132179</v>
      </c>
      <c r="DA131" s="197">
        <f t="shared" si="387"/>
        <v>350</v>
      </c>
      <c r="DB131" s="443">
        <f t="shared" si="388"/>
        <v>350</v>
      </c>
      <c r="DD131" s="217">
        <f t="shared" si="389"/>
        <v>2.18944099378882</v>
      </c>
      <c r="DE131" s="173">
        <f t="shared" si="390"/>
        <v>1.3975155279503106</v>
      </c>
      <c r="DF131" s="173">
        <f t="shared" si="391"/>
        <v>1.9924134422749624</v>
      </c>
      <c r="DG131" s="173"/>
      <c r="DH131" s="173">
        <f t="shared" si="392"/>
        <v>0.85106382978723416</v>
      </c>
      <c r="DI131" s="545">
        <f t="shared" si="393"/>
        <v>555.18749999999989</v>
      </c>
      <c r="DJ131" s="528">
        <f t="shared" si="394"/>
        <v>0.79432624113475192</v>
      </c>
      <c r="DL131" s="173">
        <f t="shared" si="395"/>
        <v>1.606237840420901</v>
      </c>
      <c r="DM131" s="173">
        <f t="shared" si="396"/>
        <v>1.606237840420901</v>
      </c>
      <c r="DN131" s="173">
        <f t="shared" si="397"/>
        <v>1.4021514867315314</v>
      </c>
      <c r="DP131" s="545">
        <f t="shared" si="398"/>
        <v>1260</v>
      </c>
      <c r="DQ131" s="460">
        <f t="shared" si="399"/>
        <v>350</v>
      </c>
      <c r="DS131" s="460">
        <f t="shared" si="400"/>
        <v>1260</v>
      </c>
      <c r="DT131" s="460">
        <f t="shared" si="401"/>
        <v>350</v>
      </c>
      <c r="DV131" s="5">
        <f t="shared" si="402"/>
        <v>2.8571428571428572</v>
      </c>
      <c r="DW131" s="5">
        <f t="shared" si="403"/>
        <v>1.0708252269472673</v>
      </c>
      <c r="DX131" s="5">
        <f t="shared" si="404"/>
        <v>1.7863176301955899</v>
      </c>
      <c r="DY131" s="173">
        <f t="shared" si="405"/>
        <v>0.37478882943154357</v>
      </c>
      <c r="EA131" s="5">
        <f t="shared" si="406"/>
        <v>33.730994648838923</v>
      </c>
      <c r="EB131" s="5">
        <f t="shared" si="407"/>
        <v>0.12492960981051453</v>
      </c>
      <c r="EC131" s="5">
        <f t="shared" si="408"/>
        <v>0.41680744704563766</v>
      </c>
      <c r="ED131" s="5"/>
      <c r="EE131" s="173">
        <f t="shared" si="409"/>
        <v>0.56773091628968686</v>
      </c>
      <c r="EF131" s="173">
        <f t="shared" si="410"/>
        <v>2.9330710368182289</v>
      </c>
      <c r="EG131" s="173">
        <f t="shared" si="411"/>
        <v>5.5886894079914901E-2</v>
      </c>
      <c r="EH131" s="173"/>
      <c r="EI131" s="528">
        <f t="shared" si="412"/>
        <v>3.9322843983957542E-3</v>
      </c>
      <c r="EJ131" s="528">
        <f t="shared" si="413"/>
        <v>0.41376686769242405</v>
      </c>
      <c r="EK131" s="528">
        <f t="shared" si="414"/>
        <v>4.3749999999999997E-2</v>
      </c>
      <c r="EL131" s="528">
        <f t="shared" si="415"/>
        <v>4.7398399999999993E-2</v>
      </c>
      <c r="EM131">
        <f t="shared" si="416"/>
        <v>8.0999999999999996E-3</v>
      </c>
      <c r="EN131" s="460">
        <f t="shared" si="417"/>
        <v>51.849999999999994</v>
      </c>
      <c r="EP131" s="460">
        <f t="shared" si="439"/>
        <v>516.94755209081973</v>
      </c>
      <c r="EQ131" s="173">
        <f t="shared" si="418"/>
        <v>0.8819999999999999</v>
      </c>
      <c r="ER131" s="173">
        <f t="shared" si="419"/>
        <v>9.3187500000000006E-3</v>
      </c>
      <c r="ES131" s="528"/>
      <c r="EU131" s="460">
        <f t="shared" si="420"/>
        <v>891.31874999999991</v>
      </c>
      <c r="EV131" s="528">
        <f t="shared" si="421"/>
        <v>9.6695517993338233E-3</v>
      </c>
      <c r="EW131" s="528">
        <f t="shared" si="422"/>
        <v>0.25808717121065883</v>
      </c>
      <c r="EX131" s="528">
        <f t="shared" si="423"/>
        <v>1.5616724649498137E-5</v>
      </c>
      <c r="EY131" s="528">
        <f t="shared" si="424"/>
        <v>0.37468365464598036</v>
      </c>
      <c r="EZ131" s="528"/>
      <c r="FA131" s="625">
        <f t="shared" si="425"/>
        <v>2.2575000000000001E-2</v>
      </c>
      <c r="FB131" s="460">
        <f t="shared" si="426"/>
        <v>665.03099438062247</v>
      </c>
      <c r="FC131" s="173">
        <f t="shared" si="427"/>
        <v>2.0732972964714418</v>
      </c>
      <c r="FD131" s="5">
        <f t="shared" si="428"/>
        <v>5.4180000000000001</v>
      </c>
      <c r="FE131" s="173">
        <f t="shared" si="429"/>
        <v>0.72323921819949544</v>
      </c>
      <c r="FF131" s="5">
        <f t="shared" si="430"/>
        <v>72.323921819949547</v>
      </c>
      <c r="FG131">
        <f t="shared" si="431"/>
        <v>21</v>
      </c>
      <c r="FI131" s="562">
        <f t="shared" si="432"/>
        <v>-50</v>
      </c>
      <c r="FJ131">
        <f t="shared" si="433"/>
        <v>-50</v>
      </c>
    </row>
    <row r="132" spans="5:166">
      <c r="E132" s="170">
        <v>22</v>
      </c>
      <c r="F132" s="217">
        <f t="shared" si="434"/>
        <v>1.32</v>
      </c>
      <c r="G132" s="217">
        <f t="shared" si="313"/>
        <v>2.2000000000000002E-2</v>
      </c>
      <c r="H132" s="217">
        <f t="shared" si="314"/>
        <v>5.28</v>
      </c>
      <c r="I132" s="217">
        <f t="shared" si="315"/>
        <v>0.39600000000000002</v>
      </c>
      <c r="J132" s="541">
        <f t="shared" si="316"/>
        <v>17.954444222209471</v>
      </c>
      <c r="K132" s="443">
        <f t="shared" si="317"/>
        <v>19.212512856942492</v>
      </c>
      <c r="L132" s="172">
        <f t="shared" si="318"/>
        <v>37.166957079151963</v>
      </c>
      <c r="M132" s="443"/>
      <c r="N132" s="217">
        <f t="shared" si="319"/>
        <v>0.51692455790843728</v>
      </c>
      <c r="O132" s="172">
        <f t="shared" si="320"/>
        <v>28.77858338622427</v>
      </c>
      <c r="P132" s="172">
        <f t="shared" si="321"/>
        <v>2.3202732855143315</v>
      </c>
      <c r="Q132" s="217">
        <f t="shared" si="322"/>
        <v>7.1946458465560674</v>
      </c>
      <c r="R132" s="217">
        <f t="shared" si="323"/>
        <v>1.5988101881235706</v>
      </c>
      <c r="S132" s="217">
        <f t="shared" si="324"/>
        <v>4</v>
      </c>
      <c r="T132" s="217">
        <f t="shared" si="325"/>
        <v>1.2231317826731367</v>
      </c>
      <c r="U132" s="217">
        <f t="shared" si="326"/>
        <v>0.8174901551072028</v>
      </c>
      <c r="V132" s="217">
        <f t="shared" si="327"/>
        <v>0.76395948314350026</v>
      </c>
      <c r="W132" s="197">
        <f t="shared" si="328"/>
        <v>350</v>
      </c>
      <c r="X132" s="443">
        <f t="shared" si="435"/>
        <v>350</v>
      </c>
      <c r="Z132" s="217">
        <f t="shared" si="329"/>
        <v>2.2097840814422205</v>
      </c>
      <c r="AA132" s="173">
        <f t="shared" si="330"/>
        <v>1.3802155488330363</v>
      </c>
      <c r="AB132" s="173">
        <f t="shared" si="331"/>
        <v>1.9860324131527414</v>
      </c>
      <c r="AC132" s="173"/>
      <c r="AD132" s="173">
        <f t="shared" si="332"/>
        <v>0.83279059429325819</v>
      </c>
      <c r="AE132" s="545">
        <f t="shared" si="333"/>
        <v>594.38711651165818</v>
      </c>
      <c r="AF132" s="528">
        <f t="shared" si="334"/>
        <v>0.77727122134037452</v>
      </c>
      <c r="AH132" s="173">
        <f t="shared" si="335"/>
        <v>1.6440368435218058</v>
      </c>
      <c r="AI132" s="173">
        <f t="shared" si="336"/>
        <v>1.6440368435218058</v>
      </c>
      <c r="AJ132" s="173">
        <f t="shared" si="337"/>
        <v>1.4301507482877573</v>
      </c>
      <c r="AL132" s="545">
        <f t="shared" si="338"/>
        <v>1320</v>
      </c>
      <c r="AM132" s="460">
        <f t="shared" si="339"/>
        <v>350</v>
      </c>
      <c r="AO132" s="460">
        <f t="shared" si="340"/>
        <v>1320</v>
      </c>
      <c r="AP132" s="460">
        <f t="shared" si="341"/>
        <v>350</v>
      </c>
      <c r="AR132" s="5">
        <f t="shared" si="275"/>
        <v>2.8571428571428572</v>
      </c>
      <c r="AS132" s="5">
        <f t="shared" si="440"/>
        <v>1.0988055034228117</v>
      </c>
      <c r="AT132" s="5">
        <f t="shared" si="441"/>
        <v>1.7583373537200455</v>
      </c>
      <c r="AU132" s="173">
        <f t="shared" si="442"/>
        <v>0.38458192619798409</v>
      </c>
      <c r="AW132" s="5">
        <f t="shared" si="342"/>
        <v>36.260581612952784</v>
      </c>
      <c r="AX132" s="5">
        <f t="shared" si="343"/>
        <v>0.13429845041834365</v>
      </c>
      <c r="AY132" s="5">
        <f t="shared" si="344"/>
        <v>0.4309063683964105</v>
      </c>
      <c r="AZ132" s="5"/>
      <c r="BA132" s="173">
        <f t="shared" si="345"/>
        <v>0.58863401369554458</v>
      </c>
      <c r="BB132" s="173">
        <f t="shared" si="346"/>
        <v>2.978489224752856</v>
      </c>
      <c r="BC132" s="173">
        <f t="shared" si="347"/>
        <v>5.6752294687858473E-2</v>
      </c>
      <c r="BD132" s="173"/>
      <c r="BE132" s="528">
        <f t="shared" si="348"/>
        <v>4.2271780253677841E-3</v>
      </c>
      <c r="BF132" s="528">
        <f t="shared" si="349"/>
        <v>0.40099399462315871</v>
      </c>
      <c r="BG132" s="528">
        <f t="shared" si="350"/>
        <v>0.15710138694433287</v>
      </c>
      <c r="BH132" s="528">
        <f t="shared" si="351"/>
        <v>4.8348394448323354E-2</v>
      </c>
      <c r="BI132">
        <f t="shared" si="352"/>
        <v>8.0794998999942618E-3</v>
      </c>
      <c r="BJ132" s="460">
        <f t="shared" si="436"/>
        <v>165.18088684432715</v>
      </c>
      <c r="BK132">
        <f t="shared" si="353"/>
        <v>0.45516806572710028</v>
      </c>
      <c r="BL132" s="460">
        <f t="shared" si="437"/>
        <v>618.75045394117706</v>
      </c>
      <c r="BM132" s="173">
        <f t="shared" si="354"/>
        <v>0.82004999999999995</v>
      </c>
      <c r="BN132" s="173">
        <f t="shared" si="355"/>
        <v>1.3667499999999999E-2</v>
      </c>
      <c r="BO132" s="528"/>
      <c r="BQ132" s="460">
        <f t="shared" si="356"/>
        <v>833.71749999999986</v>
      </c>
      <c r="BR132" s="528">
        <f t="shared" si="357"/>
        <v>1.0394700062379797E-2</v>
      </c>
      <c r="BS132" s="528">
        <f t="shared" si="358"/>
        <v>0.26614194185906609</v>
      </c>
      <c r="BT132" s="528">
        <f t="shared" si="359"/>
        <v>1.6104114761687644E-5</v>
      </c>
      <c r="BU132" s="528">
        <f t="shared" si="360"/>
        <v>0.39711745838723694</v>
      </c>
      <c r="BV132" s="528"/>
      <c r="BW132" s="625">
        <f t="shared" si="361"/>
        <v>2.3649999999999997E-2</v>
      </c>
      <c r="BX132" s="460">
        <f t="shared" si="362"/>
        <v>697.32020442344447</v>
      </c>
      <c r="BY132" s="173">
        <f t="shared" si="363"/>
        <v>2.1497881583646214</v>
      </c>
      <c r="BZ132" s="5">
        <f t="shared" si="364"/>
        <v>5.6760000000000002</v>
      </c>
      <c r="CA132" s="173">
        <f t="shared" si="365"/>
        <v>0.72529435823447219</v>
      </c>
      <c r="CB132" s="5">
        <f t="shared" si="366"/>
        <v>72.529435823447216</v>
      </c>
      <c r="CC132">
        <f t="shared" si="367"/>
        <v>22</v>
      </c>
      <c r="CE132" s="562">
        <f t="shared" si="368"/>
        <v>-50</v>
      </c>
      <c r="CF132">
        <f t="shared" si="369"/>
        <v>-50</v>
      </c>
      <c r="CG132" s="173">
        <f t="shared" si="370"/>
        <v>0.38398803172838381</v>
      </c>
      <c r="CH132" s="173">
        <f t="shared" si="371"/>
        <v>9.8351049445932912E-2</v>
      </c>
      <c r="CI132" s="170">
        <v>22</v>
      </c>
      <c r="CJ132" s="217">
        <f t="shared" si="438"/>
        <v>1.32</v>
      </c>
      <c r="CK132" s="217">
        <f t="shared" si="372"/>
        <v>2.2000000000000002E-2</v>
      </c>
      <c r="CL132" s="217">
        <f t="shared" si="373"/>
        <v>5.28</v>
      </c>
      <c r="CM132" s="217">
        <f t="shared" si="374"/>
        <v>0.39600000000000002</v>
      </c>
      <c r="CN132" s="541">
        <f t="shared" si="375"/>
        <v>18</v>
      </c>
      <c r="CO132" s="443">
        <f t="shared" si="376"/>
        <v>18.8</v>
      </c>
      <c r="CP132" s="443">
        <f t="shared" si="377"/>
        <v>36.799999999999997</v>
      </c>
      <c r="CQ132" s="443"/>
      <c r="CR132" s="217">
        <f t="shared" si="378"/>
        <v>0.51086956521739135</v>
      </c>
      <c r="CS132" s="172">
        <f t="shared" si="379"/>
        <v>28.513650151668358</v>
      </c>
      <c r="CT132" s="172">
        <f t="shared" si="380"/>
        <v>2.2989130434782612</v>
      </c>
      <c r="CU132" s="217">
        <f t="shared" si="381"/>
        <v>7.1284125379170895</v>
      </c>
      <c r="CV132" s="217">
        <f t="shared" si="382"/>
        <v>1.5840916750926866</v>
      </c>
      <c r="CW132" s="217">
        <f t="shared" si="383"/>
        <v>4</v>
      </c>
      <c r="CX132" s="217">
        <f t="shared" si="384"/>
        <v>1.2344964539007091</v>
      </c>
      <c r="CY132" s="217">
        <f t="shared" si="385"/>
        <v>0.82299763593380604</v>
      </c>
      <c r="CZ132" s="217">
        <f t="shared" si="386"/>
        <v>0.7879764599366228</v>
      </c>
      <c r="DA132" s="197">
        <f t="shared" si="387"/>
        <v>350</v>
      </c>
      <c r="DB132" s="443">
        <f t="shared" si="388"/>
        <v>350</v>
      </c>
      <c r="DD132" s="217">
        <f t="shared" si="389"/>
        <v>2.18944099378882</v>
      </c>
      <c r="DE132" s="173">
        <f t="shared" si="390"/>
        <v>1.3975155279503106</v>
      </c>
      <c r="DF132" s="173">
        <f t="shared" si="391"/>
        <v>1.9924134422749624</v>
      </c>
      <c r="DG132" s="173"/>
      <c r="DH132" s="173">
        <f t="shared" si="392"/>
        <v>0.85106382978723416</v>
      </c>
      <c r="DI132" s="545">
        <f t="shared" si="393"/>
        <v>581.62499999999989</v>
      </c>
      <c r="DJ132" s="528">
        <f t="shared" si="394"/>
        <v>0.79432624113475192</v>
      </c>
      <c r="DL132" s="173">
        <f t="shared" si="395"/>
        <v>1.6440368435218058</v>
      </c>
      <c r="DM132" s="173">
        <f t="shared" si="396"/>
        <v>1.6440368435218058</v>
      </c>
      <c r="DN132" s="173">
        <f t="shared" si="397"/>
        <v>1.4301507482877573</v>
      </c>
      <c r="DP132" s="545">
        <f t="shared" si="398"/>
        <v>1320</v>
      </c>
      <c r="DQ132" s="460">
        <f t="shared" si="399"/>
        <v>350</v>
      </c>
      <c r="DS132" s="460">
        <f t="shared" si="400"/>
        <v>1320</v>
      </c>
      <c r="DT132" s="460">
        <f t="shared" si="401"/>
        <v>350</v>
      </c>
      <c r="DV132" s="5">
        <f t="shared" si="402"/>
        <v>2.8571428571428572</v>
      </c>
      <c r="DW132" s="5">
        <f t="shared" si="403"/>
        <v>1.0960245623478706</v>
      </c>
      <c r="DX132" s="5">
        <f t="shared" si="404"/>
        <v>1.7611182947949866</v>
      </c>
      <c r="DY132" s="173">
        <f t="shared" si="405"/>
        <v>0.38360859682175469</v>
      </c>
      <c r="EA132" s="5">
        <f t="shared" si="406"/>
        <v>36.168810557479731</v>
      </c>
      <c r="EB132" s="5">
        <f t="shared" si="407"/>
        <v>0.13395855762029532</v>
      </c>
      <c r="EC132" s="5">
        <f t="shared" si="408"/>
        <v>0.43049558317210779</v>
      </c>
      <c r="ED132" s="5"/>
      <c r="EE132" s="173">
        <f t="shared" si="409"/>
        <v>0.5878886617892557</v>
      </c>
      <c r="EF132" s="173">
        <f t="shared" si="410"/>
        <v>2.9808436451233575</v>
      </c>
      <c r="EG132" s="173">
        <f t="shared" si="411"/>
        <v>5.6797155940863972E-2</v>
      </c>
      <c r="EH132" s="173"/>
      <c r="EI132" s="528">
        <f t="shared" si="412"/>
        <v>4.2164795596564145E-3</v>
      </c>
      <c r="EJ132" s="528">
        <f t="shared" si="413"/>
        <v>0.42350389089121715</v>
      </c>
      <c r="EK132" s="528">
        <f t="shared" si="414"/>
        <v>4.3749999999999997E-2</v>
      </c>
      <c r="EL132" s="528">
        <f t="shared" si="415"/>
        <v>4.7398399999999993E-2</v>
      </c>
      <c r="EM132">
        <f t="shared" si="416"/>
        <v>8.0999999999999996E-3</v>
      </c>
      <c r="EN132" s="460">
        <f t="shared" si="417"/>
        <v>51.849999999999994</v>
      </c>
      <c r="EP132" s="460">
        <f t="shared" si="439"/>
        <v>526.96877045087354</v>
      </c>
      <c r="EQ132" s="173">
        <f t="shared" si="418"/>
        <v>0.92399999999999993</v>
      </c>
      <c r="ER132" s="173">
        <f t="shared" si="419"/>
        <v>9.7625000000000003E-3</v>
      </c>
      <c r="ES132" s="528"/>
      <c r="EU132" s="460">
        <f t="shared" si="420"/>
        <v>933.76249999999993</v>
      </c>
      <c r="EV132" s="528">
        <f t="shared" si="421"/>
        <v>1.0368392359810857E-2</v>
      </c>
      <c r="EW132" s="528">
        <f t="shared" si="422"/>
        <v>0.26656286510016919</v>
      </c>
      <c r="EX132" s="528">
        <f t="shared" si="423"/>
        <v>1.61295846148541E-5</v>
      </c>
      <c r="EY132" s="528">
        <f t="shared" si="424"/>
        <v>0.39711745838723694</v>
      </c>
      <c r="EZ132" s="528"/>
      <c r="FA132" s="625">
        <f t="shared" si="425"/>
        <v>2.3649999999999997E-2</v>
      </c>
      <c r="FB132" s="460">
        <f t="shared" si="426"/>
        <v>697.7148454318318</v>
      </c>
      <c r="FC132" s="173">
        <f t="shared" si="427"/>
        <v>2.1584461158827049</v>
      </c>
      <c r="FD132" s="5">
        <f t="shared" si="428"/>
        <v>5.6760000000000002</v>
      </c>
      <c r="FE132" s="173">
        <f t="shared" si="429"/>
        <v>0.72449282515238622</v>
      </c>
      <c r="FF132" s="5">
        <f t="shared" si="430"/>
        <v>72.449282515238622</v>
      </c>
      <c r="FG132">
        <f t="shared" si="431"/>
        <v>22</v>
      </c>
      <c r="FI132" s="562">
        <f t="shared" si="432"/>
        <v>-50</v>
      </c>
      <c r="FJ132">
        <f t="shared" si="433"/>
        <v>-50</v>
      </c>
    </row>
    <row r="133" spans="5:166">
      <c r="E133" s="170">
        <v>23</v>
      </c>
      <c r="F133" s="217">
        <f t="shared" si="434"/>
        <v>1.3800000000000001</v>
      </c>
      <c r="G133" s="217">
        <f t="shared" si="313"/>
        <v>2.3000000000000003E-2</v>
      </c>
      <c r="H133" s="217">
        <f t="shared" si="314"/>
        <v>5.5200000000000005</v>
      </c>
      <c r="I133" s="217">
        <f t="shared" si="315"/>
        <v>0.41400000000000003</v>
      </c>
      <c r="J133" s="541">
        <f t="shared" si="316"/>
        <v>17.953420369028208</v>
      </c>
      <c r="K133" s="443">
        <f t="shared" si="317"/>
        <v>19.221783966368701</v>
      </c>
      <c r="L133" s="172">
        <f t="shared" si="318"/>
        <v>37.175204335396913</v>
      </c>
      <c r="M133" s="443"/>
      <c r="N133" s="217">
        <f t="shared" si="319"/>
        <v>0.51705926867136009</v>
      </c>
      <c r="O133" s="172">
        <f t="shared" si="320"/>
        <v>28.784441569485971</v>
      </c>
      <c r="P133" s="172">
        <f t="shared" si="321"/>
        <v>2.3207456015398065</v>
      </c>
      <c r="Q133" s="217">
        <f t="shared" si="322"/>
        <v>7.1961103923714926</v>
      </c>
      <c r="R133" s="217">
        <f t="shared" si="323"/>
        <v>1.5991356427492205</v>
      </c>
      <c r="S133" s="217">
        <f t="shared" si="324"/>
        <v>4</v>
      </c>
      <c r="T133" s="217">
        <f t="shared" si="325"/>
        <v>1.2784684361919747</v>
      </c>
      <c r="U133" s="217">
        <f t="shared" si="326"/>
        <v>0.85452359043348769</v>
      </c>
      <c r="V133" s="217">
        <f t="shared" si="327"/>
        <v>0.79813722082955918</v>
      </c>
      <c r="W133" s="197">
        <f t="shared" si="328"/>
        <v>350</v>
      </c>
      <c r="X133" s="443">
        <f t="shared" si="435"/>
        <v>350</v>
      </c>
      <c r="Z133" s="217">
        <f t="shared" si="329"/>
        <v>2.2102339062283871</v>
      </c>
      <c r="AA133" s="173">
        <f t="shared" si="330"/>
        <v>1.3798306609389714</v>
      </c>
      <c r="AB133" s="173">
        <f t="shared" si="331"/>
        <v>1.9858827517791515</v>
      </c>
      <c r="AC133" s="173"/>
      <c r="AD133" s="173">
        <f t="shared" si="332"/>
        <v>0.83238892019566568</v>
      </c>
      <c r="AE133" s="545">
        <f t="shared" si="333"/>
        <v>621.70457516223757</v>
      </c>
      <c r="AF133" s="528">
        <f t="shared" si="334"/>
        <v>0.77689632551595467</v>
      </c>
      <c r="AH133" s="173">
        <f t="shared" si="335"/>
        <v>1.680986105152058</v>
      </c>
      <c r="AI133" s="173">
        <f t="shared" si="336"/>
        <v>1.680986105152058</v>
      </c>
      <c r="AJ133" s="173">
        <f t="shared" si="337"/>
        <v>1.4575205717175737</v>
      </c>
      <c r="AL133" s="545">
        <f t="shared" si="338"/>
        <v>1380.0000000000002</v>
      </c>
      <c r="AM133" s="460">
        <f t="shared" si="339"/>
        <v>350</v>
      </c>
      <c r="AO133" s="460">
        <f t="shared" si="340"/>
        <v>1380.0000000000002</v>
      </c>
      <c r="AP133" s="460">
        <f t="shared" si="341"/>
        <v>350</v>
      </c>
      <c r="AR133" s="5">
        <f t="shared" si="275"/>
        <v>2.8571428571428572</v>
      </c>
      <c r="AS133" s="5">
        <f t="shared" si="440"/>
        <v>1.1235649167232511</v>
      </c>
      <c r="AT133" s="5">
        <f t="shared" si="441"/>
        <v>1.7335779404196061</v>
      </c>
      <c r="AU133" s="173">
        <f t="shared" si="442"/>
        <v>0.39324772085313786</v>
      </c>
      <c r="AW133" s="5">
        <f t="shared" si="342"/>
        <v>38.762989626952169</v>
      </c>
      <c r="AX133" s="5">
        <f t="shared" si="343"/>
        <v>0.14356662824797098</v>
      </c>
      <c r="AY133" s="5">
        <f t="shared" si="344"/>
        <v>0.44417489046750552</v>
      </c>
      <c r="AZ133" s="5"/>
      <c r="BA133" s="173">
        <f t="shared" si="345"/>
        <v>0.6086065238557381</v>
      </c>
      <c r="BB133" s="173">
        <f t="shared" si="346"/>
        <v>3.0239123294831067</v>
      </c>
      <c r="BC133" s="173">
        <f t="shared" si="347"/>
        <v>5.7617788980691628E-2</v>
      </c>
      <c r="BD133" s="173"/>
      <c r="BE133" s="528">
        <f t="shared" si="348"/>
        <v>4.5189031907331336E-3</v>
      </c>
      <c r="BF133" s="528">
        <f t="shared" si="349"/>
        <v>0.41009720025743934</v>
      </c>
      <c r="BG133" s="528">
        <f t="shared" si="350"/>
        <v>0.1570924282289968</v>
      </c>
      <c r="BH133" s="528">
        <f t="shared" si="351"/>
        <v>4.836985360824797E-2</v>
      </c>
      <c r="BI133">
        <f t="shared" si="352"/>
        <v>8.0790391660626928E-3</v>
      </c>
      <c r="BJ133" s="460">
        <f t="shared" si="436"/>
        <v>165.17146739505949</v>
      </c>
      <c r="BK133">
        <f t="shared" si="353"/>
        <v>0.46470501069055925</v>
      </c>
      <c r="BL133" s="460">
        <f t="shared" si="437"/>
        <v>628.15742445147998</v>
      </c>
      <c r="BM133" s="173">
        <f t="shared" si="354"/>
        <v>0.85732499999999989</v>
      </c>
      <c r="BN133" s="173">
        <f t="shared" si="355"/>
        <v>1.4288749999999999E-2</v>
      </c>
      <c r="BO133" s="528"/>
      <c r="BQ133" s="460">
        <f t="shared" si="356"/>
        <v>871.61374999999987</v>
      </c>
      <c r="BR133" s="528">
        <f t="shared" si="357"/>
        <v>1.1112057026392952E-2</v>
      </c>
      <c r="BS133" s="528">
        <f t="shared" si="358"/>
        <v>0.27432137329199846</v>
      </c>
      <c r="BT133" s="528">
        <f t="shared" si="359"/>
        <v>1.6599048035117548E-5</v>
      </c>
      <c r="BU133" s="528">
        <f t="shared" si="360"/>
        <v>0.41980772342972644</v>
      </c>
      <c r="BV133" s="528"/>
      <c r="BW133" s="625">
        <f t="shared" si="361"/>
        <v>2.4725000000000004E-2</v>
      </c>
      <c r="BX133" s="460">
        <f t="shared" si="362"/>
        <v>729.98275279615302</v>
      </c>
      <c r="BY133" s="173">
        <f t="shared" si="363"/>
        <v>2.229753927247633</v>
      </c>
      <c r="BZ133" s="5">
        <f t="shared" si="364"/>
        <v>5.9340000000000002</v>
      </c>
      <c r="CA133" s="173">
        <f t="shared" si="365"/>
        <v>0.72687149231611115</v>
      </c>
      <c r="CB133" s="5">
        <f t="shared" si="366"/>
        <v>72.687149231611116</v>
      </c>
      <c r="CC133">
        <f t="shared" si="367"/>
        <v>23</v>
      </c>
      <c r="CE133" s="562">
        <f t="shared" si="368"/>
        <v>-50</v>
      </c>
      <c r="CF133">
        <f t="shared" si="369"/>
        <v>-50</v>
      </c>
      <c r="CG133" s="173">
        <f t="shared" si="370"/>
        <v>0.3926180538006534</v>
      </c>
      <c r="CH133" s="173">
        <f t="shared" si="371"/>
        <v>0.10056146137916123</v>
      </c>
      <c r="CI133" s="170">
        <v>23</v>
      </c>
      <c r="CJ133" s="217">
        <f t="shared" si="438"/>
        <v>1.3800000000000001</v>
      </c>
      <c r="CK133" s="217">
        <f t="shared" si="372"/>
        <v>2.3000000000000003E-2</v>
      </c>
      <c r="CL133" s="217">
        <f t="shared" si="373"/>
        <v>5.5200000000000005</v>
      </c>
      <c r="CM133" s="217">
        <f t="shared" si="374"/>
        <v>0.41400000000000003</v>
      </c>
      <c r="CN133" s="541">
        <f t="shared" si="375"/>
        <v>18</v>
      </c>
      <c r="CO133" s="443">
        <f t="shared" si="376"/>
        <v>18.8</v>
      </c>
      <c r="CP133" s="443">
        <f t="shared" si="377"/>
        <v>36.799999999999997</v>
      </c>
      <c r="CQ133" s="443"/>
      <c r="CR133" s="217">
        <f t="shared" si="378"/>
        <v>0.51086956521739135</v>
      </c>
      <c r="CS133" s="172">
        <f t="shared" si="379"/>
        <v>28.513650151668358</v>
      </c>
      <c r="CT133" s="172">
        <f t="shared" si="380"/>
        <v>2.2989130434782612</v>
      </c>
      <c r="CU133" s="217">
        <f t="shared" si="381"/>
        <v>7.1284125379170895</v>
      </c>
      <c r="CV133" s="217">
        <f t="shared" si="382"/>
        <v>1.5840916750926866</v>
      </c>
      <c r="CW133" s="217">
        <f t="shared" si="383"/>
        <v>4</v>
      </c>
      <c r="CX133" s="217">
        <f t="shared" si="384"/>
        <v>1.290609929078014</v>
      </c>
      <c r="CY133" s="217">
        <f t="shared" si="385"/>
        <v>0.86040661938534269</v>
      </c>
      <c r="CZ133" s="217">
        <f t="shared" si="386"/>
        <v>0.82379357175192369</v>
      </c>
      <c r="DA133" s="197">
        <f t="shared" si="387"/>
        <v>350</v>
      </c>
      <c r="DB133" s="443">
        <f t="shared" si="388"/>
        <v>350</v>
      </c>
      <c r="DD133" s="217">
        <f t="shared" si="389"/>
        <v>2.18944099378882</v>
      </c>
      <c r="DE133" s="173">
        <f t="shared" si="390"/>
        <v>1.3975155279503106</v>
      </c>
      <c r="DF133" s="173">
        <f t="shared" si="391"/>
        <v>1.9924134422749624</v>
      </c>
      <c r="DG133" s="173"/>
      <c r="DH133" s="173">
        <f t="shared" si="392"/>
        <v>0.85106382978723416</v>
      </c>
      <c r="DI133" s="545">
        <f t="shared" si="393"/>
        <v>608.06249999999989</v>
      </c>
      <c r="DJ133" s="528">
        <f t="shared" si="394"/>
        <v>0.79432624113475192</v>
      </c>
      <c r="DL133" s="173">
        <f t="shared" si="395"/>
        <v>1.680986105152058</v>
      </c>
      <c r="DM133" s="173">
        <f t="shared" si="396"/>
        <v>1.680986105152058</v>
      </c>
      <c r="DN133" s="173">
        <f t="shared" si="397"/>
        <v>1.4575205717175737</v>
      </c>
      <c r="DP133" s="545">
        <f t="shared" si="398"/>
        <v>1380.0000000000002</v>
      </c>
      <c r="DQ133" s="460">
        <f t="shared" si="399"/>
        <v>350</v>
      </c>
      <c r="DS133" s="460">
        <f t="shared" si="400"/>
        <v>1380.0000000000002</v>
      </c>
      <c r="DT133" s="460">
        <f t="shared" si="401"/>
        <v>350</v>
      </c>
      <c r="DV133" s="5">
        <f t="shared" si="402"/>
        <v>2.8571428571428572</v>
      </c>
      <c r="DW133" s="5">
        <f t="shared" si="403"/>
        <v>1.1206574034347054</v>
      </c>
      <c r="DX133" s="5">
        <f t="shared" si="404"/>
        <v>1.7364854537081518</v>
      </c>
      <c r="DY133" s="173">
        <f t="shared" si="405"/>
        <v>0.39223009120214691</v>
      </c>
      <c r="EA133" s="5">
        <f t="shared" si="406"/>
        <v>38.662680418497338</v>
      </c>
      <c r="EB133" s="5">
        <f t="shared" si="407"/>
        <v>0.14319511266110127</v>
      </c>
      <c r="EC133" s="5">
        <f t="shared" si="408"/>
        <v>0.44376850483652763</v>
      </c>
      <c r="ED133" s="5"/>
      <c r="EE133" s="173">
        <f t="shared" si="409"/>
        <v>0.60781855077452285</v>
      </c>
      <c r="EF133" s="173">
        <f t="shared" si="410"/>
        <v>3.0264470819470697</v>
      </c>
      <c r="EG133" s="173">
        <f t="shared" si="411"/>
        <v>5.766608629115362E-2</v>
      </c>
      <c r="EH133" s="173"/>
      <c r="EI133" s="528">
        <f t="shared" si="412"/>
        <v>4.5072093661208219E-3</v>
      </c>
      <c r="EJ133" s="528">
        <f t="shared" si="413"/>
        <v>0.43302202068717016</v>
      </c>
      <c r="EK133" s="528">
        <f t="shared" si="414"/>
        <v>4.3749999999999997E-2</v>
      </c>
      <c r="EL133" s="528">
        <f t="shared" si="415"/>
        <v>4.7398399999999993E-2</v>
      </c>
      <c r="EM133">
        <f t="shared" si="416"/>
        <v>8.0999999999999996E-3</v>
      </c>
      <c r="EN133" s="460">
        <f t="shared" si="417"/>
        <v>51.849999999999994</v>
      </c>
      <c r="EP133" s="460">
        <f t="shared" si="439"/>
        <v>536.77763005329098</v>
      </c>
      <c r="EQ133" s="173">
        <f t="shared" si="418"/>
        <v>0.96599999999999997</v>
      </c>
      <c r="ER133" s="173">
        <f t="shared" si="419"/>
        <v>1.020625E-2</v>
      </c>
      <c r="ES133" s="528"/>
      <c r="EU133" s="460">
        <f t="shared" si="420"/>
        <v>976.20624999999995</v>
      </c>
      <c r="EV133" s="528">
        <f t="shared" si="421"/>
        <v>1.1083301719969236E-2</v>
      </c>
      <c r="EW133" s="528">
        <f t="shared" si="422"/>
        <v>0.27478145819477795</v>
      </c>
      <c r="EX133" s="528">
        <f t="shared" si="423"/>
        <v>1.6626887540693876E-5</v>
      </c>
      <c r="EY133" s="528">
        <f t="shared" si="424"/>
        <v>0.41980772342972644</v>
      </c>
      <c r="EZ133" s="528"/>
      <c r="FA133" s="625">
        <f t="shared" si="425"/>
        <v>2.4725000000000004E-2</v>
      </c>
      <c r="FB133" s="460">
        <f t="shared" si="426"/>
        <v>730.41411023201431</v>
      </c>
      <c r="FC133" s="173">
        <f t="shared" si="427"/>
        <v>2.2433979902853056</v>
      </c>
      <c r="FD133" s="5">
        <f t="shared" si="428"/>
        <v>5.9340000000000002</v>
      </c>
      <c r="FE133" s="173">
        <f t="shared" si="429"/>
        <v>0.72565870060984594</v>
      </c>
      <c r="FF133" s="5">
        <f t="shared" si="430"/>
        <v>72.565870060984594</v>
      </c>
      <c r="FG133">
        <f t="shared" si="431"/>
        <v>23</v>
      </c>
      <c r="FI133" s="562">
        <f t="shared" si="432"/>
        <v>-50</v>
      </c>
      <c r="FJ133">
        <f t="shared" si="433"/>
        <v>-50</v>
      </c>
    </row>
    <row r="134" spans="5:166">
      <c r="E134" s="170">
        <v>24</v>
      </c>
      <c r="F134" s="217">
        <f t="shared" si="434"/>
        <v>1.44</v>
      </c>
      <c r="G134" s="217">
        <f t="shared" si="313"/>
        <v>2.4E-2</v>
      </c>
      <c r="H134" s="217">
        <f t="shared" si="314"/>
        <v>5.76</v>
      </c>
      <c r="I134" s="217">
        <f t="shared" si="315"/>
        <v>0.432</v>
      </c>
      <c r="J134" s="541">
        <f t="shared" si="316"/>
        <v>17.952418541921915</v>
      </c>
      <c r="K134" s="443">
        <f t="shared" si="317"/>
        <v>19.230855627128825</v>
      </c>
      <c r="L134" s="172">
        <f t="shared" si="318"/>
        <v>37.18327416905074</v>
      </c>
      <c r="M134" s="443"/>
      <c r="N134" s="217">
        <f t="shared" si="319"/>
        <v>0.51719102356875024</v>
      </c>
      <c r="O134" s="172">
        <f t="shared" si="320"/>
        <v>28.790169678236303</v>
      </c>
      <c r="P134" s="172">
        <f t="shared" si="321"/>
        <v>2.3212074303078016</v>
      </c>
      <c r="Q134" s="217">
        <f t="shared" si="322"/>
        <v>7.1975424195590758</v>
      </c>
      <c r="R134" s="217">
        <f t="shared" si="323"/>
        <v>1.5994538710131279</v>
      </c>
      <c r="S134" s="217">
        <f t="shared" si="324"/>
        <v>4</v>
      </c>
      <c r="T134" s="217">
        <f t="shared" si="325"/>
        <v>1.3337885962175546</v>
      </c>
      <c r="U134" s="217">
        <f t="shared" si="326"/>
        <v>0.89154913123461377</v>
      </c>
      <c r="V134" s="217">
        <f t="shared" si="327"/>
        <v>0.83228034492817193</v>
      </c>
      <c r="W134" s="197">
        <f t="shared" si="328"/>
        <v>350</v>
      </c>
      <c r="X134" s="443">
        <f t="shared" si="435"/>
        <v>350</v>
      </c>
      <c r="Z134" s="217">
        <f t="shared" si="329"/>
        <v>2.210673743150287</v>
      </c>
      <c r="AA134" s="173">
        <f t="shared" si="330"/>
        <v>1.3794542183749992</v>
      </c>
      <c r="AB134" s="173">
        <f t="shared" si="331"/>
        <v>1.9857360505187522</v>
      </c>
      <c r="AC134" s="173"/>
      <c r="AD134" s="173">
        <f t="shared" si="332"/>
        <v>0.83199626216469125</v>
      </c>
      <c r="AE134" s="545">
        <f t="shared" si="333"/>
        <v>649.04137741559771</v>
      </c>
      <c r="AF134" s="528">
        <f t="shared" si="334"/>
        <v>0.77652984468704533</v>
      </c>
      <c r="AH134" s="173">
        <f t="shared" si="335"/>
        <v>1.7171404801504822</v>
      </c>
      <c r="AI134" s="173">
        <f t="shared" si="336"/>
        <v>1.7171404801504822</v>
      </c>
      <c r="AJ134" s="173">
        <f t="shared" si="337"/>
        <v>1.4843015902349248</v>
      </c>
      <c r="AL134" s="545">
        <f t="shared" si="338"/>
        <v>1440</v>
      </c>
      <c r="AM134" s="460">
        <f t="shared" si="339"/>
        <v>350</v>
      </c>
      <c r="AO134" s="460">
        <f t="shared" si="340"/>
        <v>1440</v>
      </c>
      <c r="AP134" s="460">
        <f t="shared" si="341"/>
        <v>350</v>
      </c>
      <c r="AR134" s="5">
        <f t="shared" ref="AR134:AR197" si="443">1/AM134*1000</f>
        <v>2.8571428571428572</v>
      </c>
      <c r="AS134" s="5">
        <f t="shared" si="440"/>
        <v>1.1477944163171134</v>
      </c>
      <c r="AT134" s="5">
        <f t="shared" si="441"/>
        <v>1.7093484408257438</v>
      </c>
      <c r="AU134" s="173">
        <f t="shared" si="442"/>
        <v>0.40172804571098969</v>
      </c>
      <c r="AW134" s="5">
        <f t="shared" si="342"/>
        <v>41.320598987416076</v>
      </c>
      <c r="AX134" s="5">
        <f t="shared" si="343"/>
        <v>0.15303925550894848</v>
      </c>
      <c r="AY134" s="5">
        <f t="shared" si="344"/>
        <v>0.45703438212538389</v>
      </c>
      <c r="AZ134" s="5"/>
      <c r="BA134" s="173">
        <f t="shared" si="345"/>
        <v>0.62836397033334668</v>
      </c>
      <c r="BB134" s="173">
        <f t="shared" si="346"/>
        <v>3.0672876973484065</v>
      </c>
      <c r="BC134" s="173">
        <f t="shared" si="347"/>
        <v>5.8444265584611535E-2</v>
      </c>
      <c r="BD134" s="173"/>
      <c r="BE134" s="528">
        <f t="shared" si="348"/>
        <v>4.8170636063996604E-3</v>
      </c>
      <c r="BF134" s="528">
        <f t="shared" si="349"/>
        <v>0.41900844077013338</v>
      </c>
      <c r="BG134" s="528">
        <f t="shared" si="350"/>
        <v>0.15708366224181675</v>
      </c>
      <c r="BH134" s="528">
        <f t="shared" si="351"/>
        <v>4.8390855727577856E-2</v>
      </c>
      <c r="BI134">
        <f t="shared" si="352"/>
        <v>8.0785883438648613E-3</v>
      </c>
      <c r="BJ134" s="460">
        <f t="shared" si="436"/>
        <v>165.16225058568159</v>
      </c>
      <c r="BK134">
        <f t="shared" si="353"/>
        <v>0.47405954469308859</v>
      </c>
      <c r="BL134" s="460">
        <f t="shared" si="437"/>
        <v>637.37861068979248</v>
      </c>
      <c r="BM134" s="173">
        <f t="shared" si="354"/>
        <v>0.89459999999999995</v>
      </c>
      <c r="BN134" s="173">
        <f t="shared" si="355"/>
        <v>1.4909999999999998E-2</v>
      </c>
      <c r="BO134" s="528"/>
      <c r="BQ134" s="460">
        <f t="shared" si="356"/>
        <v>909.50999999999988</v>
      </c>
      <c r="BR134" s="528">
        <f t="shared" si="357"/>
        <v>1.1845238376392609E-2</v>
      </c>
      <c r="BS134" s="528">
        <f t="shared" si="358"/>
        <v>0.28224761454914665</v>
      </c>
      <c r="BT134" s="528">
        <f t="shared" si="359"/>
        <v>1.7078660898623041E-5</v>
      </c>
      <c r="BU134" s="528">
        <f t="shared" si="360"/>
        <v>0.44274603583664407</v>
      </c>
      <c r="BV134" s="528"/>
      <c r="BW134" s="625">
        <f t="shared" si="361"/>
        <v>2.58E-2</v>
      </c>
      <c r="BX134" s="460">
        <f t="shared" si="362"/>
        <v>762.65596742308196</v>
      </c>
      <c r="BY134" s="173">
        <f t="shared" si="363"/>
        <v>2.3095445781128743</v>
      </c>
      <c r="BZ134" s="5">
        <f t="shared" si="364"/>
        <v>6.1920000000000002</v>
      </c>
      <c r="CA134" s="173">
        <f t="shared" si="365"/>
        <v>0.72833823819982446</v>
      </c>
      <c r="CB134" s="5">
        <f t="shared" si="366"/>
        <v>72.833823819982442</v>
      </c>
      <c r="CC134">
        <f t="shared" si="367"/>
        <v>24</v>
      </c>
      <c r="CE134" s="562">
        <f t="shared" si="368"/>
        <v>-50</v>
      </c>
      <c r="CF134">
        <f t="shared" si="369"/>
        <v>-50</v>
      </c>
      <c r="CG134" s="173">
        <f t="shared" si="370"/>
        <v>0.40106241886991506</v>
      </c>
      <c r="CH134" s="173">
        <f t="shared" si="371"/>
        <v>0.10272432088998562</v>
      </c>
      <c r="CI134" s="170">
        <v>24</v>
      </c>
      <c r="CJ134" s="217">
        <f t="shared" si="438"/>
        <v>1.44</v>
      </c>
      <c r="CK134" s="217">
        <f t="shared" si="372"/>
        <v>2.4E-2</v>
      </c>
      <c r="CL134" s="217">
        <f t="shared" si="373"/>
        <v>5.76</v>
      </c>
      <c r="CM134" s="217">
        <f t="shared" si="374"/>
        <v>0.432</v>
      </c>
      <c r="CN134" s="541">
        <f t="shared" si="375"/>
        <v>18</v>
      </c>
      <c r="CO134" s="443">
        <f t="shared" si="376"/>
        <v>18.8</v>
      </c>
      <c r="CP134" s="443">
        <f t="shared" si="377"/>
        <v>36.799999999999997</v>
      </c>
      <c r="CQ134" s="443"/>
      <c r="CR134" s="217">
        <f t="shared" si="378"/>
        <v>0.51086956521739135</v>
      </c>
      <c r="CS134" s="172">
        <f t="shared" si="379"/>
        <v>28.513650151668358</v>
      </c>
      <c r="CT134" s="172">
        <f t="shared" si="380"/>
        <v>2.2989130434782612</v>
      </c>
      <c r="CU134" s="217">
        <f t="shared" si="381"/>
        <v>7.1284125379170895</v>
      </c>
      <c r="CV134" s="217">
        <f t="shared" si="382"/>
        <v>1.5840916750926866</v>
      </c>
      <c r="CW134" s="217">
        <f t="shared" si="383"/>
        <v>4</v>
      </c>
      <c r="CX134" s="217">
        <f t="shared" si="384"/>
        <v>1.3467234042553189</v>
      </c>
      <c r="CY134" s="217">
        <f t="shared" si="385"/>
        <v>0.89781560283687922</v>
      </c>
      <c r="CZ134" s="217">
        <f t="shared" si="386"/>
        <v>0.8596106835672247</v>
      </c>
      <c r="DA134" s="197">
        <f t="shared" si="387"/>
        <v>350</v>
      </c>
      <c r="DB134" s="443">
        <f t="shared" si="388"/>
        <v>350</v>
      </c>
      <c r="DD134" s="217">
        <f t="shared" si="389"/>
        <v>2.18944099378882</v>
      </c>
      <c r="DE134" s="173">
        <f t="shared" si="390"/>
        <v>1.3975155279503106</v>
      </c>
      <c r="DF134" s="173">
        <f t="shared" si="391"/>
        <v>1.9924134422749624</v>
      </c>
      <c r="DG134" s="173"/>
      <c r="DH134" s="173">
        <f t="shared" si="392"/>
        <v>0.85106382978723416</v>
      </c>
      <c r="DI134" s="545">
        <f t="shared" si="393"/>
        <v>634.49999999999989</v>
      </c>
      <c r="DJ134" s="528">
        <f t="shared" si="394"/>
        <v>0.79432624113475192</v>
      </c>
      <c r="DL134" s="173">
        <f t="shared" si="395"/>
        <v>1.7171404801504822</v>
      </c>
      <c r="DM134" s="173">
        <f t="shared" si="396"/>
        <v>1.7171404801504822</v>
      </c>
      <c r="DN134" s="173">
        <f t="shared" si="397"/>
        <v>1.4843015902349248</v>
      </c>
      <c r="DP134" s="545">
        <f t="shared" si="398"/>
        <v>1440</v>
      </c>
      <c r="DQ134" s="460">
        <f t="shared" si="399"/>
        <v>350</v>
      </c>
      <c r="DS134" s="460">
        <f t="shared" si="400"/>
        <v>1440</v>
      </c>
      <c r="DT134" s="460">
        <f t="shared" si="401"/>
        <v>350</v>
      </c>
      <c r="DV134" s="5">
        <f t="shared" si="402"/>
        <v>2.8571428571428572</v>
      </c>
      <c r="DW134" s="5">
        <f t="shared" si="403"/>
        <v>1.1447603201003214</v>
      </c>
      <c r="DX134" s="5">
        <f t="shared" si="404"/>
        <v>1.7123825370425358</v>
      </c>
      <c r="DY134" s="173">
        <f t="shared" si="405"/>
        <v>0.40066611203511249</v>
      </c>
      <c r="EA134" s="5">
        <f t="shared" si="406"/>
        <v>41.211371523611568</v>
      </c>
      <c r="EB134" s="5">
        <f t="shared" si="407"/>
        <v>0.15263470934670953</v>
      </c>
      <c r="EC134" s="5">
        <f t="shared" si="408"/>
        <v>0.45663534321134286</v>
      </c>
      <c r="ED134" s="5"/>
      <c r="EE134" s="173">
        <f t="shared" si="409"/>
        <v>0.62753290759490099</v>
      </c>
      <c r="EF134" s="173">
        <f t="shared" si="410"/>
        <v>3.0700087107176284</v>
      </c>
      <c r="EG134" s="173">
        <f t="shared" si="411"/>
        <v>5.8496111920430485E-2</v>
      </c>
      <c r="EH134" s="173"/>
      <c r="EI134" s="528">
        <f t="shared" si="412"/>
        <v>4.8043301113970286E-3</v>
      </c>
      <c r="EJ134" s="528">
        <f t="shared" si="413"/>
        <v>0.44233538768676417</v>
      </c>
      <c r="EK134" s="528">
        <f t="shared" si="414"/>
        <v>4.3749999999999997E-2</v>
      </c>
      <c r="EL134" s="528">
        <f t="shared" si="415"/>
        <v>4.7398399999999993E-2</v>
      </c>
      <c r="EM134">
        <f t="shared" si="416"/>
        <v>8.0999999999999996E-3</v>
      </c>
      <c r="EN134" s="460">
        <f t="shared" si="417"/>
        <v>51.849999999999994</v>
      </c>
      <c r="EP134" s="460">
        <f t="shared" si="439"/>
        <v>546.38811779816126</v>
      </c>
      <c r="EQ134" s="173">
        <f t="shared" si="418"/>
        <v>1.008</v>
      </c>
      <c r="ER134" s="173">
        <f t="shared" si="419"/>
        <v>1.065E-2</v>
      </c>
      <c r="ES134" s="528"/>
      <c r="EU134" s="460">
        <f t="shared" si="420"/>
        <v>1018.6500000000001</v>
      </c>
      <c r="EV134" s="528">
        <f t="shared" si="421"/>
        <v>1.1813926503435317E-2</v>
      </c>
      <c r="EW134" s="528">
        <f t="shared" si="422"/>
        <v>0.28274860451646344</v>
      </c>
      <c r="EX134" s="528">
        <f t="shared" si="423"/>
        <v>1.7108975549037649E-5</v>
      </c>
      <c r="EY134" s="528">
        <f t="shared" si="424"/>
        <v>0.44274603583664407</v>
      </c>
      <c r="EZ134" s="528"/>
      <c r="FA134" s="625">
        <f t="shared" si="425"/>
        <v>2.58E-2</v>
      </c>
      <c r="FB134" s="460">
        <f t="shared" si="426"/>
        <v>763.12567583209193</v>
      </c>
      <c r="FC134" s="173">
        <f t="shared" si="427"/>
        <v>2.3281637936302531</v>
      </c>
      <c r="FD134" s="5">
        <f t="shared" si="428"/>
        <v>6.1920000000000002</v>
      </c>
      <c r="FE134" s="173">
        <f t="shared" si="429"/>
        <v>0.72674659196448688</v>
      </c>
      <c r="FF134" s="5">
        <f t="shared" si="430"/>
        <v>72.674659196448687</v>
      </c>
      <c r="FG134">
        <f t="shared" si="431"/>
        <v>24</v>
      </c>
      <c r="FI134" s="562">
        <f t="shared" si="432"/>
        <v>-50</v>
      </c>
      <c r="FJ134">
        <f t="shared" si="433"/>
        <v>-50</v>
      </c>
    </row>
    <row r="135" spans="5:166">
      <c r="E135" s="170">
        <v>25</v>
      </c>
      <c r="F135" s="217">
        <f t="shared" si="434"/>
        <v>1.5</v>
      </c>
      <c r="G135" s="217">
        <f t="shared" si="313"/>
        <v>2.5000000000000001E-2</v>
      </c>
      <c r="H135" s="217">
        <f t="shared" si="314"/>
        <v>6</v>
      </c>
      <c r="I135" s="217">
        <f t="shared" si="315"/>
        <v>0.45</v>
      </c>
      <c r="J135" s="541">
        <f t="shared" si="316"/>
        <v>17.951437377704611</v>
      </c>
      <c r="K135" s="443">
        <f t="shared" si="317"/>
        <v>19.239740183030193</v>
      </c>
      <c r="L135" s="172">
        <f t="shared" si="318"/>
        <v>37.191177560734801</v>
      </c>
      <c r="M135" s="443"/>
      <c r="N135" s="217">
        <f t="shared" si="319"/>
        <v>0.51732000557419477</v>
      </c>
      <c r="O135" s="172">
        <f t="shared" si="320"/>
        <v>28.795775765268086</v>
      </c>
      <c r="P135" s="172">
        <f t="shared" si="321"/>
        <v>2.3216594210747394</v>
      </c>
      <c r="Q135" s="217">
        <f t="shared" si="322"/>
        <v>7.1989439413170215</v>
      </c>
      <c r="R135" s="217">
        <f t="shared" si="323"/>
        <v>1.5997653202926714</v>
      </c>
      <c r="S135" s="217">
        <f t="shared" si="324"/>
        <v>4</v>
      </c>
      <c r="T135" s="217">
        <f t="shared" si="325"/>
        <v>1.3890926337968588</v>
      </c>
      <c r="U135" s="217">
        <f t="shared" si="326"/>
        <v>0.92856695844674075</v>
      </c>
      <c r="V135" s="217">
        <f t="shared" si="327"/>
        <v>0.86638964180320743</v>
      </c>
      <c r="W135" s="197">
        <f t="shared" si="328"/>
        <v>350</v>
      </c>
      <c r="X135" s="443">
        <f t="shared" si="435"/>
        <v>350</v>
      </c>
      <c r="Z135" s="217">
        <f t="shared" si="329"/>
        <v>2.2111042105473699</v>
      </c>
      <c r="AA135" s="173">
        <f t="shared" si="330"/>
        <v>1.3790856983594433</v>
      </c>
      <c r="AB135" s="173">
        <f t="shared" si="331"/>
        <v>1.9855921265523326</v>
      </c>
      <c r="AC135" s="173"/>
      <c r="AD135" s="173">
        <f t="shared" si="332"/>
        <v>0.8316120616905367</v>
      </c>
      <c r="AE135" s="545">
        <f t="shared" si="333"/>
        <v>676.39711580965502</v>
      </c>
      <c r="AF135" s="528">
        <f t="shared" si="334"/>
        <v>0.77617125757783434</v>
      </c>
      <c r="AH135" s="173">
        <f t="shared" si="335"/>
        <v>1.752549163769328</v>
      </c>
      <c r="AI135" s="173">
        <f t="shared" si="336"/>
        <v>1.752549163769328</v>
      </c>
      <c r="AJ135" s="173">
        <f t="shared" si="337"/>
        <v>1.5105302447674034</v>
      </c>
      <c r="AL135" s="545">
        <f t="shared" si="338"/>
        <v>1500</v>
      </c>
      <c r="AM135" s="460">
        <f t="shared" si="339"/>
        <v>350</v>
      </c>
      <c r="AO135" s="460">
        <f t="shared" si="340"/>
        <v>1500</v>
      </c>
      <c r="AP135" s="460">
        <f t="shared" si="341"/>
        <v>350</v>
      </c>
      <c r="AR135" s="5">
        <f t="shared" si="443"/>
        <v>2.8571428571428572</v>
      </c>
      <c r="AS135" s="5">
        <f t="shared" si="440"/>
        <v>1.1715267988150957</v>
      </c>
      <c r="AT135" s="5">
        <f t="shared" si="441"/>
        <v>1.6856160583277615</v>
      </c>
      <c r="AU135" s="173">
        <f t="shared" si="442"/>
        <v>0.41003437958528349</v>
      </c>
      <c r="AW135" s="5">
        <f t="shared" si="342"/>
        <v>43.932254955566087</v>
      </c>
      <c r="AX135" s="5">
        <f t="shared" si="343"/>
        <v>0.16271205539098552</v>
      </c>
      <c r="AY135" s="5">
        <f t="shared" si="344"/>
        <v>0.46949333996543047</v>
      </c>
      <c r="AZ135" s="5"/>
      <c r="BA135" s="173">
        <f t="shared" si="345"/>
        <v>0.64791751242634466</v>
      </c>
      <c r="BB135" s="173">
        <f t="shared" si="346"/>
        <v>3.1087294405291206</v>
      </c>
      <c r="BC135" s="173">
        <f t="shared" si="347"/>
        <v>5.9233898799271073E-2</v>
      </c>
      <c r="BD135" s="173"/>
      <c r="BE135" s="528">
        <f t="shared" si="348"/>
        <v>5.1215246554866586E-3</v>
      </c>
      <c r="BF135" s="528">
        <f t="shared" si="349"/>
        <v>0.42773959681465928</v>
      </c>
      <c r="BG135" s="528">
        <f t="shared" si="350"/>
        <v>0.15707507705491536</v>
      </c>
      <c r="BH135" s="528">
        <f t="shared" si="351"/>
        <v>4.8411429092393633E-2</v>
      </c>
      <c r="BI135">
        <f t="shared" si="352"/>
        <v>8.0781468199670747E-3</v>
      </c>
      <c r="BJ135" s="460">
        <f t="shared" si="436"/>
        <v>165.15322387488243</v>
      </c>
      <c r="BK135">
        <f t="shared" si="353"/>
        <v>0.48324340868396609</v>
      </c>
      <c r="BL135" s="460">
        <f t="shared" si="437"/>
        <v>646.42577443742198</v>
      </c>
      <c r="BM135" s="173">
        <f t="shared" si="354"/>
        <v>0.93187499999999979</v>
      </c>
      <c r="BN135" s="173">
        <f t="shared" si="355"/>
        <v>1.5531249999999998E-2</v>
      </c>
      <c r="BO135" s="528"/>
      <c r="BQ135" s="460">
        <f t="shared" si="356"/>
        <v>947.40624999999977</v>
      </c>
      <c r="BR135" s="528">
        <f t="shared" si="357"/>
        <v>1.2593913087262274E-2</v>
      </c>
      <c r="BS135" s="528">
        <f t="shared" si="358"/>
        <v>0.28992596203237497</v>
      </c>
      <c r="BT135" s="528">
        <f t="shared" si="359"/>
        <v>1.7543273834811436E-5</v>
      </c>
      <c r="BU135" s="528">
        <f t="shared" si="360"/>
        <v>0.46592459898023475</v>
      </c>
      <c r="BV135" s="528"/>
      <c r="BW135" s="625">
        <f t="shared" si="361"/>
        <v>2.6874999999999996E-2</v>
      </c>
      <c r="BX135" s="460">
        <f t="shared" si="362"/>
        <v>795.33701737370677</v>
      </c>
      <c r="BY135" s="173">
        <f t="shared" si="363"/>
        <v>2.3891690418111287</v>
      </c>
      <c r="BZ135" s="5">
        <f t="shared" si="364"/>
        <v>6.45</v>
      </c>
      <c r="CA135" s="173">
        <f t="shared" si="365"/>
        <v>0.72970660132079646</v>
      </c>
      <c r="CB135" s="5">
        <f t="shared" si="366"/>
        <v>72.970660132079644</v>
      </c>
      <c r="CC135">
        <f t="shared" si="367"/>
        <v>25</v>
      </c>
      <c r="CE135" s="562">
        <f t="shared" si="368"/>
        <v>-50</v>
      </c>
      <c r="CF135">
        <f t="shared" si="369"/>
        <v>-50</v>
      </c>
      <c r="CG135" s="173">
        <f t="shared" si="370"/>
        <v>0.40933261718236147</v>
      </c>
      <c r="CH135" s="173">
        <f t="shared" si="371"/>
        <v>0.10484257098099481</v>
      </c>
      <c r="CI135" s="170">
        <v>25</v>
      </c>
      <c r="CJ135" s="217">
        <f t="shared" si="438"/>
        <v>1.5</v>
      </c>
      <c r="CK135" s="217">
        <f t="shared" si="372"/>
        <v>2.5000000000000001E-2</v>
      </c>
      <c r="CL135" s="217">
        <f t="shared" si="373"/>
        <v>6</v>
      </c>
      <c r="CM135" s="217">
        <f t="shared" si="374"/>
        <v>0.45</v>
      </c>
      <c r="CN135" s="541">
        <f t="shared" si="375"/>
        <v>18</v>
      </c>
      <c r="CO135" s="443">
        <f t="shared" si="376"/>
        <v>18.8</v>
      </c>
      <c r="CP135" s="443">
        <f t="shared" si="377"/>
        <v>36.799999999999997</v>
      </c>
      <c r="CQ135" s="443"/>
      <c r="CR135" s="217">
        <f t="shared" si="378"/>
        <v>0.51086956521739135</v>
      </c>
      <c r="CS135" s="172">
        <f t="shared" si="379"/>
        <v>28.513650151668358</v>
      </c>
      <c r="CT135" s="172">
        <f t="shared" si="380"/>
        <v>2.2989130434782612</v>
      </c>
      <c r="CU135" s="217">
        <f t="shared" si="381"/>
        <v>7.1284125379170895</v>
      </c>
      <c r="CV135" s="217">
        <f t="shared" si="382"/>
        <v>1.5840916750926866</v>
      </c>
      <c r="CW135" s="217">
        <f t="shared" si="383"/>
        <v>4</v>
      </c>
      <c r="CX135" s="217">
        <f t="shared" si="384"/>
        <v>1.402836879432624</v>
      </c>
      <c r="CY135" s="217">
        <f t="shared" si="385"/>
        <v>0.93522458628841598</v>
      </c>
      <c r="CZ135" s="217">
        <f t="shared" si="386"/>
        <v>0.89542779538252593</v>
      </c>
      <c r="DA135" s="197">
        <f t="shared" si="387"/>
        <v>350</v>
      </c>
      <c r="DB135" s="443">
        <f t="shared" si="388"/>
        <v>350</v>
      </c>
      <c r="DD135" s="217">
        <f t="shared" si="389"/>
        <v>2.18944099378882</v>
      </c>
      <c r="DE135" s="173">
        <f t="shared" si="390"/>
        <v>1.3975155279503106</v>
      </c>
      <c r="DF135" s="173">
        <f t="shared" si="391"/>
        <v>1.9924134422749624</v>
      </c>
      <c r="DG135" s="173"/>
      <c r="DH135" s="173">
        <f t="shared" si="392"/>
        <v>0.85106382978723416</v>
      </c>
      <c r="DI135" s="545">
        <f t="shared" si="393"/>
        <v>660.93749999999989</v>
      </c>
      <c r="DJ135" s="528">
        <f t="shared" si="394"/>
        <v>0.79432624113475192</v>
      </c>
      <c r="DL135" s="173">
        <f t="shared" si="395"/>
        <v>1.752549163769328</v>
      </c>
      <c r="DM135" s="173">
        <f t="shared" si="396"/>
        <v>1.752549163769328</v>
      </c>
      <c r="DN135" s="173">
        <f t="shared" si="397"/>
        <v>1.5105302447674034</v>
      </c>
      <c r="DP135" s="545">
        <f t="shared" si="398"/>
        <v>1500</v>
      </c>
      <c r="DQ135" s="460">
        <f t="shared" si="399"/>
        <v>350</v>
      </c>
      <c r="DS135" s="460">
        <f t="shared" si="400"/>
        <v>1500</v>
      </c>
      <c r="DT135" s="460">
        <f t="shared" si="401"/>
        <v>350</v>
      </c>
      <c r="DV135" s="5">
        <f t="shared" si="402"/>
        <v>2.8571428571428572</v>
      </c>
      <c r="DW135" s="5">
        <f t="shared" si="403"/>
        <v>1.1683661091795521</v>
      </c>
      <c r="DX135" s="5">
        <f t="shared" si="404"/>
        <v>1.6887767479633051</v>
      </c>
      <c r="DY135" s="173">
        <f t="shared" si="405"/>
        <v>0.40892813821284324</v>
      </c>
      <c r="EA135" s="5">
        <f t="shared" si="406"/>
        <v>43.813729094233203</v>
      </c>
      <c r="EB135" s="5">
        <f t="shared" si="407"/>
        <v>0.16227307071938224</v>
      </c>
      <c r="EC135" s="5">
        <f t="shared" si="408"/>
        <v>0.46910465221202913</v>
      </c>
      <c r="ED135" s="5"/>
      <c r="EE135" s="173">
        <f t="shared" si="409"/>
        <v>0.64704290619402216</v>
      </c>
      <c r="EF135" s="173">
        <f t="shared" si="410"/>
        <v>3.11164265648488</v>
      </c>
      <c r="EG135" s="173">
        <f t="shared" si="411"/>
        <v>5.9289407373563252E-2</v>
      </c>
      <c r="EH135" s="173"/>
      <c r="EI135" s="528">
        <f t="shared" si="412"/>
        <v>5.1077071739632747E-3</v>
      </c>
      <c r="EJ135" s="528">
        <f t="shared" si="413"/>
        <v>0.45145666458697886</v>
      </c>
      <c r="EK135" s="528">
        <f t="shared" si="414"/>
        <v>4.3749999999999997E-2</v>
      </c>
      <c r="EL135" s="528">
        <f t="shared" si="415"/>
        <v>4.7398399999999993E-2</v>
      </c>
      <c r="EM135">
        <f t="shared" si="416"/>
        <v>8.0999999999999996E-3</v>
      </c>
      <c r="EN135" s="460">
        <f t="shared" si="417"/>
        <v>51.849999999999994</v>
      </c>
      <c r="EP135" s="460">
        <f t="shared" si="439"/>
        <v>555.81277176094204</v>
      </c>
      <c r="EQ135" s="173">
        <f t="shared" si="418"/>
        <v>1.0499999999999998</v>
      </c>
      <c r="ER135" s="173">
        <f t="shared" si="419"/>
        <v>1.1093749999999999E-2</v>
      </c>
      <c r="ES135" s="528"/>
      <c r="EU135" s="460">
        <f t="shared" si="420"/>
        <v>1061.0937499999998</v>
      </c>
      <c r="EV135" s="528">
        <f t="shared" si="421"/>
        <v>1.2559935673680184E-2</v>
      </c>
      <c r="EW135" s="528">
        <f t="shared" si="422"/>
        <v>0.29046960064968841</v>
      </c>
      <c r="EX135" s="528">
        <f t="shared" si="423"/>
        <v>1.7576169133541681E-5</v>
      </c>
      <c r="EY135" s="528">
        <f t="shared" si="424"/>
        <v>0.46592459898023475</v>
      </c>
      <c r="EZ135" s="528"/>
      <c r="FA135" s="625">
        <f t="shared" si="425"/>
        <v>2.6874999999999996E-2</v>
      </c>
      <c r="FB135" s="460">
        <f t="shared" si="426"/>
        <v>795.84671147273684</v>
      </c>
      <c r="FC135" s="173">
        <f t="shared" si="427"/>
        <v>2.4127532332336785</v>
      </c>
      <c r="FD135" s="5">
        <f t="shared" si="428"/>
        <v>6.45</v>
      </c>
      <c r="FE135" s="173">
        <f t="shared" si="429"/>
        <v>0.7277648187037068</v>
      </c>
      <c r="FF135" s="5">
        <f t="shared" si="430"/>
        <v>72.776481870370674</v>
      </c>
      <c r="FG135">
        <f t="shared" si="431"/>
        <v>25</v>
      </c>
      <c r="FI135" s="562">
        <f t="shared" si="432"/>
        <v>-50</v>
      </c>
      <c r="FJ135">
        <f t="shared" si="433"/>
        <v>-50</v>
      </c>
    </row>
    <row r="136" spans="5:166">
      <c r="E136" s="170">
        <v>26</v>
      </c>
      <c r="F136" s="217">
        <f t="shared" si="434"/>
        <v>1.56</v>
      </c>
      <c r="G136" s="217">
        <f t="shared" si="313"/>
        <v>2.6000000000000002E-2</v>
      </c>
      <c r="H136" s="217">
        <f t="shared" si="314"/>
        <v>6.24</v>
      </c>
      <c r="I136" s="217">
        <f t="shared" si="315"/>
        <v>0.46800000000000003</v>
      </c>
      <c r="J136" s="541">
        <f t="shared" si="316"/>
        <v>17.950475648256912</v>
      </c>
      <c r="K136" s="443">
        <f t="shared" si="317"/>
        <v>19.248448754836364</v>
      </c>
      <c r="L136" s="172">
        <f t="shared" si="318"/>
        <v>37.198924403093272</v>
      </c>
      <c r="M136" s="443"/>
      <c r="N136" s="217">
        <f t="shared" si="319"/>
        <v>0.51744637953122541</v>
      </c>
      <c r="O136" s="172">
        <f t="shared" si="320"/>
        <v>28.801267085438653</v>
      </c>
      <c r="P136" s="172">
        <f t="shared" si="321"/>
        <v>2.3221021587634914</v>
      </c>
      <c r="Q136" s="217">
        <f t="shared" si="322"/>
        <v>7.2003167713596632</v>
      </c>
      <c r="R136" s="217">
        <f t="shared" si="323"/>
        <v>1.6000703936354808</v>
      </c>
      <c r="S136" s="217">
        <f t="shared" si="324"/>
        <v>4</v>
      </c>
      <c r="T136" s="217">
        <f t="shared" si="325"/>
        <v>1.4443808974304513</v>
      </c>
      <c r="U136" s="217">
        <f t="shared" si="326"/>
        <v>0.96557724200742867</v>
      </c>
      <c r="V136" s="217">
        <f t="shared" si="327"/>
        <v>0.90046584999793478</v>
      </c>
      <c r="W136" s="197">
        <f t="shared" si="328"/>
        <v>350</v>
      </c>
      <c r="X136" s="443">
        <f t="shared" si="435"/>
        <v>350</v>
      </c>
      <c r="Z136" s="217">
        <f t="shared" si="329"/>
        <v>2.2115258654890395</v>
      </c>
      <c r="AA136" s="173">
        <f t="shared" si="330"/>
        <v>1.3787246299107849</v>
      </c>
      <c r="AB136" s="173">
        <f t="shared" si="331"/>
        <v>1.9854508151666543</v>
      </c>
      <c r="AC136" s="173"/>
      <c r="AD136" s="173">
        <f t="shared" si="332"/>
        <v>0.83123581561240589</v>
      </c>
      <c r="AE136" s="545">
        <f t="shared" si="333"/>
        <v>703.77140759870429</v>
      </c>
      <c r="AF136" s="528">
        <f t="shared" si="334"/>
        <v>0.77582009457157897</v>
      </c>
      <c r="AH136" s="173">
        <f t="shared" si="335"/>
        <v>1.7872564769181043</v>
      </c>
      <c r="AI136" s="173">
        <f t="shared" si="336"/>
        <v>1.7872564769181043</v>
      </c>
      <c r="AJ136" s="173">
        <f t="shared" si="337"/>
        <v>1.5362393656183486</v>
      </c>
      <c r="AL136" s="545">
        <f t="shared" si="338"/>
        <v>1560</v>
      </c>
      <c r="AM136" s="460">
        <f t="shared" si="339"/>
        <v>350</v>
      </c>
      <c r="AO136" s="460">
        <f t="shared" si="340"/>
        <v>1560</v>
      </c>
      <c r="AP136" s="460">
        <f t="shared" si="341"/>
        <v>350</v>
      </c>
      <c r="AR136" s="5">
        <f t="shared" si="443"/>
        <v>2.8571428571428572</v>
      </c>
      <c r="AS136" s="5">
        <f t="shared" si="440"/>
        <v>1.1947916112796642</v>
      </c>
      <c r="AT136" s="5">
        <f t="shared" si="441"/>
        <v>1.662351245863193</v>
      </c>
      <c r="AU136" s="173">
        <f t="shared" si="442"/>
        <v>0.41817706394788245</v>
      </c>
      <c r="AW136" s="5">
        <f t="shared" si="342"/>
        <v>46.596872839906908</v>
      </c>
      <c r="AX136" s="5">
        <f t="shared" si="343"/>
        <v>0.17258101051817373</v>
      </c>
      <c r="AY136" s="5">
        <f t="shared" si="344"/>
        <v>0.48155974514959465</v>
      </c>
      <c r="AZ136" s="5"/>
      <c r="BA136" s="173">
        <f t="shared" si="345"/>
        <v>0.66727730902293403</v>
      </c>
      <c r="BB136" s="173">
        <f t="shared" si="346"/>
        <v>3.1483402551186024</v>
      </c>
      <c r="BC136" s="173">
        <f t="shared" si="347"/>
        <v>5.9988645401584176E-2</v>
      </c>
      <c r="BD136" s="173"/>
      <c r="BE136" s="528">
        <f t="shared" si="348"/>
        <v>5.4321598870700361E-3</v>
      </c>
      <c r="BF136" s="528">
        <f t="shared" si="349"/>
        <v>0.43630137189066337</v>
      </c>
      <c r="BG136" s="528">
        <f t="shared" si="350"/>
        <v>0.15706666192224797</v>
      </c>
      <c r="BH136" s="528">
        <f t="shared" si="351"/>
        <v>4.8431599186146687E-2</v>
      </c>
      <c r="BI136">
        <f t="shared" si="352"/>
        <v>8.0777140417156099E-3</v>
      </c>
      <c r="BJ136" s="460">
        <f t="shared" si="436"/>
        <v>165.1443759639636</v>
      </c>
      <c r="BK136">
        <f t="shared" si="353"/>
        <v>0.49226717411506415</v>
      </c>
      <c r="BL136" s="460">
        <f t="shared" si="437"/>
        <v>655.3095069278437</v>
      </c>
      <c r="BM136" s="173">
        <f t="shared" si="354"/>
        <v>0.96914999999999984</v>
      </c>
      <c r="BN136" s="173">
        <f t="shared" si="355"/>
        <v>1.61525E-2</v>
      </c>
      <c r="BO136" s="528"/>
      <c r="BQ136" s="460">
        <f t="shared" si="356"/>
        <v>985.3024999999999</v>
      </c>
      <c r="BR136" s="528">
        <f t="shared" si="357"/>
        <v>1.3357770214106645E-2</v>
      </c>
      <c r="BS136" s="528">
        <f t="shared" si="358"/>
        <v>0.29736139086000796</v>
      </c>
      <c r="BT136" s="528">
        <f t="shared" si="359"/>
        <v>1.7993187885585032E-5</v>
      </c>
      <c r="BU136" s="528">
        <f t="shared" si="360"/>
        <v>0.48933616521415857</v>
      </c>
      <c r="BV136" s="528"/>
      <c r="BW136" s="625">
        <f t="shared" si="361"/>
        <v>2.7950000000000003E-2</v>
      </c>
      <c r="BX136" s="460">
        <f t="shared" si="362"/>
        <v>828.0233194761588</v>
      </c>
      <c r="BY136" s="173">
        <f t="shared" si="363"/>
        <v>2.4686353264040024</v>
      </c>
      <c r="BZ136" s="5">
        <f t="shared" si="364"/>
        <v>6.7080000000000002</v>
      </c>
      <c r="CA136" s="173">
        <f t="shared" si="365"/>
        <v>0.73098687715082455</v>
      </c>
      <c r="CB136" s="5">
        <f t="shared" si="366"/>
        <v>73.098687715082463</v>
      </c>
      <c r="CC136">
        <f t="shared" si="367"/>
        <v>26</v>
      </c>
      <c r="CE136" s="562">
        <f t="shared" si="368"/>
        <v>-50</v>
      </c>
      <c r="CF136">
        <f t="shared" si="369"/>
        <v>-50</v>
      </c>
      <c r="CG136" s="173">
        <f t="shared" si="370"/>
        <v>0.41743900051257332</v>
      </c>
      <c r="CH136" s="173">
        <f t="shared" si="371"/>
        <v>0.10691886305746583</v>
      </c>
      <c r="CI136" s="170">
        <v>26</v>
      </c>
      <c r="CJ136" s="217">
        <f t="shared" si="438"/>
        <v>1.56</v>
      </c>
      <c r="CK136" s="217">
        <f t="shared" si="372"/>
        <v>2.6000000000000002E-2</v>
      </c>
      <c r="CL136" s="217">
        <f t="shared" si="373"/>
        <v>6.24</v>
      </c>
      <c r="CM136" s="217">
        <f t="shared" si="374"/>
        <v>0.46800000000000003</v>
      </c>
      <c r="CN136" s="541">
        <f t="shared" si="375"/>
        <v>18</v>
      </c>
      <c r="CO136" s="443">
        <f t="shared" si="376"/>
        <v>18.8</v>
      </c>
      <c r="CP136" s="443">
        <f t="shared" si="377"/>
        <v>36.799999999999997</v>
      </c>
      <c r="CQ136" s="443"/>
      <c r="CR136" s="217">
        <f t="shared" si="378"/>
        <v>0.51086956521739135</v>
      </c>
      <c r="CS136" s="172">
        <f t="shared" si="379"/>
        <v>28.513650151668358</v>
      </c>
      <c r="CT136" s="172">
        <f t="shared" si="380"/>
        <v>2.2989130434782612</v>
      </c>
      <c r="CU136" s="217">
        <f t="shared" si="381"/>
        <v>7.1284125379170895</v>
      </c>
      <c r="CV136" s="217">
        <f t="shared" si="382"/>
        <v>1.5840916750926866</v>
      </c>
      <c r="CW136" s="217">
        <f t="shared" si="383"/>
        <v>4</v>
      </c>
      <c r="CX136" s="217">
        <f t="shared" si="384"/>
        <v>1.4589503546099289</v>
      </c>
      <c r="CY136" s="217">
        <f t="shared" si="385"/>
        <v>0.97263356973995263</v>
      </c>
      <c r="CZ136" s="217">
        <f t="shared" si="386"/>
        <v>0.93124490719782704</v>
      </c>
      <c r="DA136" s="197">
        <f t="shared" si="387"/>
        <v>350</v>
      </c>
      <c r="DB136" s="443">
        <f t="shared" si="388"/>
        <v>350</v>
      </c>
      <c r="DD136" s="217">
        <f t="shared" si="389"/>
        <v>2.18944099378882</v>
      </c>
      <c r="DE136" s="173">
        <f t="shared" si="390"/>
        <v>1.3975155279503106</v>
      </c>
      <c r="DF136" s="173">
        <f t="shared" si="391"/>
        <v>1.9924134422749624</v>
      </c>
      <c r="DG136" s="173"/>
      <c r="DH136" s="173">
        <f t="shared" si="392"/>
        <v>0.85106382978723416</v>
      </c>
      <c r="DI136" s="545">
        <f t="shared" si="393"/>
        <v>687.37499999999989</v>
      </c>
      <c r="DJ136" s="528">
        <f t="shared" si="394"/>
        <v>0.79432624113475192</v>
      </c>
      <c r="DL136" s="173">
        <f t="shared" si="395"/>
        <v>1.7872564769181043</v>
      </c>
      <c r="DM136" s="173">
        <f t="shared" si="396"/>
        <v>1.7872564769181043</v>
      </c>
      <c r="DN136" s="173">
        <f t="shared" si="397"/>
        <v>1.5362393656183486</v>
      </c>
      <c r="DP136" s="545">
        <f t="shared" si="398"/>
        <v>1560</v>
      </c>
      <c r="DQ136" s="460">
        <f t="shared" si="399"/>
        <v>350</v>
      </c>
      <c r="DS136" s="460">
        <f t="shared" si="400"/>
        <v>1560</v>
      </c>
      <c r="DT136" s="460">
        <f t="shared" si="401"/>
        <v>350</v>
      </c>
      <c r="DV136" s="5">
        <f t="shared" si="402"/>
        <v>2.8571428571428572</v>
      </c>
      <c r="DW136" s="5">
        <f t="shared" si="403"/>
        <v>1.191504317945403</v>
      </c>
      <c r="DX136" s="5">
        <f t="shared" si="404"/>
        <v>1.6656385391974542</v>
      </c>
      <c r="DY136" s="173">
        <f t="shared" si="405"/>
        <v>0.41702651128089102</v>
      </c>
      <c r="EA136" s="5">
        <f t="shared" si="406"/>
        <v>46.468668399870722</v>
      </c>
      <c r="EB136" s="5">
        <f t="shared" si="407"/>
        <v>0.17210617925878044</v>
      </c>
      <c r="EC136" s="5">
        <f t="shared" si="408"/>
        <v>0.48118446687926447</v>
      </c>
      <c r="ED136" s="5"/>
      <c r="EE136" s="173">
        <f t="shared" si="409"/>
        <v>0.66635871907528421</v>
      </c>
      <c r="EF136" s="173">
        <f t="shared" si="410"/>
        <v>3.151451633198266</v>
      </c>
      <c r="EG136" s="173">
        <f t="shared" si="411"/>
        <v>6.0047929767696691E-2</v>
      </c>
      <c r="EH136" s="173"/>
      <c r="EI136" s="528">
        <f t="shared" si="412"/>
        <v>5.417214098349373E-3</v>
      </c>
      <c r="EJ136" s="528">
        <f t="shared" si="413"/>
        <v>0.46039726845410373</v>
      </c>
      <c r="EK136" s="528">
        <f t="shared" si="414"/>
        <v>4.3749999999999997E-2</v>
      </c>
      <c r="EL136" s="528">
        <f t="shared" si="415"/>
        <v>4.7398399999999993E-2</v>
      </c>
      <c r="EM136">
        <f t="shared" si="416"/>
        <v>8.0999999999999996E-3</v>
      </c>
      <c r="EN136" s="460">
        <f t="shared" si="417"/>
        <v>51.849999999999994</v>
      </c>
      <c r="EP136" s="460">
        <f t="shared" si="439"/>
        <v>565.06288255245306</v>
      </c>
      <c r="EQ136" s="173">
        <f t="shared" si="418"/>
        <v>1.0919999999999999</v>
      </c>
      <c r="ER136" s="173">
        <f t="shared" si="419"/>
        <v>1.1537500000000001E-2</v>
      </c>
      <c r="ES136" s="528"/>
      <c r="EU136" s="460">
        <f t="shared" si="420"/>
        <v>1103.5374999999999</v>
      </c>
      <c r="EV136" s="528">
        <f t="shared" si="421"/>
        <v>1.3321018274629606E-2</v>
      </c>
      <c r="EW136" s="528">
        <f t="shared" si="422"/>
        <v>0.29794942189164059</v>
      </c>
      <c r="EX136" s="528">
        <f t="shared" si="423"/>
        <v>1.8028769346931171E-5</v>
      </c>
      <c r="EY136" s="528">
        <f t="shared" si="424"/>
        <v>0.48933616521415857</v>
      </c>
      <c r="EZ136" s="528"/>
      <c r="FA136" s="625">
        <f t="shared" si="425"/>
        <v>2.7950000000000003E-2</v>
      </c>
      <c r="FB136" s="460">
        <f t="shared" si="426"/>
        <v>828.57463414977576</v>
      </c>
      <c r="FC136" s="173">
        <f t="shared" si="427"/>
        <v>2.4971750167022289</v>
      </c>
      <c r="FD136" s="5">
        <f t="shared" si="428"/>
        <v>6.7080000000000002</v>
      </c>
      <c r="FE136" s="173">
        <f t="shared" si="429"/>
        <v>0.7287205281625545</v>
      </c>
      <c r="FF136" s="5">
        <f t="shared" si="430"/>
        <v>72.872052816255447</v>
      </c>
      <c r="FG136">
        <f t="shared" si="431"/>
        <v>26</v>
      </c>
      <c r="FI136" s="562">
        <f t="shared" si="432"/>
        <v>-50</v>
      </c>
      <c r="FJ136">
        <f t="shared" si="433"/>
        <v>-50</v>
      </c>
    </row>
    <row r="137" spans="5:166">
      <c r="E137" s="170">
        <v>27</v>
      </c>
      <c r="F137" s="217">
        <f t="shared" si="434"/>
        <v>1.62</v>
      </c>
      <c r="G137" s="217">
        <f t="shared" si="313"/>
        <v>2.7000000000000003E-2</v>
      </c>
      <c r="H137" s="217">
        <f t="shared" si="314"/>
        <v>6.48</v>
      </c>
      <c r="I137" s="217">
        <f t="shared" si="315"/>
        <v>0.48600000000000004</v>
      </c>
      <c r="J137" s="541">
        <f t="shared" si="316"/>
        <v>17.949532242501363</v>
      </c>
      <c r="K137" s="443">
        <f t="shared" si="317"/>
        <v>19.256991403482761</v>
      </c>
      <c r="L137" s="172">
        <f t="shared" si="318"/>
        <v>37.20652364598412</v>
      </c>
      <c r="M137" s="443"/>
      <c r="N137" s="217">
        <f t="shared" si="319"/>
        <v>0.51757029457282444</v>
      </c>
      <c r="O137" s="172">
        <f t="shared" si="320"/>
        <v>28.806650202157641</v>
      </c>
      <c r="P137" s="172">
        <f t="shared" si="321"/>
        <v>2.3225361725489599</v>
      </c>
      <c r="Q137" s="217">
        <f t="shared" si="322"/>
        <v>7.2016625505394103</v>
      </c>
      <c r="R137" s="217">
        <f t="shared" si="323"/>
        <v>1.6003694556754244</v>
      </c>
      <c r="S137" s="217">
        <f t="shared" si="324"/>
        <v>4</v>
      </c>
      <c r="T137" s="217">
        <f t="shared" si="325"/>
        <v>1.4996537152648275</v>
      </c>
      <c r="U137" s="217">
        <f t="shared" si="326"/>
        <v>1.0025801419251978</v>
      </c>
      <c r="V137" s="217">
        <f t="shared" si="327"/>
        <v>0.93450966488582721</v>
      </c>
      <c r="W137" s="197">
        <f t="shared" si="328"/>
        <v>350</v>
      </c>
      <c r="X137" s="443">
        <f t="shared" si="435"/>
        <v>350</v>
      </c>
      <c r="Z137" s="217">
        <f t="shared" si="329"/>
        <v>2.2119392119513903</v>
      </c>
      <c r="AA137" s="173">
        <f t="shared" si="330"/>
        <v>1.3783705869347873</v>
      </c>
      <c r="AB137" s="173">
        <f t="shared" si="331"/>
        <v>1.985311967338657</v>
      </c>
      <c r="AC137" s="173"/>
      <c r="AD137" s="173">
        <f t="shared" si="332"/>
        <v>0.83086706873153049</v>
      </c>
      <c r="AE137" s="545">
        <f t="shared" si="333"/>
        <v>731.16389235098586</v>
      </c>
      <c r="AF137" s="528">
        <f t="shared" si="334"/>
        <v>0.77547593081609534</v>
      </c>
      <c r="AH137" s="173">
        <f t="shared" si="335"/>
        <v>1.8213025166464953</v>
      </c>
      <c r="AI137" s="173">
        <f t="shared" si="336"/>
        <v>1.8213025166464953</v>
      </c>
      <c r="AJ137" s="173">
        <f t="shared" si="337"/>
        <v>1.5614586543060458</v>
      </c>
      <c r="AL137" s="545">
        <f t="shared" si="338"/>
        <v>1620</v>
      </c>
      <c r="AM137" s="460">
        <f t="shared" si="339"/>
        <v>350</v>
      </c>
      <c r="AO137" s="460">
        <f t="shared" si="340"/>
        <v>1620</v>
      </c>
      <c r="AP137" s="460">
        <f t="shared" si="341"/>
        <v>350</v>
      </c>
      <c r="AR137" s="5">
        <f t="shared" si="443"/>
        <v>2.8571428571428572</v>
      </c>
      <c r="AS137" s="5">
        <f t="shared" si="440"/>
        <v>1.2176155848790102</v>
      </c>
      <c r="AT137" s="5">
        <f t="shared" si="441"/>
        <v>1.639527272263847</v>
      </c>
      <c r="AU137" s="173">
        <f t="shared" si="442"/>
        <v>0.42616545470765355</v>
      </c>
      <c r="AW137" s="5">
        <f t="shared" si="342"/>
        <v>49.31343118759991</v>
      </c>
      <c r="AX137" s="5">
        <f t="shared" si="343"/>
        <v>0.18264233773185154</v>
      </c>
      <c r="AY137" s="5">
        <f t="shared" si="344"/>
        <v>0.49324111350720062</v>
      </c>
      <c r="AZ137" s="5"/>
      <c r="BA137" s="173">
        <f t="shared" si="345"/>
        <v>0.6864526431941077</v>
      </c>
      <c r="BB137" s="173">
        <f t="shared" si="346"/>
        <v>3.1862129354231397</v>
      </c>
      <c r="BC137" s="173">
        <f t="shared" si="347"/>
        <v>6.0710273499278745E-2</v>
      </c>
      <c r="BD137" s="173"/>
      <c r="BE137" s="528">
        <f t="shared" si="348"/>
        <v>5.7488502224477579E-3</v>
      </c>
      <c r="BF137" s="528">
        <f t="shared" si="349"/>
        <v>0.44470344943564444</v>
      </c>
      <c r="BG137" s="528">
        <f t="shared" si="350"/>
        <v>0.15705840712188693</v>
      </c>
      <c r="BH137" s="528">
        <f t="shared" si="351"/>
        <v>4.8451389063671149E-2</v>
      </c>
      <c r="BI137">
        <f t="shared" si="352"/>
        <v>8.0772895091256128E-3</v>
      </c>
      <c r="BJ137" s="460">
        <f t="shared" si="436"/>
        <v>165.13569663101254</v>
      </c>
      <c r="BK137">
        <f t="shared" si="353"/>
        <v>0.50114039939035571</v>
      </c>
      <c r="BL137" s="460">
        <f t="shared" si="437"/>
        <v>664.03938535277587</v>
      </c>
      <c r="BM137" s="173">
        <f t="shared" si="354"/>
        <v>1.0064249999999999</v>
      </c>
      <c r="BN137" s="173">
        <f t="shared" si="355"/>
        <v>1.677375E-2</v>
      </c>
      <c r="BO137" s="528"/>
      <c r="BQ137" s="460">
        <f t="shared" si="356"/>
        <v>1023.1987499999999</v>
      </c>
      <c r="BR137" s="528">
        <f t="shared" si="357"/>
        <v>1.4136516940445308E-2</v>
      </c>
      <c r="BS137" s="528">
        <f t="shared" si="358"/>
        <v>0.30455858609573222</v>
      </c>
      <c r="BT137" s="528">
        <f t="shared" si="359"/>
        <v>1.8428686541786136E-5</v>
      </c>
      <c r="BU137" s="528">
        <f t="shared" si="360"/>
        <v>0.51297397746268658</v>
      </c>
      <c r="BV137" s="528"/>
      <c r="BW137" s="625">
        <f t="shared" si="361"/>
        <v>2.9025000000000009E-2</v>
      </c>
      <c r="BX137" s="460">
        <f t="shared" si="362"/>
        <v>860.71250918540591</v>
      </c>
      <c r="BY137" s="173">
        <f t="shared" si="363"/>
        <v>2.5479506445381812</v>
      </c>
      <c r="BZ137" s="5">
        <f t="shared" si="364"/>
        <v>6.9660000000000002</v>
      </c>
      <c r="CA137" s="173">
        <f t="shared" si="365"/>
        <v>0.73218794802126486</v>
      </c>
      <c r="CB137" s="5">
        <f t="shared" si="366"/>
        <v>73.218794802126482</v>
      </c>
      <c r="CC137">
        <f t="shared" si="367"/>
        <v>27</v>
      </c>
      <c r="CE137" s="562">
        <f t="shared" si="368"/>
        <v>-50</v>
      </c>
      <c r="CF137">
        <f t="shared" si="369"/>
        <v>-50</v>
      </c>
      <c r="CG137" s="173">
        <f t="shared" si="370"/>
        <v>0.42539093409299483</v>
      </c>
      <c r="CH137" s="173">
        <f t="shared" si="371"/>
        <v>0.10895559584113763</v>
      </c>
      <c r="CI137" s="170">
        <v>27</v>
      </c>
      <c r="CJ137" s="217">
        <f t="shared" si="438"/>
        <v>1.62</v>
      </c>
      <c r="CK137" s="217">
        <f t="shared" si="372"/>
        <v>2.7000000000000003E-2</v>
      </c>
      <c r="CL137" s="217">
        <f t="shared" si="373"/>
        <v>6.48</v>
      </c>
      <c r="CM137" s="217">
        <f t="shared" si="374"/>
        <v>0.48600000000000004</v>
      </c>
      <c r="CN137" s="541">
        <f t="shared" si="375"/>
        <v>18</v>
      </c>
      <c r="CO137" s="443">
        <f t="shared" si="376"/>
        <v>18.8</v>
      </c>
      <c r="CP137" s="443">
        <f t="shared" si="377"/>
        <v>36.799999999999997</v>
      </c>
      <c r="CQ137" s="443"/>
      <c r="CR137" s="217">
        <f t="shared" si="378"/>
        <v>0.51086956521739135</v>
      </c>
      <c r="CS137" s="172">
        <f t="shared" si="379"/>
        <v>28.513650151668358</v>
      </c>
      <c r="CT137" s="172">
        <f t="shared" si="380"/>
        <v>2.2989130434782612</v>
      </c>
      <c r="CU137" s="217">
        <f t="shared" si="381"/>
        <v>7.1284125379170895</v>
      </c>
      <c r="CV137" s="217">
        <f t="shared" si="382"/>
        <v>1.5840916750926866</v>
      </c>
      <c r="CW137" s="217">
        <f t="shared" si="383"/>
        <v>4</v>
      </c>
      <c r="CX137" s="217">
        <f t="shared" si="384"/>
        <v>1.5150638297872339</v>
      </c>
      <c r="CY137" s="217">
        <f t="shared" si="385"/>
        <v>1.0100425531914894</v>
      </c>
      <c r="CZ137" s="217">
        <f t="shared" si="386"/>
        <v>0.96706201901312794</v>
      </c>
      <c r="DA137" s="197">
        <f t="shared" si="387"/>
        <v>350</v>
      </c>
      <c r="DB137" s="443">
        <f t="shared" si="388"/>
        <v>350</v>
      </c>
      <c r="DD137" s="217">
        <f t="shared" si="389"/>
        <v>2.18944099378882</v>
      </c>
      <c r="DE137" s="173">
        <f t="shared" si="390"/>
        <v>1.3975155279503106</v>
      </c>
      <c r="DF137" s="173">
        <f t="shared" si="391"/>
        <v>1.9924134422749624</v>
      </c>
      <c r="DG137" s="173"/>
      <c r="DH137" s="173">
        <f t="shared" si="392"/>
        <v>0.85106382978723416</v>
      </c>
      <c r="DI137" s="545">
        <f t="shared" si="393"/>
        <v>713.81249999999989</v>
      </c>
      <c r="DJ137" s="528">
        <f t="shared" si="394"/>
        <v>0.79432624113475192</v>
      </c>
      <c r="DL137" s="173">
        <f t="shared" si="395"/>
        <v>1.8213025166464953</v>
      </c>
      <c r="DM137" s="173">
        <f t="shared" si="396"/>
        <v>1.8213025166464953</v>
      </c>
      <c r="DN137" s="173">
        <f t="shared" si="397"/>
        <v>1.5614586543060458</v>
      </c>
      <c r="DP137" s="545">
        <f t="shared" si="398"/>
        <v>1620</v>
      </c>
      <c r="DQ137" s="460">
        <f t="shared" si="399"/>
        <v>350</v>
      </c>
      <c r="DS137" s="460">
        <f t="shared" si="400"/>
        <v>1620</v>
      </c>
      <c r="DT137" s="460">
        <f t="shared" si="401"/>
        <v>350</v>
      </c>
      <c r="DV137" s="5">
        <f t="shared" si="402"/>
        <v>2.8571428571428572</v>
      </c>
      <c r="DW137" s="5">
        <f t="shared" si="403"/>
        <v>1.2142016777643303</v>
      </c>
      <c r="DX137" s="5">
        <f t="shared" si="404"/>
        <v>1.6429411793785269</v>
      </c>
      <c r="DY137" s="173">
        <f t="shared" si="405"/>
        <v>0.42497058721751557</v>
      </c>
      <c r="EA137" s="5">
        <f t="shared" si="406"/>
        <v>49.175167949455378</v>
      </c>
      <c r="EB137" s="5">
        <f t="shared" si="407"/>
        <v>0.18213025166464955</v>
      </c>
      <c r="EC137" s="5">
        <f t="shared" si="408"/>
        <v>0.49288235381355805</v>
      </c>
      <c r="ED137" s="5"/>
      <c r="EE137" s="173">
        <f t="shared" si="409"/>
        <v>0.68548964200401741</v>
      </c>
      <c r="EF137" s="173">
        <f t="shared" si="410"/>
        <v>3.1895284577366354</v>
      </c>
      <c r="EG137" s="173">
        <f t="shared" si="411"/>
        <v>6.0773447640657521E-2</v>
      </c>
      <c r="EH137" s="173"/>
      <c r="EI137" s="528">
        <f t="shared" si="412"/>
        <v>5.7327318013965104E-3</v>
      </c>
      <c r="EJ137" s="528">
        <f t="shared" si="413"/>
        <v>0.46916752828813718</v>
      </c>
      <c r="EK137" s="528">
        <f t="shared" si="414"/>
        <v>4.3749999999999997E-2</v>
      </c>
      <c r="EL137" s="528">
        <f t="shared" si="415"/>
        <v>4.7398399999999993E-2</v>
      </c>
      <c r="EM137">
        <f t="shared" si="416"/>
        <v>8.0999999999999996E-3</v>
      </c>
      <c r="EN137" s="460">
        <f t="shared" si="417"/>
        <v>51.849999999999994</v>
      </c>
      <c r="EP137" s="460">
        <f t="shared" si="439"/>
        <v>574.14866008953356</v>
      </c>
      <c r="EQ137" s="173">
        <f t="shared" si="418"/>
        <v>1.1339999999999999</v>
      </c>
      <c r="ER137" s="173">
        <f t="shared" si="419"/>
        <v>1.1981250000000001E-2</v>
      </c>
      <c r="ES137" s="528"/>
      <c r="EU137" s="460">
        <f t="shared" si="420"/>
        <v>1145.98125</v>
      </c>
      <c r="EV137" s="528">
        <f t="shared" si="421"/>
        <v>1.4096881478843878E-2</v>
      </c>
      <c r="EW137" s="528">
        <f t="shared" si="422"/>
        <v>0.30519275348135516</v>
      </c>
      <c r="EX137" s="528">
        <f t="shared" si="423"/>
        <v>1.8467059690658708E-5</v>
      </c>
      <c r="EY137" s="528">
        <f t="shared" si="424"/>
        <v>0.51297397746268658</v>
      </c>
      <c r="EZ137" s="528"/>
      <c r="FA137" s="625">
        <f t="shared" si="425"/>
        <v>2.9025000000000009E-2</v>
      </c>
      <c r="FB137" s="460">
        <f t="shared" si="426"/>
        <v>861.30707948257623</v>
      </c>
      <c r="FC137" s="173">
        <f t="shared" si="427"/>
        <v>2.5814369895721097</v>
      </c>
      <c r="FD137" s="5">
        <f t="shared" si="428"/>
        <v>6.9660000000000002</v>
      </c>
      <c r="FE137" s="173">
        <f t="shared" si="429"/>
        <v>0.72961989773887981</v>
      </c>
      <c r="FF137" s="5">
        <f t="shared" si="430"/>
        <v>72.961989773887979</v>
      </c>
      <c r="FG137">
        <f t="shared" si="431"/>
        <v>27</v>
      </c>
      <c r="FI137" s="562">
        <f t="shared" si="432"/>
        <v>-50</v>
      </c>
      <c r="FJ137">
        <f t="shared" si="433"/>
        <v>-50</v>
      </c>
    </row>
    <row r="138" spans="5:166">
      <c r="E138" s="170">
        <v>28</v>
      </c>
      <c r="F138" s="217">
        <f t="shared" si="434"/>
        <v>1.6800000000000002</v>
      </c>
      <c r="G138" s="217">
        <f t="shared" si="313"/>
        <v>2.8000000000000004E-2</v>
      </c>
      <c r="H138" s="217">
        <f t="shared" si="314"/>
        <v>6.7200000000000006</v>
      </c>
      <c r="I138" s="217">
        <f t="shared" si="315"/>
        <v>0.50400000000000011</v>
      </c>
      <c r="J138" s="541">
        <f t="shared" si="316"/>
        <v>17.948606151357293</v>
      </c>
      <c r="K138" s="443">
        <f t="shared" si="317"/>
        <v>19.265377266311969</v>
      </c>
      <c r="L138" s="172">
        <f t="shared" si="318"/>
        <v>37.213983417669262</v>
      </c>
      <c r="M138" s="443"/>
      <c r="N138" s="217">
        <f t="shared" si="319"/>
        <v>0.51769188614096973</v>
      </c>
      <c r="O138" s="172">
        <f t="shared" si="320"/>
        <v>28.811931076271531</v>
      </c>
      <c r="P138" s="172">
        <f t="shared" si="321"/>
        <v>2.3229619430243922</v>
      </c>
      <c r="Q138" s="217">
        <f t="shared" si="322"/>
        <v>7.2029827690678827</v>
      </c>
      <c r="R138" s="217">
        <f t="shared" si="323"/>
        <v>1.6006628375706407</v>
      </c>
      <c r="S138" s="217">
        <f t="shared" si="324"/>
        <v>4</v>
      </c>
      <c r="T138" s="217">
        <f t="shared" si="325"/>
        <v>1.5549113969974637</v>
      </c>
      <c r="U138" s="217">
        <f t="shared" si="326"/>
        <v>1.0395758092089262</v>
      </c>
      <c r="V138" s="217">
        <f t="shared" si="327"/>
        <v>0.96852174271184188</v>
      </c>
      <c r="W138" s="197">
        <f t="shared" si="328"/>
        <v>350</v>
      </c>
      <c r="X138" s="443">
        <f t="shared" si="435"/>
        <v>350</v>
      </c>
      <c r="Z138" s="217">
        <f t="shared" si="329"/>
        <v>2.212344707642278</v>
      </c>
      <c r="AA138" s="173">
        <f t="shared" si="330"/>
        <v>1.3780231824543725</v>
      </c>
      <c r="AB138" s="173">
        <f t="shared" si="331"/>
        <v>1.9851754477189865</v>
      </c>
      <c r="AC138" s="173"/>
      <c r="AD138" s="173">
        <f t="shared" si="332"/>
        <v>0.83050540764535641</v>
      </c>
      <c r="AE138" s="545">
        <f t="shared" si="333"/>
        <v>758.57422986103359</v>
      </c>
      <c r="AF138" s="528">
        <f t="shared" si="334"/>
        <v>0.77513838046899941</v>
      </c>
      <c r="AH138" s="173">
        <f t="shared" si="335"/>
        <v>1.8547236990991409</v>
      </c>
      <c r="AI138" s="173">
        <f t="shared" si="336"/>
        <v>1.8547236990991409</v>
      </c>
      <c r="AJ138" s="173">
        <f t="shared" si="337"/>
        <v>1.58621508575245</v>
      </c>
      <c r="AL138" s="545">
        <f t="shared" si="338"/>
        <v>1680.0000000000002</v>
      </c>
      <c r="AM138" s="460">
        <f t="shared" si="339"/>
        <v>350</v>
      </c>
      <c r="AO138" s="460">
        <f t="shared" si="340"/>
        <v>1680.0000000000002</v>
      </c>
      <c r="AP138" s="460">
        <f t="shared" si="341"/>
        <v>350</v>
      </c>
      <c r="AR138" s="5">
        <f t="shared" si="443"/>
        <v>2.8571428571428572</v>
      </c>
      <c r="AS138" s="5">
        <f t="shared" si="440"/>
        <v>1.2400229968557539</v>
      </c>
      <c r="AT138" s="5">
        <f t="shared" si="441"/>
        <v>1.6171198602871033</v>
      </c>
      <c r="AU138" s="173">
        <f t="shared" si="442"/>
        <v>0.43400804889951383</v>
      </c>
      <c r="AW138" s="5">
        <f t="shared" si="342"/>
        <v>52.080965867941664</v>
      </c>
      <c r="AX138" s="5">
        <f t="shared" si="343"/>
        <v>0.19289246617756173</v>
      </c>
      <c r="AY138" s="5">
        <f t="shared" si="344"/>
        <v>0.50454453907123942</v>
      </c>
      <c r="AZ138" s="5"/>
      <c r="BA138" s="173">
        <f t="shared" si="345"/>
        <v>0.70545202724076794</v>
      </c>
      <c r="BB138" s="173">
        <f t="shared" si="346"/>
        <v>3.2224316381976084</v>
      </c>
      <c r="BC138" s="173">
        <f t="shared" si="347"/>
        <v>6.1400386619711186E-2</v>
      </c>
      <c r="BD138" s="173"/>
      <c r="BE138" s="528">
        <f t="shared" si="348"/>
        <v>6.0714832654049323E-3</v>
      </c>
      <c r="BF138" s="528">
        <f t="shared" si="349"/>
        <v>0.4529546239485332</v>
      </c>
      <c r="BG138" s="528">
        <f t="shared" si="350"/>
        <v>0.15705030382437629</v>
      </c>
      <c r="BH138" s="528">
        <f t="shared" si="351"/>
        <v>4.8470819663369705E-2</v>
      </c>
      <c r="BI138">
        <f t="shared" si="352"/>
        <v>8.0768727681107821E-3</v>
      </c>
      <c r="BJ138" s="460">
        <f t="shared" si="436"/>
        <v>165.12717659248707</v>
      </c>
      <c r="BK138">
        <f t="shared" si="353"/>
        <v>0.5098717604187134</v>
      </c>
      <c r="BL138" s="460">
        <f t="shared" si="437"/>
        <v>672.62410346979482</v>
      </c>
      <c r="BM138" s="173">
        <f t="shared" si="354"/>
        <v>1.0436999999999999</v>
      </c>
      <c r="BN138" s="173">
        <f t="shared" si="355"/>
        <v>1.7395000000000001E-2</v>
      </c>
      <c r="BO138" s="528"/>
      <c r="BQ138" s="460">
        <f t="shared" si="356"/>
        <v>1061.0949999999998</v>
      </c>
      <c r="BR138" s="528">
        <f t="shared" si="357"/>
        <v>1.4929876882143277E-2</v>
      </c>
      <c r="BS138" s="528">
        <f t="shared" si="358"/>
        <v>0.31152196988570768</v>
      </c>
      <c r="BT138" s="528">
        <f t="shared" si="359"/>
        <v>1.8850037385250044E-5</v>
      </c>
      <c r="BU138" s="528">
        <f t="shared" si="360"/>
        <v>0.53683171897110227</v>
      </c>
      <c r="BV138" s="528"/>
      <c r="BW138" s="625">
        <f t="shared" si="361"/>
        <v>3.0100000000000009E-2</v>
      </c>
      <c r="BX138" s="460">
        <f t="shared" si="362"/>
        <v>893.40241577633844</v>
      </c>
      <c r="BY138" s="173">
        <f t="shared" si="363"/>
        <v>2.627121519246133</v>
      </c>
      <c r="BZ138" s="5">
        <f t="shared" si="364"/>
        <v>7.2240000000000011</v>
      </c>
      <c r="CA138" s="173">
        <f t="shared" si="365"/>
        <v>0.73331751982619164</v>
      </c>
      <c r="CB138" s="5">
        <f t="shared" si="366"/>
        <v>73.331751982619167</v>
      </c>
      <c r="CC138">
        <f t="shared" si="367"/>
        <v>28.000000000000004</v>
      </c>
      <c r="CE138" s="562">
        <f t="shared" si="368"/>
        <v>-50</v>
      </c>
      <c r="CF138">
        <f t="shared" si="369"/>
        <v>-50</v>
      </c>
      <c r="CG138" s="173">
        <f t="shared" si="370"/>
        <v>0.4331969234286932</v>
      </c>
      <c r="CH138" s="173">
        <f t="shared" si="371"/>
        <v>0.11095494785133977</v>
      </c>
      <c r="CI138" s="170">
        <v>28</v>
      </c>
      <c r="CJ138" s="217">
        <f t="shared" si="438"/>
        <v>1.6800000000000002</v>
      </c>
      <c r="CK138" s="217">
        <f t="shared" si="372"/>
        <v>2.8000000000000004E-2</v>
      </c>
      <c r="CL138" s="217">
        <f t="shared" si="373"/>
        <v>6.7200000000000006</v>
      </c>
      <c r="CM138" s="217">
        <f t="shared" si="374"/>
        <v>0.50400000000000011</v>
      </c>
      <c r="CN138" s="541">
        <f t="shared" si="375"/>
        <v>18</v>
      </c>
      <c r="CO138" s="443">
        <f t="shared" si="376"/>
        <v>18.8</v>
      </c>
      <c r="CP138" s="443">
        <f t="shared" si="377"/>
        <v>36.799999999999997</v>
      </c>
      <c r="CQ138" s="443"/>
      <c r="CR138" s="217">
        <f t="shared" si="378"/>
        <v>0.51086956521739135</v>
      </c>
      <c r="CS138" s="172">
        <f t="shared" si="379"/>
        <v>28.513650151668358</v>
      </c>
      <c r="CT138" s="172">
        <f t="shared" si="380"/>
        <v>2.2989130434782612</v>
      </c>
      <c r="CU138" s="217">
        <f t="shared" si="381"/>
        <v>7.1284125379170895</v>
      </c>
      <c r="CV138" s="217">
        <f t="shared" si="382"/>
        <v>1.5840916750926866</v>
      </c>
      <c r="CW138" s="217">
        <f t="shared" si="383"/>
        <v>4</v>
      </c>
      <c r="CX138" s="217">
        <f t="shared" si="384"/>
        <v>1.571177304964539</v>
      </c>
      <c r="CY138" s="217">
        <f t="shared" si="385"/>
        <v>1.0474515366430259</v>
      </c>
      <c r="CZ138" s="217">
        <f t="shared" si="386"/>
        <v>1.0028791308284293</v>
      </c>
      <c r="DA138" s="197">
        <f t="shared" si="387"/>
        <v>350</v>
      </c>
      <c r="DB138" s="443">
        <f t="shared" si="388"/>
        <v>350</v>
      </c>
      <c r="DD138" s="217">
        <f t="shared" si="389"/>
        <v>2.18944099378882</v>
      </c>
      <c r="DE138" s="173">
        <f t="shared" si="390"/>
        <v>1.3975155279503106</v>
      </c>
      <c r="DF138" s="173">
        <f t="shared" si="391"/>
        <v>1.9924134422749624</v>
      </c>
      <c r="DG138" s="173"/>
      <c r="DH138" s="173">
        <f t="shared" si="392"/>
        <v>0.85106382978723416</v>
      </c>
      <c r="DI138" s="545">
        <f t="shared" si="393"/>
        <v>740.24999999999989</v>
      </c>
      <c r="DJ138" s="528">
        <f t="shared" si="394"/>
        <v>0.79432624113475192</v>
      </c>
      <c r="DL138" s="173">
        <f t="shared" si="395"/>
        <v>1.8547236990991409</v>
      </c>
      <c r="DM138" s="173">
        <f t="shared" si="396"/>
        <v>1.8547236990991409</v>
      </c>
      <c r="DN138" s="173">
        <f t="shared" si="397"/>
        <v>1.58621508575245</v>
      </c>
      <c r="DP138" s="545">
        <f t="shared" si="398"/>
        <v>1680.0000000000002</v>
      </c>
      <c r="DQ138" s="460">
        <f t="shared" si="399"/>
        <v>350</v>
      </c>
      <c r="DS138" s="460">
        <f t="shared" si="400"/>
        <v>1680.0000000000002</v>
      </c>
      <c r="DT138" s="460">
        <f t="shared" si="401"/>
        <v>350</v>
      </c>
      <c r="DV138" s="5">
        <f t="shared" si="402"/>
        <v>2.8571428571428572</v>
      </c>
      <c r="DW138" s="5">
        <f t="shared" si="403"/>
        <v>1.2364824660660938</v>
      </c>
      <c r="DX138" s="5">
        <f t="shared" si="404"/>
        <v>1.6206603910767634</v>
      </c>
      <c r="DY138" s="173">
        <f t="shared" si="405"/>
        <v>0.43276886312313284</v>
      </c>
      <c r="EA138" s="5">
        <f t="shared" si="406"/>
        <v>51.932263574775945</v>
      </c>
      <c r="EB138" s="5">
        <f t="shared" si="407"/>
        <v>0.19234171694361463</v>
      </c>
      <c r="EC138" s="5">
        <f t="shared" si="408"/>
        <v>0.5042054550016597</v>
      </c>
      <c r="ED138" s="5"/>
      <c r="EE138" s="173">
        <f t="shared" si="409"/>
        <v>0.70444419914889334</v>
      </c>
      <c r="EF138" s="173">
        <f t="shared" si="410"/>
        <v>3.2259573139200493</v>
      </c>
      <c r="EG138" s="173">
        <f t="shared" si="411"/>
        <v>6.1467565035503637E-2</v>
      </c>
      <c r="EH138" s="173"/>
      <c r="EI138" s="528">
        <f t="shared" si="412"/>
        <v>6.0541478825172131E-3</v>
      </c>
      <c r="EJ138" s="528">
        <f t="shared" si="413"/>
        <v>0.47777682488793866</v>
      </c>
      <c r="EK138" s="528">
        <f t="shared" si="414"/>
        <v>4.3749999999999997E-2</v>
      </c>
      <c r="EL138" s="528">
        <f t="shared" si="415"/>
        <v>4.7398399999999993E-2</v>
      </c>
      <c r="EM138">
        <f t="shared" si="416"/>
        <v>8.0999999999999996E-3</v>
      </c>
      <c r="EN138" s="460">
        <f t="shared" si="417"/>
        <v>51.849999999999994</v>
      </c>
      <c r="EP138" s="460">
        <f t="shared" si="439"/>
        <v>583.07937277045585</v>
      </c>
      <c r="EQ138" s="173">
        <f t="shared" si="418"/>
        <v>1.1759999999999999</v>
      </c>
      <c r="ER138" s="173">
        <f t="shared" si="419"/>
        <v>1.2425000000000002E-2</v>
      </c>
      <c r="ES138" s="528"/>
      <c r="EU138" s="460">
        <f t="shared" si="420"/>
        <v>1188.425</v>
      </c>
      <c r="EV138" s="528">
        <f t="shared" si="421"/>
        <v>1.4887248891435769E-2</v>
      </c>
      <c r="EW138" s="528">
        <f t="shared" si="422"/>
        <v>0.31220401773702772</v>
      </c>
      <c r="EX138" s="528">
        <f t="shared" si="423"/>
        <v>1.8891307756969346E-5</v>
      </c>
      <c r="EY138" s="528">
        <f t="shared" si="424"/>
        <v>0.53683171897110227</v>
      </c>
      <c r="EZ138" s="528"/>
      <c r="FA138" s="625">
        <f t="shared" si="425"/>
        <v>3.0100000000000009E-2</v>
      </c>
      <c r="FB138" s="460">
        <f t="shared" si="426"/>
        <v>894.04187690732272</v>
      </c>
      <c r="FC138" s="173">
        <f t="shared" si="427"/>
        <v>2.665546249677778</v>
      </c>
      <c r="FD138" s="5">
        <f t="shared" si="428"/>
        <v>7.2240000000000011</v>
      </c>
      <c r="FE138" s="173">
        <f t="shared" si="429"/>
        <v>0.7304682962815785</v>
      </c>
      <c r="FF138" s="5">
        <f t="shared" si="430"/>
        <v>73.046829628157852</v>
      </c>
      <c r="FG138">
        <f t="shared" si="431"/>
        <v>28.000000000000004</v>
      </c>
      <c r="FI138" s="562">
        <f t="shared" si="432"/>
        <v>-50</v>
      </c>
      <c r="FJ138">
        <f t="shared" si="433"/>
        <v>-50</v>
      </c>
    </row>
    <row r="139" spans="5:166">
      <c r="E139" s="170">
        <v>29</v>
      </c>
      <c r="F139" s="217">
        <f t="shared" si="434"/>
        <v>1.7399999999999998</v>
      </c>
      <c r="G139" s="217">
        <f t="shared" si="313"/>
        <v>2.8999999999999998E-2</v>
      </c>
      <c r="H139" s="217">
        <f t="shared" si="314"/>
        <v>6.9599999999999991</v>
      </c>
      <c r="I139" s="217">
        <f t="shared" si="315"/>
        <v>0.52200000000000002</v>
      </c>
      <c r="J139" s="541">
        <f t="shared" si="316"/>
        <v>17.94769645509454</v>
      </c>
      <c r="K139" s="443">
        <f t="shared" si="317"/>
        <v>19.273614671587417</v>
      </c>
      <c r="L139" s="172">
        <f t="shared" si="318"/>
        <v>37.221311126681954</v>
      </c>
      <c r="M139" s="443"/>
      <c r="N139" s="217">
        <f t="shared" si="319"/>
        <v>0.5178112776841759</v>
      </c>
      <c r="O139" s="172">
        <f t="shared" si="320"/>
        <v>28.817115140775996</v>
      </c>
      <c r="P139" s="172">
        <f t="shared" si="321"/>
        <v>2.3233799082250646</v>
      </c>
      <c r="Q139" s="217">
        <f t="shared" si="322"/>
        <v>7.2042787851939991</v>
      </c>
      <c r="R139" s="217">
        <f t="shared" si="323"/>
        <v>1.6009508411542219</v>
      </c>
      <c r="S139" s="217">
        <f t="shared" si="324"/>
        <v>4</v>
      </c>
      <c r="T139" s="217">
        <f t="shared" si="325"/>
        <v>1.6101542355412377</v>
      </c>
      <c r="U139" s="217">
        <f t="shared" si="326"/>
        <v>1.0765643866798433</v>
      </c>
      <c r="V139" s="217">
        <f t="shared" si="327"/>
        <v>1.0025027041231942</v>
      </c>
      <c r="W139" s="197">
        <f t="shared" si="328"/>
        <v>350</v>
      </c>
      <c r="X139" s="443">
        <f t="shared" si="435"/>
        <v>350</v>
      </c>
      <c r="Z139" s="217">
        <f t="shared" si="329"/>
        <v>2.2127427697381568</v>
      </c>
      <c r="AA139" s="173">
        <f t="shared" si="330"/>
        <v>1.3776820637594975</v>
      </c>
      <c r="AB139" s="173">
        <f t="shared" si="331"/>
        <v>1.985041132936967</v>
      </c>
      <c r="AC139" s="173"/>
      <c r="AD139" s="173">
        <f t="shared" si="332"/>
        <v>0.83015045556486722</v>
      </c>
      <c r="AE139" s="545">
        <f t="shared" si="333"/>
        <v>786.00209832567407</v>
      </c>
      <c r="AF139" s="528">
        <f t="shared" si="334"/>
        <v>0.77480709186054275</v>
      </c>
      <c r="AH139" s="173">
        <f t="shared" si="335"/>
        <v>1.887553215900718</v>
      </c>
      <c r="AI139" s="173">
        <f t="shared" si="336"/>
        <v>1.887553215900718</v>
      </c>
      <c r="AJ139" s="173">
        <f t="shared" si="337"/>
        <v>1.6105332463462108</v>
      </c>
      <c r="AL139" s="545">
        <f t="shared" si="338"/>
        <v>1739.9999999999998</v>
      </c>
      <c r="AM139" s="460">
        <f t="shared" si="339"/>
        <v>350</v>
      </c>
      <c r="AO139" s="460">
        <f t="shared" si="340"/>
        <v>1739.9999999999998</v>
      </c>
      <c r="AP139" s="460">
        <f t="shared" si="341"/>
        <v>350</v>
      </c>
      <c r="AR139" s="5">
        <f t="shared" si="443"/>
        <v>2.8571428571428572</v>
      </c>
      <c r="AS139" s="5">
        <f t="shared" si="440"/>
        <v>1.262035974782665</v>
      </c>
      <c r="AT139" s="5">
        <f t="shared" si="441"/>
        <v>1.5951068823601922</v>
      </c>
      <c r="AU139" s="173">
        <f t="shared" si="442"/>
        <v>0.44171259117393274</v>
      </c>
      <c r="AW139" s="5">
        <f t="shared" si="342"/>
        <v>54.898564903045923</v>
      </c>
      <c r="AX139" s="5">
        <f t="shared" si="343"/>
        <v>0.20332801815942936</v>
      </c>
      <c r="AY139" s="5">
        <f t="shared" si="344"/>
        <v>0.51547673211639344</v>
      </c>
      <c r="AZ139" s="5"/>
      <c r="BA139" s="173">
        <f t="shared" si="345"/>
        <v>0.72428329184879559</v>
      </c>
      <c r="BB139" s="173">
        <f t="shared" si="346"/>
        <v>3.2570729454962346</v>
      </c>
      <c r="BC139" s="173">
        <f t="shared" si="347"/>
        <v>6.206044396148231E-2</v>
      </c>
      <c r="BD139" s="173"/>
      <c r="BE139" s="528">
        <f t="shared" si="348"/>
        <v>6.3999526995861958E-3</v>
      </c>
      <c r="BF139" s="528">
        <f t="shared" si="349"/>
        <v>0.46106291120668869</v>
      </c>
      <c r="BG139" s="528">
        <f t="shared" si="350"/>
        <v>0.15704234398207723</v>
      </c>
      <c r="BH139" s="528">
        <f t="shared" si="351"/>
        <v>4.8489910069624026E-2</v>
      </c>
      <c r="BI139">
        <f t="shared" si="352"/>
        <v>8.0764634047925422E-3</v>
      </c>
      <c r="BJ139" s="460">
        <f t="shared" si="436"/>
        <v>165.11880738686978</v>
      </c>
      <c r="BK139">
        <f t="shared" si="353"/>
        <v>0.51846916032188284</v>
      </c>
      <c r="BL139" s="460">
        <f t="shared" si="437"/>
        <v>681.07158136276871</v>
      </c>
      <c r="BM139" s="173">
        <f t="shared" si="354"/>
        <v>1.0809749999999998</v>
      </c>
      <c r="BN139" s="173">
        <f t="shared" si="355"/>
        <v>1.8016249999999998E-2</v>
      </c>
      <c r="BO139" s="528"/>
      <c r="BQ139" s="460">
        <f t="shared" si="356"/>
        <v>1098.9912499999998</v>
      </c>
      <c r="BR139" s="528">
        <f t="shared" si="357"/>
        <v>1.5737588605539827E-2</v>
      </c>
      <c r="BS139" s="528">
        <f t="shared" si="358"/>
        <v>0.31825572516850553</v>
      </c>
      <c r="BT139" s="528">
        <f t="shared" si="359"/>
        <v>1.9257493523481433E-5</v>
      </c>
      <c r="BU139" s="528">
        <f t="shared" si="360"/>
        <v>0.56090346982448236</v>
      </c>
      <c r="BV139" s="528"/>
      <c r="BW139" s="625">
        <f t="shared" si="361"/>
        <v>3.1174999999999998E-2</v>
      </c>
      <c r="BX139" s="460">
        <f t="shared" si="362"/>
        <v>926.09104109205111</v>
      </c>
      <c r="BY139" s="173">
        <f t="shared" si="363"/>
        <v>2.70615387245482</v>
      </c>
      <c r="BZ139" s="5">
        <f t="shared" si="364"/>
        <v>7.4819999999999993</v>
      </c>
      <c r="CA139" s="173">
        <f t="shared" si="365"/>
        <v>0.73438231240585139</v>
      </c>
      <c r="CB139" s="5">
        <f t="shared" si="366"/>
        <v>73.438231240585139</v>
      </c>
      <c r="CC139">
        <f t="shared" si="367"/>
        <v>28.999999999999996</v>
      </c>
      <c r="CE139" s="562">
        <f t="shared" si="368"/>
        <v>-50</v>
      </c>
      <c r="CF139">
        <f t="shared" si="369"/>
        <v>-50</v>
      </c>
      <c r="CG139" s="173">
        <f t="shared" si="370"/>
        <v>0.44086472089254269</v>
      </c>
      <c r="CH139" s="173">
        <f t="shared" si="371"/>
        <v>0.1129189047072709</v>
      </c>
      <c r="CI139" s="170">
        <v>29</v>
      </c>
      <c r="CJ139" s="217">
        <f t="shared" si="438"/>
        <v>1.7399999999999998</v>
      </c>
      <c r="CK139" s="217">
        <f t="shared" si="372"/>
        <v>2.8999999999999998E-2</v>
      </c>
      <c r="CL139" s="217">
        <f t="shared" si="373"/>
        <v>6.9599999999999991</v>
      </c>
      <c r="CM139" s="217">
        <f t="shared" si="374"/>
        <v>0.52200000000000002</v>
      </c>
      <c r="CN139" s="541">
        <f t="shared" si="375"/>
        <v>18</v>
      </c>
      <c r="CO139" s="443">
        <f t="shared" si="376"/>
        <v>18.8</v>
      </c>
      <c r="CP139" s="443">
        <f t="shared" si="377"/>
        <v>36.799999999999997</v>
      </c>
      <c r="CQ139" s="443"/>
      <c r="CR139" s="217">
        <f t="shared" si="378"/>
        <v>0.51086956521739135</v>
      </c>
      <c r="CS139" s="172">
        <f t="shared" si="379"/>
        <v>28.513650151668358</v>
      </c>
      <c r="CT139" s="172">
        <f t="shared" si="380"/>
        <v>2.2989130434782612</v>
      </c>
      <c r="CU139" s="217">
        <f t="shared" si="381"/>
        <v>7.1284125379170895</v>
      </c>
      <c r="CV139" s="217">
        <f t="shared" si="382"/>
        <v>1.5840916750926866</v>
      </c>
      <c r="CW139" s="217">
        <f t="shared" si="383"/>
        <v>4</v>
      </c>
      <c r="CX139" s="217">
        <f t="shared" si="384"/>
        <v>1.6272907801418437</v>
      </c>
      <c r="CY139" s="217">
        <f t="shared" si="385"/>
        <v>1.0848605200945625</v>
      </c>
      <c r="CZ139" s="217">
        <f t="shared" si="386"/>
        <v>1.0386962426437301</v>
      </c>
      <c r="DA139" s="197">
        <f t="shared" si="387"/>
        <v>350</v>
      </c>
      <c r="DB139" s="443">
        <f t="shared" si="388"/>
        <v>350</v>
      </c>
      <c r="DD139" s="217">
        <f t="shared" si="389"/>
        <v>2.18944099378882</v>
      </c>
      <c r="DE139" s="173">
        <f t="shared" si="390"/>
        <v>1.3975155279503106</v>
      </c>
      <c r="DF139" s="173">
        <f t="shared" si="391"/>
        <v>1.9924134422749624</v>
      </c>
      <c r="DG139" s="173"/>
      <c r="DH139" s="173">
        <f t="shared" si="392"/>
        <v>0.85106382978723416</v>
      </c>
      <c r="DI139" s="545">
        <f t="shared" si="393"/>
        <v>766.68749999999966</v>
      </c>
      <c r="DJ139" s="528">
        <f t="shared" si="394"/>
        <v>0.79432624113475192</v>
      </c>
      <c r="DL139" s="173">
        <f t="shared" si="395"/>
        <v>1.887553215900718</v>
      </c>
      <c r="DM139" s="173">
        <f t="shared" si="396"/>
        <v>1.887553215900718</v>
      </c>
      <c r="DN139" s="173">
        <f t="shared" si="397"/>
        <v>1.6105332463462108</v>
      </c>
      <c r="DP139" s="545">
        <f t="shared" si="398"/>
        <v>1739.9999999999998</v>
      </c>
      <c r="DQ139" s="460">
        <f t="shared" si="399"/>
        <v>350</v>
      </c>
      <c r="DS139" s="460">
        <f t="shared" si="400"/>
        <v>1739.9999999999998</v>
      </c>
      <c r="DT139" s="460">
        <f t="shared" si="401"/>
        <v>350</v>
      </c>
      <c r="DV139" s="5">
        <f t="shared" si="402"/>
        <v>2.8571428571428572</v>
      </c>
      <c r="DW139" s="5">
        <f t="shared" si="403"/>
        <v>1.2583688106004789</v>
      </c>
      <c r="DX139" s="5">
        <f t="shared" si="404"/>
        <v>1.5987740465423783</v>
      </c>
      <c r="DY139" s="173">
        <f t="shared" si="405"/>
        <v>0.44042908371016759</v>
      </c>
      <c r="EA139" s="5">
        <f t="shared" si="406"/>
        <v>54.73904326112082</v>
      </c>
      <c r="EB139" s="5">
        <f t="shared" si="407"/>
        <v>0.20273719726341047</v>
      </c>
      <c r="EC139" s="5">
        <f t="shared" si="408"/>
        <v>0.51516052610809948</v>
      </c>
      <c r="ED139" s="5"/>
      <c r="EE139" s="173">
        <f t="shared" si="409"/>
        <v>0.72323023231858818</v>
      </c>
      <c r="EF139" s="173">
        <f t="shared" si="410"/>
        <v>3.2608148151759826</v>
      </c>
      <c r="EG139" s="173">
        <f t="shared" si="411"/>
        <v>6.2131741748623445E-2</v>
      </c>
      <c r="EH139" s="173"/>
      <c r="EI139" s="528">
        <f t="shared" si="412"/>
        <v>6.3813560210631073E-3</v>
      </c>
      <c r="EJ139" s="528">
        <f t="shared" si="413"/>
        <v>0.48623370841602492</v>
      </c>
      <c r="EK139" s="528">
        <f t="shared" si="414"/>
        <v>4.3749999999999997E-2</v>
      </c>
      <c r="EL139" s="528">
        <f t="shared" si="415"/>
        <v>4.7398399999999993E-2</v>
      </c>
      <c r="EM139">
        <f t="shared" si="416"/>
        <v>8.0999999999999996E-3</v>
      </c>
      <c r="EN139" s="460">
        <f t="shared" si="417"/>
        <v>51.849999999999994</v>
      </c>
      <c r="EP139" s="460">
        <f t="shared" si="439"/>
        <v>591.86346443708794</v>
      </c>
      <c r="EQ139" s="173">
        <f t="shared" si="418"/>
        <v>1.2179999999999997</v>
      </c>
      <c r="ER139" s="173">
        <f t="shared" si="419"/>
        <v>1.2868749999999998E-2</v>
      </c>
      <c r="ES139" s="528"/>
      <c r="EU139" s="460">
        <f t="shared" si="420"/>
        <v>1230.8687499999996</v>
      </c>
      <c r="EV139" s="528">
        <f t="shared" si="421"/>
        <v>1.5691859068187968E-2</v>
      </c>
      <c r="EW139" s="528">
        <f t="shared" si="422"/>
        <v>0.31898739776613533</v>
      </c>
      <c r="EX139" s="528">
        <f t="shared" si="423"/>
        <v>1.9301766663588188E-5</v>
      </c>
      <c r="EY139" s="528">
        <f t="shared" si="424"/>
        <v>0.56090346982448236</v>
      </c>
      <c r="EZ139" s="528"/>
      <c r="FA139" s="625">
        <f t="shared" si="425"/>
        <v>3.1174999999999998E-2</v>
      </c>
      <c r="FB139" s="460">
        <f t="shared" si="426"/>
        <v>926.77702842546933</v>
      </c>
      <c r="FC139" s="173">
        <f t="shared" si="427"/>
        <v>2.7495092428625574</v>
      </c>
      <c r="FD139" s="5">
        <f t="shared" si="428"/>
        <v>7.4819999999999993</v>
      </c>
      <c r="FE139" s="173">
        <f t="shared" si="429"/>
        <v>0.73127041401241955</v>
      </c>
      <c r="FF139" s="5">
        <f t="shared" si="430"/>
        <v>73.127041401241954</v>
      </c>
      <c r="FG139">
        <f t="shared" si="431"/>
        <v>28.999999999999996</v>
      </c>
      <c r="FI139" s="562">
        <f t="shared" si="432"/>
        <v>-50</v>
      </c>
      <c r="FJ139">
        <f t="shared" si="433"/>
        <v>-50</v>
      </c>
    </row>
    <row r="140" spans="5:166">
      <c r="E140" s="170">
        <v>30</v>
      </c>
      <c r="F140" s="217">
        <f t="shared" si="434"/>
        <v>1.7999999999999998</v>
      </c>
      <c r="G140" s="217">
        <f t="shared" si="313"/>
        <v>0.03</v>
      </c>
      <c r="H140" s="217">
        <f t="shared" si="314"/>
        <v>7.1999999999999993</v>
      </c>
      <c r="I140" s="217">
        <f t="shared" si="315"/>
        <v>0.54</v>
      </c>
      <c r="J140" s="541">
        <f t="shared" si="316"/>
        <v>17.946802312634421</v>
      </c>
      <c r="K140" s="443">
        <f t="shared" si="317"/>
        <v>19.281711235374175</v>
      </c>
      <c r="L140" s="172">
        <f t="shared" si="318"/>
        <v>37.228513548008593</v>
      </c>
      <c r="M140" s="443"/>
      <c r="N140" s="217">
        <f t="shared" si="319"/>
        <v>0.5179285820936459</v>
      </c>
      <c r="O140" s="172">
        <f t="shared" si="320"/>
        <v>28.822207364023907</v>
      </c>
      <c r="P140" s="172">
        <f t="shared" si="321"/>
        <v>2.3237904687244275</v>
      </c>
      <c r="Q140" s="217">
        <f t="shared" si="322"/>
        <v>7.2055518410059767</v>
      </c>
      <c r="R140" s="217">
        <f t="shared" si="323"/>
        <v>1.6012337424457725</v>
      </c>
      <c r="S140" s="217">
        <f t="shared" si="324"/>
        <v>4</v>
      </c>
      <c r="T140" s="217">
        <f t="shared" si="325"/>
        <v>1.6653825084859375</v>
      </c>
      <c r="U140" s="217">
        <f t="shared" si="326"/>
        <v>1.1135460096845353</v>
      </c>
      <c r="V140" s="217">
        <f t="shared" si="327"/>
        <v>1.0364531372696619</v>
      </c>
      <c r="W140" s="197">
        <f t="shared" si="328"/>
        <v>350</v>
      </c>
      <c r="X140" s="443">
        <f t="shared" si="435"/>
        <v>350</v>
      </c>
      <c r="Z140" s="217">
        <f t="shared" si="329"/>
        <v>2.2131337797375497</v>
      </c>
      <c r="AA140" s="173">
        <f t="shared" si="330"/>
        <v>1.3773469083038694</v>
      </c>
      <c r="AB140" s="173">
        <f t="shared" si="331"/>
        <v>1.9849089101665669</v>
      </c>
      <c r="AC140" s="173"/>
      <c r="AD140" s="173">
        <f t="shared" si="332"/>
        <v>0.82980186792998156</v>
      </c>
      <c r="AE140" s="545">
        <f t="shared" si="333"/>
        <v>813.44719274234774</v>
      </c>
      <c r="AF140" s="528">
        <f t="shared" si="334"/>
        <v>0.77448174340131637</v>
      </c>
      <c r="AH140" s="173">
        <f t="shared" si="335"/>
        <v>1.9198214202665531</v>
      </c>
      <c r="AI140" s="173">
        <f t="shared" si="336"/>
        <v>1.9198214202665531</v>
      </c>
      <c r="AJ140" s="173">
        <f t="shared" si="337"/>
        <v>1.634435619950533</v>
      </c>
      <c r="AL140" s="545">
        <f t="shared" si="338"/>
        <v>1799.9999999999998</v>
      </c>
      <c r="AM140" s="460">
        <f t="shared" si="339"/>
        <v>350</v>
      </c>
      <c r="AO140" s="460">
        <f t="shared" si="340"/>
        <v>1799.9999999999998</v>
      </c>
      <c r="AP140" s="460">
        <f t="shared" si="341"/>
        <v>350</v>
      </c>
      <c r="AR140" s="5">
        <f t="shared" si="443"/>
        <v>2.8571428571428572</v>
      </c>
      <c r="AS140" s="5">
        <f t="shared" si="440"/>
        <v>1.2836747539688533</v>
      </c>
      <c r="AT140" s="5">
        <f t="shared" si="441"/>
        <v>1.5734681031740039</v>
      </c>
      <c r="AU140" s="173">
        <f t="shared" si="442"/>
        <v>0.44928616388909864</v>
      </c>
      <c r="AW140" s="5">
        <f t="shared" si="342"/>
        <v>57.76536392859839</v>
      </c>
      <c r="AX140" s="5">
        <f t="shared" si="343"/>
        <v>0.2139457923281422</v>
      </c>
      <c r="AY140" s="5">
        <f t="shared" si="344"/>
        <v>0.52604405256070375</v>
      </c>
      <c r="AZ140" s="5"/>
      <c r="BA140" s="173">
        <f t="shared" si="345"/>
        <v>0.74295366222033443</v>
      </c>
      <c r="BB140" s="173">
        <f t="shared" si="346"/>
        <v>3.2902067639948016</v>
      </c>
      <c r="BC140" s="173">
        <f t="shared" si="347"/>
        <v>6.269177753017123E-2</v>
      </c>
      <c r="BD140" s="173"/>
      <c r="BE140" s="528">
        <f t="shared" si="348"/>
        <v>6.7341577593206022E-3</v>
      </c>
      <c r="BF140" s="528">
        <f t="shared" si="349"/>
        <v>0.46903564151161242</v>
      </c>
      <c r="BG140" s="528">
        <f t="shared" si="350"/>
        <v>0.15703452023555117</v>
      </c>
      <c r="BH140" s="528">
        <f t="shared" si="351"/>
        <v>4.8508677734799076E-2</v>
      </c>
      <c r="BI140">
        <f t="shared" si="352"/>
        <v>8.0760610406854887E-3</v>
      </c>
      <c r="BJ140" s="460">
        <f t="shared" si="436"/>
        <v>165.11058127623664</v>
      </c>
      <c r="BK140">
        <f t="shared" si="353"/>
        <v>0.52693982222481384</v>
      </c>
      <c r="BL140" s="460">
        <f t="shared" si="437"/>
        <v>689.38905828196869</v>
      </c>
      <c r="BM140" s="173">
        <f t="shared" si="354"/>
        <v>1.1182499999999997</v>
      </c>
      <c r="BN140" s="173">
        <f t="shared" si="355"/>
        <v>1.8637499999999998E-2</v>
      </c>
      <c r="BO140" s="528"/>
      <c r="BQ140" s="460">
        <f t="shared" si="356"/>
        <v>1136.8874999999998</v>
      </c>
      <c r="BR140" s="528">
        <f t="shared" si="357"/>
        <v>1.6559404326198204E-2</v>
      </c>
      <c r="BS140" s="528">
        <f t="shared" si="358"/>
        <v>0.32476381649511432</v>
      </c>
      <c r="BT140" s="528">
        <f t="shared" si="359"/>
        <v>1.965129484946241E-5</v>
      </c>
      <c r="BU140" s="528">
        <f t="shared" si="360"/>
        <v>0.58518366911986663</v>
      </c>
      <c r="BV140" s="528"/>
      <c r="BW140" s="625">
        <f t="shared" si="361"/>
        <v>3.2250000000000001E-2</v>
      </c>
      <c r="BX140" s="460">
        <f t="shared" si="362"/>
        <v>958.77654123602861</v>
      </c>
      <c r="BY140" s="173">
        <f t="shared" si="363"/>
        <v>2.7850530995179974</v>
      </c>
      <c r="BZ140" s="5">
        <f t="shared" si="364"/>
        <v>7.7399999999999993</v>
      </c>
      <c r="CA140" s="173">
        <f t="shared" si="365"/>
        <v>0.73538821389456543</v>
      </c>
      <c r="CB140" s="5">
        <f t="shared" si="366"/>
        <v>73.538821389456544</v>
      </c>
      <c r="CC140">
        <f t="shared" si="367"/>
        <v>30</v>
      </c>
      <c r="CE140" s="562">
        <f t="shared" si="368"/>
        <v>-50</v>
      </c>
      <c r="CF140">
        <f t="shared" si="369"/>
        <v>-50</v>
      </c>
      <c r="CG140" s="173">
        <f t="shared" si="370"/>
        <v>0.44840141590681226</v>
      </c>
      <c r="CH140" s="173">
        <f t="shared" si="371"/>
        <v>0.11484928222625475</v>
      </c>
      <c r="CI140" s="170">
        <v>30</v>
      </c>
      <c r="CJ140" s="217">
        <f t="shared" si="438"/>
        <v>1.7999999999999998</v>
      </c>
      <c r="CK140" s="217">
        <f t="shared" si="372"/>
        <v>0.03</v>
      </c>
      <c r="CL140" s="217">
        <f t="shared" si="373"/>
        <v>7.1999999999999993</v>
      </c>
      <c r="CM140" s="217">
        <f t="shared" si="374"/>
        <v>0.54</v>
      </c>
      <c r="CN140" s="541">
        <f t="shared" si="375"/>
        <v>18</v>
      </c>
      <c r="CO140" s="443">
        <f t="shared" si="376"/>
        <v>18.8</v>
      </c>
      <c r="CP140" s="443">
        <f t="shared" si="377"/>
        <v>36.799999999999997</v>
      </c>
      <c r="CQ140" s="443"/>
      <c r="CR140" s="217">
        <f t="shared" si="378"/>
        <v>0.51086956521739135</v>
      </c>
      <c r="CS140" s="172">
        <f t="shared" si="379"/>
        <v>28.513650151668358</v>
      </c>
      <c r="CT140" s="172">
        <f t="shared" si="380"/>
        <v>2.2989130434782612</v>
      </c>
      <c r="CU140" s="217">
        <f t="shared" si="381"/>
        <v>7.1284125379170895</v>
      </c>
      <c r="CV140" s="217">
        <f t="shared" si="382"/>
        <v>1.5840916750926866</v>
      </c>
      <c r="CW140" s="217">
        <f t="shared" si="383"/>
        <v>4</v>
      </c>
      <c r="CX140" s="217">
        <f t="shared" si="384"/>
        <v>1.6834042553191486</v>
      </c>
      <c r="CY140" s="217">
        <f t="shared" si="385"/>
        <v>1.1222695035460992</v>
      </c>
      <c r="CZ140" s="217">
        <f t="shared" si="386"/>
        <v>1.0745133544590311</v>
      </c>
      <c r="DA140" s="197">
        <f t="shared" si="387"/>
        <v>350</v>
      </c>
      <c r="DB140" s="443">
        <f t="shared" si="388"/>
        <v>350</v>
      </c>
      <c r="DD140" s="217">
        <f t="shared" si="389"/>
        <v>2.18944099378882</v>
      </c>
      <c r="DE140" s="173">
        <f t="shared" si="390"/>
        <v>1.3975155279503106</v>
      </c>
      <c r="DF140" s="173">
        <f t="shared" si="391"/>
        <v>1.9924134422749624</v>
      </c>
      <c r="DG140" s="173"/>
      <c r="DH140" s="173">
        <f t="shared" si="392"/>
        <v>0.85106382978723416</v>
      </c>
      <c r="DI140" s="545">
        <f t="shared" si="393"/>
        <v>793.12499999999966</v>
      </c>
      <c r="DJ140" s="528">
        <f t="shared" si="394"/>
        <v>0.79432624113475192</v>
      </c>
      <c r="DL140" s="173">
        <f t="shared" si="395"/>
        <v>1.9198214202665531</v>
      </c>
      <c r="DM140" s="173">
        <f t="shared" si="396"/>
        <v>1.9198214202665531</v>
      </c>
      <c r="DN140" s="173">
        <f t="shared" si="397"/>
        <v>1.634435619950533</v>
      </c>
      <c r="DP140" s="545">
        <f t="shared" si="398"/>
        <v>1799.9999999999998</v>
      </c>
      <c r="DQ140" s="460">
        <f t="shared" si="399"/>
        <v>350</v>
      </c>
      <c r="DS140" s="460">
        <f t="shared" si="400"/>
        <v>1799.9999999999998</v>
      </c>
      <c r="DT140" s="460">
        <f t="shared" si="401"/>
        <v>350</v>
      </c>
      <c r="DV140" s="5">
        <f t="shared" si="402"/>
        <v>2.8571428571428572</v>
      </c>
      <c r="DW140" s="5">
        <f t="shared" si="403"/>
        <v>1.2798809468443688</v>
      </c>
      <c r="DX140" s="5">
        <f t="shared" si="404"/>
        <v>1.5772619102984884</v>
      </c>
      <c r="DY140" s="173">
        <f t="shared" si="405"/>
        <v>0.4479583313955291</v>
      </c>
      <c r="EA140" s="5">
        <f t="shared" si="406"/>
        <v>57.59464260799659</v>
      </c>
      <c r="EB140" s="5">
        <f t="shared" si="407"/>
        <v>0.21331349114072812</v>
      </c>
      <c r="EC140" s="5">
        <f t="shared" si="408"/>
        <v>0.52575397009949598</v>
      </c>
      <c r="ED140" s="5"/>
      <c r="EE140" s="173">
        <f t="shared" si="409"/>
        <v>0.74185497716405358</v>
      </c>
      <c r="EF140" s="173">
        <f t="shared" si="410"/>
        <v>3.2941709037106133</v>
      </c>
      <c r="EG140" s="173">
        <f t="shared" si="411"/>
        <v>6.2767310462594122E-2</v>
      </c>
      <c r="EH140" s="173"/>
      <c r="EI140" s="528">
        <f t="shared" si="412"/>
        <v>6.7142554471455564E-3</v>
      </c>
      <c r="EJ140" s="528">
        <f t="shared" si="413"/>
        <v>0.49454599786066405</v>
      </c>
      <c r="EK140" s="528">
        <f t="shared" si="414"/>
        <v>4.3749999999999997E-2</v>
      </c>
      <c r="EL140" s="528">
        <f t="shared" si="415"/>
        <v>4.7398399999999993E-2</v>
      </c>
      <c r="EM140">
        <f t="shared" si="416"/>
        <v>8.0999999999999996E-3</v>
      </c>
      <c r="EN140" s="460">
        <f t="shared" si="417"/>
        <v>51.849999999999994</v>
      </c>
      <c r="EP140" s="460">
        <f t="shared" si="439"/>
        <v>600.5086533078096</v>
      </c>
      <c r="EQ140" s="173">
        <f t="shared" si="418"/>
        <v>1.2599999999999998</v>
      </c>
      <c r="ER140" s="173">
        <f t="shared" si="419"/>
        <v>1.33125E-2</v>
      </c>
      <c r="ES140" s="528"/>
      <c r="EU140" s="460">
        <f t="shared" si="420"/>
        <v>1273.3124999999998</v>
      </c>
      <c r="EV140" s="528">
        <f t="shared" si="421"/>
        <v>1.6510464214292354E-2</v>
      </c>
      <c r="EW140" s="528">
        <f t="shared" si="422"/>
        <v>0.32554685828560792</v>
      </c>
      <c r="EX140" s="528">
        <f t="shared" si="423"/>
        <v>1.9698676313538386E-5</v>
      </c>
      <c r="EY140" s="528">
        <f t="shared" si="424"/>
        <v>0.58518366911986663</v>
      </c>
      <c r="EZ140" s="528"/>
      <c r="FA140" s="625">
        <f t="shared" si="425"/>
        <v>3.2250000000000001E-2</v>
      </c>
      <c r="FB140" s="460">
        <f t="shared" si="426"/>
        <v>959.5106902960805</v>
      </c>
      <c r="FC140" s="173">
        <f t="shared" si="427"/>
        <v>2.8333318436038897</v>
      </c>
      <c r="FD140" s="5">
        <f t="shared" si="428"/>
        <v>7.7399999999999993</v>
      </c>
      <c r="FE140" s="173">
        <f t="shared" si="429"/>
        <v>0.73203036795654408</v>
      </c>
      <c r="FF140" s="5">
        <f t="shared" si="430"/>
        <v>73.203036795654413</v>
      </c>
      <c r="FG140">
        <f t="shared" si="431"/>
        <v>30</v>
      </c>
      <c r="FI140" s="562">
        <f t="shared" si="432"/>
        <v>-50</v>
      </c>
      <c r="FJ140">
        <f t="shared" si="433"/>
        <v>-50</v>
      </c>
    </row>
    <row r="141" spans="5:166">
      <c r="E141" s="170">
        <v>31</v>
      </c>
      <c r="F141" s="217">
        <f t="shared" si="434"/>
        <v>1.8599999999999999</v>
      </c>
      <c r="G141" s="217">
        <f t="shared" si="313"/>
        <v>3.1E-2</v>
      </c>
      <c r="H141" s="217">
        <f t="shared" si="314"/>
        <v>7.4399999999999995</v>
      </c>
      <c r="I141" s="217">
        <f t="shared" si="315"/>
        <v>0.55800000000000005</v>
      </c>
      <c r="J141" s="541">
        <f t="shared" si="316"/>
        <v>17.945922952443631</v>
      </c>
      <c r="K141" s="443">
        <f t="shared" si="317"/>
        <v>19.289673943995975</v>
      </c>
      <c r="L141" s="172">
        <f t="shared" si="318"/>
        <v>37.235596896439603</v>
      </c>
      <c r="M141" s="443"/>
      <c r="N141" s="217">
        <f t="shared" si="319"/>
        <v>0.51804390292560121</v>
      </c>
      <c r="O141" s="172">
        <f t="shared" si="320"/>
        <v>28.827212303522565</v>
      </c>
      <c r="P141" s="172">
        <f t="shared" si="321"/>
        <v>2.3241939919715069</v>
      </c>
      <c r="Q141" s="217">
        <f t="shared" si="322"/>
        <v>7.2068030758806412</v>
      </c>
      <c r="R141" s="217">
        <f t="shared" si="323"/>
        <v>1.6015117946401425</v>
      </c>
      <c r="S141" s="217">
        <f t="shared" si="324"/>
        <v>4</v>
      </c>
      <c r="T141" s="217">
        <f t="shared" si="325"/>
        <v>1.7205964793876056</v>
      </c>
      <c r="U141" s="217">
        <f t="shared" si="326"/>
        <v>1.1505208067239483</v>
      </c>
      <c r="V141" s="217">
        <f t="shared" si="327"/>
        <v>1.0703736005386351</v>
      </c>
      <c r="W141" s="197">
        <f t="shared" si="328"/>
        <v>350</v>
      </c>
      <c r="X141" s="443">
        <f t="shared" si="435"/>
        <v>350</v>
      </c>
      <c r="Z141" s="217">
        <f t="shared" si="329"/>
        <v>2.2135180875919112</v>
      </c>
      <c r="AA141" s="173">
        <f t="shared" si="330"/>
        <v>1.3770174202125682</v>
      </c>
      <c r="AB141" s="173">
        <f t="shared" si="331"/>
        <v>1.9847786759058323</v>
      </c>
      <c r="AC141" s="173"/>
      <c r="AD141" s="173">
        <f t="shared" si="332"/>
        <v>0.8294593286777715</v>
      </c>
      <c r="AE141" s="545">
        <f t="shared" si="333"/>
        <v>840.90922349607433</v>
      </c>
      <c r="AF141" s="528">
        <f t="shared" si="334"/>
        <v>0.77416204009925349</v>
      </c>
      <c r="AH141" s="173">
        <f t="shared" si="335"/>
        <v>1.9515561556284842</v>
      </c>
      <c r="AI141" s="173">
        <f t="shared" si="336"/>
        <v>1.9515561556284842</v>
      </c>
      <c r="AJ141" s="173">
        <f t="shared" si="337"/>
        <v>1.6579428313297413</v>
      </c>
      <c r="AL141" s="545">
        <f t="shared" si="338"/>
        <v>1859.9999999999998</v>
      </c>
      <c r="AM141" s="460">
        <f t="shared" si="339"/>
        <v>350</v>
      </c>
      <c r="AO141" s="460">
        <f t="shared" si="340"/>
        <v>1859.9999999999998</v>
      </c>
      <c r="AP141" s="460">
        <f t="shared" si="341"/>
        <v>350</v>
      </c>
      <c r="AR141" s="5">
        <f t="shared" si="443"/>
        <v>2.8571428571428572</v>
      </c>
      <c r="AS141" s="5">
        <f t="shared" si="440"/>
        <v>1.304957896542901</v>
      </c>
      <c r="AT141" s="5">
        <f t="shared" si="441"/>
        <v>1.5521849605999563</v>
      </c>
      <c r="AU141" s="173">
        <f t="shared" si="442"/>
        <v>0.45673526379001533</v>
      </c>
      <c r="AW141" s="5">
        <f t="shared" si="342"/>
        <v>60.680542189244889</v>
      </c>
      <c r="AX141" s="5">
        <f t="shared" si="343"/>
        <v>0.22474274884905518</v>
      </c>
      <c r="AY141" s="5">
        <f t="shared" si="344"/>
        <v>0.53625253943315987</v>
      </c>
      <c r="AZ141" s="5"/>
      <c r="BA141" s="173">
        <f t="shared" si="345"/>
        <v>0.76146982345366931</v>
      </c>
      <c r="BB141" s="173">
        <f t="shared" si="346"/>
        <v>3.321897090502949</v>
      </c>
      <c r="BC141" s="173">
        <f t="shared" si="347"/>
        <v>6.3295606724448075E-2</v>
      </c>
      <c r="BD141" s="173"/>
      <c r="BE141" s="528">
        <f t="shared" si="348"/>
        <v>7.0740027627728599E-3</v>
      </c>
      <c r="BF141" s="528">
        <f t="shared" si="349"/>
        <v>0.47687953905209352</v>
      </c>
      <c r="BG141" s="528">
        <f t="shared" si="350"/>
        <v>0.15702682583388178</v>
      </c>
      <c r="BH141" s="528">
        <f t="shared" si="351"/>
        <v>4.8527138668194997E-2</v>
      </c>
      <c r="BI141">
        <f t="shared" si="352"/>
        <v>8.0756653285996346E-3</v>
      </c>
      <c r="BJ141" s="460">
        <f t="shared" si="436"/>
        <v>165.10249116248141</v>
      </c>
      <c r="BK141">
        <f t="shared" si="353"/>
        <v>0.5352903682101704</v>
      </c>
      <c r="BL141" s="460">
        <f t="shared" si="437"/>
        <v>697.58317164554285</v>
      </c>
      <c r="BM141" s="173">
        <f t="shared" si="354"/>
        <v>1.1555249999999997</v>
      </c>
      <c r="BN141" s="173">
        <f t="shared" si="355"/>
        <v>1.9258749999999998E-2</v>
      </c>
      <c r="BO141" s="528"/>
      <c r="BQ141" s="460">
        <f t="shared" si="356"/>
        <v>1174.7837499999998</v>
      </c>
      <c r="BR141" s="528">
        <f t="shared" si="357"/>
        <v>1.7395088760916867E-2</v>
      </c>
      <c r="BS141" s="528">
        <f t="shared" si="358"/>
        <v>0.33105000839675874</v>
      </c>
      <c r="BT141" s="528">
        <f t="shared" si="359"/>
        <v>2.003166915307998E-5</v>
      </c>
      <c r="BU141" s="528">
        <f t="shared" si="360"/>
        <v>0.60966708189176799</v>
      </c>
      <c r="BV141" s="528"/>
      <c r="BW141" s="625">
        <f t="shared" si="361"/>
        <v>3.3325E-2</v>
      </c>
      <c r="BX141" s="460">
        <f t="shared" si="362"/>
        <v>991.4572107185968</v>
      </c>
      <c r="BY141" s="173">
        <f t="shared" si="363"/>
        <v>2.8638241323641394</v>
      </c>
      <c r="BZ141" s="5">
        <f t="shared" si="364"/>
        <v>7.9979999999999993</v>
      </c>
      <c r="CA141" s="173">
        <f t="shared" si="365"/>
        <v>0.73634040678019974</v>
      </c>
      <c r="CB141" s="5">
        <f t="shared" si="366"/>
        <v>73.634040678019971</v>
      </c>
      <c r="CC141">
        <f t="shared" si="367"/>
        <v>31</v>
      </c>
      <c r="CE141" s="562">
        <f t="shared" si="368"/>
        <v>-50</v>
      </c>
      <c r="CF141">
        <f t="shared" si="369"/>
        <v>-50</v>
      </c>
      <c r="CG141" s="173">
        <f t="shared" si="370"/>
        <v>0.45581351169837919</v>
      </c>
      <c r="CH141" s="173">
        <f t="shared" si="371"/>
        <v>0.11674774608309196</v>
      </c>
      <c r="CI141" s="170">
        <v>31</v>
      </c>
      <c r="CJ141" s="217">
        <f t="shared" si="438"/>
        <v>1.8599999999999999</v>
      </c>
      <c r="CK141" s="217">
        <f t="shared" si="372"/>
        <v>3.1E-2</v>
      </c>
      <c r="CL141" s="217">
        <f t="shared" si="373"/>
        <v>7.4399999999999995</v>
      </c>
      <c r="CM141" s="217">
        <f t="shared" si="374"/>
        <v>0.55800000000000005</v>
      </c>
      <c r="CN141" s="541">
        <f t="shared" si="375"/>
        <v>18</v>
      </c>
      <c r="CO141" s="443">
        <f t="shared" si="376"/>
        <v>18.8</v>
      </c>
      <c r="CP141" s="443">
        <f t="shared" si="377"/>
        <v>36.799999999999997</v>
      </c>
      <c r="CQ141" s="443"/>
      <c r="CR141" s="217">
        <f t="shared" si="378"/>
        <v>0.51086956521739135</v>
      </c>
      <c r="CS141" s="172">
        <f t="shared" si="379"/>
        <v>28.513650151668358</v>
      </c>
      <c r="CT141" s="172">
        <f t="shared" si="380"/>
        <v>2.2989130434782612</v>
      </c>
      <c r="CU141" s="217">
        <f t="shared" si="381"/>
        <v>7.1284125379170895</v>
      </c>
      <c r="CV141" s="217">
        <f t="shared" si="382"/>
        <v>1.5840916750926866</v>
      </c>
      <c r="CW141" s="217">
        <f t="shared" si="383"/>
        <v>4</v>
      </c>
      <c r="CX141" s="217">
        <f t="shared" si="384"/>
        <v>1.7395177304964535</v>
      </c>
      <c r="CY141" s="217">
        <f t="shared" si="385"/>
        <v>1.1596784869976358</v>
      </c>
      <c r="CZ141" s="217">
        <f t="shared" si="386"/>
        <v>1.1103304662743321</v>
      </c>
      <c r="DA141" s="197">
        <f t="shared" si="387"/>
        <v>350</v>
      </c>
      <c r="DB141" s="443">
        <f t="shared" si="388"/>
        <v>350</v>
      </c>
      <c r="DD141" s="217">
        <f t="shared" si="389"/>
        <v>2.18944099378882</v>
      </c>
      <c r="DE141" s="173">
        <f t="shared" si="390"/>
        <v>1.3975155279503106</v>
      </c>
      <c r="DF141" s="173">
        <f t="shared" si="391"/>
        <v>1.9924134422749624</v>
      </c>
      <c r="DG141" s="173"/>
      <c r="DH141" s="173">
        <f t="shared" si="392"/>
        <v>0.85106382978723416</v>
      </c>
      <c r="DI141" s="545">
        <f t="shared" si="393"/>
        <v>819.56249999999966</v>
      </c>
      <c r="DJ141" s="528">
        <f t="shared" si="394"/>
        <v>0.79432624113475192</v>
      </c>
      <c r="DL141" s="173">
        <f t="shared" si="395"/>
        <v>1.9515561556284842</v>
      </c>
      <c r="DM141" s="173">
        <f t="shared" si="396"/>
        <v>1.9515561556284842</v>
      </c>
      <c r="DN141" s="173">
        <f t="shared" si="397"/>
        <v>1.6579428313297413</v>
      </c>
      <c r="DP141" s="545">
        <f t="shared" si="398"/>
        <v>1859.9999999999998</v>
      </c>
      <c r="DQ141" s="460">
        <f t="shared" si="399"/>
        <v>350</v>
      </c>
      <c r="DS141" s="460">
        <f t="shared" si="400"/>
        <v>1859.9999999999998</v>
      </c>
      <c r="DT141" s="460">
        <f t="shared" si="401"/>
        <v>350</v>
      </c>
      <c r="DV141" s="5">
        <f t="shared" si="402"/>
        <v>2.8571428571428572</v>
      </c>
      <c r="DW141" s="5">
        <f t="shared" si="403"/>
        <v>1.3010374370856561</v>
      </c>
      <c r="DX141" s="5">
        <f t="shared" si="404"/>
        <v>1.5561054200572011</v>
      </c>
      <c r="DY141" s="173">
        <f t="shared" si="405"/>
        <v>0.45536310297997962</v>
      </c>
      <c r="EA141" s="5">
        <f t="shared" si="406"/>
        <v>60.498240824483005</v>
      </c>
      <c r="EB141" s="5">
        <f t="shared" si="407"/>
        <v>0.22406755860919633</v>
      </c>
      <c r="EC141" s="5">
        <f t="shared" si="408"/>
        <v>0.53599186690859146</v>
      </c>
      <c r="ED141" s="5"/>
      <c r="EE141" s="173">
        <f t="shared" si="409"/>
        <v>0.76032512862046486</v>
      </c>
      <c r="EF141" s="173">
        <f t="shared" si="410"/>
        <v>3.3260896158993258</v>
      </c>
      <c r="EG141" s="173">
        <f t="shared" si="411"/>
        <v>6.3375491329973638E-2</v>
      </c>
      <c r="EH141" s="173"/>
      <c r="EI141" s="528">
        <f t="shared" si="412"/>
        <v>7.0527504747830618E-3</v>
      </c>
      <c r="EJ141" s="528">
        <f t="shared" si="413"/>
        <v>0.50272086568989749</v>
      </c>
      <c r="EK141" s="528">
        <f t="shared" si="414"/>
        <v>4.3749999999999997E-2</v>
      </c>
      <c r="EL141" s="528">
        <f t="shared" si="415"/>
        <v>4.7398399999999993E-2</v>
      </c>
      <c r="EM141">
        <f t="shared" si="416"/>
        <v>8.0999999999999996E-3</v>
      </c>
      <c r="EN141" s="460">
        <f t="shared" si="417"/>
        <v>51.849999999999994</v>
      </c>
      <c r="EP141" s="460">
        <f t="shared" si="439"/>
        <v>609.02201616468039</v>
      </c>
      <c r="EQ141" s="173">
        <f t="shared" si="418"/>
        <v>1.3019999999999998</v>
      </c>
      <c r="ER141" s="173">
        <f t="shared" si="419"/>
        <v>1.3756249999999999E-2</v>
      </c>
      <c r="ES141" s="528"/>
      <c r="EU141" s="460">
        <f t="shared" si="420"/>
        <v>1315.7562499999997</v>
      </c>
      <c r="EV141" s="528">
        <f t="shared" si="421"/>
        <v>1.7342829036351794E-2</v>
      </c>
      <c r="EW141" s="528">
        <f t="shared" si="422"/>
        <v>0.33188616398979975</v>
      </c>
      <c r="EX141" s="528">
        <f t="shared" si="423"/>
        <v>2.0082264506577819E-5</v>
      </c>
      <c r="EY141" s="528">
        <f t="shared" si="424"/>
        <v>0.60966708189176799</v>
      </c>
      <c r="EZ141" s="528"/>
      <c r="FA141" s="625">
        <f t="shared" si="425"/>
        <v>3.3325E-2</v>
      </c>
      <c r="FB141" s="460">
        <f t="shared" si="426"/>
        <v>992.24115718242615</v>
      </c>
      <c r="FC141" s="173">
        <f t="shared" si="427"/>
        <v>2.9170194233471061</v>
      </c>
      <c r="FD141" s="5">
        <f t="shared" si="428"/>
        <v>7.9979999999999993</v>
      </c>
      <c r="FE141" s="173">
        <f t="shared" si="429"/>
        <v>0.73275178813629649</v>
      </c>
      <c r="FF141" s="5">
        <f t="shared" si="430"/>
        <v>73.275178813629651</v>
      </c>
      <c r="FG141">
        <f t="shared" si="431"/>
        <v>31</v>
      </c>
      <c r="FI141" s="562">
        <f t="shared" si="432"/>
        <v>-50</v>
      </c>
      <c r="FJ141">
        <f t="shared" si="433"/>
        <v>-50</v>
      </c>
    </row>
    <row r="142" spans="5:166">
      <c r="E142" s="170">
        <v>32</v>
      </c>
      <c r="F142" s="217">
        <f t="shared" si="434"/>
        <v>1.92</v>
      </c>
      <c r="G142" s="217">
        <f t="shared" ref="G142:G173" si="444">IF(PLOT_TYPE=1, E142/100*Iout2, min_I*EXP(Q142*rr/100))</f>
        <v>3.2000000000000001E-2</v>
      </c>
      <c r="H142" s="217">
        <f t="shared" ref="H142:H173" si="445">F142*Vout</f>
        <v>7.68</v>
      </c>
      <c r="I142" s="217">
        <f t="shared" ref="I142:I173" si="446">Vout2*G142</f>
        <v>0.57600000000000007</v>
      </c>
      <c r="J142" s="541">
        <f t="shared" ref="J142:J173" si="447">VIN_min-(F142/CG142/Nps+G142/CH142/(Nps/Nsec1sec2))*(Rdcr_pri+RON/1000)</f>
        <v>17.945057664740364</v>
      </c>
      <c r="K142" s="443">
        <f t="shared" ref="K142:K173" si="448">MAX((S142+Vfwd2+Rdcr_sec*F142/CG142)*Nps,(Vout2+Vfwd22+Rdcr_sec2*G142/CH142)*Nps/Nsec1sec2)</f>
        <v>19.297509224609382</v>
      </c>
      <c r="L142" s="172">
        <f t="shared" ref="L142:L173" si="449">MAX((Vout+Vfwd2+F142/CG142*Rdcr_sec)*Nps+J142, (Vout2+Vfwd22+G142/CH142*Rdcr_sec2)*Nps/Nsec1sec2+J142)</f>
        <v>37.242566889349746</v>
      </c>
      <c r="M142" s="443"/>
      <c r="N142" s="217">
        <f t="shared" ref="N142:N173" si="450">MAX((Vout+Vfwd2+F142/CG142*Rdcr_sec)*Nps/((Vout+Vfwd2+F142/CG142*Rdcr_sec)*Nps+J142), (Vout2+Vfwd22+G142/CH142*Rdcr_sec2)*Nps/Nsec1sec2/((Vout2+Vfwd22+G142/CH142*Rdcr_sec2)*Nps/Nsec1sec2+J142))</f>
        <v>0.51815733544746323</v>
      </c>
      <c r="O142" s="172">
        <f t="shared" ref="O142:O173" si="451">N142*J142*Isw_max*0.5*Efficiency*Pout/(Pout+Pout2)</f>
        <v>28.832134151978124</v>
      </c>
      <c r="P142" s="172">
        <f t="shared" ref="P142:P173" si="452">N142*J142*Isw_max*0.5*Efficiency*(Pout2/Pout_total)</f>
        <v>2.3245908160032362</v>
      </c>
      <c r="Q142" s="217">
        <f t="shared" si="322"/>
        <v>7.2080335379945311</v>
      </c>
      <c r="R142" s="217">
        <f t="shared" ref="R142:R173" si="453">O142/Vout2</f>
        <v>1.6017852306654514</v>
      </c>
      <c r="S142" s="217">
        <f t="shared" ref="S142:S173" si="454">MIN(Vout,O142/F142)</f>
        <v>4</v>
      </c>
      <c r="T142" s="217">
        <f t="shared" ref="T142:T173" si="455">MIN(2*(Vout*F142+Vout2*G142)/(Efficiency*J142*N142), Isw_max)</f>
        <v>1.7757963989109442</v>
      </c>
      <c r="U142" s="217">
        <f t="shared" si="326"/>
        <v>1.1874889000107121</v>
      </c>
      <c r="V142" s="217">
        <f t="shared" si="327"/>
        <v>1.1042646249784436</v>
      </c>
      <c r="W142" s="197">
        <f t="shared" si="328"/>
        <v>350</v>
      </c>
      <c r="X142" s="443">
        <f t="shared" si="435"/>
        <v>350</v>
      </c>
      <c r="Z142" s="217">
        <f t="shared" si="329"/>
        <v>2.2138960152411769</v>
      </c>
      <c r="AA142" s="173">
        <f t="shared" si="330"/>
        <v>1.3766933272929625</v>
      </c>
      <c r="AB142" s="173">
        <f t="shared" ref="AB142:AB173" si="456">0.5*AA142*Z142*Nps*W142/1000*(Pout/(Pout+Pout2))</f>
        <v>1.9846503349321905</v>
      </c>
      <c r="AC142" s="173"/>
      <c r="AD142" s="173">
        <f t="shared" si="332"/>
        <v>0.8291225470484973</v>
      </c>
      <c r="AE142" s="545">
        <f t="shared" ref="AE142:AE173" si="457">MAX(10, F142/(0.5*AD142/1000000*Isw_min*Nps)/1000*Pout_total/Pout)</f>
        <v>868.38791510742192</v>
      </c>
      <c r="AF142" s="528">
        <f t="shared" ref="AF142:AF173" si="458">0.5*AD142/1000000*Isw_min*Nps*W142*1000*(Pout/Pout_total)</f>
        <v>0.77384771057859758</v>
      </c>
      <c r="AH142" s="173">
        <f t="shared" ref="AH142:AH173" si="459">SQRT((H142+I142)/(0.5*L*Fsw_DCM))</f>
        <v>1.9827830369025683</v>
      </c>
      <c r="AI142" s="173">
        <f t="shared" ref="AI142:AI173" si="460">MAX(IF(F142&gt;AB142,T142,AH142),Isw_min)</f>
        <v>1.9827830369025683</v>
      </c>
      <c r="AJ142" s="173">
        <f t="shared" ref="AJ142:AJ173" si="461">IF(F142&gt;AF142, (AI142-Isw_min)/1.08*0.8+1.2, AE142*0.2/350+1)</f>
        <v>1.6810738544957295</v>
      </c>
      <c r="AL142" s="545">
        <f t="shared" ref="AL142:AL173" si="462">F142*1000</f>
        <v>1920</v>
      </c>
      <c r="AM142" s="460">
        <f t="shared" ref="AM142:AM173" si="463">IF(F142&gt;AF142, X142, AE142)</f>
        <v>350</v>
      </c>
      <c r="AO142" s="460">
        <f t="shared" si="340"/>
        <v>1920</v>
      </c>
      <c r="AP142" s="460">
        <f t="shared" si="341"/>
        <v>350</v>
      </c>
      <c r="AR142" s="5">
        <f t="shared" si="443"/>
        <v>2.8571428571428572</v>
      </c>
      <c r="AS142" s="5">
        <f t="shared" si="440"/>
        <v>1.3259024789639802</v>
      </c>
      <c r="AT142" s="5">
        <f t="shared" si="441"/>
        <v>1.531240378178877</v>
      </c>
      <c r="AU142" s="173">
        <f t="shared" si="442"/>
        <v>0.46406586763739305</v>
      </c>
      <c r="AW142" s="5">
        <f t="shared" si="342"/>
        <v>63.643318990271048</v>
      </c>
      <c r="AX142" s="5">
        <f t="shared" si="343"/>
        <v>0.23571599626026316</v>
      </c>
      <c r="AY142" s="5">
        <f t="shared" si="344"/>
        <v>0.54610793698369542</v>
      </c>
      <c r="AZ142" s="5"/>
      <c r="BA142" s="173">
        <f t="shared" si="345"/>
        <v>0.7798379769871937</v>
      </c>
      <c r="BB142" s="173">
        <f t="shared" si="346"/>
        <v>3.3522026672018779</v>
      </c>
      <c r="BC142" s="173">
        <f t="shared" si="347"/>
        <v>6.3873050821008762E-2</v>
      </c>
      <c r="BD142" s="173"/>
      <c r="BE142" s="528">
        <f t="shared" si="348"/>
        <v>7.4193966982880419E-3</v>
      </c>
      <c r="BF142" s="528">
        <f t="shared" ref="BF142:BF173" si="464">0.5*L142*AI142*AM142*1000*Tfall</f>
        <v>0.48460078983035942</v>
      </c>
      <c r="BG142" s="528">
        <f t="shared" ref="BG142:BG173" si="465">Qg*Vdd*AM142*1000*0+Qg*J142*AM142*1000</f>
        <v>0.15701925456647819</v>
      </c>
      <c r="BH142" s="528">
        <f t="shared" si="351"/>
        <v>4.8545307597769149E-2</v>
      </c>
      <c r="BI142">
        <f t="shared" si="352"/>
        <v>8.0752759491331642E-3</v>
      </c>
      <c r="BJ142" s="460">
        <f t="shared" si="436"/>
        <v>165.09453051561135</v>
      </c>
      <c r="BK142">
        <f t="shared" ref="BK142:BK173" si="466">(BF142+BG142*0+BH142+BI142*0+BE142*(1+RdsonTC*(Ta-25)))/(1-BE142*RdsonTC*ThetaJA)</f>
        <v>0.54352688687672035</v>
      </c>
      <c r="BL142" s="460">
        <f t="shared" si="437"/>
        <v>705.66002464202791</v>
      </c>
      <c r="BM142" s="173">
        <f t="shared" ref="BM142:BM173" si="467">Vfwd2*F142*(1+Diode_TC/1000*(Ta-25))</f>
        <v>1.1927999999999999</v>
      </c>
      <c r="BN142" s="173">
        <f t="shared" ref="BN142:BN173" si="468">Vfwd2*G142*(1+Diode_TC/1000*(Ta-25))</f>
        <v>1.9879999999999998E-2</v>
      </c>
      <c r="BO142" s="528"/>
      <c r="BQ142" s="460">
        <f t="shared" si="356"/>
        <v>1212.6799999999998</v>
      </c>
      <c r="BR142" s="528">
        <f t="shared" si="357"/>
        <v>1.8244418110544364E-2</v>
      </c>
      <c r="BS142" s="528">
        <f t="shared" si="358"/>
        <v>0.33711788165986151</v>
      </c>
      <c r="BT142" s="528">
        <f t="shared" si="359"/>
        <v>2.0398833105915838E-5</v>
      </c>
      <c r="BU142" s="528">
        <f t="shared" si="360"/>
        <v>0.63434877005883472</v>
      </c>
      <c r="BV142" s="528"/>
      <c r="BW142" s="625">
        <f t="shared" ref="BW142:BW173" si="469">0.5*Lleak*0.000000001*AI142^2*AM142*1000</f>
        <v>3.44E-2</v>
      </c>
      <c r="BX142" s="460">
        <f t="shared" si="362"/>
        <v>1024.1314686623466</v>
      </c>
      <c r="BY142" s="173">
        <f t="shared" si="363"/>
        <v>2.9424714933043741</v>
      </c>
      <c r="BZ142" s="5">
        <f t="shared" si="364"/>
        <v>8.2560000000000002</v>
      </c>
      <c r="CA142" s="173">
        <f t="shared" si="365"/>
        <v>0.73724347156987502</v>
      </c>
      <c r="CB142" s="5">
        <f t="shared" si="366"/>
        <v>73.724347156987506</v>
      </c>
      <c r="CC142">
        <f t="shared" si="367"/>
        <v>32</v>
      </c>
      <c r="CE142" s="562">
        <f t="shared" ref="CE142:CE173" si="470">IF(ABS(F142-Ioutmax_Vinmin)&lt;Iout/200, AM142, -50)</f>
        <v>-50</v>
      </c>
      <c r="CF142">
        <f t="shared" ref="CF142:CF173" si="471">IF(ABS(F142-Ioutmax_Vinmin)&lt;Iout/200, (O142+P142)*CA142, -50)</f>
        <v>-50</v>
      </c>
      <c r="CG142" s="173">
        <f t="shared" si="370"/>
        <v>0.46310699099277586</v>
      </c>
      <c r="CH142" s="173">
        <f t="shared" ref="CH142:CH173" si="472">MIN(SQRT(2*DT142*1000*Ls2_*(CM142+CK142*Vfwd22))/(Vout2+Vfwd22), 1-DY142)</f>
        <v>0.1186158286363094</v>
      </c>
      <c r="CI142" s="170">
        <v>32</v>
      </c>
      <c r="CJ142" s="217">
        <f t="shared" si="438"/>
        <v>1.92</v>
      </c>
      <c r="CK142" s="217">
        <f t="shared" si="372"/>
        <v>3.2000000000000001E-2</v>
      </c>
      <c r="CL142" s="217">
        <f t="shared" si="373"/>
        <v>7.68</v>
      </c>
      <c r="CM142" s="217">
        <f t="shared" si="374"/>
        <v>0.57600000000000007</v>
      </c>
      <c r="CN142" s="541">
        <f t="shared" si="375"/>
        <v>18</v>
      </c>
      <c r="CO142" s="443">
        <f t="shared" ref="CO142:CO173" si="473">(CW142+Vfwd2)*Nps</f>
        <v>18.8</v>
      </c>
      <c r="CP142" s="443">
        <f t="shared" ref="CP142:CP173" si="474">(Vout+Vfwd2)*Nps+CN142</f>
        <v>36.799999999999997</v>
      </c>
      <c r="CQ142" s="443"/>
      <c r="CR142" s="217">
        <f t="shared" si="378"/>
        <v>0.51086956521739135</v>
      </c>
      <c r="CS142" s="172">
        <f t="shared" si="379"/>
        <v>28.513650151668358</v>
      </c>
      <c r="CT142" s="172">
        <f t="shared" si="380"/>
        <v>2.2989130434782612</v>
      </c>
      <c r="CU142" s="217">
        <f t="shared" si="381"/>
        <v>7.1284125379170895</v>
      </c>
      <c r="CV142" s="217">
        <f t="shared" si="382"/>
        <v>1.5840916750926866</v>
      </c>
      <c r="CW142" s="217">
        <f t="shared" si="383"/>
        <v>4</v>
      </c>
      <c r="CX142" s="217">
        <f t="shared" si="384"/>
        <v>1.7956312056737587</v>
      </c>
      <c r="CY142" s="217">
        <f t="shared" si="385"/>
        <v>1.1970874704491725</v>
      </c>
      <c r="CZ142" s="217">
        <f t="shared" si="386"/>
        <v>1.1461475780896331</v>
      </c>
      <c r="DA142" s="197">
        <f t="shared" si="387"/>
        <v>350</v>
      </c>
      <c r="DB142" s="443">
        <f t="shared" si="388"/>
        <v>350</v>
      </c>
      <c r="DD142" s="217">
        <f t="shared" si="389"/>
        <v>2.18944099378882</v>
      </c>
      <c r="DE142" s="173">
        <f t="shared" si="390"/>
        <v>1.3975155279503106</v>
      </c>
      <c r="DF142" s="173">
        <f t="shared" si="391"/>
        <v>1.9924134422749624</v>
      </c>
      <c r="DG142" s="173"/>
      <c r="DH142" s="173">
        <f t="shared" si="392"/>
        <v>0.85106382978723416</v>
      </c>
      <c r="DI142" s="545">
        <f t="shared" si="393"/>
        <v>845.99999999999966</v>
      </c>
      <c r="DJ142" s="528">
        <f t="shared" si="394"/>
        <v>0.79432624113475192</v>
      </c>
      <c r="DL142" s="173">
        <f t="shared" si="395"/>
        <v>1.9827830369025683</v>
      </c>
      <c r="DM142" s="173">
        <f t="shared" si="396"/>
        <v>1.9827830369025683</v>
      </c>
      <c r="DN142" s="173">
        <f t="shared" si="397"/>
        <v>1.6810738544957295</v>
      </c>
      <c r="DP142" s="545">
        <f t="shared" si="398"/>
        <v>1920</v>
      </c>
      <c r="DQ142" s="460">
        <f t="shared" si="399"/>
        <v>350</v>
      </c>
      <c r="DS142" s="460">
        <f t="shared" si="400"/>
        <v>1920</v>
      </c>
      <c r="DT142" s="460">
        <f t="shared" si="401"/>
        <v>350</v>
      </c>
      <c r="DV142" s="5">
        <f t="shared" si="402"/>
        <v>2.8571428571428572</v>
      </c>
      <c r="DW142" s="5">
        <f t="shared" si="403"/>
        <v>1.3218553579350456</v>
      </c>
      <c r="DX142" s="5">
        <f t="shared" si="404"/>
        <v>1.5352874992078116</v>
      </c>
      <c r="DY142" s="173">
        <f t="shared" si="405"/>
        <v>0.46264937527726596</v>
      </c>
      <c r="EA142" s="5">
        <f t="shared" si="406"/>
        <v>63.449057180882185</v>
      </c>
      <c r="EB142" s="5">
        <f t="shared" si="407"/>
        <v>0.23499650807734143</v>
      </c>
      <c r="EC142" s="5">
        <f t="shared" si="408"/>
        <v>0.5458799997183329</v>
      </c>
      <c r="ED142" s="5"/>
      <c r="EE142" s="173">
        <f t="shared" si="409"/>
        <v>0.77864689740571169</v>
      </c>
      <c r="EF142" s="173">
        <f t="shared" si="410"/>
        <v>3.3566297374280638</v>
      </c>
      <c r="EG142" s="173">
        <f t="shared" si="411"/>
        <v>6.3957404456399594E-2</v>
      </c>
      <c r="EH142" s="173"/>
      <c r="EI142" s="528">
        <f t="shared" si="412"/>
        <v>7.3967500882423974E-3</v>
      </c>
      <c r="EJ142" s="528">
        <f t="shared" si="413"/>
        <v>0.51076491030610149</v>
      </c>
      <c r="EK142" s="528">
        <f t="shared" si="414"/>
        <v>4.3749999999999997E-2</v>
      </c>
      <c r="EL142" s="528">
        <f t="shared" si="415"/>
        <v>4.7398399999999993E-2</v>
      </c>
      <c r="EM142">
        <f t="shared" si="416"/>
        <v>8.0999999999999996E-3</v>
      </c>
      <c r="EN142" s="460">
        <f t="shared" si="417"/>
        <v>51.849999999999994</v>
      </c>
      <c r="EP142" s="460">
        <f t="shared" si="439"/>
        <v>617.41006039434376</v>
      </c>
      <c r="EQ142" s="173">
        <f t="shared" si="418"/>
        <v>1.3439999999999999</v>
      </c>
      <c r="ER142" s="173">
        <f t="shared" ref="ER142:ER173" si="475">Vfwd22*CK142*(1+Diode_TC/1000*(Ta-25))</f>
        <v>1.4199999999999999E-2</v>
      </c>
      <c r="ES142" s="528"/>
      <c r="EU142" s="460">
        <f t="shared" si="420"/>
        <v>1358.1999999999998</v>
      </c>
      <c r="EV142" s="528">
        <f t="shared" si="421"/>
        <v>1.8188729725186224E-2</v>
      </c>
      <c r="EW142" s="528">
        <f t="shared" si="422"/>
        <v>0.33800889582559174</v>
      </c>
      <c r="EX142" s="528">
        <f t="shared" si="423"/>
        <v>2.0452747923997414E-5</v>
      </c>
      <c r="EY142" s="528">
        <f t="shared" si="424"/>
        <v>0.63434877005883472</v>
      </c>
      <c r="EZ142" s="528"/>
      <c r="FA142" s="625">
        <f t="shared" si="425"/>
        <v>3.44E-2</v>
      </c>
      <c r="FB142" s="460">
        <f t="shared" si="426"/>
        <v>1024.9668483575367</v>
      </c>
      <c r="FC142" s="173">
        <f t="shared" si="427"/>
        <v>3.0005769087518805</v>
      </c>
      <c r="FD142" s="5">
        <f t="shared" si="428"/>
        <v>8.2560000000000002</v>
      </c>
      <c r="FE142" s="173">
        <f t="shared" si="429"/>
        <v>0.73343788852728742</v>
      </c>
      <c r="FF142" s="5">
        <f t="shared" si="430"/>
        <v>73.343788852728736</v>
      </c>
      <c r="FG142">
        <f t="shared" si="431"/>
        <v>32</v>
      </c>
      <c r="FI142" s="562">
        <f t="shared" si="432"/>
        <v>-50</v>
      </c>
      <c r="FJ142">
        <f t="shared" si="433"/>
        <v>-50</v>
      </c>
    </row>
    <row r="143" spans="5:166">
      <c r="E143" s="170">
        <v>33</v>
      </c>
      <c r="F143" s="217">
        <f t="shared" ref="F143:F174" si="476">IF(PLOT_TYPE=1, E143/100*Iout_max, min_I*EXP(O143*rr/100))</f>
        <v>1.98</v>
      </c>
      <c r="G143" s="217">
        <f t="shared" si="444"/>
        <v>3.3000000000000002E-2</v>
      </c>
      <c r="H143" s="217">
        <f t="shared" si="445"/>
        <v>7.92</v>
      </c>
      <c r="I143" s="217">
        <f t="shared" si="446"/>
        <v>0.59400000000000008</v>
      </c>
      <c r="J143" s="541">
        <f t="shared" si="447"/>
        <v>17.944205794788793</v>
      </c>
      <c r="K143" s="443">
        <f t="shared" si="448"/>
        <v>19.305223005923409</v>
      </c>
      <c r="L143" s="172">
        <f t="shared" si="449"/>
        <v>37.249428800712202</v>
      </c>
      <c r="M143" s="443"/>
      <c r="N143" s="217">
        <f t="shared" si="450"/>
        <v>0.51826896753794782</v>
      </c>
      <c r="O143" s="172">
        <f t="shared" si="451"/>
        <v>28.836976776910539</v>
      </c>
      <c r="P143" s="172">
        <f t="shared" si="452"/>
        <v>2.3249812526384122</v>
      </c>
      <c r="Q143" s="217">
        <f t="shared" si="322"/>
        <v>7.2092441942276348</v>
      </c>
      <c r="R143" s="217">
        <f t="shared" si="453"/>
        <v>1.6020542653839189</v>
      </c>
      <c r="S143" s="217">
        <f t="shared" si="454"/>
        <v>4</v>
      </c>
      <c r="T143" s="217">
        <f t="shared" si="455"/>
        <v>1.8309825058456335</v>
      </c>
      <c r="U143" s="217">
        <f t="shared" si="326"/>
        <v>1.2244504059649421</v>
      </c>
      <c r="V143" s="217">
        <f t="shared" si="327"/>
        <v>1.1381267164541955</v>
      </c>
      <c r="W143" s="197">
        <f t="shared" si="328"/>
        <v>350</v>
      </c>
      <c r="X143" s="443">
        <f t="shared" si="435"/>
        <v>350</v>
      </c>
      <c r="Z143" s="217">
        <f t="shared" si="329"/>
        <v>2.2142678596556302</v>
      </c>
      <c r="AA143" s="173">
        <f t="shared" si="330"/>
        <v>1.3763743784630063</v>
      </c>
      <c r="AB143" s="173">
        <f t="shared" si="456"/>
        <v>1.9845237994036187</v>
      </c>
      <c r="AC143" s="173"/>
      <c r="AD143" s="173">
        <f t="shared" si="332"/>
        <v>0.8287912548376537</v>
      </c>
      <c r="AE143" s="545">
        <f t="shared" si="457"/>
        <v>895.88300511863292</v>
      </c>
      <c r="AF143" s="528">
        <f t="shared" si="458"/>
        <v>0.77353850451514361</v>
      </c>
      <c r="AH143" s="173">
        <f t="shared" si="459"/>
        <v>2.0135256924821481</v>
      </c>
      <c r="AI143" s="173">
        <f t="shared" si="460"/>
        <v>2.0135256924821481</v>
      </c>
      <c r="AJ143" s="173">
        <f t="shared" si="461"/>
        <v>1.7038461919620849</v>
      </c>
      <c r="AL143" s="545">
        <f t="shared" si="462"/>
        <v>1980</v>
      </c>
      <c r="AM143" s="460">
        <f t="shared" si="463"/>
        <v>350</v>
      </c>
      <c r="AO143" s="460">
        <f t="shared" si="340"/>
        <v>1980</v>
      </c>
      <c r="AP143" s="460">
        <f t="shared" si="341"/>
        <v>350</v>
      </c>
      <c r="AR143" s="5">
        <f t="shared" si="443"/>
        <v>2.8571428571428572</v>
      </c>
      <c r="AS143" s="5">
        <f t="shared" si="440"/>
        <v>1.3465242533499473</v>
      </c>
      <c r="AT143" s="5">
        <f t="shared" si="441"/>
        <v>1.5106186037929099</v>
      </c>
      <c r="AU143" s="173">
        <f t="shared" si="442"/>
        <v>0.47128348867248154</v>
      </c>
      <c r="AW143" s="5">
        <f t="shared" si="342"/>
        <v>66.652950540822388</v>
      </c>
      <c r="AX143" s="5">
        <f t="shared" si="343"/>
        <v>0.24686277978082366</v>
      </c>
      <c r="AY143" s="5">
        <f t="shared" si="344"/>
        <v>0.55561571791205333</v>
      </c>
      <c r="AZ143" s="5"/>
      <c r="BA143" s="173">
        <f t="shared" si="345"/>
        <v>0.79806388956932828</v>
      </c>
      <c r="BB143" s="173">
        <f t="shared" si="346"/>
        <v>3.3811775453981627</v>
      </c>
      <c r="BC143" s="173">
        <f t="shared" si="347"/>
        <v>6.44251397163704E-2</v>
      </c>
      <c r="BD143" s="173"/>
      <c r="BE143" s="528">
        <f t="shared" si="348"/>
        <v>7.7702528563812047E-3</v>
      </c>
      <c r="BF143" s="528">
        <f t="shared" si="464"/>
        <v>0.49220510010340274</v>
      </c>
      <c r="BG143" s="528">
        <f t="shared" si="465"/>
        <v>0.15701180070440193</v>
      </c>
      <c r="BH143" s="528">
        <f t="shared" si="351"/>
        <v>4.8563198109276479E-2</v>
      </c>
      <c r="BI143">
        <f t="shared" si="352"/>
        <v>8.074892607654956E-3</v>
      </c>
      <c r="BJ143" s="460">
        <f t="shared" si="436"/>
        <v>165.08669331205689</v>
      </c>
      <c r="BK143">
        <f t="shared" si="466"/>
        <v>0.55165499144875807</v>
      </c>
      <c r="BL143" s="460">
        <f t="shared" si="437"/>
        <v>713.62524438111734</v>
      </c>
      <c r="BM143" s="173">
        <f t="shared" si="467"/>
        <v>1.2300749999999998</v>
      </c>
      <c r="BN143" s="173">
        <f t="shared" si="468"/>
        <v>2.0501249999999999E-2</v>
      </c>
      <c r="BO143" s="528"/>
      <c r="BQ143" s="460">
        <f t="shared" si="356"/>
        <v>1250.5762499999996</v>
      </c>
      <c r="BR143" s="528">
        <f t="shared" si="357"/>
        <v>1.910717915503575E-2</v>
      </c>
      <c r="BS143" s="528">
        <f t="shared" si="358"/>
        <v>0.34297084780514231</v>
      </c>
      <c r="BT143" s="528">
        <f t="shared" si="359"/>
        <v>2.0752993137369232E-5</v>
      </c>
      <c r="BU143" s="528">
        <f t="shared" si="360"/>
        <v>0.65922406679174994</v>
      </c>
      <c r="BV143" s="528"/>
      <c r="BW143" s="625">
        <f t="shared" si="469"/>
        <v>3.5475E-2</v>
      </c>
      <c r="BX143" s="460">
        <f t="shared" si="362"/>
        <v>1056.7978467450653</v>
      </c>
      <c r="BY143" s="173">
        <f t="shared" si="363"/>
        <v>3.0209993411261822</v>
      </c>
      <c r="BZ143" s="5">
        <f t="shared" si="364"/>
        <v>8.5139999999999993</v>
      </c>
      <c r="CA143" s="173">
        <f t="shared" si="365"/>
        <v>0.73810147258914049</v>
      </c>
      <c r="CB143" s="5">
        <f t="shared" si="366"/>
        <v>73.810147258914043</v>
      </c>
      <c r="CC143">
        <f t="shared" si="367"/>
        <v>33</v>
      </c>
      <c r="CE143" s="562">
        <f t="shared" si="470"/>
        <v>-50</v>
      </c>
      <c r="CF143">
        <f t="shared" si="471"/>
        <v>-50</v>
      </c>
      <c r="CG143" s="173">
        <f t="shared" si="370"/>
        <v>0.47028737253508884</v>
      </c>
      <c r="CH143" s="173">
        <f t="shared" si="472"/>
        <v>0.12045494340488692</v>
      </c>
      <c r="CI143" s="170">
        <v>33</v>
      </c>
      <c r="CJ143" s="217">
        <f t="shared" si="438"/>
        <v>1.98</v>
      </c>
      <c r="CK143" s="217">
        <f t="shared" si="372"/>
        <v>3.3000000000000002E-2</v>
      </c>
      <c r="CL143" s="217">
        <f t="shared" si="373"/>
        <v>7.92</v>
      </c>
      <c r="CM143" s="217">
        <f t="shared" si="374"/>
        <v>0.59400000000000008</v>
      </c>
      <c r="CN143" s="541">
        <f t="shared" si="375"/>
        <v>18</v>
      </c>
      <c r="CO143" s="443">
        <f t="shared" si="473"/>
        <v>18.8</v>
      </c>
      <c r="CP143" s="443">
        <f t="shared" si="474"/>
        <v>36.799999999999997</v>
      </c>
      <c r="CQ143" s="443"/>
      <c r="CR143" s="217">
        <f t="shared" si="378"/>
        <v>0.51086956521739135</v>
      </c>
      <c r="CS143" s="172">
        <f t="shared" si="379"/>
        <v>28.513650151668358</v>
      </c>
      <c r="CT143" s="172">
        <f t="shared" si="380"/>
        <v>2.2989130434782612</v>
      </c>
      <c r="CU143" s="217">
        <f t="shared" si="381"/>
        <v>7.1284125379170895</v>
      </c>
      <c r="CV143" s="217">
        <f t="shared" si="382"/>
        <v>1.5840916750926866</v>
      </c>
      <c r="CW143" s="217">
        <f t="shared" si="383"/>
        <v>4</v>
      </c>
      <c r="CX143" s="217">
        <f t="shared" si="384"/>
        <v>1.8517446808510634</v>
      </c>
      <c r="CY143" s="217">
        <f t="shared" si="385"/>
        <v>1.2344964539007088</v>
      </c>
      <c r="CZ143" s="217">
        <f t="shared" si="386"/>
        <v>1.1819646899049341</v>
      </c>
      <c r="DA143" s="197">
        <f t="shared" si="387"/>
        <v>350</v>
      </c>
      <c r="DB143" s="443">
        <f t="shared" si="388"/>
        <v>350</v>
      </c>
      <c r="DD143" s="217">
        <f t="shared" si="389"/>
        <v>2.18944099378882</v>
      </c>
      <c r="DE143" s="173">
        <f t="shared" si="390"/>
        <v>1.3975155279503106</v>
      </c>
      <c r="DF143" s="173">
        <f t="shared" si="391"/>
        <v>1.9924134422749624</v>
      </c>
      <c r="DG143" s="173"/>
      <c r="DH143" s="173">
        <f t="shared" si="392"/>
        <v>0.85106382978723416</v>
      </c>
      <c r="DI143" s="545">
        <f t="shared" si="393"/>
        <v>872.43749999999966</v>
      </c>
      <c r="DJ143" s="528">
        <f t="shared" si="394"/>
        <v>0.79432624113475192</v>
      </c>
      <c r="DL143" s="173">
        <f t="shared" si="395"/>
        <v>2.0135256924821481</v>
      </c>
      <c r="DM143" s="173">
        <f t="shared" si="396"/>
        <v>2.0135256924821481</v>
      </c>
      <c r="DN143" s="173">
        <f t="shared" si="397"/>
        <v>1.7038461919620849</v>
      </c>
      <c r="DP143" s="545">
        <f t="shared" si="398"/>
        <v>1980</v>
      </c>
      <c r="DQ143" s="460">
        <f t="shared" si="399"/>
        <v>350</v>
      </c>
      <c r="DS143" s="460">
        <f t="shared" si="400"/>
        <v>1980</v>
      </c>
      <c r="DT143" s="460">
        <f t="shared" si="401"/>
        <v>350</v>
      </c>
      <c r="DV143" s="5">
        <f t="shared" si="402"/>
        <v>2.8571428571428572</v>
      </c>
      <c r="DW143" s="5">
        <f t="shared" si="403"/>
        <v>1.3423504616547657</v>
      </c>
      <c r="DX143" s="5">
        <f t="shared" si="404"/>
        <v>1.5147923954880915</v>
      </c>
      <c r="DY143" s="173">
        <f t="shared" si="405"/>
        <v>0.46982266157916797</v>
      </c>
      <c r="EA143" s="5">
        <f t="shared" si="406"/>
        <v>66.4463478519109</v>
      </c>
      <c r="EB143" s="5">
        <f t="shared" si="407"/>
        <v>0.24609758463670703</v>
      </c>
      <c r="EC143" s="5">
        <f t="shared" si="408"/>
        <v>0.55542387834563345</v>
      </c>
      <c r="ED143" s="5"/>
      <c r="EE143" s="173">
        <f t="shared" si="409"/>
        <v>0.79682605903842285</v>
      </c>
      <c r="EF143" s="173">
        <f t="shared" si="410"/>
        <v>3.3858453669731987</v>
      </c>
      <c r="EG143" s="173">
        <f t="shared" si="411"/>
        <v>6.4514080640975829E-2</v>
      </c>
      <c r="EH143" s="173"/>
      <c r="EI143" s="528">
        <f t="shared" si="412"/>
        <v>7.7461675740249899E-3</v>
      </c>
      <c r="EJ143" s="528">
        <f t="shared" si="413"/>
        <v>0.5186842183834014</v>
      </c>
      <c r="EK143" s="528">
        <f t="shared" si="414"/>
        <v>4.3749999999999997E-2</v>
      </c>
      <c r="EL143" s="528">
        <f t="shared" si="415"/>
        <v>4.7398399999999993E-2</v>
      </c>
      <c r="EM143">
        <f t="shared" si="416"/>
        <v>8.0999999999999996E-3</v>
      </c>
      <c r="EN143" s="460">
        <f t="shared" si="417"/>
        <v>51.849999999999994</v>
      </c>
      <c r="EP143" s="460">
        <f t="shared" si="439"/>
        <v>625.67878595742627</v>
      </c>
      <c r="EQ143" s="173">
        <f t="shared" si="418"/>
        <v>1.3859999999999999</v>
      </c>
      <c r="ER143" s="173">
        <f t="shared" si="475"/>
        <v>1.4643750000000001E-2</v>
      </c>
      <c r="ES143" s="528"/>
      <c r="EU143" s="460">
        <f t="shared" si="420"/>
        <v>1400.64375</v>
      </c>
      <c r="EV143" s="528">
        <f t="shared" si="421"/>
        <v>1.9047953050881125E-2</v>
      </c>
      <c r="EW143" s="528">
        <f t="shared" si="422"/>
        <v>0.3439184654716162</v>
      </c>
      <c r="EX143" s="528">
        <f t="shared" si="423"/>
        <v>2.0810333004751658E-5</v>
      </c>
      <c r="EY143" s="528">
        <f t="shared" si="424"/>
        <v>0.65922406679174994</v>
      </c>
      <c r="EZ143" s="528"/>
      <c r="FA143" s="625">
        <f t="shared" si="425"/>
        <v>3.5475E-2</v>
      </c>
      <c r="FB143" s="460">
        <f t="shared" si="426"/>
        <v>1057.6862956472519</v>
      </c>
      <c r="FC143" s="173">
        <f t="shared" si="427"/>
        <v>3.0840088316046779</v>
      </c>
      <c r="FD143" s="5">
        <f t="shared" si="428"/>
        <v>8.5139999999999993</v>
      </c>
      <c r="FE143" s="173">
        <f t="shared" si="429"/>
        <v>0.73409152584875381</v>
      </c>
      <c r="FF143" s="5">
        <f t="shared" si="430"/>
        <v>73.409152584875386</v>
      </c>
      <c r="FG143">
        <f t="shared" si="431"/>
        <v>33</v>
      </c>
      <c r="FI143" s="562">
        <f t="shared" si="432"/>
        <v>-50</v>
      </c>
      <c r="FJ143">
        <f t="shared" si="433"/>
        <v>-50</v>
      </c>
    </row>
    <row r="144" spans="5:166">
      <c r="E144" s="170">
        <v>34</v>
      </c>
      <c r="F144" s="217">
        <f t="shared" si="476"/>
        <v>2.04</v>
      </c>
      <c r="G144" s="217">
        <f t="shared" si="444"/>
        <v>3.4000000000000002E-2</v>
      </c>
      <c r="H144" s="217">
        <f t="shared" si="445"/>
        <v>8.16</v>
      </c>
      <c r="I144" s="217">
        <f t="shared" si="446"/>
        <v>0.6120000000000001</v>
      </c>
      <c r="J144" s="541">
        <f t="shared" si="447"/>
        <v>17.943366737101606</v>
      </c>
      <c r="K144" s="443">
        <f t="shared" si="448"/>
        <v>19.312820770695907</v>
      </c>
      <c r="L144" s="172">
        <f t="shared" si="449"/>
        <v>37.256187507797513</v>
      </c>
      <c r="M144" s="443"/>
      <c r="N144" s="217">
        <f t="shared" si="450"/>
        <v>0.51837888046526071</v>
      </c>
      <c r="O144" s="172">
        <f t="shared" si="451"/>
        <v>28.841743754903344</v>
      </c>
      <c r="P144" s="172">
        <f t="shared" si="452"/>
        <v>2.3253655902390822</v>
      </c>
      <c r="Q144" s="217">
        <f t="shared" si="322"/>
        <v>7.2104359387258361</v>
      </c>
      <c r="R144" s="217">
        <f t="shared" si="453"/>
        <v>1.6023190974946302</v>
      </c>
      <c r="S144" s="217">
        <f t="shared" si="454"/>
        <v>4</v>
      </c>
      <c r="T144" s="217">
        <f t="shared" si="455"/>
        <v>1.8861550280139194</v>
      </c>
      <c r="U144" s="217">
        <f t="shared" si="326"/>
        <v>1.2614054356570035</v>
      </c>
      <c r="V144" s="217">
        <f t="shared" si="327"/>
        <v>1.1719603575729483</v>
      </c>
      <c r="W144" s="197">
        <f t="shared" si="328"/>
        <v>350</v>
      </c>
      <c r="X144" s="443">
        <f t="shared" si="435"/>
        <v>350</v>
      </c>
      <c r="Z144" s="217">
        <f t="shared" si="329"/>
        <v>2.2146338954657923</v>
      </c>
      <c r="AA144" s="173">
        <f t="shared" si="330"/>
        <v>1.3760603415278263</v>
      </c>
      <c r="AB144" s="173">
        <f t="shared" si="456"/>
        <v>1.9843989880815169</v>
      </c>
      <c r="AC144" s="173"/>
      <c r="AD144" s="173">
        <f t="shared" si="332"/>
        <v>0.82846520402019286</v>
      </c>
      <c r="AE144" s="545">
        <f t="shared" si="457"/>
        <v>923.39424309889785</v>
      </c>
      <c r="AF144" s="528">
        <f t="shared" si="458"/>
        <v>0.77323419041884667</v>
      </c>
      <c r="AH144" s="173">
        <f t="shared" si="459"/>
        <v>2.043805973458062</v>
      </c>
      <c r="AI144" s="173">
        <f t="shared" si="460"/>
        <v>1.8861550280139194</v>
      </c>
      <c r="AJ144" s="173">
        <f t="shared" si="461"/>
        <v>1.6094975516152488</v>
      </c>
      <c r="AL144" s="545">
        <f t="shared" si="462"/>
        <v>2040</v>
      </c>
      <c r="AM144" s="460">
        <f t="shared" si="463"/>
        <v>350</v>
      </c>
      <c r="AO144" s="460">
        <f t="shared" si="340"/>
        <v>2040</v>
      </c>
      <c r="AP144" s="460">
        <f t="shared" si="341"/>
        <v>350</v>
      </c>
      <c r="AR144" s="5">
        <f t="shared" si="443"/>
        <v>2.8571428571428572</v>
      </c>
      <c r="AS144" s="5">
        <f t="shared" si="440"/>
        <v>1.2614054356570035</v>
      </c>
      <c r="AT144" s="5">
        <f t="shared" si="441"/>
        <v>1.5957374214858537</v>
      </c>
      <c r="AU144" s="173">
        <f t="shared" si="442"/>
        <v>0.44149190247995118</v>
      </c>
      <c r="AW144" s="5">
        <f t="shared" si="342"/>
        <v>64.331677218507181</v>
      </c>
      <c r="AX144" s="5">
        <f t="shared" si="343"/>
        <v>0.23826547117965621</v>
      </c>
      <c r="AY144" s="5">
        <f t="shared" si="344"/>
        <v>0.60473681584332206</v>
      </c>
      <c r="AZ144" s="5"/>
      <c r="BA144" s="173">
        <f t="shared" si="345"/>
        <v>0.72356596360703851</v>
      </c>
      <c r="BB144" s="173">
        <f t="shared" si="346"/>
        <v>3.2553035116092777</v>
      </c>
      <c r="BC144" s="173">
        <f t="shared" si="347"/>
        <v>6.2026729072555159E-2</v>
      </c>
      <c r="BD144" s="173"/>
      <c r="BE144" s="528">
        <f t="shared" si="348"/>
        <v>6.3872819850251013E-3</v>
      </c>
      <c r="BF144" s="528">
        <f t="shared" si="464"/>
        <v>0.46115307913802955</v>
      </c>
      <c r="BG144" s="528">
        <f t="shared" si="465"/>
        <v>0.15700445894963905</v>
      </c>
      <c r="BH144" s="528">
        <f t="shared" si="351"/>
        <v>4.8580822766565869E-2</v>
      </c>
      <c r="BI144">
        <f t="shared" si="352"/>
        <v>8.0745150316957216E-3</v>
      </c>
      <c r="BJ144" s="460">
        <f t="shared" si="436"/>
        <v>165.07897398133477</v>
      </c>
      <c r="BK144">
        <f t="shared" si="466"/>
        <v>0.51863283665742055</v>
      </c>
      <c r="BL144" s="460">
        <f t="shared" si="437"/>
        <v>681.20015787095531</v>
      </c>
      <c r="BM144" s="173">
        <f t="shared" si="467"/>
        <v>1.26735</v>
      </c>
      <c r="BN144" s="173">
        <f t="shared" si="468"/>
        <v>2.1122499999999999E-2</v>
      </c>
      <c r="BO144" s="528"/>
      <c r="BQ144" s="460">
        <f t="shared" si="356"/>
        <v>1288.4724999999999</v>
      </c>
      <c r="BR144" s="528">
        <f t="shared" si="357"/>
        <v>1.5706431110717463E-2</v>
      </c>
      <c r="BS144" s="528">
        <f t="shared" si="358"/>
        <v>0.31791002858087081</v>
      </c>
      <c r="BT144" s="528">
        <f t="shared" si="359"/>
        <v>1.9236575597200796E-5</v>
      </c>
      <c r="BU144" s="528">
        <f t="shared" si="360"/>
        <v>0.55986533644804604</v>
      </c>
      <c r="BV144" s="528"/>
      <c r="BW144" s="625">
        <f t="shared" si="469"/>
        <v>3.1128831909894152E-2</v>
      </c>
      <c r="BX144" s="460">
        <f t="shared" si="362"/>
        <v>924.62986462512561</v>
      </c>
      <c r="BY144" s="173">
        <f t="shared" si="363"/>
        <v>2.8943025224960812</v>
      </c>
      <c r="BZ144" s="5">
        <f t="shared" si="364"/>
        <v>8.7720000000000002</v>
      </c>
      <c r="CA144" s="173">
        <f t="shared" si="365"/>
        <v>0.75190918314393007</v>
      </c>
      <c r="CB144" s="5">
        <f t="shared" si="366"/>
        <v>75.190918314393002</v>
      </c>
      <c r="CC144">
        <f t="shared" si="367"/>
        <v>34</v>
      </c>
      <c r="CE144" s="562">
        <f t="shared" si="470"/>
        <v>-50</v>
      </c>
      <c r="CF144">
        <f t="shared" si="471"/>
        <v>-50</v>
      </c>
      <c r="CG144" s="173">
        <f t="shared" si="370"/>
        <v>0.47735975995629537</v>
      </c>
      <c r="CH144" s="173">
        <f t="shared" si="472"/>
        <v>0.12226639758441693</v>
      </c>
      <c r="CI144" s="170">
        <v>34</v>
      </c>
      <c r="CJ144" s="217">
        <f t="shared" si="438"/>
        <v>2.04</v>
      </c>
      <c r="CK144" s="217">
        <f t="shared" si="372"/>
        <v>3.4000000000000002E-2</v>
      </c>
      <c r="CL144" s="217">
        <f t="shared" si="373"/>
        <v>8.16</v>
      </c>
      <c r="CM144" s="217">
        <f t="shared" si="374"/>
        <v>0.6120000000000001</v>
      </c>
      <c r="CN144" s="541">
        <f t="shared" si="375"/>
        <v>18</v>
      </c>
      <c r="CO144" s="443">
        <f t="shared" si="473"/>
        <v>18.8</v>
      </c>
      <c r="CP144" s="443">
        <f t="shared" si="474"/>
        <v>36.799999999999997</v>
      </c>
      <c r="CQ144" s="443"/>
      <c r="CR144" s="217">
        <f t="shared" si="378"/>
        <v>0.51086956521739135</v>
      </c>
      <c r="CS144" s="172">
        <f t="shared" si="379"/>
        <v>28.513650151668358</v>
      </c>
      <c r="CT144" s="172">
        <f t="shared" si="380"/>
        <v>2.2989130434782612</v>
      </c>
      <c r="CU144" s="217">
        <f t="shared" si="381"/>
        <v>7.1284125379170895</v>
      </c>
      <c r="CV144" s="217">
        <f t="shared" si="382"/>
        <v>1.5840916750926866</v>
      </c>
      <c r="CW144" s="217">
        <f t="shared" si="383"/>
        <v>4</v>
      </c>
      <c r="CX144" s="217">
        <f t="shared" si="384"/>
        <v>1.9078581560283685</v>
      </c>
      <c r="CY144" s="217">
        <f t="shared" si="385"/>
        <v>1.2719054373522456</v>
      </c>
      <c r="CZ144" s="217">
        <f t="shared" si="386"/>
        <v>1.2177818017202353</v>
      </c>
      <c r="DA144" s="197">
        <f t="shared" si="387"/>
        <v>350</v>
      </c>
      <c r="DB144" s="443">
        <f t="shared" si="388"/>
        <v>350</v>
      </c>
      <c r="DD144" s="217">
        <f t="shared" si="389"/>
        <v>2.18944099378882</v>
      </c>
      <c r="DE144" s="173">
        <f t="shared" si="390"/>
        <v>1.3975155279503106</v>
      </c>
      <c r="DF144" s="173">
        <f t="shared" si="391"/>
        <v>1.9924134422749624</v>
      </c>
      <c r="DG144" s="173"/>
      <c r="DH144" s="173">
        <f t="shared" si="392"/>
        <v>0.85106382978723416</v>
      </c>
      <c r="DI144" s="545">
        <f t="shared" si="393"/>
        <v>898.87499999999966</v>
      </c>
      <c r="DJ144" s="528">
        <f t="shared" si="394"/>
        <v>0.79432624113475192</v>
      </c>
      <c r="DL144" s="173">
        <f t="shared" si="395"/>
        <v>2.043805973458062</v>
      </c>
      <c r="DM144" s="173">
        <f t="shared" si="396"/>
        <v>1.9078581560283685</v>
      </c>
      <c r="DN144" s="173">
        <f t="shared" si="397"/>
        <v>1.625573942737063</v>
      </c>
      <c r="DP144" s="545">
        <f t="shared" si="398"/>
        <v>2040</v>
      </c>
      <c r="DQ144" s="460">
        <f t="shared" si="399"/>
        <v>350</v>
      </c>
      <c r="DS144" s="460">
        <f t="shared" si="400"/>
        <v>2040</v>
      </c>
      <c r="DT144" s="460">
        <f t="shared" si="401"/>
        <v>350</v>
      </c>
      <c r="DV144" s="5">
        <f t="shared" si="402"/>
        <v>2.8571428571428572</v>
      </c>
      <c r="DW144" s="5">
        <f t="shared" si="403"/>
        <v>1.2719054373522456</v>
      </c>
      <c r="DX144" s="5">
        <f t="shared" si="404"/>
        <v>1.5852374197906116</v>
      </c>
      <c r="DY144" s="173">
        <f t="shared" si="405"/>
        <v>0.44516690307328594</v>
      </c>
      <c r="EA144" s="5">
        <f t="shared" si="406"/>
        <v>64.867177304964528</v>
      </c>
      <c r="EB144" s="5">
        <f t="shared" si="407"/>
        <v>0.24024880483320199</v>
      </c>
      <c r="EC144" s="5">
        <f t="shared" si="408"/>
        <v>0.59886746969867544</v>
      </c>
      <c r="ED144" s="5"/>
      <c r="EE144" s="173">
        <f t="shared" si="409"/>
        <v>0.73493154673538197</v>
      </c>
      <c r="EF144" s="173">
        <f t="shared" si="410"/>
        <v>3.2819096947668616</v>
      </c>
      <c r="EG144" s="173">
        <f t="shared" si="411"/>
        <v>6.2533684724611821E-2</v>
      </c>
      <c r="EH144" s="173"/>
      <c r="EI144" s="528">
        <f t="shared" si="412"/>
        <v>6.5895174163197023E-3</v>
      </c>
      <c r="EJ144" s="528">
        <f t="shared" si="413"/>
        <v>0.49146426099290774</v>
      </c>
      <c r="EK144" s="528">
        <f t="shared" si="414"/>
        <v>4.3749999999999997E-2</v>
      </c>
      <c r="EL144" s="528">
        <f t="shared" si="415"/>
        <v>4.7398399999999993E-2</v>
      </c>
      <c r="EM144">
        <f t="shared" si="416"/>
        <v>8.0999999999999996E-3</v>
      </c>
      <c r="EN144" s="460">
        <f t="shared" si="417"/>
        <v>51.849999999999994</v>
      </c>
      <c r="EP144" s="460">
        <f t="shared" si="439"/>
        <v>597.30217840922739</v>
      </c>
      <c r="EQ144" s="173">
        <f t="shared" si="418"/>
        <v>1.4279999999999999</v>
      </c>
      <c r="ER144" s="173">
        <f t="shared" si="475"/>
        <v>1.50875E-2</v>
      </c>
      <c r="ES144" s="528"/>
      <c r="EU144" s="460">
        <f t="shared" si="420"/>
        <v>1443.0874999999999</v>
      </c>
      <c r="EV144" s="528">
        <f t="shared" si="421"/>
        <v>1.6203731351605827E-2</v>
      </c>
      <c r="EW144" s="528">
        <f t="shared" si="422"/>
        <v>0.32312793733814144</v>
      </c>
      <c r="EX144" s="528">
        <f t="shared" si="423"/>
        <v>1.9552308626185746E-5</v>
      </c>
      <c r="EY144" s="528">
        <f t="shared" si="424"/>
        <v>0.57610987923772916</v>
      </c>
      <c r="EZ144" s="528"/>
      <c r="FA144" s="625">
        <f t="shared" si="425"/>
        <v>3.1849324005834706E-2</v>
      </c>
      <c r="FB144" s="460">
        <f t="shared" si="426"/>
        <v>947.31042424193731</v>
      </c>
      <c r="FC144" s="173">
        <f t="shared" si="427"/>
        <v>2.9877001026511647</v>
      </c>
      <c r="FD144" s="5">
        <f t="shared" si="428"/>
        <v>8.7720000000000002</v>
      </c>
      <c r="FE144" s="173">
        <f t="shared" si="429"/>
        <v>0.74593738985081748</v>
      </c>
      <c r="FF144" s="5">
        <f t="shared" si="430"/>
        <v>74.593738985081742</v>
      </c>
      <c r="FG144">
        <f t="shared" si="431"/>
        <v>34</v>
      </c>
      <c r="FI144" s="562">
        <f t="shared" si="432"/>
        <v>-50</v>
      </c>
      <c r="FJ144">
        <f t="shared" si="433"/>
        <v>-50</v>
      </c>
    </row>
    <row r="145" spans="5:166">
      <c r="E145" s="170">
        <v>35</v>
      </c>
      <c r="F145" s="217">
        <f t="shared" si="476"/>
        <v>2.0999999999999996</v>
      </c>
      <c r="G145" s="217">
        <f t="shared" si="444"/>
        <v>3.4999999999999996E-2</v>
      </c>
      <c r="H145" s="217">
        <f t="shared" si="445"/>
        <v>8.3999999999999986</v>
      </c>
      <c r="I145" s="217">
        <f t="shared" si="446"/>
        <v>0.62999999999999989</v>
      </c>
      <c r="J145" s="541">
        <f t="shared" si="447"/>
        <v>17.942539930404788</v>
      </c>
      <c r="K145" s="443">
        <f t="shared" si="448"/>
        <v>19.320307601328292</v>
      </c>
      <c r="L145" s="172">
        <f t="shared" si="449"/>
        <v>37.26284753173308</v>
      </c>
      <c r="M145" s="443"/>
      <c r="N145" s="217">
        <f t="shared" si="450"/>
        <v>0.51848714956298225</v>
      </c>
      <c r="O145" s="172">
        <f t="shared" si="451"/>
        <v>28.846438401350603</v>
      </c>
      <c r="P145" s="172">
        <f t="shared" si="452"/>
        <v>2.3257440961088922</v>
      </c>
      <c r="Q145" s="217">
        <f t="shared" si="322"/>
        <v>7.2116096003376509</v>
      </c>
      <c r="R145" s="217">
        <f t="shared" si="453"/>
        <v>1.6025799111861447</v>
      </c>
      <c r="S145" s="217">
        <f t="shared" si="454"/>
        <v>4</v>
      </c>
      <c r="T145" s="217">
        <f t="shared" si="455"/>
        <v>1.9413141830839693</v>
      </c>
      <c r="U145" s="217">
        <f t="shared" si="326"/>
        <v>1.2983540952042945</v>
      </c>
      <c r="V145" s="217">
        <f t="shared" si="327"/>
        <v>1.2057660094089817</v>
      </c>
      <c r="W145" s="197">
        <f t="shared" si="328"/>
        <v>350</v>
      </c>
      <c r="X145" s="443">
        <f t="shared" si="435"/>
        <v>350</v>
      </c>
      <c r="Z145" s="217">
        <f t="shared" si="329"/>
        <v>2.2149943772465637</v>
      </c>
      <c r="AA145" s="173">
        <f t="shared" si="330"/>
        <v>1.3757510012486223</v>
      </c>
      <c r="AB145" s="173">
        <f t="shared" si="456"/>
        <v>1.9842758256557396</v>
      </c>
      <c r="AC145" s="173"/>
      <c r="AD145" s="173">
        <f t="shared" si="332"/>
        <v>0.82814416468710816</v>
      </c>
      <c r="AE145" s="545">
        <f t="shared" si="457"/>
        <v>950.92138975287651</v>
      </c>
      <c r="AF145" s="528">
        <f t="shared" si="458"/>
        <v>0.77293455370796771</v>
      </c>
      <c r="AH145" s="173">
        <f t="shared" si="459"/>
        <v>2.0736441353327719</v>
      </c>
      <c r="AI145" s="173">
        <f t="shared" si="460"/>
        <v>1.9413141830839693</v>
      </c>
      <c r="AJ145" s="173">
        <f t="shared" si="461"/>
        <v>1.6503561850004709</v>
      </c>
      <c r="AL145" s="545">
        <f t="shared" si="462"/>
        <v>2099.9999999999995</v>
      </c>
      <c r="AM145" s="460">
        <f t="shared" si="463"/>
        <v>350</v>
      </c>
      <c r="AO145" s="460">
        <f t="shared" si="340"/>
        <v>2099.9999999999995</v>
      </c>
      <c r="AP145" s="460">
        <f t="shared" si="341"/>
        <v>350</v>
      </c>
      <c r="AR145" s="5">
        <f t="shared" si="443"/>
        <v>2.8571428571428572</v>
      </c>
      <c r="AS145" s="5">
        <f t="shared" si="440"/>
        <v>1.2983540952042945</v>
      </c>
      <c r="AT145" s="5">
        <f t="shared" si="441"/>
        <v>1.5587887619385628</v>
      </c>
      <c r="AU145" s="173">
        <f t="shared" si="442"/>
        <v>0.45442393332150305</v>
      </c>
      <c r="AW145" s="5">
        <f t="shared" si="342"/>
        <v>68.163589998225447</v>
      </c>
      <c r="AX145" s="5">
        <f t="shared" si="343"/>
        <v>0.25245774073416832</v>
      </c>
      <c r="AY145" s="5">
        <f t="shared" si="344"/>
        <v>0.60813694024889209</v>
      </c>
      <c r="AZ145" s="5"/>
      <c r="BA145" s="173">
        <f t="shared" si="345"/>
        <v>0.75555450315402273</v>
      </c>
      <c r="BB145" s="173">
        <f t="shared" si="346"/>
        <v>3.3114854155270059</v>
      </c>
      <c r="BC145" s="173">
        <f t="shared" si="347"/>
        <v>6.3097222106663228E-2</v>
      </c>
      <c r="BD145" s="173"/>
      <c r="BE145" s="528">
        <f t="shared" si="348"/>
        <v>6.964523808283129E-3</v>
      </c>
      <c r="BF145" s="528">
        <f t="shared" si="464"/>
        <v>0.47472399460138343</v>
      </c>
      <c r="BG145" s="528">
        <f t="shared" si="465"/>
        <v>0.15699722439104188</v>
      </c>
      <c r="BH145" s="528">
        <f t="shared" si="351"/>
        <v>4.8598193216061507E-2</v>
      </c>
      <c r="BI145">
        <f t="shared" si="352"/>
        <v>8.0741429686821548E-3</v>
      </c>
      <c r="BJ145" s="460">
        <f t="shared" si="436"/>
        <v>165.07136735972406</v>
      </c>
      <c r="BK145">
        <f t="shared" si="466"/>
        <v>0.53304920734754913</v>
      </c>
      <c r="BL145" s="460">
        <f t="shared" si="437"/>
        <v>695.35807898545215</v>
      </c>
      <c r="BM145" s="173">
        <f t="shared" si="467"/>
        <v>1.3046249999999997</v>
      </c>
      <c r="BN145" s="173">
        <f t="shared" si="468"/>
        <v>2.1743749999999996E-2</v>
      </c>
      <c r="BO145" s="528"/>
      <c r="BQ145" s="460">
        <f t="shared" si="356"/>
        <v>1326.3687499999996</v>
      </c>
      <c r="BR145" s="528">
        <f t="shared" si="357"/>
        <v>1.7125878217089663E-2</v>
      </c>
      <c r="BS145" s="528">
        <f t="shared" si="358"/>
        <v>0.32897806971744203</v>
      </c>
      <c r="BT145" s="528">
        <f t="shared" si="359"/>
        <v>1.9906297187887952E-5</v>
      </c>
      <c r="BU145" s="528">
        <f t="shared" si="360"/>
        <v>0.60169954612772314</v>
      </c>
      <c r="BV145" s="528"/>
      <c r="BW145" s="625">
        <f t="shared" si="469"/>
        <v>3.2976131627626068E-2</v>
      </c>
      <c r="BX145" s="460">
        <f t="shared" si="362"/>
        <v>980.7995319870688</v>
      </c>
      <c r="BY145" s="173">
        <f t="shared" si="363"/>
        <v>3.0025263609725212</v>
      </c>
      <c r="BZ145" s="5">
        <f t="shared" si="364"/>
        <v>9.0299999999999976</v>
      </c>
      <c r="CA145" s="173">
        <f t="shared" si="365"/>
        <v>0.75046583976651726</v>
      </c>
      <c r="CB145" s="5">
        <f t="shared" si="366"/>
        <v>75.046583976651732</v>
      </c>
      <c r="CC145">
        <f t="shared" si="367"/>
        <v>34.999999999999993</v>
      </c>
      <c r="CE145" s="562">
        <f t="shared" si="470"/>
        <v>-50</v>
      </c>
      <c r="CF145">
        <f t="shared" si="471"/>
        <v>-50</v>
      </c>
      <c r="CG145" s="173">
        <f t="shared" si="370"/>
        <v>0.48432888421516457</v>
      </c>
      <c r="CH145" s="173">
        <f t="shared" si="472"/>
        <v>0.12405140291776995</v>
      </c>
      <c r="CI145" s="170">
        <v>35</v>
      </c>
      <c r="CJ145" s="217">
        <f t="shared" si="438"/>
        <v>2.0999999999999996</v>
      </c>
      <c r="CK145" s="217">
        <f t="shared" si="372"/>
        <v>3.4999999999999996E-2</v>
      </c>
      <c r="CL145" s="217">
        <f t="shared" si="373"/>
        <v>8.3999999999999986</v>
      </c>
      <c r="CM145" s="217">
        <f t="shared" si="374"/>
        <v>0.62999999999999989</v>
      </c>
      <c r="CN145" s="541">
        <f t="shared" si="375"/>
        <v>18</v>
      </c>
      <c r="CO145" s="443">
        <f t="shared" si="473"/>
        <v>18.8</v>
      </c>
      <c r="CP145" s="443">
        <f t="shared" si="474"/>
        <v>36.799999999999997</v>
      </c>
      <c r="CQ145" s="443"/>
      <c r="CR145" s="217">
        <f t="shared" si="378"/>
        <v>0.51086956521739135</v>
      </c>
      <c r="CS145" s="172">
        <f t="shared" si="379"/>
        <v>28.513650151668358</v>
      </c>
      <c r="CT145" s="172">
        <f t="shared" si="380"/>
        <v>2.2989130434782612</v>
      </c>
      <c r="CU145" s="217">
        <f t="shared" si="381"/>
        <v>7.1284125379170895</v>
      </c>
      <c r="CV145" s="217">
        <f t="shared" si="382"/>
        <v>1.5840916750926866</v>
      </c>
      <c r="CW145" s="217">
        <f t="shared" si="383"/>
        <v>4</v>
      </c>
      <c r="CX145" s="217">
        <f t="shared" si="384"/>
        <v>1.963971631205673</v>
      </c>
      <c r="CY145" s="217">
        <f t="shared" si="385"/>
        <v>1.3093144208037821</v>
      </c>
      <c r="CZ145" s="217">
        <f t="shared" si="386"/>
        <v>1.2535989135355361</v>
      </c>
      <c r="DA145" s="197">
        <f t="shared" si="387"/>
        <v>350</v>
      </c>
      <c r="DB145" s="443">
        <f t="shared" si="388"/>
        <v>350</v>
      </c>
      <c r="DD145" s="217">
        <f t="shared" si="389"/>
        <v>2.18944099378882</v>
      </c>
      <c r="DE145" s="173">
        <f t="shared" si="390"/>
        <v>1.3975155279503106</v>
      </c>
      <c r="DF145" s="173">
        <f t="shared" si="391"/>
        <v>1.9924134422749624</v>
      </c>
      <c r="DG145" s="173"/>
      <c r="DH145" s="173">
        <f t="shared" si="392"/>
        <v>0.85106382978723416</v>
      </c>
      <c r="DI145" s="545">
        <f t="shared" si="393"/>
        <v>925.31249999999966</v>
      </c>
      <c r="DJ145" s="528">
        <f t="shared" si="394"/>
        <v>0.79432624113475192</v>
      </c>
      <c r="DL145" s="173">
        <f t="shared" si="395"/>
        <v>2.0736441353327719</v>
      </c>
      <c r="DM145" s="173">
        <f t="shared" si="396"/>
        <v>1.963971631205673</v>
      </c>
      <c r="DN145" s="173">
        <f t="shared" si="397"/>
        <v>1.6671394799054366</v>
      </c>
      <c r="DP145" s="545">
        <f t="shared" si="398"/>
        <v>2099.9999999999995</v>
      </c>
      <c r="DQ145" s="460">
        <f t="shared" si="399"/>
        <v>350</v>
      </c>
      <c r="DS145" s="460">
        <f t="shared" si="400"/>
        <v>2099.9999999999995</v>
      </c>
      <c r="DT145" s="460">
        <f t="shared" si="401"/>
        <v>350</v>
      </c>
      <c r="DV145" s="5">
        <f t="shared" si="402"/>
        <v>2.8571428571428572</v>
      </c>
      <c r="DW145" s="5">
        <f t="shared" si="403"/>
        <v>1.3093144208037821</v>
      </c>
      <c r="DX145" s="5">
        <f t="shared" si="404"/>
        <v>1.5478284363390751</v>
      </c>
      <c r="DY145" s="173">
        <f t="shared" si="405"/>
        <v>0.45826004728132375</v>
      </c>
      <c r="EA145" s="5">
        <f t="shared" si="406"/>
        <v>68.739007092198548</v>
      </c>
      <c r="EB145" s="5">
        <f t="shared" si="407"/>
        <v>0.25458891515629095</v>
      </c>
      <c r="EC145" s="5">
        <f t="shared" si="408"/>
        <v>0.60193328079852892</v>
      </c>
      <c r="ED145" s="5"/>
      <c r="EE145" s="173">
        <f t="shared" si="409"/>
        <v>0.76759224908959467</v>
      </c>
      <c r="EF145" s="173">
        <f t="shared" si="410"/>
        <v>3.3383357015881674</v>
      </c>
      <c r="EG145" s="173">
        <f t="shared" si="411"/>
        <v>6.3608828908639406E-2</v>
      </c>
      <c r="EH145" s="173"/>
      <c r="EI145" s="528">
        <f t="shared" si="412"/>
        <v>7.188213902521552E-3</v>
      </c>
      <c r="EJ145" s="528">
        <f t="shared" si="413"/>
        <v>0.50591909219858133</v>
      </c>
      <c r="EK145" s="528">
        <f t="shared" si="414"/>
        <v>4.3749999999999997E-2</v>
      </c>
      <c r="EL145" s="528">
        <f t="shared" si="415"/>
        <v>4.7398399999999993E-2</v>
      </c>
      <c r="EM145">
        <f t="shared" si="416"/>
        <v>8.0999999999999996E-3</v>
      </c>
      <c r="EN145" s="460">
        <f t="shared" si="417"/>
        <v>51.849999999999994</v>
      </c>
      <c r="EP145" s="460">
        <f t="shared" si="439"/>
        <v>612.35570610110278</v>
      </c>
      <c r="EQ145" s="173">
        <f t="shared" si="418"/>
        <v>1.4699999999999998</v>
      </c>
      <c r="ER145" s="173">
        <f t="shared" si="475"/>
        <v>1.5531249999999998E-2</v>
      </c>
      <c r="ES145" s="528"/>
      <c r="EU145" s="460">
        <f t="shared" si="420"/>
        <v>1485.5312499999998</v>
      </c>
      <c r="EV145" s="528">
        <f t="shared" si="421"/>
        <v>1.7675935825872669E-2</v>
      </c>
      <c r="EW145" s="528">
        <f t="shared" si="422"/>
        <v>0.33433455769494486</v>
      </c>
      <c r="EX145" s="528">
        <f t="shared" si="423"/>
        <v>2.0230415575642801E-5</v>
      </c>
      <c r="EY145" s="528">
        <f t="shared" si="424"/>
        <v>0.61940989791304013</v>
      </c>
      <c r="EZ145" s="528"/>
      <c r="FA145" s="625">
        <f t="shared" si="425"/>
        <v>3.3750364971580883E-2</v>
      </c>
      <c r="FB145" s="460">
        <f t="shared" si="426"/>
        <v>1005.1909868210142</v>
      </c>
      <c r="FC145" s="173">
        <f t="shared" si="427"/>
        <v>3.1030779429221167</v>
      </c>
      <c r="FD145" s="5">
        <f t="shared" si="428"/>
        <v>9.0299999999999976</v>
      </c>
      <c r="FE145" s="173">
        <f t="shared" si="429"/>
        <v>0.74424643462112505</v>
      </c>
      <c r="FF145" s="5">
        <f t="shared" si="430"/>
        <v>74.424643462112499</v>
      </c>
      <c r="FG145">
        <f t="shared" si="431"/>
        <v>34.999999999999993</v>
      </c>
      <c r="FI145" s="562">
        <f t="shared" si="432"/>
        <v>-50</v>
      </c>
      <c r="FJ145">
        <f t="shared" si="433"/>
        <v>-50</v>
      </c>
    </row>
    <row r="146" spans="5:166">
      <c r="E146" s="170">
        <v>36</v>
      </c>
      <c r="F146" s="217">
        <f t="shared" si="476"/>
        <v>2.16</v>
      </c>
      <c r="G146" s="217">
        <f t="shared" si="444"/>
        <v>3.5999999999999997E-2</v>
      </c>
      <c r="H146" s="217">
        <f t="shared" si="445"/>
        <v>8.64</v>
      </c>
      <c r="I146" s="217">
        <f t="shared" si="446"/>
        <v>0.64799999999999991</v>
      </c>
      <c r="J146" s="541">
        <f t="shared" si="447"/>
        <v>17.941724853245532</v>
      </c>
      <c r="K146" s="443">
        <f t="shared" si="448"/>
        <v>19.327688219636233</v>
      </c>
      <c r="L146" s="172">
        <f t="shared" si="449"/>
        <v>37.269413072881761</v>
      </c>
      <c r="M146" s="443"/>
      <c r="N146" s="217">
        <f t="shared" si="450"/>
        <v>0.51859384481961657</v>
      </c>
      <c r="O146" s="172">
        <f t="shared" si="451"/>
        <v>28.851063796403945</v>
      </c>
      <c r="P146" s="172">
        <f t="shared" si="452"/>
        <v>2.3261170185850677</v>
      </c>
      <c r="Q146" s="217">
        <f t="shared" si="322"/>
        <v>7.2127659491009863</v>
      </c>
      <c r="R146" s="217">
        <f t="shared" si="453"/>
        <v>1.6028368775779969</v>
      </c>
      <c r="S146" s="217">
        <f t="shared" si="454"/>
        <v>4</v>
      </c>
      <c r="T146" s="217">
        <f t="shared" si="455"/>
        <v>1.9964601793012358</v>
      </c>
      <c r="U146" s="217">
        <f t="shared" si="326"/>
        <v>1.3352964861280372</v>
      </c>
      <c r="V146" s="217">
        <f t="shared" si="327"/>
        <v>1.2395441130551172</v>
      </c>
      <c r="W146" s="197">
        <f t="shared" si="328"/>
        <v>350</v>
      </c>
      <c r="X146" s="443">
        <f t="shared" si="435"/>
        <v>350</v>
      </c>
      <c r="Z146" s="217">
        <f t="shared" si="329"/>
        <v>2.2153495415095881</v>
      </c>
      <c r="AA146" s="173">
        <f t="shared" si="330"/>
        <v>1.3754461576582384</v>
      </c>
      <c r="AB146" s="173">
        <f t="shared" si="456"/>
        <v>1.9841542421558254</v>
      </c>
      <c r="AC146" s="173"/>
      <c r="AD146" s="173">
        <f t="shared" si="332"/>
        <v>0.82782792324560472</v>
      </c>
      <c r="AE146" s="545">
        <f t="shared" si="457"/>
        <v>978.46421611908409</v>
      </c>
      <c r="AF146" s="528">
        <f t="shared" si="458"/>
        <v>0.77263939502923118</v>
      </c>
      <c r="AH146" s="173">
        <f t="shared" si="459"/>
        <v>2.1030589965231936</v>
      </c>
      <c r="AI146" s="173">
        <f t="shared" si="460"/>
        <v>1.9964601793012358</v>
      </c>
      <c r="AJ146" s="173">
        <f t="shared" si="461"/>
        <v>1.691205071087335</v>
      </c>
      <c r="AL146" s="545">
        <f t="shared" si="462"/>
        <v>2160</v>
      </c>
      <c r="AM146" s="460">
        <f t="shared" si="463"/>
        <v>350</v>
      </c>
      <c r="AO146" s="460">
        <f t="shared" si="340"/>
        <v>2160</v>
      </c>
      <c r="AP146" s="460">
        <f t="shared" si="341"/>
        <v>350</v>
      </c>
      <c r="AR146" s="5">
        <f t="shared" si="443"/>
        <v>2.8571428571428572</v>
      </c>
      <c r="AS146" s="5">
        <f t="shared" si="440"/>
        <v>1.3352964861280372</v>
      </c>
      <c r="AT146" s="5">
        <f t="shared" si="441"/>
        <v>1.52184637101482</v>
      </c>
      <c r="AU146" s="173">
        <f t="shared" si="442"/>
        <v>0.467353770144813</v>
      </c>
      <c r="AW146" s="5">
        <f t="shared" si="342"/>
        <v>72.106010250914011</v>
      </c>
      <c r="AX146" s="5">
        <f t="shared" si="343"/>
        <v>0.26705929722560739</v>
      </c>
      <c r="AY146" s="5">
        <f t="shared" si="344"/>
        <v>0.61071574561152664</v>
      </c>
      <c r="AZ146" s="5"/>
      <c r="BA146" s="173">
        <f t="shared" si="345"/>
        <v>0.78799398104293339</v>
      </c>
      <c r="BB146" s="173">
        <f t="shared" si="346"/>
        <v>3.3649564276967783</v>
      </c>
      <c r="BC146" s="173">
        <f t="shared" si="347"/>
        <v>6.4116061662871038E-2</v>
      </c>
      <c r="BD146" s="173"/>
      <c r="BE146" s="528">
        <f t="shared" si="348"/>
        <v>7.5754010727506682E-3</v>
      </c>
      <c r="BF146" s="528">
        <f t="shared" si="464"/>
        <v>0.48829527538271372</v>
      </c>
      <c r="BG146" s="528">
        <f t="shared" si="465"/>
        <v>0.1569900924658984</v>
      </c>
      <c r="BH146" s="528">
        <f t="shared" si="351"/>
        <v>4.8615320277898152E-2</v>
      </c>
      <c r="BI146">
        <f t="shared" si="352"/>
        <v>8.0737761839604887E-3</v>
      </c>
      <c r="BJ146" s="460">
        <f t="shared" si="436"/>
        <v>165.0638686498589</v>
      </c>
      <c r="BK146">
        <f t="shared" si="466"/>
        <v>0.54751683895564884</v>
      </c>
      <c r="BL146" s="460">
        <f t="shared" si="437"/>
        <v>709.54986538322134</v>
      </c>
      <c r="BM146" s="173">
        <f t="shared" si="467"/>
        <v>1.3418999999999999</v>
      </c>
      <c r="BN146" s="173">
        <f t="shared" si="468"/>
        <v>2.2364999999999996E-2</v>
      </c>
      <c r="BO146" s="528"/>
      <c r="BQ146" s="460">
        <f t="shared" si="356"/>
        <v>1364.2649999999999</v>
      </c>
      <c r="BR146" s="528">
        <f t="shared" si="357"/>
        <v>1.8628035424796727E-2</v>
      </c>
      <c r="BS146" s="528">
        <f t="shared" si="358"/>
        <v>0.33968795280893588</v>
      </c>
      <c r="BT146" s="528">
        <f t="shared" si="359"/>
        <v>2.0554346815785407E-5</v>
      </c>
      <c r="BU146" s="528">
        <f t="shared" si="360"/>
        <v>0.6453446975441377</v>
      </c>
      <c r="BV146" s="528"/>
      <c r="BW146" s="625">
        <f t="shared" si="469"/>
        <v>3.4876215915935822E-2</v>
      </c>
      <c r="BX146" s="460">
        <f t="shared" si="362"/>
        <v>1038.5574560406221</v>
      </c>
      <c r="BY146" s="173">
        <f t="shared" si="363"/>
        <v>3.1123723214238432</v>
      </c>
      <c r="BZ146" s="5">
        <f t="shared" si="364"/>
        <v>9.2880000000000003</v>
      </c>
      <c r="CA146" s="173">
        <f t="shared" si="365"/>
        <v>0.74900976835617528</v>
      </c>
      <c r="CB146" s="5">
        <f t="shared" si="366"/>
        <v>74.900976835617527</v>
      </c>
      <c r="CC146">
        <f t="shared" si="367"/>
        <v>36.000000000000007</v>
      </c>
      <c r="CE146" s="562">
        <f t="shared" si="470"/>
        <v>-50</v>
      </c>
      <c r="CF146">
        <f t="shared" si="471"/>
        <v>-50</v>
      </c>
      <c r="CG146" s="173">
        <f t="shared" si="370"/>
        <v>0.49119914061883374</v>
      </c>
      <c r="CH146" s="173">
        <f t="shared" si="472"/>
        <v>0.12581108517719378</v>
      </c>
      <c r="CI146" s="170">
        <v>36</v>
      </c>
      <c r="CJ146" s="217">
        <f t="shared" si="438"/>
        <v>2.16</v>
      </c>
      <c r="CK146" s="217">
        <f t="shared" si="372"/>
        <v>3.5999999999999997E-2</v>
      </c>
      <c r="CL146" s="217">
        <f t="shared" si="373"/>
        <v>8.64</v>
      </c>
      <c r="CM146" s="217">
        <f t="shared" si="374"/>
        <v>0.64799999999999991</v>
      </c>
      <c r="CN146" s="541">
        <f t="shared" si="375"/>
        <v>18</v>
      </c>
      <c r="CO146" s="443">
        <f t="shared" si="473"/>
        <v>18.8</v>
      </c>
      <c r="CP146" s="443">
        <f t="shared" si="474"/>
        <v>36.799999999999997</v>
      </c>
      <c r="CQ146" s="443"/>
      <c r="CR146" s="217">
        <f t="shared" si="378"/>
        <v>0.51086956521739135</v>
      </c>
      <c r="CS146" s="172">
        <f t="shared" si="379"/>
        <v>28.513650151668358</v>
      </c>
      <c r="CT146" s="172">
        <f t="shared" si="380"/>
        <v>2.2989130434782612</v>
      </c>
      <c r="CU146" s="217">
        <f t="shared" si="381"/>
        <v>7.1284125379170895</v>
      </c>
      <c r="CV146" s="217">
        <f t="shared" si="382"/>
        <v>1.5840916750926866</v>
      </c>
      <c r="CW146" s="217">
        <f t="shared" si="383"/>
        <v>4</v>
      </c>
      <c r="CX146" s="217">
        <f t="shared" si="384"/>
        <v>2.0200851063829783</v>
      </c>
      <c r="CY146" s="217">
        <f t="shared" si="385"/>
        <v>1.3467234042553189</v>
      </c>
      <c r="CZ146" s="217">
        <f t="shared" si="386"/>
        <v>1.2894160253508371</v>
      </c>
      <c r="DA146" s="197">
        <f t="shared" si="387"/>
        <v>350</v>
      </c>
      <c r="DB146" s="443">
        <f t="shared" si="388"/>
        <v>350</v>
      </c>
      <c r="DD146" s="217">
        <f t="shared" si="389"/>
        <v>2.18944099378882</v>
      </c>
      <c r="DE146" s="173">
        <f t="shared" si="390"/>
        <v>1.3975155279503106</v>
      </c>
      <c r="DF146" s="173">
        <f t="shared" si="391"/>
        <v>1.9924134422749624</v>
      </c>
      <c r="DG146" s="173"/>
      <c r="DH146" s="173">
        <f t="shared" si="392"/>
        <v>0.85106382978723416</v>
      </c>
      <c r="DI146" s="545">
        <f t="shared" si="393"/>
        <v>951.74999999999989</v>
      </c>
      <c r="DJ146" s="528">
        <f t="shared" si="394"/>
        <v>0.79432624113475192</v>
      </c>
      <c r="DL146" s="173">
        <f t="shared" si="395"/>
        <v>2.1030589965231936</v>
      </c>
      <c r="DM146" s="173">
        <f t="shared" si="396"/>
        <v>2.0200851063829783</v>
      </c>
      <c r="DN146" s="173">
        <f t="shared" si="397"/>
        <v>1.708705017073811</v>
      </c>
      <c r="DP146" s="545">
        <f t="shared" si="398"/>
        <v>2160</v>
      </c>
      <c r="DQ146" s="460">
        <f t="shared" si="399"/>
        <v>350</v>
      </c>
      <c r="DS146" s="460">
        <f t="shared" si="400"/>
        <v>2160</v>
      </c>
      <c r="DT146" s="460">
        <f t="shared" si="401"/>
        <v>350</v>
      </c>
      <c r="DV146" s="5">
        <f t="shared" si="402"/>
        <v>2.8571428571428572</v>
      </c>
      <c r="DW146" s="5">
        <f t="shared" si="403"/>
        <v>1.3467234042553189</v>
      </c>
      <c r="DX146" s="5">
        <f t="shared" si="404"/>
        <v>1.5104194528875383</v>
      </c>
      <c r="DY146" s="173">
        <f t="shared" si="405"/>
        <v>0.47135319148936161</v>
      </c>
      <c r="EA146" s="5">
        <f t="shared" si="406"/>
        <v>72.723063829787236</v>
      </c>
      <c r="EB146" s="5">
        <f t="shared" si="407"/>
        <v>0.26934468085106378</v>
      </c>
      <c r="EC146" s="5">
        <f t="shared" si="408"/>
        <v>0.60416778115501535</v>
      </c>
      <c r="ED146" s="5"/>
      <c r="EE146" s="173">
        <f t="shared" si="409"/>
        <v>0.80072292986500415</v>
      </c>
      <c r="EF146" s="173">
        <f t="shared" si="410"/>
        <v>3.3919687151037934</v>
      </c>
      <c r="EG146" s="173">
        <f t="shared" si="411"/>
        <v>6.4630755247247956E-2</v>
      </c>
      <c r="EH146" s="173"/>
      <c r="EI146" s="528">
        <f t="shared" si="412"/>
        <v>7.822117967021475E-3</v>
      </c>
      <c r="EJ146" s="528">
        <f t="shared" si="413"/>
        <v>0.52037392340425526</v>
      </c>
      <c r="EK146" s="528">
        <f t="shared" si="414"/>
        <v>4.3749999999999997E-2</v>
      </c>
      <c r="EL146" s="528">
        <f t="shared" si="415"/>
        <v>4.7398399999999993E-2</v>
      </c>
      <c r="EM146">
        <f t="shared" si="416"/>
        <v>8.0999999999999996E-3</v>
      </c>
      <c r="EN146" s="460">
        <f t="shared" si="417"/>
        <v>51.849999999999994</v>
      </c>
      <c r="EP146" s="460">
        <f t="shared" si="439"/>
        <v>627.44444137127664</v>
      </c>
      <c r="EQ146" s="173">
        <f t="shared" si="418"/>
        <v>1.512</v>
      </c>
      <c r="ER146" s="173">
        <f t="shared" si="475"/>
        <v>1.5975E-2</v>
      </c>
      <c r="ES146" s="528"/>
      <c r="EU146" s="460">
        <f t="shared" si="420"/>
        <v>1527.9750000000001</v>
      </c>
      <c r="EV146" s="528">
        <f t="shared" si="421"/>
        <v>1.923471631234789E-2</v>
      </c>
      <c r="EW146" s="528">
        <f t="shared" si="422"/>
        <v>0.3451635529272864</v>
      </c>
      <c r="EX146" s="528">
        <f t="shared" si="423"/>
        <v>2.0885672619148347E-5</v>
      </c>
      <c r="EY146" s="528">
        <f t="shared" si="424"/>
        <v>0.66460603708627808</v>
      </c>
      <c r="EZ146" s="528"/>
      <c r="FA146" s="625">
        <f t="shared" si="425"/>
        <v>3.5706508574015382E-2</v>
      </c>
      <c r="FB146" s="460">
        <f t="shared" si="426"/>
        <v>1064.731700572547</v>
      </c>
      <c r="FC146" s="173">
        <f t="shared" si="427"/>
        <v>3.2201511419438238</v>
      </c>
      <c r="FD146" s="5">
        <f t="shared" si="428"/>
        <v>9.2880000000000003</v>
      </c>
      <c r="FE146" s="173">
        <f t="shared" si="429"/>
        <v>0.74255578579110471</v>
      </c>
      <c r="FF146" s="5">
        <f t="shared" si="430"/>
        <v>74.255578579110477</v>
      </c>
      <c r="FG146">
        <f t="shared" si="431"/>
        <v>36.000000000000007</v>
      </c>
      <c r="FI146" s="562">
        <f t="shared" si="432"/>
        <v>-50</v>
      </c>
      <c r="FJ146">
        <f t="shared" si="433"/>
        <v>-50</v>
      </c>
    </row>
    <row r="147" spans="5:166">
      <c r="E147" s="170">
        <v>37</v>
      </c>
      <c r="F147" s="217">
        <f t="shared" si="476"/>
        <v>2.2199999999999998</v>
      </c>
      <c r="G147" s="217">
        <f t="shared" si="444"/>
        <v>3.6999999999999998E-2</v>
      </c>
      <c r="H147" s="217">
        <f t="shared" si="445"/>
        <v>8.879999999999999</v>
      </c>
      <c r="I147" s="217">
        <f t="shared" si="446"/>
        <v>0.66599999999999993</v>
      </c>
      <c r="J147" s="541">
        <f t="shared" si="447"/>
        <v>17.940921020145716</v>
      </c>
      <c r="K147" s="443">
        <f t="shared" si="448"/>
        <v>19.334967021680509</v>
      </c>
      <c r="L147" s="172">
        <f t="shared" si="449"/>
        <v>37.275888041826221</v>
      </c>
      <c r="M147" s="443"/>
      <c r="N147" s="217">
        <f t="shared" si="450"/>
        <v>0.51869903139491369</v>
      </c>
      <c r="O147" s="172">
        <f t="shared" si="451"/>
        <v>28.855622807696836</v>
      </c>
      <c r="P147" s="172">
        <f t="shared" si="452"/>
        <v>2.3264845888705574</v>
      </c>
      <c r="Q147" s="217">
        <f t="shared" si="322"/>
        <v>7.213905701924209</v>
      </c>
      <c r="R147" s="217">
        <f t="shared" si="453"/>
        <v>1.6030901559831576</v>
      </c>
      <c r="S147" s="217">
        <f t="shared" si="454"/>
        <v>4</v>
      </c>
      <c r="T147" s="217">
        <f t="shared" si="455"/>
        <v>2.051593216148127</v>
      </c>
      <c r="U147" s="217">
        <f t="shared" si="326"/>
        <v>1.3722327056750832</v>
      </c>
      <c r="V147" s="217">
        <f t="shared" si="327"/>
        <v>1.2732950910219727</v>
      </c>
      <c r="W147" s="197">
        <f t="shared" si="328"/>
        <v>350</v>
      </c>
      <c r="X147" s="443">
        <f t="shared" si="435"/>
        <v>350</v>
      </c>
      <c r="Z147" s="217">
        <f t="shared" si="329"/>
        <v>2.2156996084481499</v>
      </c>
      <c r="AA147" s="173">
        <f t="shared" si="330"/>
        <v>1.375145624585961</v>
      </c>
      <c r="AB147" s="173">
        <f t="shared" si="456"/>
        <v>1.9840341724353583</v>
      </c>
      <c r="AC147" s="173"/>
      <c r="AD147" s="173">
        <f t="shared" si="332"/>
        <v>0.82751628084283924</v>
      </c>
      <c r="AE147" s="545">
        <f t="shared" si="457"/>
        <v>1006.0225028468135</v>
      </c>
      <c r="AF147" s="528">
        <f t="shared" si="458"/>
        <v>0.77234852878665006</v>
      </c>
      <c r="AH147" s="173">
        <f t="shared" si="459"/>
        <v>2.1320680771763096</v>
      </c>
      <c r="AI147" s="173">
        <f t="shared" si="460"/>
        <v>2.051593216148127</v>
      </c>
      <c r="AJ147" s="173">
        <f t="shared" si="461"/>
        <v>1.7320443576405875</v>
      </c>
      <c r="AL147" s="545">
        <f t="shared" si="462"/>
        <v>2219.9999999999995</v>
      </c>
      <c r="AM147" s="460">
        <f t="shared" si="463"/>
        <v>350</v>
      </c>
      <c r="AO147" s="460">
        <f t="shared" si="340"/>
        <v>2219.9999999999995</v>
      </c>
      <c r="AP147" s="460">
        <f t="shared" si="341"/>
        <v>350</v>
      </c>
      <c r="AR147" s="5">
        <f t="shared" si="443"/>
        <v>2.8571428571428572</v>
      </c>
      <c r="AS147" s="5">
        <f t="shared" si="440"/>
        <v>1.3722327056750832</v>
      </c>
      <c r="AT147" s="5">
        <f t="shared" si="441"/>
        <v>1.4849101514677741</v>
      </c>
      <c r="AU147" s="173">
        <f t="shared" si="442"/>
        <v>0.48028144698627911</v>
      </c>
      <c r="AW147" s="5">
        <f t="shared" si="342"/>
        <v>76.158915164967112</v>
      </c>
      <c r="AX147" s="5">
        <f t="shared" si="343"/>
        <v>0.28207005616654479</v>
      </c>
      <c r="AY147" s="5">
        <f t="shared" si="344"/>
        <v>0.6124733010374892</v>
      </c>
      <c r="AZ147" s="5"/>
      <c r="BA147" s="173">
        <f t="shared" si="345"/>
        <v>0.82087784067220271</v>
      </c>
      <c r="BB147" s="173">
        <f t="shared" si="346"/>
        <v>3.4156607455464432</v>
      </c>
      <c r="BC147" s="173">
        <f t="shared" si="347"/>
        <v>6.5082184475952501E-2</v>
      </c>
      <c r="BD147" s="173"/>
      <c r="BE147" s="528">
        <f t="shared" si="348"/>
        <v>8.2208532375412299E-3</v>
      </c>
      <c r="BF147" s="528">
        <f t="shared" si="464"/>
        <v>0.50186691865083222</v>
      </c>
      <c r="BG147" s="528">
        <f t="shared" si="465"/>
        <v>0.15698305892627501</v>
      </c>
      <c r="BH147" s="528">
        <f t="shared" si="351"/>
        <v>4.8632214025736711E-2</v>
      </c>
      <c r="BI147">
        <f t="shared" si="352"/>
        <v>8.0734144590655713E-3</v>
      </c>
      <c r="BJ147" s="460">
        <f t="shared" si="436"/>
        <v>165.05647338534058</v>
      </c>
      <c r="BK147">
        <f t="shared" si="466"/>
        <v>0.56203742979675519</v>
      </c>
      <c r="BL147" s="460">
        <f t="shared" si="437"/>
        <v>723.77645929945083</v>
      </c>
      <c r="BM147" s="173">
        <f t="shared" si="467"/>
        <v>1.3791749999999998</v>
      </c>
      <c r="BN147" s="173">
        <f t="shared" si="468"/>
        <v>2.2986249999999996E-2</v>
      </c>
      <c r="BO147" s="528"/>
      <c r="BQ147" s="460">
        <f t="shared" si="356"/>
        <v>1402.1612499999999</v>
      </c>
      <c r="BR147" s="528">
        <f t="shared" si="357"/>
        <v>2.0215212879199747E-2</v>
      </c>
      <c r="BS147" s="528">
        <f t="shared" si="358"/>
        <v>0.3500021498600065</v>
      </c>
      <c r="BT147" s="528">
        <f t="shared" si="359"/>
        <v>2.1178453680809564E-5</v>
      </c>
      <c r="BU147" s="528">
        <f t="shared" si="360"/>
        <v>0.69082532669862995</v>
      </c>
      <c r="BV147" s="528"/>
      <c r="BW147" s="625">
        <f t="shared" si="469"/>
        <v>3.682905383976888E-2</v>
      </c>
      <c r="BX147" s="460">
        <f t="shared" si="362"/>
        <v>1097.8929217312859</v>
      </c>
      <c r="BY147" s="173">
        <f t="shared" si="363"/>
        <v>3.2238306310307374</v>
      </c>
      <c r="BZ147" s="5">
        <f t="shared" si="364"/>
        <v>9.5459999999999994</v>
      </c>
      <c r="CA147" s="173">
        <f t="shared" si="365"/>
        <v>0.74754319581993389</v>
      </c>
      <c r="CB147" s="5">
        <f t="shared" si="366"/>
        <v>74.754319581993386</v>
      </c>
      <c r="CC147">
        <f t="shared" si="367"/>
        <v>36.999999999999993</v>
      </c>
      <c r="CE147" s="562">
        <f t="shared" si="470"/>
        <v>-50</v>
      </c>
      <c r="CF147">
        <f t="shared" si="471"/>
        <v>-50</v>
      </c>
      <c r="CG147" s="173">
        <f t="shared" si="370"/>
        <v>0.49797462124515479</v>
      </c>
      <c r="CH147" s="173">
        <f t="shared" si="472"/>
        <v>0.12754649246866528</v>
      </c>
      <c r="CI147" s="170">
        <v>37</v>
      </c>
      <c r="CJ147" s="217">
        <f t="shared" si="438"/>
        <v>2.2199999999999998</v>
      </c>
      <c r="CK147" s="217">
        <f t="shared" si="372"/>
        <v>3.6999999999999998E-2</v>
      </c>
      <c r="CL147" s="217">
        <f t="shared" si="373"/>
        <v>8.879999999999999</v>
      </c>
      <c r="CM147" s="217">
        <f t="shared" si="374"/>
        <v>0.66599999999999993</v>
      </c>
      <c r="CN147" s="541">
        <f t="shared" si="375"/>
        <v>18</v>
      </c>
      <c r="CO147" s="443">
        <f t="shared" si="473"/>
        <v>18.8</v>
      </c>
      <c r="CP147" s="443">
        <f t="shared" si="474"/>
        <v>36.799999999999997</v>
      </c>
      <c r="CQ147" s="443"/>
      <c r="CR147" s="217">
        <f t="shared" si="378"/>
        <v>0.51086956521739135</v>
      </c>
      <c r="CS147" s="172">
        <f t="shared" si="379"/>
        <v>28.513650151668358</v>
      </c>
      <c r="CT147" s="172">
        <f t="shared" si="380"/>
        <v>2.2989130434782612</v>
      </c>
      <c r="CU147" s="217">
        <f t="shared" si="381"/>
        <v>7.1284125379170895</v>
      </c>
      <c r="CV147" s="217">
        <f t="shared" si="382"/>
        <v>1.5840916750926866</v>
      </c>
      <c r="CW147" s="217">
        <f t="shared" si="383"/>
        <v>4</v>
      </c>
      <c r="CX147" s="217">
        <f t="shared" si="384"/>
        <v>2.0761985815602833</v>
      </c>
      <c r="CY147" s="217">
        <f t="shared" si="385"/>
        <v>1.3841323877068556</v>
      </c>
      <c r="CZ147" s="217">
        <f t="shared" si="386"/>
        <v>1.3252331371661381</v>
      </c>
      <c r="DA147" s="197">
        <f t="shared" si="387"/>
        <v>350</v>
      </c>
      <c r="DB147" s="443">
        <f t="shared" si="388"/>
        <v>350</v>
      </c>
      <c r="DD147" s="217">
        <f t="shared" si="389"/>
        <v>2.18944099378882</v>
      </c>
      <c r="DE147" s="173">
        <f t="shared" si="390"/>
        <v>1.3975155279503106</v>
      </c>
      <c r="DF147" s="173">
        <f t="shared" si="391"/>
        <v>1.9924134422749624</v>
      </c>
      <c r="DG147" s="173"/>
      <c r="DH147" s="173">
        <f t="shared" si="392"/>
        <v>0.85106382978723416</v>
      </c>
      <c r="DI147" s="545">
        <f t="shared" si="393"/>
        <v>978.18749999999966</v>
      </c>
      <c r="DJ147" s="528">
        <f t="shared" si="394"/>
        <v>0.79432624113475192</v>
      </c>
      <c r="DL147" s="173">
        <f t="shared" si="395"/>
        <v>2.1320680771763096</v>
      </c>
      <c r="DM147" s="173">
        <f t="shared" si="396"/>
        <v>2.0761985815602833</v>
      </c>
      <c r="DN147" s="173">
        <f t="shared" si="397"/>
        <v>1.750270554242185</v>
      </c>
      <c r="DP147" s="545">
        <f t="shared" si="398"/>
        <v>2219.9999999999995</v>
      </c>
      <c r="DQ147" s="460">
        <f t="shared" si="399"/>
        <v>350</v>
      </c>
      <c r="DS147" s="460">
        <f t="shared" si="400"/>
        <v>2219.9999999999995</v>
      </c>
      <c r="DT147" s="460">
        <f t="shared" si="401"/>
        <v>350</v>
      </c>
      <c r="DV147" s="5">
        <f t="shared" si="402"/>
        <v>2.8571428571428572</v>
      </c>
      <c r="DW147" s="5">
        <f t="shared" si="403"/>
        <v>1.3841323877068556</v>
      </c>
      <c r="DX147" s="5">
        <f t="shared" si="404"/>
        <v>1.4730104694360016</v>
      </c>
      <c r="DY147" s="173">
        <f t="shared" si="405"/>
        <v>0.48444633569739948</v>
      </c>
      <c r="EA147" s="5">
        <f t="shared" si="406"/>
        <v>76.819347517730478</v>
      </c>
      <c r="EB147" s="5">
        <f t="shared" si="407"/>
        <v>0.28451610191752036</v>
      </c>
      <c r="EC147" s="5">
        <f t="shared" si="408"/>
        <v>0.60557097076813382</v>
      </c>
      <c r="ED147" s="5"/>
      <c r="EE147" s="173">
        <f t="shared" si="409"/>
        <v>0.83431701431730509</v>
      </c>
      <c r="EF147" s="173">
        <f t="shared" si="410"/>
        <v>3.4427476692780572</v>
      </c>
      <c r="EG147" s="173">
        <f t="shared" si="411"/>
        <v>6.5598300184892724E-2</v>
      </c>
      <c r="EH147" s="173"/>
      <c r="EI147" s="528">
        <f t="shared" si="412"/>
        <v>8.4922355406279754E-3</v>
      </c>
      <c r="EJ147" s="528">
        <f t="shared" si="413"/>
        <v>0.53482875460992896</v>
      </c>
      <c r="EK147" s="528">
        <f t="shared" si="414"/>
        <v>4.3749999999999997E-2</v>
      </c>
      <c r="EL147" s="528">
        <f t="shared" si="415"/>
        <v>4.7398399999999993E-2</v>
      </c>
      <c r="EM147">
        <f t="shared" si="416"/>
        <v>8.0999999999999996E-3</v>
      </c>
      <c r="EN147" s="460">
        <f t="shared" si="417"/>
        <v>51.849999999999994</v>
      </c>
      <c r="EP147" s="460">
        <f t="shared" si="439"/>
        <v>642.56939015055684</v>
      </c>
      <c r="EQ147" s="173">
        <f t="shared" si="418"/>
        <v>1.5539999999999998</v>
      </c>
      <c r="ER147" s="173">
        <f t="shared" si="475"/>
        <v>1.6418749999999999E-2</v>
      </c>
      <c r="ES147" s="528"/>
      <c r="EU147" s="460">
        <f t="shared" si="420"/>
        <v>1570.4187499999998</v>
      </c>
      <c r="EV147" s="528">
        <f t="shared" si="421"/>
        <v>2.0882546411380265E-2</v>
      </c>
      <c r="EW147" s="528">
        <f t="shared" si="422"/>
        <v>0.35557534542958485</v>
      </c>
      <c r="EX147" s="528">
        <f t="shared" si="423"/>
        <v>2.1515684935736485E-5</v>
      </c>
      <c r="EY147" s="528">
        <f t="shared" si="424"/>
        <v>0.71172519521913713</v>
      </c>
      <c r="EZ147" s="528"/>
      <c r="FA147" s="625">
        <f t="shared" si="425"/>
        <v>3.771775481313816E-2</v>
      </c>
      <c r="FB147" s="460">
        <f t="shared" si="426"/>
        <v>1125.9223575581764</v>
      </c>
      <c r="FC147" s="173">
        <f t="shared" si="427"/>
        <v>3.3389104977087332</v>
      </c>
      <c r="FD147" s="5">
        <f t="shared" si="428"/>
        <v>9.5459999999999994</v>
      </c>
      <c r="FE147" s="173">
        <f t="shared" si="429"/>
        <v>0.74086661305854806</v>
      </c>
      <c r="FF147" s="5">
        <f t="shared" si="430"/>
        <v>74.086661305854804</v>
      </c>
      <c r="FG147">
        <f t="shared" si="431"/>
        <v>36.999999999999993</v>
      </c>
      <c r="FI147" s="562">
        <f t="shared" si="432"/>
        <v>-50</v>
      </c>
      <c r="FJ147">
        <f t="shared" si="433"/>
        <v>-50</v>
      </c>
    </row>
    <row r="148" spans="5:166">
      <c r="E148" s="170">
        <v>38</v>
      </c>
      <c r="F148" s="217">
        <f t="shared" si="476"/>
        <v>2.2800000000000002</v>
      </c>
      <c r="G148" s="217">
        <f t="shared" si="444"/>
        <v>3.8000000000000006E-2</v>
      </c>
      <c r="H148" s="217">
        <f t="shared" si="445"/>
        <v>9.120000000000001</v>
      </c>
      <c r="I148" s="217">
        <f t="shared" si="446"/>
        <v>0.68400000000000016</v>
      </c>
      <c r="J148" s="541">
        <f t="shared" si="447"/>
        <v>17.939919414841857</v>
      </c>
      <c r="K148" s="443">
        <f t="shared" si="448"/>
        <v>19.344520393260964</v>
      </c>
      <c r="L148" s="172">
        <f t="shared" si="449"/>
        <v>37.284439808102817</v>
      </c>
      <c r="M148" s="443"/>
      <c r="N148" s="217">
        <f t="shared" si="450"/>
        <v>0.51883628915505198</v>
      </c>
      <c r="O148" s="172">
        <f t="shared" si="451"/>
        <v>28.861647184301457</v>
      </c>
      <c r="P148" s="172">
        <f t="shared" si="452"/>
        <v>2.3269703042343051</v>
      </c>
      <c r="Q148" s="217">
        <f t="shared" si="322"/>
        <v>7.2154117960753643</v>
      </c>
      <c r="R148" s="217">
        <f t="shared" si="453"/>
        <v>1.6034248435723031</v>
      </c>
      <c r="S148" s="217">
        <f t="shared" si="454"/>
        <v>4</v>
      </c>
      <c r="T148" s="217">
        <f t="shared" si="455"/>
        <v>2.1066018724347302</v>
      </c>
      <c r="U148" s="217">
        <f t="shared" si="326"/>
        <v>1.4091045720251696</v>
      </c>
      <c r="V148" s="217">
        <f t="shared" si="327"/>
        <v>1.3067898275742864</v>
      </c>
      <c r="W148" s="197">
        <f t="shared" si="328"/>
        <v>350</v>
      </c>
      <c r="X148" s="443">
        <f t="shared" si="435"/>
        <v>342.94794768197562</v>
      </c>
      <c r="Z148" s="217">
        <f t="shared" si="329"/>
        <v>2.2161621945088621</v>
      </c>
      <c r="AA148" s="173">
        <f t="shared" si="330"/>
        <v>1.3747534595569946</v>
      </c>
      <c r="AB148" s="173">
        <f t="shared" si="456"/>
        <v>1.983882465756591</v>
      </c>
      <c r="AC148" s="173"/>
      <c r="AD148" s="173">
        <f t="shared" si="332"/>
        <v>0.82710760849743836</v>
      </c>
      <c r="AE148" s="545">
        <f t="shared" si="457"/>
        <v>1033.7228085148827</v>
      </c>
      <c r="AF148" s="528">
        <f t="shared" si="458"/>
        <v>0.77196710126427592</v>
      </c>
      <c r="AH148" s="173">
        <f t="shared" si="459"/>
        <v>2.1606877212062434</v>
      </c>
      <c r="AI148" s="173">
        <f t="shared" si="460"/>
        <v>2.1066018724347302</v>
      </c>
      <c r="AJ148" s="173">
        <f t="shared" si="461"/>
        <v>1.772791510445479</v>
      </c>
      <c r="AL148" s="545">
        <f t="shared" si="462"/>
        <v>2280.0000000000005</v>
      </c>
      <c r="AM148" s="460">
        <f t="shared" si="463"/>
        <v>342.94794768197562</v>
      </c>
      <c r="AO148" s="460">
        <f t="shared" si="340"/>
        <v>2280.0000000000005</v>
      </c>
      <c r="AP148" s="460">
        <f t="shared" si="341"/>
        <v>342.94794768197562</v>
      </c>
      <c r="AR148" s="5">
        <f t="shared" si="443"/>
        <v>2.915894399599456</v>
      </c>
      <c r="AS148" s="5">
        <f t="shared" si="440"/>
        <v>1.4091045720251696</v>
      </c>
      <c r="AT148" s="5">
        <f t="shared" si="441"/>
        <v>1.5067898275742864</v>
      </c>
      <c r="AU148" s="173">
        <f t="shared" si="442"/>
        <v>0.48324952104532054</v>
      </c>
      <c r="AW148" s="5">
        <f t="shared" si="342"/>
        <v>80.318960605434668</v>
      </c>
      <c r="AX148" s="5">
        <f t="shared" si="343"/>
        <v>0.29747763187198029</v>
      </c>
      <c r="AY148" s="5">
        <f t="shared" si="344"/>
        <v>0.63833077645212621</v>
      </c>
      <c r="AZ148" s="5"/>
      <c r="BA148" s="173">
        <f t="shared" si="345"/>
        <v>0.84548820752894327</v>
      </c>
      <c r="BB148" s="173">
        <f t="shared" si="346"/>
        <v>3.4972145271984636</v>
      </c>
      <c r="BC148" s="173">
        <f t="shared" si="347"/>
        <v>6.6636114639862618E-2</v>
      </c>
      <c r="BD148" s="173"/>
      <c r="BE148" s="528">
        <f t="shared" si="348"/>
        <v>8.7211737706601646E-3</v>
      </c>
      <c r="BF148" s="528">
        <f t="shared" si="464"/>
        <v>0.50505603908713159</v>
      </c>
      <c r="BG148" s="528">
        <f t="shared" si="465"/>
        <v>0.15381146362250112</v>
      </c>
      <c r="BH148" s="528">
        <f t="shared" si="351"/>
        <v>4.7674204250846605E-2</v>
      </c>
      <c r="BI148">
        <f t="shared" si="352"/>
        <v>8.072963736678835E-3</v>
      </c>
      <c r="BJ148" s="460">
        <f t="shared" si="436"/>
        <v>161.88442735917997</v>
      </c>
      <c r="BK148">
        <f t="shared" si="466"/>
        <v>0.56497685131080821</v>
      </c>
      <c r="BL148" s="460">
        <f t="shared" si="437"/>
        <v>723.33584446781833</v>
      </c>
      <c r="BM148" s="173">
        <f t="shared" si="467"/>
        <v>1.41645</v>
      </c>
      <c r="BN148" s="173">
        <f t="shared" si="468"/>
        <v>2.36075E-2</v>
      </c>
      <c r="BO148" s="528"/>
      <c r="BQ148" s="460">
        <f t="shared" si="356"/>
        <v>1440.0574999999999</v>
      </c>
      <c r="BR148" s="528">
        <f t="shared" si="357"/>
        <v>2.1445509272115162E-2</v>
      </c>
      <c r="BS148" s="528">
        <f t="shared" si="358"/>
        <v>0.36691528347743918</v>
      </c>
      <c r="BT148" s="528">
        <f t="shared" si="359"/>
        <v>2.2201858871484566E-5</v>
      </c>
      <c r="BU148" s="528">
        <f t="shared" si="360"/>
        <v>0.70144995160386336</v>
      </c>
      <c r="BV148" s="528"/>
      <c r="BW148" s="625">
        <f t="shared" si="469"/>
        <v>3.8048115267438266E-2</v>
      </c>
      <c r="BX148" s="460">
        <f t="shared" si="362"/>
        <v>1127.8810614797274</v>
      </c>
      <c r="BY148" s="173">
        <f t="shared" si="363"/>
        <v>3.2912744059475454</v>
      </c>
      <c r="BZ148" s="5">
        <f t="shared" si="364"/>
        <v>9.804000000000002</v>
      </c>
      <c r="CA148" s="173">
        <f t="shared" si="365"/>
        <v>0.74866701499185606</v>
      </c>
      <c r="CB148" s="5">
        <f t="shared" si="366"/>
        <v>74.866701499185609</v>
      </c>
      <c r="CC148">
        <f t="shared" si="367"/>
        <v>38.000000000000007</v>
      </c>
      <c r="CE148" s="562">
        <f t="shared" si="470"/>
        <v>-50</v>
      </c>
      <c r="CF148">
        <f t="shared" si="471"/>
        <v>-50</v>
      </c>
      <c r="CG148" s="173">
        <f t="shared" si="370"/>
        <v>0.50246052009456266</v>
      </c>
      <c r="CH148" s="173">
        <f t="shared" si="472"/>
        <v>0.12925860253250265</v>
      </c>
      <c r="CI148" s="170">
        <v>38</v>
      </c>
      <c r="CJ148" s="217">
        <f t="shared" si="438"/>
        <v>2.2800000000000002</v>
      </c>
      <c r="CK148" s="217">
        <f t="shared" si="372"/>
        <v>3.8000000000000006E-2</v>
      </c>
      <c r="CL148" s="217">
        <f t="shared" si="373"/>
        <v>9.120000000000001</v>
      </c>
      <c r="CM148" s="217">
        <f t="shared" si="374"/>
        <v>0.68400000000000016</v>
      </c>
      <c r="CN148" s="541">
        <f t="shared" si="375"/>
        <v>18</v>
      </c>
      <c r="CO148" s="443">
        <f t="shared" si="473"/>
        <v>18.8</v>
      </c>
      <c r="CP148" s="443">
        <f t="shared" si="474"/>
        <v>36.799999999999997</v>
      </c>
      <c r="CQ148" s="443"/>
      <c r="CR148" s="217">
        <f t="shared" si="378"/>
        <v>0.51086956521739135</v>
      </c>
      <c r="CS148" s="172">
        <f t="shared" si="379"/>
        <v>28.513650151668358</v>
      </c>
      <c r="CT148" s="172">
        <f t="shared" si="380"/>
        <v>2.2989130434782612</v>
      </c>
      <c r="CU148" s="217">
        <f t="shared" si="381"/>
        <v>7.1284125379170895</v>
      </c>
      <c r="CV148" s="217">
        <f t="shared" si="382"/>
        <v>1.5840916750926866</v>
      </c>
      <c r="CW148" s="217">
        <f t="shared" si="383"/>
        <v>4</v>
      </c>
      <c r="CX148" s="217">
        <f t="shared" si="384"/>
        <v>2.1323120567375886</v>
      </c>
      <c r="CY148" s="217">
        <f t="shared" si="385"/>
        <v>1.4215413711583924</v>
      </c>
      <c r="CZ148" s="217">
        <f t="shared" si="386"/>
        <v>1.3610502489814393</v>
      </c>
      <c r="DA148" s="197">
        <f t="shared" si="387"/>
        <v>350</v>
      </c>
      <c r="DB148" s="443">
        <f t="shared" si="388"/>
        <v>350</v>
      </c>
      <c r="DD148" s="217">
        <f t="shared" si="389"/>
        <v>2.18944099378882</v>
      </c>
      <c r="DE148" s="173">
        <f t="shared" si="390"/>
        <v>1.3975155279503106</v>
      </c>
      <c r="DF148" s="173">
        <f t="shared" si="391"/>
        <v>1.9924134422749624</v>
      </c>
      <c r="DG148" s="173"/>
      <c r="DH148" s="173">
        <f t="shared" si="392"/>
        <v>0.85106382978723416</v>
      </c>
      <c r="DI148" s="545">
        <f t="shared" si="393"/>
        <v>1004.6249999999999</v>
      </c>
      <c r="DJ148" s="528">
        <f t="shared" si="394"/>
        <v>0.79432624113475192</v>
      </c>
      <c r="DL148" s="173">
        <f t="shared" si="395"/>
        <v>2.1606877212062434</v>
      </c>
      <c r="DM148" s="173">
        <f t="shared" si="396"/>
        <v>2.1323120567375886</v>
      </c>
      <c r="DN148" s="173">
        <f t="shared" si="397"/>
        <v>1.7918360914105591</v>
      </c>
      <c r="DP148" s="545">
        <f t="shared" si="398"/>
        <v>2280.0000000000005</v>
      </c>
      <c r="DQ148" s="460">
        <f t="shared" si="399"/>
        <v>350</v>
      </c>
      <c r="DS148" s="460">
        <f t="shared" si="400"/>
        <v>2280.0000000000005</v>
      </c>
      <c r="DT148" s="460">
        <f t="shared" si="401"/>
        <v>350</v>
      </c>
      <c r="DV148" s="5">
        <f t="shared" si="402"/>
        <v>2.8571428571428572</v>
      </c>
      <c r="DW148" s="5">
        <f t="shared" si="403"/>
        <v>1.4215413711583924</v>
      </c>
      <c r="DX148" s="5">
        <f t="shared" si="404"/>
        <v>1.4356014859844648</v>
      </c>
      <c r="DY148" s="173">
        <f t="shared" si="405"/>
        <v>0.49753947990543734</v>
      </c>
      <c r="EA148" s="5">
        <f t="shared" si="406"/>
        <v>81.027858156028373</v>
      </c>
      <c r="EB148" s="5">
        <f t="shared" si="407"/>
        <v>0.30010317835566069</v>
      </c>
      <c r="EC148" s="5">
        <f t="shared" si="408"/>
        <v>0.60614284963788512</v>
      </c>
      <c r="ED148" s="5"/>
      <c r="EE148" s="173">
        <f t="shared" si="409"/>
        <v>0.8683681961648646</v>
      </c>
      <c r="EF148" s="173">
        <f t="shared" si="410"/>
        <v>3.4906081494789207</v>
      </c>
      <c r="EG148" s="173">
        <f t="shared" si="411"/>
        <v>6.651023636169294E-2</v>
      </c>
      <c r="EH148" s="173"/>
      <c r="EI148" s="528">
        <f t="shared" si="412"/>
        <v>9.1995725541495731E-3</v>
      </c>
      <c r="EJ148" s="528">
        <f t="shared" si="413"/>
        <v>0.54928358581560277</v>
      </c>
      <c r="EK148" s="528">
        <f t="shared" si="414"/>
        <v>4.3749999999999997E-2</v>
      </c>
      <c r="EL148" s="528">
        <f t="shared" si="415"/>
        <v>4.7398399999999993E-2</v>
      </c>
      <c r="EM148">
        <f t="shared" si="416"/>
        <v>8.0999999999999996E-3</v>
      </c>
      <c r="EN148" s="460">
        <f t="shared" si="417"/>
        <v>51.849999999999994</v>
      </c>
      <c r="EP148" s="460">
        <f t="shared" si="439"/>
        <v>657.73155836975229</v>
      </c>
      <c r="EQ148" s="173">
        <f t="shared" si="418"/>
        <v>1.5960000000000001</v>
      </c>
      <c r="ER148" s="173">
        <f t="shared" si="475"/>
        <v>1.6862500000000002E-2</v>
      </c>
      <c r="ES148" s="528"/>
      <c r="EU148" s="460">
        <f t="shared" si="420"/>
        <v>1612.8625000000002</v>
      </c>
      <c r="EV148" s="528">
        <f t="shared" si="421"/>
        <v>2.2621899723318625E-2</v>
      </c>
      <c r="EW148" s="528">
        <f t="shared" si="422"/>
        <v>0.36553035759625968</v>
      </c>
      <c r="EX148" s="528">
        <f t="shared" si="423"/>
        <v>2.2118057704441307E-5</v>
      </c>
      <c r="EY148" s="528">
        <f t="shared" si="424"/>
        <v>0.76079389963555899</v>
      </c>
      <c r="EZ148" s="528"/>
      <c r="FA148" s="625">
        <f t="shared" si="425"/>
        <v>3.9784103688949246E-2</v>
      </c>
      <c r="FB148" s="460">
        <f t="shared" si="426"/>
        <v>1188.752378701791</v>
      </c>
      <c r="FC148" s="173">
        <f t="shared" si="427"/>
        <v>3.4593464370715434</v>
      </c>
      <c r="FD148" s="5">
        <f t="shared" si="428"/>
        <v>9.804000000000002</v>
      </c>
      <c r="FE148" s="173">
        <f t="shared" si="429"/>
        <v>0.73917996838244826</v>
      </c>
      <c r="FF148" s="5">
        <f t="shared" si="430"/>
        <v>73.917996838244832</v>
      </c>
      <c r="FG148">
        <f t="shared" si="431"/>
        <v>38.000000000000007</v>
      </c>
      <c r="FI148" s="562">
        <f t="shared" si="432"/>
        <v>-50</v>
      </c>
      <c r="FJ148">
        <f t="shared" si="433"/>
        <v>-50</v>
      </c>
    </row>
    <row r="149" spans="5:166">
      <c r="E149" s="170">
        <v>39</v>
      </c>
      <c r="F149" s="217">
        <f t="shared" si="476"/>
        <v>2.34</v>
      </c>
      <c r="G149" s="217">
        <f t="shared" si="444"/>
        <v>3.9000000000000007E-2</v>
      </c>
      <c r="H149" s="217">
        <f t="shared" si="445"/>
        <v>9.36</v>
      </c>
      <c r="I149" s="217">
        <f t="shared" si="446"/>
        <v>0.70200000000000018</v>
      </c>
      <c r="J149" s="541">
        <f t="shared" si="447"/>
        <v>17.937185479154163</v>
      </c>
      <c r="K149" s="443">
        <f t="shared" si="448"/>
        <v>19.373802042874864</v>
      </c>
      <c r="L149" s="172">
        <f t="shared" si="449"/>
        <v>37.310987522029023</v>
      </c>
      <c r="M149" s="443"/>
      <c r="N149" s="217">
        <f t="shared" si="450"/>
        <v>0.51925192361730577</v>
      </c>
      <c r="O149" s="172">
        <f t="shared" si="451"/>
        <v>28.880366090949465</v>
      </c>
      <c r="P149" s="172">
        <f t="shared" si="452"/>
        <v>2.3284795160828007</v>
      </c>
      <c r="Q149" s="217">
        <f t="shared" si="322"/>
        <v>7.2200915227373663</v>
      </c>
      <c r="R149" s="217">
        <f t="shared" si="453"/>
        <v>1.6044647828305258</v>
      </c>
      <c r="S149" s="217">
        <f t="shared" si="454"/>
        <v>4</v>
      </c>
      <c r="T149" s="217">
        <f t="shared" si="455"/>
        <v>2.1606374311008101</v>
      </c>
      <c r="U149" s="217">
        <f t="shared" si="326"/>
        <v>1.4454692015835895</v>
      </c>
      <c r="V149" s="217">
        <f t="shared" si="327"/>
        <v>1.3382839938093192</v>
      </c>
      <c r="W149" s="197">
        <f t="shared" si="328"/>
        <v>350</v>
      </c>
      <c r="X149" s="443">
        <f t="shared" si="435"/>
        <v>335.14836332443946</v>
      </c>
      <c r="Z149" s="217">
        <f t="shared" si="329"/>
        <v>2.2175995391264767</v>
      </c>
      <c r="AA149" s="173">
        <f t="shared" si="330"/>
        <v>1.3735659325219836</v>
      </c>
      <c r="AB149" s="173">
        <f t="shared" si="456"/>
        <v>1.9834543490645637</v>
      </c>
      <c r="AC149" s="173"/>
      <c r="AD149" s="173">
        <f t="shared" si="332"/>
        <v>0.82585751442032262</v>
      </c>
      <c r="AE149" s="545">
        <f t="shared" si="457"/>
        <v>1062.5319557889179</v>
      </c>
      <c r="AF149" s="528">
        <f t="shared" si="458"/>
        <v>0.77080034679230125</v>
      </c>
      <c r="AH149" s="173">
        <f t="shared" si="459"/>
        <v>2.1889332039668479</v>
      </c>
      <c r="AI149" s="173">
        <f t="shared" si="460"/>
        <v>2.1606374311008101</v>
      </c>
      <c r="AJ149" s="173">
        <f t="shared" si="461"/>
        <v>1.8128178501981307</v>
      </c>
      <c r="AL149" s="545">
        <f t="shared" si="462"/>
        <v>2340</v>
      </c>
      <c r="AM149" s="460">
        <f t="shared" si="463"/>
        <v>335.14836332443946</v>
      </c>
      <c r="AO149" s="460">
        <f t="shared" si="340"/>
        <v>2340</v>
      </c>
      <c r="AP149" s="460">
        <f t="shared" si="341"/>
        <v>335.14836332443946</v>
      </c>
      <c r="AR149" s="5">
        <f t="shared" si="443"/>
        <v>2.9837531953929095</v>
      </c>
      <c r="AS149" s="5">
        <f t="shared" si="440"/>
        <v>1.4454692015835895</v>
      </c>
      <c r="AT149" s="5">
        <f t="shared" si="441"/>
        <v>1.53828399380932</v>
      </c>
      <c r="AU149" s="173">
        <f t="shared" si="442"/>
        <v>0.48444663714662428</v>
      </c>
      <c r="AW149" s="5">
        <f t="shared" si="342"/>
        <v>84.559948292639973</v>
      </c>
      <c r="AX149" s="5">
        <f t="shared" si="343"/>
        <v>0.31318499367644442</v>
      </c>
      <c r="AY149" s="5">
        <f t="shared" si="344"/>
        <v>0.66892407204335225</v>
      </c>
      <c r="AZ149" s="5"/>
      <c r="BA149" s="173">
        <f t="shared" si="345"/>
        <v>0.86824889844573583</v>
      </c>
      <c r="BB149" s="173">
        <f t="shared" si="346"/>
        <v>3.5827629261728209</v>
      </c>
      <c r="BC149" s="173">
        <f t="shared" si="347"/>
        <v>6.8266158458157811E-2</v>
      </c>
      <c r="BD149" s="173"/>
      <c r="BE149" s="528">
        <f t="shared" si="348"/>
        <v>9.1970450257572497E-3</v>
      </c>
      <c r="BF149" s="528">
        <f t="shared" si="464"/>
        <v>0.50659046856598011</v>
      </c>
      <c r="BG149" s="528">
        <f t="shared" si="465"/>
        <v>0.15029045889963547</v>
      </c>
      <c r="BH149" s="528">
        <f t="shared" si="351"/>
        <v>4.665633176425265E-2</v>
      </c>
      <c r="BI149">
        <f t="shared" si="352"/>
        <v>8.0717334656193723E-3</v>
      </c>
      <c r="BJ149" s="460">
        <f t="shared" si="436"/>
        <v>158.36219236525483</v>
      </c>
      <c r="BK149">
        <f t="shared" si="466"/>
        <v>0.56616423974290608</v>
      </c>
      <c r="BL149" s="460">
        <f t="shared" si="437"/>
        <v>720.80603772124482</v>
      </c>
      <c r="BM149" s="173">
        <f t="shared" si="467"/>
        <v>1.4537249999999999</v>
      </c>
      <c r="BN149" s="173">
        <f t="shared" si="468"/>
        <v>2.4228750000000004E-2</v>
      </c>
      <c r="BO149" s="528"/>
      <c r="BQ149" s="460">
        <f t="shared" si="356"/>
        <v>1477.9537499999999</v>
      </c>
      <c r="BR149" s="528">
        <f t="shared" si="357"/>
        <v>2.2615684489567009E-2</v>
      </c>
      <c r="BS149" s="528">
        <f t="shared" si="358"/>
        <v>0.38508570555475302</v>
      </c>
      <c r="BT149" s="528">
        <f t="shared" si="359"/>
        <v>2.3301341953171555E-5</v>
      </c>
      <c r="BU149" s="528">
        <f t="shared" si="360"/>
        <v>0.70553327392846454</v>
      </c>
      <c r="BV149" s="528"/>
      <c r="BW149" s="625">
        <f t="shared" si="469"/>
        <v>3.9114780973524568E-2</v>
      </c>
      <c r="BX149" s="460">
        <f t="shared" si="362"/>
        <v>1152.3727462882625</v>
      </c>
      <c r="BY149" s="173">
        <f t="shared" si="363"/>
        <v>3.3511325340095066</v>
      </c>
      <c r="BZ149" s="5">
        <f t="shared" si="364"/>
        <v>10.061999999999999</v>
      </c>
      <c r="CA149" s="173">
        <f t="shared" si="365"/>
        <v>0.75016033536442117</v>
      </c>
      <c r="CB149" s="5">
        <f t="shared" si="366"/>
        <v>75.016033536442123</v>
      </c>
      <c r="CC149">
        <f t="shared" si="367"/>
        <v>38.999999999999993</v>
      </c>
      <c r="CE149" s="562">
        <f t="shared" si="470"/>
        <v>-50</v>
      </c>
      <c r="CF149">
        <f t="shared" si="471"/>
        <v>-50</v>
      </c>
      <c r="CG149" s="173">
        <f t="shared" si="370"/>
        <v>0.48936737588652501</v>
      </c>
      <c r="CH149" s="173">
        <f t="shared" si="472"/>
        <v>0.13094832918465091</v>
      </c>
      <c r="CI149" s="170">
        <v>39</v>
      </c>
      <c r="CJ149" s="217">
        <f t="shared" si="438"/>
        <v>2.34</v>
      </c>
      <c r="CK149" s="217">
        <f t="shared" si="372"/>
        <v>3.9000000000000007E-2</v>
      </c>
      <c r="CL149" s="217">
        <f t="shared" si="373"/>
        <v>9.36</v>
      </c>
      <c r="CM149" s="217">
        <f t="shared" si="374"/>
        <v>0.70200000000000018</v>
      </c>
      <c r="CN149" s="541">
        <f t="shared" si="375"/>
        <v>18</v>
      </c>
      <c r="CO149" s="443">
        <f t="shared" si="473"/>
        <v>18.8</v>
      </c>
      <c r="CP149" s="443">
        <f t="shared" si="474"/>
        <v>36.799999999999997</v>
      </c>
      <c r="CQ149" s="443"/>
      <c r="CR149" s="217">
        <f t="shared" si="378"/>
        <v>0.51086956521739135</v>
      </c>
      <c r="CS149" s="172">
        <f t="shared" si="379"/>
        <v>28.513650151668358</v>
      </c>
      <c r="CT149" s="172">
        <f t="shared" si="380"/>
        <v>2.2989130434782612</v>
      </c>
      <c r="CU149" s="217">
        <f t="shared" si="381"/>
        <v>7.1284125379170895</v>
      </c>
      <c r="CV149" s="217">
        <f t="shared" si="382"/>
        <v>1.5840916750926866</v>
      </c>
      <c r="CW149" s="217">
        <f t="shared" si="383"/>
        <v>4</v>
      </c>
      <c r="CX149" s="217">
        <f t="shared" si="384"/>
        <v>2.1884255319148931</v>
      </c>
      <c r="CY149" s="217">
        <f t="shared" si="385"/>
        <v>1.4589503546099287</v>
      </c>
      <c r="CZ149" s="217">
        <f t="shared" si="386"/>
        <v>1.3968673607967403</v>
      </c>
      <c r="DA149" s="197">
        <f t="shared" si="387"/>
        <v>350</v>
      </c>
      <c r="DB149" s="443">
        <f t="shared" si="388"/>
        <v>350</v>
      </c>
      <c r="DD149" s="217">
        <f t="shared" si="389"/>
        <v>2.18944099378882</v>
      </c>
      <c r="DE149" s="173">
        <f t="shared" si="390"/>
        <v>1.3975155279503106</v>
      </c>
      <c r="DF149" s="173">
        <f t="shared" si="391"/>
        <v>1.9924134422749624</v>
      </c>
      <c r="DG149" s="173"/>
      <c r="DH149" s="173">
        <f t="shared" si="392"/>
        <v>0.85106382978723416</v>
      </c>
      <c r="DI149" s="545">
        <f t="shared" si="393"/>
        <v>1031.0624999999995</v>
      </c>
      <c r="DJ149" s="528">
        <f t="shared" si="394"/>
        <v>0.79432624113475192</v>
      </c>
      <c r="DL149" s="173">
        <f t="shared" si="395"/>
        <v>2.1889332039668479</v>
      </c>
      <c r="DM149" s="173">
        <f t="shared" si="396"/>
        <v>2.1884255319148931</v>
      </c>
      <c r="DN149" s="173">
        <f t="shared" si="397"/>
        <v>1.833401628578933</v>
      </c>
      <c r="DP149" s="545">
        <f t="shared" si="398"/>
        <v>2340</v>
      </c>
      <c r="DQ149" s="460">
        <f t="shared" si="399"/>
        <v>350</v>
      </c>
      <c r="DS149" s="460">
        <f t="shared" si="400"/>
        <v>2340</v>
      </c>
      <c r="DT149" s="460">
        <f t="shared" si="401"/>
        <v>350</v>
      </c>
      <c r="DV149" s="5">
        <f t="shared" si="402"/>
        <v>2.8571428571428572</v>
      </c>
      <c r="DW149" s="5">
        <f t="shared" si="403"/>
        <v>1.4589503546099287</v>
      </c>
      <c r="DX149" s="5">
        <f t="shared" si="404"/>
        <v>1.3981925025329285</v>
      </c>
      <c r="DY149" s="173">
        <f t="shared" si="405"/>
        <v>0.51063262411347499</v>
      </c>
      <c r="EA149" s="5">
        <f t="shared" si="406"/>
        <v>85.348595744680821</v>
      </c>
      <c r="EB149" s="5">
        <f t="shared" si="407"/>
        <v>0.31610591016548462</v>
      </c>
      <c r="EC149" s="5">
        <f t="shared" si="408"/>
        <v>0.60588341776426891</v>
      </c>
      <c r="ED149" s="5"/>
      <c r="EE149" s="173">
        <f t="shared" si="409"/>
        <v>0.90287041980031202</v>
      </c>
      <c r="EF149" s="173">
        <f t="shared" si="410"/>
        <v>3.535482106784162</v>
      </c>
      <c r="EG149" s="173">
        <f t="shared" si="411"/>
        <v>6.7365267169806328E-2</v>
      </c>
      <c r="EH149" s="173"/>
      <c r="EI149" s="528">
        <f t="shared" si="412"/>
        <v>9.9451349383947781E-3</v>
      </c>
      <c r="EJ149" s="528">
        <f t="shared" si="413"/>
        <v>0.56373841702127647</v>
      </c>
      <c r="EK149" s="528">
        <f t="shared" si="414"/>
        <v>4.3749999999999997E-2</v>
      </c>
      <c r="EL149" s="528">
        <f t="shared" si="415"/>
        <v>4.7398399999999993E-2</v>
      </c>
      <c r="EM149">
        <f t="shared" si="416"/>
        <v>8.0999999999999996E-3</v>
      </c>
      <c r="EN149" s="460">
        <f t="shared" si="417"/>
        <v>51.849999999999994</v>
      </c>
      <c r="EP149" s="460">
        <f t="shared" si="439"/>
        <v>672.9319519596711</v>
      </c>
      <c r="EQ149" s="173">
        <f t="shared" si="418"/>
        <v>1.6379999999999999</v>
      </c>
      <c r="ER149" s="173">
        <f t="shared" si="475"/>
        <v>1.7306250000000002E-2</v>
      </c>
      <c r="ES149" s="528"/>
      <c r="EU149" s="460">
        <f t="shared" si="420"/>
        <v>1655.3062500000001</v>
      </c>
      <c r="EV149" s="528">
        <f t="shared" si="421"/>
        <v>2.4455249848511749E-2</v>
      </c>
      <c r="EW149" s="528">
        <f t="shared" si="422"/>
        <v>0.37498901182172928</v>
      </c>
      <c r="EX149" s="528">
        <f t="shared" si="423"/>
        <v>2.269039610429693E-5</v>
      </c>
      <c r="EY149" s="528">
        <f t="shared" si="424"/>
        <v>0.81183832147489965</v>
      </c>
      <c r="EZ149" s="528"/>
      <c r="FA149" s="625">
        <f t="shared" si="425"/>
        <v>4.1905555201448605E-2</v>
      </c>
      <c r="FB149" s="460">
        <f t="shared" si="426"/>
        <v>1253.2108287426938</v>
      </c>
      <c r="FC149" s="173">
        <f t="shared" si="427"/>
        <v>3.5814490307023648</v>
      </c>
      <c r="FD149" s="5">
        <f t="shared" si="428"/>
        <v>10.061999999999999</v>
      </c>
      <c r="FE149" s="173">
        <f t="shared" si="429"/>
        <v>0.73749679991892847</v>
      </c>
      <c r="FF149" s="5">
        <f t="shared" si="430"/>
        <v>73.749679991892847</v>
      </c>
      <c r="FG149">
        <f t="shared" si="431"/>
        <v>38.999999999999993</v>
      </c>
      <c r="FI149" s="562">
        <f t="shared" si="432"/>
        <v>-50</v>
      </c>
      <c r="FJ149">
        <f t="shared" si="433"/>
        <v>-50</v>
      </c>
    </row>
    <row r="150" spans="5:166">
      <c r="E150" s="170">
        <v>40</v>
      </c>
      <c r="F150" s="217">
        <f t="shared" si="476"/>
        <v>2.4000000000000004</v>
      </c>
      <c r="G150" s="217">
        <f t="shared" si="444"/>
        <v>4.0000000000000008E-2</v>
      </c>
      <c r="H150" s="217">
        <f t="shared" si="445"/>
        <v>9.6000000000000014</v>
      </c>
      <c r="I150" s="217">
        <f t="shared" si="446"/>
        <v>0.7200000000000002</v>
      </c>
      <c r="J150" s="541">
        <f t="shared" si="447"/>
        <v>17.93555272872155</v>
      </c>
      <c r="K150" s="443">
        <f t="shared" si="448"/>
        <v>19.3888</v>
      </c>
      <c r="L150" s="172">
        <f t="shared" si="449"/>
        <v>37.32435272872155</v>
      </c>
      <c r="M150" s="443"/>
      <c r="N150" s="217">
        <f t="shared" si="450"/>
        <v>0.51946781611781523</v>
      </c>
      <c r="O150" s="172">
        <f t="shared" si="451"/>
        <v>28.889743897224509</v>
      </c>
      <c r="P150" s="172">
        <f t="shared" si="452"/>
        <v>2.3292356017137261</v>
      </c>
      <c r="Q150" s="217">
        <f t="shared" si="322"/>
        <v>7.2224359743061273</v>
      </c>
      <c r="R150" s="217">
        <f t="shared" si="453"/>
        <v>1.6049857720680283</v>
      </c>
      <c r="S150" s="217">
        <f t="shared" si="454"/>
        <v>4</v>
      </c>
      <c r="T150" s="217">
        <f t="shared" si="455"/>
        <v>2.2153190498219892</v>
      </c>
      <c r="U150" s="217">
        <f t="shared" si="326"/>
        <v>1.4821861918586534</v>
      </c>
      <c r="V150" s="217">
        <f t="shared" si="327"/>
        <v>1.3710920014577423</v>
      </c>
      <c r="W150" s="197">
        <f t="shared" si="328"/>
        <v>350</v>
      </c>
      <c r="X150" s="443">
        <f t="shared" si="435"/>
        <v>327.51683164311487</v>
      </c>
      <c r="Z150" s="217">
        <f t="shared" si="329"/>
        <v>2.2183196206797393</v>
      </c>
      <c r="AA150" s="173">
        <f t="shared" si="330"/>
        <v>1.3729490968062423</v>
      </c>
      <c r="AB150" s="173">
        <f t="shared" si="456"/>
        <v>1.9832073895329021</v>
      </c>
      <c r="AC150" s="173"/>
      <c r="AD150" s="173">
        <f t="shared" si="332"/>
        <v>0.82521868295098222</v>
      </c>
      <c r="AE150" s="545">
        <f t="shared" si="457"/>
        <v>1090.6199999999994</v>
      </c>
      <c r="AF150" s="528">
        <f t="shared" si="458"/>
        <v>0.77020410408758366</v>
      </c>
      <c r="AH150" s="173">
        <f t="shared" si="459"/>
        <v>2.2168188275738085</v>
      </c>
      <c r="AI150" s="173">
        <f t="shared" si="460"/>
        <v>2.2153190498219892</v>
      </c>
      <c r="AJ150" s="173">
        <f t="shared" si="461"/>
        <v>1.8533227529545597</v>
      </c>
      <c r="AL150" s="545">
        <f t="shared" si="462"/>
        <v>2400.0000000000005</v>
      </c>
      <c r="AM150" s="460">
        <f t="shared" si="463"/>
        <v>327.51683164311487</v>
      </c>
      <c r="AO150" s="460">
        <f t="shared" si="340"/>
        <v>2400.0000000000005</v>
      </c>
      <c r="AP150" s="460">
        <f t="shared" si="341"/>
        <v>327.51683164311487</v>
      </c>
      <c r="AR150" s="5">
        <f t="shared" si="443"/>
        <v>3.0532781933163959</v>
      </c>
      <c r="AS150" s="5">
        <f t="shared" si="440"/>
        <v>1.4821861918586534</v>
      </c>
      <c r="AT150" s="5">
        <f t="shared" si="441"/>
        <v>1.5710920014577425</v>
      </c>
      <c r="AU150" s="173">
        <f t="shared" si="442"/>
        <v>0.48544092546272016</v>
      </c>
      <c r="AW150" s="5">
        <f t="shared" si="342"/>
        <v>88.931171511519224</v>
      </c>
      <c r="AX150" s="5">
        <f t="shared" si="343"/>
        <v>0.32937470930192303</v>
      </c>
      <c r="AY150" s="5">
        <f t="shared" si="344"/>
        <v>0.70077215917269597</v>
      </c>
      <c r="AZ150" s="5"/>
      <c r="BA150" s="173">
        <f t="shared" si="345"/>
        <v>0.89113571200607222</v>
      </c>
      <c r="BB150" s="173">
        <f t="shared" si="346"/>
        <v>3.6698918573469297</v>
      </c>
      <c r="BC150" s="173">
        <f t="shared" si="347"/>
        <v>6.992631782242123E-2</v>
      </c>
      <c r="BD150" s="173"/>
      <c r="BE150" s="528">
        <f t="shared" si="348"/>
        <v>9.6882988579933445E-3</v>
      </c>
      <c r="BF150" s="528">
        <f t="shared" si="464"/>
        <v>0.50776581996694059</v>
      </c>
      <c r="BG150" s="528">
        <f t="shared" si="465"/>
        <v>0.14685488508697261</v>
      </c>
      <c r="BH150" s="528">
        <f t="shared" si="351"/>
        <v>4.5626609120240844E-2</v>
      </c>
      <c r="BI150">
        <f t="shared" si="352"/>
        <v>8.0709987279246973E-3</v>
      </c>
      <c r="BJ150" s="460">
        <f t="shared" si="436"/>
        <v>154.9258838148973</v>
      </c>
      <c r="BK150">
        <f t="shared" si="466"/>
        <v>0.56700177258873541</v>
      </c>
      <c r="BL150" s="460">
        <f t="shared" si="437"/>
        <v>718.00661176007213</v>
      </c>
      <c r="BM150" s="173">
        <f t="shared" si="467"/>
        <v>1.4910000000000001</v>
      </c>
      <c r="BN150" s="173">
        <f t="shared" si="468"/>
        <v>2.4850000000000004E-2</v>
      </c>
      <c r="BO150" s="528"/>
      <c r="BQ150" s="460">
        <f t="shared" si="356"/>
        <v>1515.8500000000001</v>
      </c>
      <c r="BR150" s="528">
        <f t="shared" si="357"/>
        <v>2.3823685716377076E-2</v>
      </c>
      <c r="BS150" s="528">
        <f t="shared" si="358"/>
        <v>0.40404318733863892</v>
      </c>
      <c r="BT150" s="528">
        <f t="shared" si="359"/>
        <v>2.4448449621011325E-5</v>
      </c>
      <c r="BU150" s="528">
        <f t="shared" si="360"/>
        <v>0.70899760736553319</v>
      </c>
      <c r="BV150" s="528"/>
      <c r="BW150" s="625">
        <f t="shared" si="469"/>
        <v>4.0183355247869222E-2</v>
      </c>
      <c r="BX150" s="460">
        <f t="shared" si="362"/>
        <v>1177.0722841180395</v>
      </c>
      <c r="BY150" s="173">
        <f t="shared" si="363"/>
        <v>3.4109288958781114</v>
      </c>
      <c r="BZ150" s="5">
        <f t="shared" si="364"/>
        <v>10.320000000000002</v>
      </c>
      <c r="CA150" s="173">
        <f t="shared" si="365"/>
        <v>0.75158789898751588</v>
      </c>
      <c r="CB150" s="5">
        <f t="shared" si="366"/>
        <v>75.158789898751593</v>
      </c>
      <c r="CC150">
        <f t="shared" si="367"/>
        <v>40.000000000000007</v>
      </c>
      <c r="CE150" s="562">
        <f t="shared" si="470"/>
        <v>-50</v>
      </c>
      <c r="CF150">
        <f t="shared" si="471"/>
        <v>-50</v>
      </c>
      <c r="CG150" s="173">
        <f t="shared" si="370"/>
        <v>0.48913043478260854</v>
      </c>
      <c r="CH150" s="173">
        <f t="shared" si="472"/>
        <v>0.13097870664369976</v>
      </c>
      <c r="CI150" s="170">
        <v>40</v>
      </c>
      <c r="CJ150" s="217">
        <f t="shared" si="438"/>
        <v>2.4000000000000004</v>
      </c>
      <c r="CK150" s="217">
        <f t="shared" si="372"/>
        <v>4.0000000000000008E-2</v>
      </c>
      <c r="CL150" s="217">
        <f t="shared" si="373"/>
        <v>9.6000000000000014</v>
      </c>
      <c r="CM150" s="217">
        <f t="shared" si="374"/>
        <v>0.7200000000000002</v>
      </c>
      <c r="CN150" s="541">
        <f t="shared" si="375"/>
        <v>18</v>
      </c>
      <c r="CO150" s="443">
        <f t="shared" si="473"/>
        <v>18.8</v>
      </c>
      <c r="CP150" s="443">
        <f t="shared" si="474"/>
        <v>36.799999999999997</v>
      </c>
      <c r="CQ150" s="443"/>
      <c r="CR150" s="217">
        <f t="shared" si="378"/>
        <v>0.51086956521739135</v>
      </c>
      <c r="CS150" s="172">
        <f t="shared" si="379"/>
        <v>28.513650151668358</v>
      </c>
      <c r="CT150" s="172">
        <f t="shared" si="380"/>
        <v>2.2989130434782612</v>
      </c>
      <c r="CU150" s="217">
        <f t="shared" si="381"/>
        <v>7.1284125379170895</v>
      </c>
      <c r="CV150" s="217">
        <f t="shared" si="382"/>
        <v>1.5840916750926866</v>
      </c>
      <c r="CW150" s="217">
        <f t="shared" si="383"/>
        <v>4</v>
      </c>
      <c r="CX150" s="217">
        <f t="shared" si="384"/>
        <v>2.2445390070921989</v>
      </c>
      <c r="CY150" s="217">
        <f t="shared" si="385"/>
        <v>1.4963593380614661</v>
      </c>
      <c r="CZ150" s="217">
        <f t="shared" si="386"/>
        <v>1.432684472612042</v>
      </c>
      <c r="DA150" s="197">
        <f t="shared" si="387"/>
        <v>350</v>
      </c>
      <c r="DB150" s="443">
        <f t="shared" si="388"/>
        <v>341.40834505649093</v>
      </c>
      <c r="DD150" s="217">
        <f t="shared" si="389"/>
        <v>2.18944099378882</v>
      </c>
      <c r="DE150" s="173">
        <f t="shared" si="390"/>
        <v>1.3975155279503106</v>
      </c>
      <c r="DF150" s="173">
        <f t="shared" si="391"/>
        <v>1.9924134422749624</v>
      </c>
      <c r="DG150" s="173"/>
      <c r="DH150" s="173">
        <f t="shared" si="392"/>
        <v>0.85106382978723416</v>
      </c>
      <c r="DI150" s="545">
        <f t="shared" si="393"/>
        <v>1057.5</v>
      </c>
      <c r="DJ150" s="528">
        <f t="shared" si="394"/>
        <v>0.79432624113475192</v>
      </c>
      <c r="DL150" s="173">
        <f t="shared" si="395"/>
        <v>2.2168188275738085</v>
      </c>
      <c r="DM150" s="173">
        <f t="shared" si="396"/>
        <v>2.2445390070921989</v>
      </c>
      <c r="DN150" s="173">
        <f t="shared" si="397"/>
        <v>1.8749671657473077</v>
      </c>
      <c r="DP150" s="545">
        <f t="shared" si="398"/>
        <v>2400.0000000000005</v>
      </c>
      <c r="DQ150" s="460">
        <f t="shared" si="399"/>
        <v>341.40834505649093</v>
      </c>
      <c r="DS150" s="460">
        <f t="shared" si="400"/>
        <v>2400.0000000000005</v>
      </c>
      <c r="DT150" s="460">
        <f t="shared" si="401"/>
        <v>341.40834505649093</v>
      </c>
      <c r="DV150" s="5">
        <f t="shared" si="402"/>
        <v>2.9290438106735075</v>
      </c>
      <c r="DW150" s="5">
        <f t="shared" si="403"/>
        <v>1.4963593380614661</v>
      </c>
      <c r="DX150" s="5">
        <f t="shared" si="404"/>
        <v>1.4326844726120413</v>
      </c>
      <c r="DY150" s="173">
        <f t="shared" si="405"/>
        <v>0.51086956521739146</v>
      </c>
      <c r="EA150" s="5">
        <f t="shared" si="406"/>
        <v>89.781560283687966</v>
      </c>
      <c r="EB150" s="5">
        <f t="shared" si="407"/>
        <v>0.33252429734699251</v>
      </c>
      <c r="EC150" s="5">
        <f t="shared" si="408"/>
        <v>0.63674865449424056</v>
      </c>
      <c r="ED150" s="5"/>
      <c r="EE150" s="173">
        <f t="shared" si="409"/>
        <v>0.92623576218759818</v>
      </c>
      <c r="EF150" s="173">
        <f t="shared" si="410"/>
        <v>3.6252575396461322</v>
      </c>
      <c r="EG150" s="173">
        <f t="shared" si="411"/>
        <v>6.9075853120284414E-2</v>
      </c>
      <c r="EH150" s="173"/>
      <c r="EI150" s="528">
        <f t="shared" si="412"/>
        <v>1.0466534783293938E-2</v>
      </c>
      <c r="EJ150" s="528">
        <f t="shared" si="413"/>
        <v>0.56399999999999995</v>
      </c>
      <c r="EK150" s="528">
        <f t="shared" si="414"/>
        <v>4.2676043132061359E-2</v>
      </c>
      <c r="EL150" s="528">
        <f t="shared" si="415"/>
        <v>4.6234883720930223E-2</v>
      </c>
      <c r="EM150">
        <f t="shared" si="416"/>
        <v>8.0999999999999996E-3</v>
      </c>
      <c r="EN150" s="460">
        <f t="shared" si="417"/>
        <v>50.776043132061353</v>
      </c>
      <c r="EP150" s="460">
        <f t="shared" si="439"/>
        <v>671.4774616362854</v>
      </c>
      <c r="EQ150" s="173">
        <f t="shared" si="418"/>
        <v>1.6800000000000002</v>
      </c>
      <c r="ER150" s="173">
        <f t="shared" si="475"/>
        <v>1.7750000000000002E-2</v>
      </c>
      <c r="ES150" s="528"/>
      <c r="EU150" s="460">
        <f t="shared" si="420"/>
        <v>1697.75</v>
      </c>
      <c r="EV150" s="528">
        <f t="shared" si="421"/>
        <v>2.5737380614657229E-2</v>
      </c>
      <c r="EW150" s="528">
        <f t="shared" si="422"/>
        <v>0.3942747668628338</v>
      </c>
      <c r="EX150" s="528">
        <f t="shared" si="423"/>
        <v>2.385736742147553E-5</v>
      </c>
      <c r="EY150" s="528">
        <f t="shared" si="424"/>
        <v>0.81278041177063176</v>
      </c>
      <c r="EZ150" s="528"/>
      <c r="FA150" s="625">
        <f t="shared" si="425"/>
        <v>4.3000000000000017E-2</v>
      </c>
      <c r="FB150" s="460">
        <f t="shared" si="426"/>
        <v>1275.8164166155443</v>
      </c>
      <c r="FC150" s="173">
        <f t="shared" si="427"/>
        <v>3.6450438782518302</v>
      </c>
      <c r="FD150" s="5">
        <f t="shared" si="428"/>
        <v>10.320000000000002</v>
      </c>
      <c r="FE150" s="173">
        <f t="shared" si="429"/>
        <v>0.73898801106322609</v>
      </c>
      <c r="FF150" s="5">
        <f t="shared" si="430"/>
        <v>73.898801106322608</v>
      </c>
      <c r="FG150">
        <f t="shared" si="431"/>
        <v>40.000000000000007</v>
      </c>
      <c r="FI150" s="562">
        <f t="shared" si="432"/>
        <v>-50</v>
      </c>
      <c r="FJ150">
        <f t="shared" si="433"/>
        <v>-50</v>
      </c>
    </row>
    <row r="151" spans="5:166">
      <c r="E151" s="170">
        <v>41</v>
      </c>
      <c r="F151" s="217">
        <f t="shared" si="476"/>
        <v>2.46</v>
      </c>
      <c r="G151" s="217">
        <f t="shared" si="444"/>
        <v>4.1000000000000002E-2</v>
      </c>
      <c r="H151" s="217">
        <f t="shared" si="445"/>
        <v>9.84</v>
      </c>
      <c r="I151" s="217">
        <f t="shared" si="446"/>
        <v>0.73799999999999999</v>
      </c>
      <c r="J151" s="541">
        <f t="shared" si="447"/>
        <v>17.933941546939586</v>
      </c>
      <c r="K151" s="443">
        <f t="shared" si="448"/>
        <v>19.40352</v>
      </c>
      <c r="L151" s="172">
        <f t="shared" si="449"/>
        <v>37.337461546939586</v>
      </c>
      <c r="M151" s="443"/>
      <c r="N151" s="217">
        <f t="shared" si="450"/>
        <v>0.51967967815933203</v>
      </c>
      <c r="O151" s="172">
        <f t="shared" si="451"/>
        <v>28.898930143385542</v>
      </c>
      <c r="P151" s="172">
        <f t="shared" si="452"/>
        <v>2.3299762428104591</v>
      </c>
      <c r="Q151" s="217">
        <f t="shared" si="322"/>
        <v>7.2247325358463854</v>
      </c>
      <c r="R151" s="217">
        <f t="shared" si="453"/>
        <v>1.6054961190769745</v>
      </c>
      <c r="S151" s="217">
        <f t="shared" si="454"/>
        <v>4</v>
      </c>
      <c r="T151" s="217">
        <f t="shared" si="455"/>
        <v>2.2699802267598717</v>
      </c>
      <c r="U151" s="217">
        <f t="shared" si="326"/>
        <v>1.5188943629498393</v>
      </c>
      <c r="V151" s="217">
        <f t="shared" si="327"/>
        <v>1.4038567600681968</v>
      </c>
      <c r="W151" s="197">
        <f t="shared" si="328"/>
        <v>350</v>
      </c>
      <c r="X151" s="443">
        <f t="shared" si="435"/>
        <v>320.23045084474518</v>
      </c>
      <c r="Z151" s="217">
        <f t="shared" si="329"/>
        <v>2.2190249931528183</v>
      </c>
      <c r="AA151" s="173">
        <f t="shared" si="330"/>
        <v>1.3723437766876225</v>
      </c>
      <c r="AB151" s="173">
        <f t="shared" si="456"/>
        <v>1.9829633467602743</v>
      </c>
      <c r="AC151" s="173"/>
      <c r="AD151" s="173">
        <f t="shared" si="332"/>
        <v>0.82459265123029246</v>
      </c>
      <c r="AE151" s="545">
        <f t="shared" si="457"/>
        <v>1118.7341999999994</v>
      </c>
      <c r="AF151" s="528">
        <f t="shared" si="458"/>
        <v>0.76961980781493966</v>
      </c>
      <c r="AH151" s="173">
        <f t="shared" si="459"/>
        <v>2.2443580055648109</v>
      </c>
      <c r="AI151" s="173">
        <f t="shared" si="460"/>
        <v>2.2699802267598717</v>
      </c>
      <c r="AJ151" s="173">
        <f t="shared" si="461"/>
        <v>1.8938125136492876</v>
      </c>
      <c r="AL151" s="545">
        <f t="shared" si="462"/>
        <v>2460</v>
      </c>
      <c r="AM151" s="460">
        <f t="shared" si="463"/>
        <v>320.23045084474518</v>
      </c>
      <c r="AO151" s="460">
        <f t="shared" si="340"/>
        <v>2460</v>
      </c>
      <c r="AP151" s="460">
        <f t="shared" si="341"/>
        <v>320.23045084474518</v>
      </c>
      <c r="AR151" s="5">
        <f t="shared" si="443"/>
        <v>3.1227511230180358</v>
      </c>
      <c r="AS151" s="5">
        <f t="shared" si="440"/>
        <v>1.5188943629498393</v>
      </c>
      <c r="AT151" s="5">
        <f t="shared" si="441"/>
        <v>1.6038567600681966</v>
      </c>
      <c r="AU151" s="173">
        <f t="shared" si="442"/>
        <v>0.48639622663296911</v>
      </c>
      <c r="AW151" s="5">
        <f t="shared" si="342"/>
        <v>93.412003321415114</v>
      </c>
      <c r="AX151" s="5">
        <f t="shared" si="343"/>
        <v>0.34597038267190788</v>
      </c>
      <c r="AY151" s="5">
        <f t="shared" si="344"/>
        <v>0.73333714165046593</v>
      </c>
      <c r="AZ151" s="5"/>
      <c r="BA151" s="173">
        <f t="shared" si="345"/>
        <v>0.91402178171890103</v>
      </c>
      <c r="BB151" s="173">
        <f t="shared" si="346"/>
        <v>3.7569510883239818</v>
      </c>
      <c r="BC151" s="173">
        <f t="shared" si="347"/>
        <v>7.1585149115362359E-2</v>
      </c>
      <c r="BD151" s="173"/>
      <c r="BE151" s="528">
        <f t="shared" si="348"/>
        <v>1.0192316972970451E-2</v>
      </c>
      <c r="BF151" s="528">
        <f t="shared" si="464"/>
        <v>0.5088980202678226</v>
      </c>
      <c r="BG151" s="528">
        <f t="shared" si="465"/>
        <v>0.14357485467499426</v>
      </c>
      <c r="BH151" s="528">
        <f t="shared" si="351"/>
        <v>4.4642879943050155E-2</v>
      </c>
      <c r="BI151">
        <f t="shared" si="352"/>
        <v>8.0702736961228132E-3</v>
      </c>
      <c r="BJ151" s="460">
        <f t="shared" si="436"/>
        <v>151.64512837111707</v>
      </c>
      <c r="BK151">
        <f t="shared" si="466"/>
        <v>0.5678603270044762</v>
      </c>
      <c r="BL151" s="460">
        <f t="shared" si="437"/>
        <v>715.37834555496022</v>
      </c>
      <c r="BM151" s="173">
        <f t="shared" si="467"/>
        <v>1.5282749999999998</v>
      </c>
      <c r="BN151" s="173">
        <f t="shared" si="468"/>
        <v>2.5471249999999997E-2</v>
      </c>
      <c r="BO151" s="528"/>
      <c r="BQ151" s="460">
        <f t="shared" si="356"/>
        <v>1553.7462499999999</v>
      </c>
      <c r="BR151" s="528">
        <f t="shared" si="357"/>
        <v>2.5063074523697829E-2</v>
      </c>
      <c r="BS151" s="528">
        <f t="shared" si="358"/>
        <v>0.42344044440176254</v>
      </c>
      <c r="BT151" s="528">
        <f t="shared" si="359"/>
        <v>2.5622167869343324E-5</v>
      </c>
      <c r="BU151" s="528">
        <f t="shared" si="360"/>
        <v>0.71233085547840513</v>
      </c>
      <c r="BV151" s="528"/>
      <c r="BW151" s="625">
        <f t="shared" si="469"/>
        <v>4.1252168575803584E-2</v>
      </c>
      <c r="BX151" s="460">
        <f t="shared" si="362"/>
        <v>1202.1121651475385</v>
      </c>
      <c r="BY151" s="173">
        <f t="shared" si="363"/>
        <v>3.4712367607024981</v>
      </c>
      <c r="BZ151" s="5">
        <f t="shared" si="364"/>
        <v>10.577999999999999</v>
      </c>
      <c r="CA151" s="173">
        <f t="shared" si="365"/>
        <v>0.75292346340037575</v>
      </c>
      <c r="CB151" s="5">
        <f t="shared" si="366"/>
        <v>75.292346340037568</v>
      </c>
      <c r="CC151">
        <f t="shared" si="367"/>
        <v>41</v>
      </c>
      <c r="CE151" s="562">
        <f t="shared" si="470"/>
        <v>-50</v>
      </c>
      <c r="CF151">
        <f t="shared" si="471"/>
        <v>-50</v>
      </c>
      <c r="CG151" s="173">
        <f t="shared" si="370"/>
        <v>0.48913043478260876</v>
      </c>
      <c r="CH151" s="173">
        <f t="shared" si="472"/>
        <v>0.13097870664369976</v>
      </c>
      <c r="CI151" s="170">
        <v>41</v>
      </c>
      <c r="CJ151" s="217">
        <f t="shared" si="438"/>
        <v>2.46</v>
      </c>
      <c r="CK151" s="217">
        <f t="shared" si="372"/>
        <v>4.1000000000000002E-2</v>
      </c>
      <c r="CL151" s="217">
        <f t="shared" si="373"/>
        <v>9.84</v>
      </c>
      <c r="CM151" s="217">
        <f t="shared" si="374"/>
        <v>0.73799999999999999</v>
      </c>
      <c r="CN151" s="541">
        <f t="shared" si="375"/>
        <v>18</v>
      </c>
      <c r="CO151" s="443">
        <f t="shared" si="473"/>
        <v>18.8</v>
      </c>
      <c r="CP151" s="443">
        <f t="shared" si="474"/>
        <v>36.799999999999997</v>
      </c>
      <c r="CQ151" s="443"/>
      <c r="CR151" s="217">
        <f t="shared" si="378"/>
        <v>0.51086956521739135</v>
      </c>
      <c r="CS151" s="172">
        <f t="shared" si="379"/>
        <v>28.513650151668358</v>
      </c>
      <c r="CT151" s="172">
        <f t="shared" si="380"/>
        <v>2.2989130434782612</v>
      </c>
      <c r="CU151" s="217">
        <f t="shared" si="381"/>
        <v>7.1284125379170895</v>
      </c>
      <c r="CV151" s="217">
        <f t="shared" si="382"/>
        <v>1.5840916750926866</v>
      </c>
      <c r="CW151" s="217">
        <f t="shared" si="383"/>
        <v>4</v>
      </c>
      <c r="CX151" s="217">
        <f t="shared" si="384"/>
        <v>2.3006524822695029</v>
      </c>
      <c r="CY151" s="217">
        <f t="shared" si="385"/>
        <v>1.533768321513002</v>
      </c>
      <c r="CZ151" s="217">
        <f t="shared" si="386"/>
        <v>1.4685015844273424</v>
      </c>
      <c r="DA151" s="197">
        <f t="shared" si="387"/>
        <v>350</v>
      </c>
      <c r="DB151" s="443">
        <f t="shared" si="388"/>
        <v>333.08131225023516</v>
      </c>
      <c r="DD151" s="217">
        <f t="shared" si="389"/>
        <v>2.18944099378882</v>
      </c>
      <c r="DE151" s="173">
        <f t="shared" si="390"/>
        <v>1.3975155279503106</v>
      </c>
      <c r="DF151" s="173">
        <f t="shared" si="391"/>
        <v>1.9924134422749624</v>
      </c>
      <c r="DG151" s="173"/>
      <c r="DH151" s="173">
        <f t="shared" si="392"/>
        <v>0.85106382978723416</v>
      </c>
      <c r="DI151" s="545">
        <f t="shared" si="393"/>
        <v>1083.9374999999998</v>
      </c>
      <c r="DJ151" s="528">
        <f t="shared" si="394"/>
        <v>0.79432624113475192</v>
      </c>
      <c r="DL151" s="173">
        <f t="shared" si="395"/>
        <v>2.2443580055648109</v>
      </c>
      <c r="DM151" s="173">
        <f t="shared" si="396"/>
        <v>2.3006524822695029</v>
      </c>
      <c r="DN151" s="173">
        <f t="shared" si="397"/>
        <v>1.9165327029156809</v>
      </c>
      <c r="DP151" s="545">
        <f t="shared" si="398"/>
        <v>2460</v>
      </c>
      <c r="DQ151" s="460">
        <f t="shared" si="399"/>
        <v>333.08131225023516</v>
      </c>
      <c r="DS151" s="460">
        <f t="shared" si="400"/>
        <v>2460</v>
      </c>
      <c r="DT151" s="460">
        <f t="shared" si="401"/>
        <v>333.08131225023516</v>
      </c>
      <c r="DV151" s="5">
        <f t="shared" si="402"/>
        <v>3.0022699059403446</v>
      </c>
      <c r="DW151" s="5">
        <f t="shared" si="403"/>
        <v>1.533768321513002</v>
      </c>
      <c r="DX151" s="5">
        <f t="shared" si="404"/>
        <v>1.4685015844273426</v>
      </c>
      <c r="DY151" s="173">
        <f t="shared" si="405"/>
        <v>0.51086956521739124</v>
      </c>
      <c r="EA151" s="5">
        <f t="shared" si="406"/>
        <v>94.326751773049622</v>
      </c>
      <c r="EB151" s="5">
        <f t="shared" si="407"/>
        <v>0.34935833990018389</v>
      </c>
      <c r="EC151" s="5">
        <f t="shared" si="408"/>
        <v>0.66898405512801151</v>
      </c>
      <c r="ED151" s="5"/>
      <c r="EE151" s="173">
        <f t="shared" si="409"/>
        <v>0.9493916562422875</v>
      </c>
      <c r="EF151" s="173">
        <f t="shared" si="410"/>
        <v>3.715888978137285</v>
      </c>
      <c r="EG151" s="173">
        <f t="shared" si="411"/>
        <v>7.0802749448291513E-2</v>
      </c>
      <c r="EH151" s="173"/>
      <c r="EI151" s="528">
        <f t="shared" si="412"/>
        <v>1.0996403106698178E-2</v>
      </c>
      <c r="EJ151" s="528">
        <f t="shared" si="413"/>
        <v>0.56399999999999995</v>
      </c>
      <c r="EK151" s="528">
        <f t="shared" si="414"/>
        <v>4.1635164031279391E-2</v>
      </c>
      <c r="EL151" s="528">
        <f t="shared" si="415"/>
        <v>4.5107203630175841E-2</v>
      </c>
      <c r="EM151">
        <f t="shared" si="416"/>
        <v>8.0999999999999996E-3</v>
      </c>
      <c r="EN151" s="460">
        <f t="shared" si="417"/>
        <v>49.735164031279396</v>
      </c>
      <c r="EP151" s="460">
        <f t="shared" si="439"/>
        <v>669.83877076815338</v>
      </c>
      <c r="EQ151" s="173">
        <f t="shared" si="418"/>
        <v>1.722</v>
      </c>
      <c r="ER151" s="173">
        <f t="shared" si="475"/>
        <v>1.8193750000000002E-2</v>
      </c>
      <c r="ES151" s="528"/>
      <c r="EU151" s="460">
        <f t="shared" si="420"/>
        <v>1740.1937499999999</v>
      </c>
      <c r="EV151" s="528">
        <f t="shared" si="421"/>
        <v>2.7040335508274213E-2</v>
      </c>
      <c r="EW151" s="528">
        <f t="shared" si="422"/>
        <v>0.4142349269352647</v>
      </c>
      <c r="EX151" s="528">
        <f t="shared" si="423"/>
        <v>2.5065146647187725E-5</v>
      </c>
      <c r="EY151" s="528">
        <f t="shared" si="424"/>
        <v>0.81278041177063187</v>
      </c>
      <c r="EZ151" s="528"/>
      <c r="FA151" s="625">
        <f t="shared" si="425"/>
        <v>4.4074999999999996E-2</v>
      </c>
      <c r="FB151" s="460">
        <f t="shared" si="426"/>
        <v>1298.155739360818</v>
      </c>
      <c r="FC151" s="173">
        <f t="shared" si="427"/>
        <v>3.7081882601289706</v>
      </c>
      <c r="FD151" s="5">
        <f t="shared" si="428"/>
        <v>10.577999999999999</v>
      </c>
      <c r="FE151" s="173">
        <f t="shared" si="429"/>
        <v>0.74043543367840969</v>
      </c>
      <c r="FF151" s="5">
        <f t="shared" si="430"/>
        <v>74.043543367840968</v>
      </c>
      <c r="FG151">
        <f t="shared" si="431"/>
        <v>41</v>
      </c>
      <c r="FI151" s="562">
        <f t="shared" si="432"/>
        <v>-50</v>
      </c>
      <c r="FJ151">
        <f t="shared" si="433"/>
        <v>-50</v>
      </c>
    </row>
    <row r="152" spans="5:166">
      <c r="E152" s="170">
        <v>42</v>
      </c>
      <c r="F152" s="217">
        <f t="shared" si="476"/>
        <v>2.52</v>
      </c>
      <c r="G152" s="217">
        <f t="shared" si="444"/>
        <v>4.2000000000000003E-2</v>
      </c>
      <c r="H152" s="217">
        <f t="shared" si="445"/>
        <v>10.08</v>
      </c>
      <c r="I152" s="217">
        <f t="shared" si="446"/>
        <v>0.75600000000000001</v>
      </c>
      <c r="J152" s="541">
        <f t="shared" si="447"/>
        <v>17.932330365157625</v>
      </c>
      <c r="K152" s="443">
        <f t="shared" si="448"/>
        <v>19.418240000000001</v>
      </c>
      <c r="L152" s="172">
        <f t="shared" si="449"/>
        <v>37.350570365157623</v>
      </c>
      <c r="M152" s="443"/>
      <c r="N152" s="217">
        <f t="shared" si="450"/>
        <v>0.51989139148767194</v>
      </c>
      <c r="O152" s="172">
        <f t="shared" si="451"/>
        <v>28.908106003592028</v>
      </c>
      <c r="P152" s="172">
        <f t="shared" si="452"/>
        <v>2.3307160465396075</v>
      </c>
      <c r="Q152" s="217">
        <f t="shared" si="322"/>
        <v>7.227026500898007</v>
      </c>
      <c r="R152" s="217">
        <f t="shared" si="453"/>
        <v>1.6060058890884461</v>
      </c>
      <c r="S152" s="217">
        <f t="shared" si="454"/>
        <v>4</v>
      </c>
      <c r="T152" s="217">
        <f t="shared" si="455"/>
        <v>2.3246074990748249</v>
      </c>
      <c r="U152" s="217">
        <f t="shared" si="326"/>
        <v>1.5555864419661944</v>
      </c>
      <c r="V152" s="217">
        <f t="shared" si="327"/>
        <v>1.4365508917851411</v>
      </c>
      <c r="W152" s="197">
        <f t="shared" si="328"/>
        <v>350</v>
      </c>
      <c r="X152" s="443">
        <f t="shared" si="435"/>
        <v>313.26972979098616</v>
      </c>
      <c r="Z152" s="217">
        <f t="shared" si="329"/>
        <v>2.2197295681329594</v>
      </c>
      <c r="AA152" s="173">
        <f t="shared" si="330"/>
        <v>1.3717388814637945</v>
      </c>
      <c r="AB152" s="173">
        <f t="shared" si="456"/>
        <v>1.9827186497302063</v>
      </c>
      <c r="AC152" s="173"/>
      <c r="AD152" s="173">
        <f t="shared" si="332"/>
        <v>0.82396756863649856</v>
      </c>
      <c r="AE152" s="545">
        <f t="shared" si="457"/>
        <v>1146.8897999999999</v>
      </c>
      <c r="AF152" s="528">
        <f t="shared" si="458"/>
        <v>0.76903639739406526</v>
      </c>
      <c r="AH152" s="173">
        <f t="shared" si="459"/>
        <v>2.2715633383201093</v>
      </c>
      <c r="AI152" s="173">
        <f t="shared" si="460"/>
        <v>2.3246074990748249</v>
      </c>
      <c r="AJ152" s="173">
        <f t="shared" si="461"/>
        <v>1.934277159808512</v>
      </c>
      <c r="AL152" s="545">
        <f t="shared" si="462"/>
        <v>2520</v>
      </c>
      <c r="AM152" s="460">
        <f t="shared" si="463"/>
        <v>313.26972979098616</v>
      </c>
      <c r="AO152" s="460">
        <f t="shared" si="340"/>
        <v>2520</v>
      </c>
      <c r="AP152" s="460">
        <f t="shared" si="341"/>
        <v>313.26972979098616</v>
      </c>
      <c r="AR152" s="5">
        <f t="shared" si="443"/>
        <v>3.1921373337513357</v>
      </c>
      <c r="AS152" s="5">
        <f t="shared" si="440"/>
        <v>1.5555864419661944</v>
      </c>
      <c r="AT152" s="5">
        <f t="shared" si="441"/>
        <v>1.6365508917851412</v>
      </c>
      <c r="AU152" s="173">
        <f t="shared" si="442"/>
        <v>0.48731814434127135</v>
      </c>
      <c r="AW152" s="5">
        <f t="shared" si="342"/>
        <v>98.00194584387026</v>
      </c>
      <c r="AX152" s="5">
        <f t="shared" si="343"/>
        <v>0.36297016979211205</v>
      </c>
      <c r="AY152" s="5">
        <f t="shared" si="344"/>
        <v>0.7666057456595573</v>
      </c>
      <c r="AZ152" s="5"/>
      <c r="BA152" s="173">
        <f t="shared" si="345"/>
        <v>0.93690444202435075</v>
      </c>
      <c r="BB152" s="173">
        <f t="shared" si="346"/>
        <v>3.8439078894965091</v>
      </c>
      <c r="BC152" s="173">
        <f t="shared" si="347"/>
        <v>7.3242028705271314E-2</v>
      </c>
      <c r="BD152" s="173"/>
      <c r="BE152" s="528">
        <f t="shared" si="348"/>
        <v>1.0709037188516511E-2</v>
      </c>
      <c r="BF152" s="528">
        <f t="shared" si="464"/>
        <v>0.50999577372231097</v>
      </c>
      <c r="BG152" s="528">
        <f t="shared" si="465"/>
        <v>0.14044140720039064</v>
      </c>
      <c r="BH152" s="528">
        <f t="shared" si="351"/>
        <v>4.3703166898622692E-2</v>
      </c>
      <c r="BI152">
        <f t="shared" si="352"/>
        <v>8.0695486643209309E-3</v>
      </c>
      <c r="BJ152" s="460">
        <f t="shared" si="436"/>
        <v>148.51095586471158</v>
      </c>
      <c r="BK152">
        <f t="shared" si="466"/>
        <v>0.56874657487570324</v>
      </c>
      <c r="BL152" s="460">
        <f t="shared" si="437"/>
        <v>712.91893367416174</v>
      </c>
      <c r="BM152" s="173">
        <f t="shared" si="467"/>
        <v>1.5655499999999998</v>
      </c>
      <c r="BN152" s="173">
        <f t="shared" si="468"/>
        <v>2.6092499999999998E-2</v>
      </c>
      <c r="BO152" s="528"/>
      <c r="BQ152" s="460">
        <f t="shared" si="356"/>
        <v>1591.6424999999999</v>
      </c>
      <c r="BR152" s="528">
        <f t="shared" si="357"/>
        <v>2.6333698004548801E-2</v>
      </c>
      <c r="BS152" s="528">
        <f t="shared" si="358"/>
        <v>0.44326883588800514</v>
      </c>
      <c r="BT152" s="528">
        <f t="shared" si="359"/>
        <v>2.682197384431894E-5</v>
      </c>
      <c r="BU152" s="528">
        <f t="shared" si="360"/>
        <v>0.71555030595225377</v>
      </c>
      <c r="BV152" s="528"/>
      <c r="BW152" s="625">
        <f t="shared" si="469"/>
        <v>4.2321174339987395E-2</v>
      </c>
      <c r="BX152" s="460">
        <f t="shared" si="362"/>
        <v>1227.5008361586395</v>
      </c>
      <c r="BY152" s="173">
        <f t="shared" si="363"/>
        <v>3.5320622698328008</v>
      </c>
      <c r="BZ152" s="5">
        <f t="shared" si="364"/>
        <v>10.836</v>
      </c>
      <c r="CA152" s="173">
        <f t="shared" si="365"/>
        <v>0.75417267802014454</v>
      </c>
      <c r="CB152" s="5">
        <f t="shared" si="366"/>
        <v>75.41726780201445</v>
      </c>
      <c r="CC152">
        <f t="shared" si="367"/>
        <v>42</v>
      </c>
      <c r="CE152" s="562">
        <f t="shared" si="470"/>
        <v>-50</v>
      </c>
      <c r="CF152">
        <f t="shared" si="471"/>
        <v>-50</v>
      </c>
      <c r="CG152" s="173">
        <f t="shared" si="370"/>
        <v>0.48913043478260876</v>
      </c>
      <c r="CH152" s="173">
        <f t="shared" si="472"/>
        <v>0.13097870664369976</v>
      </c>
      <c r="CI152" s="170">
        <v>42</v>
      </c>
      <c r="CJ152" s="217">
        <f t="shared" si="438"/>
        <v>2.52</v>
      </c>
      <c r="CK152" s="217">
        <f t="shared" si="372"/>
        <v>4.2000000000000003E-2</v>
      </c>
      <c r="CL152" s="217">
        <f t="shared" si="373"/>
        <v>10.08</v>
      </c>
      <c r="CM152" s="217">
        <f t="shared" si="374"/>
        <v>0.75600000000000001</v>
      </c>
      <c r="CN152" s="541">
        <f t="shared" si="375"/>
        <v>18</v>
      </c>
      <c r="CO152" s="443">
        <f t="shared" si="473"/>
        <v>18.8</v>
      </c>
      <c r="CP152" s="443">
        <f t="shared" si="474"/>
        <v>36.799999999999997</v>
      </c>
      <c r="CQ152" s="443"/>
      <c r="CR152" s="217">
        <f t="shared" si="378"/>
        <v>0.51086956521739135</v>
      </c>
      <c r="CS152" s="172">
        <f t="shared" si="379"/>
        <v>28.513650151668358</v>
      </c>
      <c r="CT152" s="172">
        <f t="shared" si="380"/>
        <v>2.2989130434782612</v>
      </c>
      <c r="CU152" s="217">
        <f t="shared" si="381"/>
        <v>7.1284125379170895</v>
      </c>
      <c r="CV152" s="217">
        <f t="shared" si="382"/>
        <v>1.5840916750926866</v>
      </c>
      <c r="CW152" s="217">
        <f t="shared" si="383"/>
        <v>4</v>
      </c>
      <c r="CX152" s="217">
        <f t="shared" si="384"/>
        <v>2.3567659574468083</v>
      </c>
      <c r="CY152" s="217">
        <f t="shared" si="385"/>
        <v>1.5711773049645388</v>
      </c>
      <c r="CZ152" s="217">
        <f t="shared" si="386"/>
        <v>1.5043186962426436</v>
      </c>
      <c r="DA152" s="197">
        <f t="shared" si="387"/>
        <v>350</v>
      </c>
      <c r="DB152" s="443">
        <f t="shared" si="388"/>
        <v>325.15080481570573</v>
      </c>
      <c r="DD152" s="217">
        <f t="shared" si="389"/>
        <v>2.18944099378882</v>
      </c>
      <c r="DE152" s="173">
        <f t="shared" si="390"/>
        <v>1.3975155279503106</v>
      </c>
      <c r="DF152" s="173">
        <f t="shared" si="391"/>
        <v>1.9924134422749624</v>
      </c>
      <c r="DG152" s="173"/>
      <c r="DH152" s="173">
        <f t="shared" si="392"/>
        <v>0.85106382978723416</v>
      </c>
      <c r="DI152" s="545">
        <f t="shared" si="393"/>
        <v>1110.3749999999998</v>
      </c>
      <c r="DJ152" s="528">
        <f t="shared" si="394"/>
        <v>0.79432624113475192</v>
      </c>
      <c r="DL152" s="173">
        <f t="shared" si="395"/>
        <v>2.2715633383201093</v>
      </c>
      <c r="DM152" s="173">
        <f t="shared" si="396"/>
        <v>2.3567659574468083</v>
      </c>
      <c r="DN152" s="173">
        <f t="shared" si="397"/>
        <v>1.9580982400840554</v>
      </c>
      <c r="DP152" s="545">
        <f t="shared" si="398"/>
        <v>2520</v>
      </c>
      <c r="DQ152" s="460">
        <f t="shared" si="399"/>
        <v>325.15080481570573</v>
      </c>
      <c r="DS152" s="460">
        <f t="shared" si="400"/>
        <v>2520</v>
      </c>
      <c r="DT152" s="460">
        <f t="shared" si="401"/>
        <v>325.15080481570573</v>
      </c>
      <c r="DV152" s="5">
        <f t="shared" si="402"/>
        <v>3.0754960012071826</v>
      </c>
      <c r="DW152" s="5">
        <f t="shared" si="403"/>
        <v>1.5711773049645388</v>
      </c>
      <c r="DX152" s="5">
        <f t="shared" si="404"/>
        <v>1.5043186962426438</v>
      </c>
      <c r="DY152" s="173">
        <f t="shared" si="405"/>
        <v>0.51086956521739124</v>
      </c>
      <c r="EA152" s="5">
        <f t="shared" si="406"/>
        <v>98.984170212765946</v>
      </c>
      <c r="EB152" s="5">
        <f t="shared" si="407"/>
        <v>0.36660803782505902</v>
      </c>
      <c r="EC152" s="5">
        <f t="shared" si="408"/>
        <v>0.70201539157990045</v>
      </c>
      <c r="ED152" s="5"/>
      <c r="EE152" s="173">
        <f t="shared" si="409"/>
        <v>0.97254755029697759</v>
      </c>
      <c r="EF152" s="173">
        <f t="shared" si="410"/>
        <v>3.8065204166284392</v>
      </c>
      <c r="EG152" s="173">
        <f t="shared" si="411"/>
        <v>7.2529645776298626E-2</v>
      </c>
      <c r="EH152" s="173"/>
      <c r="EI152" s="528">
        <f t="shared" si="412"/>
        <v>1.1539354598581556E-2</v>
      </c>
      <c r="EJ152" s="528">
        <f t="shared" si="413"/>
        <v>0.56399999999999995</v>
      </c>
      <c r="EK152" s="528">
        <f t="shared" si="414"/>
        <v>4.0643850601963211E-2</v>
      </c>
      <c r="EL152" s="528">
        <f t="shared" si="415"/>
        <v>4.403322259136213E-2</v>
      </c>
      <c r="EM152">
        <f t="shared" si="416"/>
        <v>8.0999999999999996E-3</v>
      </c>
      <c r="EN152" s="460">
        <f t="shared" si="417"/>
        <v>48.74385060196321</v>
      </c>
      <c r="EP152" s="460">
        <f t="shared" si="439"/>
        <v>668.31642779190679</v>
      </c>
      <c r="EQ152" s="173">
        <f t="shared" si="418"/>
        <v>1.7639999999999998</v>
      </c>
      <c r="ER152" s="173">
        <f t="shared" si="475"/>
        <v>1.8637500000000001E-2</v>
      </c>
      <c r="ES152" s="528"/>
      <c r="EU152" s="460">
        <f t="shared" si="420"/>
        <v>1782.6374999999998</v>
      </c>
      <c r="EV152" s="528">
        <f t="shared" si="421"/>
        <v>2.8375462127659564E-2</v>
      </c>
      <c r="EW152" s="528">
        <f t="shared" si="422"/>
        <v>0.43468793046627435</v>
      </c>
      <c r="EX152" s="528">
        <f t="shared" si="423"/>
        <v>2.6302747582176766E-5</v>
      </c>
      <c r="EY152" s="528">
        <f t="shared" si="424"/>
        <v>0.81278041177063098</v>
      </c>
      <c r="EZ152" s="528"/>
      <c r="FA152" s="625">
        <f t="shared" si="425"/>
        <v>4.5149999999999996E-2</v>
      </c>
      <c r="FB152" s="460">
        <f t="shared" si="426"/>
        <v>1321.0201071121471</v>
      </c>
      <c r="FC152" s="173">
        <f t="shared" si="427"/>
        <v>3.771974034904054</v>
      </c>
      <c r="FD152" s="5">
        <f t="shared" si="428"/>
        <v>10.836</v>
      </c>
      <c r="FE152" s="173">
        <f t="shared" si="429"/>
        <v>0.74178664160469066</v>
      </c>
      <c r="FF152" s="5">
        <f t="shared" si="430"/>
        <v>74.178664160469069</v>
      </c>
      <c r="FG152">
        <f t="shared" si="431"/>
        <v>42</v>
      </c>
      <c r="FI152" s="562">
        <f t="shared" si="432"/>
        <v>-50</v>
      </c>
      <c r="FJ152">
        <f t="shared" si="433"/>
        <v>-50</v>
      </c>
    </row>
    <row r="153" spans="5:166">
      <c r="E153" s="170">
        <v>43</v>
      </c>
      <c r="F153" s="217">
        <f t="shared" si="476"/>
        <v>2.58</v>
      </c>
      <c r="G153" s="217">
        <f t="shared" si="444"/>
        <v>4.3000000000000003E-2</v>
      </c>
      <c r="H153" s="217">
        <f t="shared" si="445"/>
        <v>10.32</v>
      </c>
      <c r="I153" s="217">
        <f t="shared" si="446"/>
        <v>0.77400000000000002</v>
      </c>
      <c r="J153" s="541">
        <f t="shared" si="447"/>
        <v>17.930719183375665</v>
      </c>
      <c r="K153" s="443">
        <f t="shared" si="448"/>
        <v>19.432960000000001</v>
      </c>
      <c r="L153" s="172">
        <f t="shared" si="449"/>
        <v>37.363679183375666</v>
      </c>
      <c r="M153" s="443"/>
      <c r="N153" s="217">
        <f t="shared" si="450"/>
        <v>0.52010295625936021</v>
      </c>
      <c r="O153" s="172">
        <f t="shared" si="451"/>
        <v>28.917271488775523</v>
      </c>
      <c r="P153" s="172">
        <f t="shared" si="452"/>
        <v>2.3314550137825263</v>
      </c>
      <c r="Q153" s="217">
        <f t="shared" si="322"/>
        <v>7.2293178721938807</v>
      </c>
      <c r="R153" s="217">
        <f t="shared" si="453"/>
        <v>1.6065150827097512</v>
      </c>
      <c r="S153" s="217">
        <f t="shared" si="454"/>
        <v>4</v>
      </c>
      <c r="T153" s="217">
        <f t="shared" si="455"/>
        <v>2.3792009570026447</v>
      </c>
      <c r="U153" s="217">
        <f t="shared" si="326"/>
        <v>1.5922624849594456</v>
      </c>
      <c r="V153" s="217">
        <f t="shared" si="327"/>
        <v>1.4691746128243837</v>
      </c>
      <c r="W153" s="197">
        <f t="shared" si="328"/>
        <v>350</v>
      </c>
      <c r="X153" s="443">
        <f t="shared" si="435"/>
        <v>306.6133026693991</v>
      </c>
      <c r="Z153" s="217">
        <f t="shared" si="329"/>
        <v>2.2204333464595485</v>
      </c>
      <c r="AA153" s="173">
        <f t="shared" si="330"/>
        <v>1.3711344106875423</v>
      </c>
      <c r="AB153" s="173">
        <f t="shared" si="456"/>
        <v>1.9824733000726942</v>
      </c>
      <c r="AC153" s="173"/>
      <c r="AD153" s="173">
        <f t="shared" si="332"/>
        <v>0.82334343301277835</v>
      </c>
      <c r="AE153" s="545">
        <f t="shared" si="457"/>
        <v>1175.0867999999998</v>
      </c>
      <c r="AF153" s="528">
        <f t="shared" si="458"/>
        <v>0.76845387081192662</v>
      </c>
      <c r="AH153" s="173">
        <f t="shared" si="459"/>
        <v>2.2984466804468497</v>
      </c>
      <c r="AI153" s="173">
        <f t="shared" si="460"/>
        <v>2.3792009570026447</v>
      </c>
      <c r="AJ153" s="173">
        <f t="shared" si="461"/>
        <v>1.9747167582735639</v>
      </c>
      <c r="AL153" s="545">
        <f t="shared" si="462"/>
        <v>2580</v>
      </c>
      <c r="AM153" s="460">
        <f t="shared" si="463"/>
        <v>306.6133026693991</v>
      </c>
      <c r="AO153" s="460">
        <f t="shared" si="340"/>
        <v>2580</v>
      </c>
      <c r="AP153" s="460">
        <f t="shared" si="341"/>
        <v>306.6133026693991</v>
      </c>
      <c r="AR153" s="5">
        <f t="shared" si="443"/>
        <v>3.2614370977838298</v>
      </c>
      <c r="AS153" s="5">
        <f t="shared" si="440"/>
        <v>1.5922624849594456</v>
      </c>
      <c r="AT153" s="5">
        <f t="shared" si="441"/>
        <v>1.6691746128243843</v>
      </c>
      <c r="AU153" s="173">
        <f t="shared" si="442"/>
        <v>0.48820885923000001</v>
      </c>
      <c r="AW153" s="5">
        <f t="shared" si="342"/>
        <v>102.70093027988425</v>
      </c>
      <c r="AX153" s="5">
        <f t="shared" si="343"/>
        <v>0.38037381585142316</v>
      </c>
      <c r="AY153" s="5">
        <f t="shared" si="344"/>
        <v>0.80057590124989209</v>
      </c>
      <c r="AZ153" s="5"/>
      <c r="BA153" s="173">
        <f t="shared" si="345"/>
        <v>0.95978360383070382</v>
      </c>
      <c r="BB153" s="173">
        <f t="shared" si="346"/>
        <v>3.9307631118350139</v>
      </c>
      <c r="BC153" s="173">
        <f t="shared" si="347"/>
        <v>7.4896972806586082E-2</v>
      </c>
      <c r="BD153" s="173"/>
      <c r="BE153" s="528">
        <f t="shared" si="348"/>
        <v>1.1238451707423491E-2</v>
      </c>
      <c r="BF153" s="528">
        <f t="shared" si="464"/>
        <v>0.51106133549206223</v>
      </c>
      <c r="BG153" s="528">
        <f t="shared" si="465"/>
        <v>0.13744492570130909</v>
      </c>
      <c r="BH153" s="528">
        <f t="shared" si="351"/>
        <v>4.280458216001904E-2</v>
      </c>
      <c r="BI153">
        <f t="shared" si="352"/>
        <v>8.0688236325190486E-3</v>
      </c>
      <c r="BJ153" s="460">
        <f t="shared" si="436"/>
        <v>145.51374933382812</v>
      </c>
      <c r="BK153">
        <f t="shared" si="466"/>
        <v>0.56965988912901222</v>
      </c>
      <c r="BL153" s="460">
        <f t="shared" si="437"/>
        <v>710.6181186933328</v>
      </c>
      <c r="BM153" s="173">
        <f t="shared" si="467"/>
        <v>1.6028249999999997</v>
      </c>
      <c r="BN153" s="173">
        <f t="shared" si="468"/>
        <v>2.6713750000000001E-2</v>
      </c>
      <c r="BO153" s="528"/>
      <c r="BQ153" s="460">
        <f t="shared" si="356"/>
        <v>1629.5387499999997</v>
      </c>
      <c r="BR153" s="528">
        <f t="shared" si="357"/>
        <v>2.7635536985467602E-2</v>
      </c>
      <c r="BS153" s="528">
        <f t="shared" si="358"/>
        <v>0.46352695924088644</v>
      </c>
      <c r="BT153" s="528">
        <f t="shared" si="359"/>
        <v>2.8047782677952472E-5</v>
      </c>
      <c r="BU153" s="528">
        <f t="shared" si="360"/>
        <v>0.71866302627069778</v>
      </c>
      <c r="BV153" s="528"/>
      <c r="BW153" s="625">
        <f t="shared" si="469"/>
        <v>4.3390360016821401E-2</v>
      </c>
      <c r="BX153" s="460">
        <f t="shared" si="362"/>
        <v>1253.2439302965513</v>
      </c>
      <c r="BY153" s="173">
        <f t="shared" si="363"/>
        <v>3.5934007989898835</v>
      </c>
      <c r="BZ153" s="5">
        <f t="shared" si="364"/>
        <v>11.094000000000001</v>
      </c>
      <c r="CA153" s="173">
        <f t="shared" si="365"/>
        <v>0.75534127187180611</v>
      </c>
      <c r="CB153" s="5">
        <f t="shared" si="366"/>
        <v>75.534127187180616</v>
      </c>
      <c r="CC153">
        <f t="shared" si="367"/>
        <v>43</v>
      </c>
      <c r="CE153" s="562">
        <f t="shared" si="470"/>
        <v>-50</v>
      </c>
      <c r="CF153">
        <f t="shared" si="471"/>
        <v>-50</v>
      </c>
      <c r="CG153" s="173">
        <f t="shared" si="370"/>
        <v>0.48913043478260865</v>
      </c>
      <c r="CH153" s="173">
        <f t="shared" si="472"/>
        <v>0.13097870664369973</v>
      </c>
      <c r="CI153" s="170">
        <v>43</v>
      </c>
      <c r="CJ153" s="217">
        <f t="shared" si="438"/>
        <v>2.58</v>
      </c>
      <c r="CK153" s="217">
        <f t="shared" si="372"/>
        <v>4.3000000000000003E-2</v>
      </c>
      <c r="CL153" s="217">
        <f t="shared" si="373"/>
        <v>10.32</v>
      </c>
      <c r="CM153" s="217">
        <f t="shared" si="374"/>
        <v>0.77400000000000002</v>
      </c>
      <c r="CN153" s="541">
        <f t="shared" si="375"/>
        <v>18</v>
      </c>
      <c r="CO153" s="443">
        <f t="shared" si="473"/>
        <v>18.8</v>
      </c>
      <c r="CP153" s="443">
        <f t="shared" si="474"/>
        <v>36.799999999999997</v>
      </c>
      <c r="CQ153" s="443"/>
      <c r="CR153" s="217">
        <f t="shared" si="378"/>
        <v>0.51086956521739135</v>
      </c>
      <c r="CS153" s="172">
        <f t="shared" si="379"/>
        <v>28.513650151668358</v>
      </c>
      <c r="CT153" s="172">
        <f t="shared" si="380"/>
        <v>2.2989130434782612</v>
      </c>
      <c r="CU153" s="217">
        <f t="shared" si="381"/>
        <v>7.1284125379170895</v>
      </c>
      <c r="CV153" s="217">
        <f t="shared" si="382"/>
        <v>1.5840916750926866</v>
      </c>
      <c r="CW153" s="217">
        <f t="shared" si="383"/>
        <v>4</v>
      </c>
      <c r="CX153" s="217">
        <f t="shared" si="384"/>
        <v>2.4128794326241132</v>
      </c>
      <c r="CY153" s="217">
        <f t="shared" si="385"/>
        <v>1.6085862884160755</v>
      </c>
      <c r="CZ153" s="217">
        <f t="shared" si="386"/>
        <v>1.5401358080579446</v>
      </c>
      <c r="DA153" s="197">
        <f t="shared" si="387"/>
        <v>350</v>
      </c>
      <c r="DB153" s="443">
        <f t="shared" si="388"/>
        <v>317.58915819208465</v>
      </c>
      <c r="DD153" s="217">
        <f t="shared" si="389"/>
        <v>2.18944099378882</v>
      </c>
      <c r="DE153" s="173">
        <f t="shared" si="390"/>
        <v>1.3975155279503106</v>
      </c>
      <c r="DF153" s="173">
        <f t="shared" si="391"/>
        <v>1.9924134422749624</v>
      </c>
      <c r="DG153" s="173"/>
      <c r="DH153" s="173">
        <f t="shared" si="392"/>
        <v>0.85106382978723416</v>
      </c>
      <c r="DI153" s="545">
        <f t="shared" si="393"/>
        <v>1136.8124999999998</v>
      </c>
      <c r="DJ153" s="528">
        <f t="shared" si="394"/>
        <v>0.79432624113475192</v>
      </c>
      <c r="DL153" s="173">
        <f t="shared" si="395"/>
        <v>2.2984466804468497</v>
      </c>
      <c r="DM153" s="173">
        <f t="shared" si="396"/>
        <v>2.4128794326241132</v>
      </c>
      <c r="DN153" s="173">
        <f t="shared" si="397"/>
        <v>1.9996637772524295</v>
      </c>
      <c r="DP153" s="545">
        <f t="shared" si="398"/>
        <v>2580</v>
      </c>
      <c r="DQ153" s="460">
        <f t="shared" si="399"/>
        <v>317.58915819208465</v>
      </c>
      <c r="DS153" s="460">
        <f t="shared" si="400"/>
        <v>2580</v>
      </c>
      <c r="DT153" s="460">
        <f t="shared" si="401"/>
        <v>317.58915819208465</v>
      </c>
      <c r="DV153" s="5">
        <f t="shared" si="402"/>
        <v>3.1487220964740201</v>
      </c>
      <c r="DW153" s="5">
        <f t="shared" si="403"/>
        <v>1.6085862884160755</v>
      </c>
      <c r="DX153" s="5">
        <f t="shared" si="404"/>
        <v>1.5401358080579446</v>
      </c>
      <c r="DY153" s="173">
        <f t="shared" si="405"/>
        <v>0.51086956521739135</v>
      </c>
      <c r="EA153" s="5">
        <f t="shared" si="406"/>
        <v>103.75381560283688</v>
      </c>
      <c r="EB153" s="5">
        <f t="shared" si="407"/>
        <v>0.38427339112161807</v>
      </c>
      <c r="EC153" s="5">
        <f t="shared" si="408"/>
        <v>0.73584266384990682</v>
      </c>
      <c r="ED153" s="5"/>
      <c r="EE153" s="173">
        <f t="shared" si="409"/>
        <v>0.99570344435166769</v>
      </c>
      <c r="EF153" s="173">
        <f t="shared" si="410"/>
        <v>3.8971518551195916</v>
      </c>
      <c r="EG153" s="173">
        <f t="shared" si="411"/>
        <v>7.4256542104305726E-2</v>
      </c>
      <c r="EH153" s="173"/>
      <c r="EI153" s="528">
        <f t="shared" si="412"/>
        <v>1.2095389258944048E-2</v>
      </c>
      <c r="EJ153" s="528">
        <f t="shared" si="413"/>
        <v>0.56399999999999995</v>
      </c>
      <c r="EK153" s="528">
        <f t="shared" si="414"/>
        <v>3.9698644774010583E-2</v>
      </c>
      <c r="EL153" s="528">
        <f t="shared" si="415"/>
        <v>4.3009194159004865E-2</v>
      </c>
      <c r="EM153">
        <f t="shared" si="416"/>
        <v>8.0999999999999996E-3</v>
      </c>
      <c r="EN153" s="460">
        <f t="shared" si="417"/>
        <v>47.798644774010576</v>
      </c>
      <c r="EP153" s="460">
        <f t="shared" si="439"/>
        <v>666.90322819195944</v>
      </c>
      <c r="EQ153" s="173">
        <f t="shared" si="418"/>
        <v>1.8059999999999998</v>
      </c>
      <c r="ER153" s="173">
        <f t="shared" si="475"/>
        <v>1.9081250000000001E-2</v>
      </c>
      <c r="ES153" s="528"/>
      <c r="EU153" s="460">
        <f t="shared" si="420"/>
        <v>1825.0812499999997</v>
      </c>
      <c r="EV153" s="528">
        <f t="shared" si="421"/>
        <v>2.9742760472813237E-2</v>
      </c>
      <c r="EW153" s="528">
        <f t="shared" si="422"/>
        <v>0.45563377745586225</v>
      </c>
      <c r="EX153" s="528">
        <f t="shared" si="423"/>
        <v>2.7570170226442648E-5</v>
      </c>
      <c r="EY153" s="528">
        <f t="shared" si="424"/>
        <v>0.81278041177063232</v>
      </c>
      <c r="EZ153" s="528"/>
      <c r="FA153" s="625">
        <f t="shared" si="425"/>
        <v>4.6225000000000002E-2</v>
      </c>
      <c r="FB153" s="460">
        <f t="shared" si="426"/>
        <v>1344.4095198695341</v>
      </c>
      <c r="FC153" s="173">
        <f t="shared" si="427"/>
        <v>3.8363939980614936</v>
      </c>
      <c r="FD153" s="5">
        <f t="shared" si="428"/>
        <v>11.094000000000001</v>
      </c>
      <c r="FE153" s="173">
        <f t="shared" si="429"/>
        <v>0.74304804022187243</v>
      </c>
      <c r="FF153" s="5">
        <f t="shared" si="430"/>
        <v>74.304804022187241</v>
      </c>
      <c r="FG153">
        <f t="shared" si="431"/>
        <v>43</v>
      </c>
      <c r="FI153" s="562">
        <f t="shared" si="432"/>
        <v>-50</v>
      </c>
      <c r="FJ153">
        <f t="shared" si="433"/>
        <v>-50</v>
      </c>
    </row>
    <row r="154" spans="5:166">
      <c r="E154" s="170">
        <v>44</v>
      </c>
      <c r="F154" s="217">
        <f t="shared" si="476"/>
        <v>2.64</v>
      </c>
      <c r="G154" s="217">
        <f t="shared" si="444"/>
        <v>4.4000000000000004E-2</v>
      </c>
      <c r="H154" s="217">
        <f t="shared" si="445"/>
        <v>10.56</v>
      </c>
      <c r="I154" s="217">
        <f t="shared" si="446"/>
        <v>0.79200000000000004</v>
      </c>
      <c r="J154" s="541">
        <f t="shared" si="447"/>
        <v>17.929108001593704</v>
      </c>
      <c r="K154" s="443">
        <f t="shared" si="448"/>
        <v>19.447680000000002</v>
      </c>
      <c r="L154" s="172">
        <f t="shared" si="449"/>
        <v>37.37678800159371</v>
      </c>
      <c r="M154" s="443"/>
      <c r="N154" s="217">
        <f t="shared" si="450"/>
        <v>0.52031437263070257</v>
      </c>
      <c r="O154" s="172">
        <f t="shared" si="451"/>
        <v>28.926426609852214</v>
      </c>
      <c r="P154" s="172">
        <f t="shared" si="452"/>
        <v>2.3321931454193345</v>
      </c>
      <c r="Q154" s="217">
        <f t="shared" si="322"/>
        <v>7.2316066524630536</v>
      </c>
      <c r="R154" s="217">
        <f t="shared" si="453"/>
        <v>1.6070237005473453</v>
      </c>
      <c r="S154" s="217">
        <f t="shared" si="454"/>
        <v>4</v>
      </c>
      <c r="T154" s="217">
        <f t="shared" si="455"/>
        <v>2.4337606905106655</v>
      </c>
      <c r="U154" s="217">
        <f t="shared" si="326"/>
        <v>1.6289225478217859</v>
      </c>
      <c r="V154" s="217">
        <f t="shared" si="327"/>
        <v>1.5017281385814649</v>
      </c>
      <c r="W154" s="197">
        <f t="shared" si="328"/>
        <v>350</v>
      </c>
      <c r="X154" s="443">
        <f t="shared" si="435"/>
        <v>300.24163268826419</v>
      </c>
      <c r="Z154" s="217">
        <f t="shared" si="329"/>
        <v>2.2211363289707946</v>
      </c>
      <c r="AA154" s="173">
        <f t="shared" si="330"/>
        <v>1.3705303639122781</v>
      </c>
      <c r="AB154" s="173">
        <f t="shared" si="456"/>
        <v>1.9822272994141277</v>
      </c>
      <c r="AC154" s="173"/>
      <c r="AD154" s="173">
        <f t="shared" si="332"/>
        <v>0.82272024220883944</v>
      </c>
      <c r="AE154" s="545">
        <f t="shared" si="457"/>
        <v>1203.3252</v>
      </c>
      <c r="AF154" s="528">
        <f t="shared" si="458"/>
        <v>0.76787222606158345</v>
      </c>
      <c r="AH154" s="173">
        <f t="shared" si="459"/>
        <v>2.3250192011495918</v>
      </c>
      <c r="AI154" s="173">
        <f t="shared" si="460"/>
        <v>2.4337606905106655</v>
      </c>
      <c r="AJ154" s="173">
        <f t="shared" si="461"/>
        <v>2.0151313756869125</v>
      </c>
      <c r="AL154" s="545">
        <f t="shared" si="462"/>
        <v>2640</v>
      </c>
      <c r="AM154" s="460">
        <f t="shared" si="463"/>
        <v>300.24163268826419</v>
      </c>
      <c r="AO154" s="460">
        <f t="shared" si="340"/>
        <v>2640</v>
      </c>
      <c r="AP154" s="460">
        <f t="shared" si="341"/>
        <v>300.24163268826419</v>
      </c>
      <c r="AR154" s="5">
        <f t="shared" si="443"/>
        <v>3.330650686403251</v>
      </c>
      <c r="AS154" s="5">
        <f t="shared" si="440"/>
        <v>1.6289225478217859</v>
      </c>
      <c r="AT154" s="5">
        <f t="shared" si="441"/>
        <v>1.7017281385814651</v>
      </c>
      <c r="AU154" s="173">
        <f t="shared" si="442"/>
        <v>0.48907036528074016</v>
      </c>
      <c r="AW154" s="5">
        <f t="shared" si="342"/>
        <v>107.50888815623787</v>
      </c>
      <c r="AX154" s="5">
        <f t="shared" si="343"/>
        <v>0.39818106724532554</v>
      </c>
      <c r="AY154" s="5">
        <f t="shared" si="344"/>
        <v>0.83524554697231768</v>
      </c>
      <c r="AZ154" s="5"/>
      <c r="BA154" s="173">
        <f t="shared" si="345"/>
        <v>0.98265918714757305</v>
      </c>
      <c r="BB154" s="173">
        <f t="shared" si="346"/>
        <v>4.0175175515357662</v>
      </c>
      <c r="BC154" s="173">
        <f t="shared" si="347"/>
        <v>7.6549996590073402E-2</v>
      </c>
      <c r="BD154" s="173"/>
      <c r="BE154" s="528">
        <f t="shared" si="348"/>
        <v>1.1780552752643454E-2</v>
      </c>
      <c r="BF154" s="528">
        <f t="shared" si="464"/>
        <v>0.51209676768556167</v>
      </c>
      <c r="BG154" s="528">
        <f t="shared" si="465"/>
        <v>0.13457661647606789</v>
      </c>
      <c r="BH154" s="528">
        <f t="shared" si="351"/>
        <v>4.1944485112748855E-2</v>
      </c>
      <c r="BI154">
        <f t="shared" si="352"/>
        <v>8.0680986007171662E-3</v>
      </c>
      <c r="BJ154" s="460">
        <f t="shared" si="436"/>
        <v>142.64471507678505</v>
      </c>
      <c r="BK154">
        <f t="shared" si="466"/>
        <v>0.57059969720261638</v>
      </c>
      <c r="BL154" s="460">
        <f t="shared" si="437"/>
        <v>708.46652062773899</v>
      </c>
      <c r="BM154" s="173">
        <f t="shared" si="467"/>
        <v>1.6400999999999999</v>
      </c>
      <c r="BN154" s="173">
        <f t="shared" si="468"/>
        <v>2.7334999999999998E-2</v>
      </c>
      <c r="BO154" s="528"/>
      <c r="BQ154" s="460">
        <f t="shared" si="356"/>
        <v>1667.4349999999997</v>
      </c>
      <c r="BR154" s="528">
        <f t="shared" si="357"/>
        <v>2.8968572342565869E-2</v>
      </c>
      <c r="BS154" s="528">
        <f t="shared" si="358"/>
        <v>0.48421341830693809</v>
      </c>
      <c r="BT154" s="528">
        <f t="shared" si="359"/>
        <v>2.9299509889701247E-5</v>
      </c>
      <c r="BU154" s="528">
        <f t="shared" si="360"/>
        <v>0.7216755095496965</v>
      </c>
      <c r="BV154" s="528"/>
      <c r="BW154" s="625">
        <f t="shared" si="469"/>
        <v>4.4459714154769021E-2</v>
      </c>
      <c r="BX154" s="460">
        <f t="shared" si="362"/>
        <v>1279.3465138638594</v>
      </c>
      <c r="BY154" s="173">
        <f t="shared" si="363"/>
        <v>3.6552480344915979</v>
      </c>
      <c r="BZ154" s="5">
        <f t="shared" si="364"/>
        <v>11.352</v>
      </c>
      <c r="CA154" s="173">
        <f t="shared" si="365"/>
        <v>0.75643448911548383</v>
      </c>
      <c r="CB154" s="5">
        <f t="shared" si="366"/>
        <v>75.64344891154839</v>
      </c>
      <c r="CC154">
        <f t="shared" si="367"/>
        <v>44</v>
      </c>
      <c r="CE154" s="562">
        <f t="shared" si="470"/>
        <v>-50</v>
      </c>
      <c r="CF154">
        <f t="shared" si="471"/>
        <v>-50</v>
      </c>
      <c r="CG154" s="173">
        <f t="shared" si="370"/>
        <v>0.48913043478260865</v>
      </c>
      <c r="CH154" s="173">
        <f t="shared" si="472"/>
        <v>0.13097870664369976</v>
      </c>
      <c r="CI154" s="170">
        <v>44</v>
      </c>
      <c r="CJ154" s="217">
        <f t="shared" si="438"/>
        <v>2.64</v>
      </c>
      <c r="CK154" s="217">
        <f t="shared" si="372"/>
        <v>4.4000000000000004E-2</v>
      </c>
      <c r="CL154" s="217">
        <f t="shared" si="373"/>
        <v>10.56</v>
      </c>
      <c r="CM154" s="217">
        <f t="shared" si="374"/>
        <v>0.79200000000000004</v>
      </c>
      <c r="CN154" s="541">
        <f t="shared" si="375"/>
        <v>18</v>
      </c>
      <c r="CO154" s="443">
        <f t="shared" si="473"/>
        <v>18.8</v>
      </c>
      <c r="CP154" s="443">
        <f t="shared" si="474"/>
        <v>36.799999999999997</v>
      </c>
      <c r="CQ154" s="443"/>
      <c r="CR154" s="217">
        <f t="shared" si="378"/>
        <v>0.51086956521739135</v>
      </c>
      <c r="CS154" s="172">
        <f t="shared" si="379"/>
        <v>28.513650151668358</v>
      </c>
      <c r="CT154" s="172">
        <f t="shared" si="380"/>
        <v>2.2989130434782612</v>
      </c>
      <c r="CU154" s="217">
        <f t="shared" si="381"/>
        <v>7.1284125379170895</v>
      </c>
      <c r="CV154" s="217">
        <f t="shared" si="382"/>
        <v>1.5840916750926866</v>
      </c>
      <c r="CW154" s="217">
        <f t="shared" si="383"/>
        <v>4</v>
      </c>
      <c r="CX154" s="217">
        <f t="shared" si="384"/>
        <v>2.4689929078014181</v>
      </c>
      <c r="CY154" s="217">
        <f t="shared" si="385"/>
        <v>1.6459952718676121</v>
      </c>
      <c r="CZ154" s="217">
        <f t="shared" si="386"/>
        <v>1.5759529198732456</v>
      </c>
      <c r="DA154" s="197">
        <f t="shared" si="387"/>
        <v>350</v>
      </c>
      <c r="DB154" s="443">
        <f t="shared" si="388"/>
        <v>310.37122277862824</v>
      </c>
      <c r="DD154" s="217">
        <f t="shared" si="389"/>
        <v>2.18944099378882</v>
      </c>
      <c r="DE154" s="173">
        <f t="shared" si="390"/>
        <v>1.3975155279503106</v>
      </c>
      <c r="DF154" s="173">
        <f t="shared" si="391"/>
        <v>1.9924134422749624</v>
      </c>
      <c r="DG154" s="173"/>
      <c r="DH154" s="173">
        <f t="shared" si="392"/>
        <v>0.85106382978723416</v>
      </c>
      <c r="DI154" s="545">
        <f t="shared" si="393"/>
        <v>1163.2499999999998</v>
      </c>
      <c r="DJ154" s="528">
        <f t="shared" si="394"/>
        <v>0.79432624113475192</v>
      </c>
      <c r="DL154" s="173">
        <f t="shared" si="395"/>
        <v>2.3250192011495918</v>
      </c>
      <c r="DM154" s="173">
        <f t="shared" si="396"/>
        <v>2.4689929078014181</v>
      </c>
      <c r="DN154" s="173">
        <f t="shared" si="397"/>
        <v>2.0412293144208036</v>
      </c>
      <c r="DP154" s="545">
        <f t="shared" si="398"/>
        <v>2640</v>
      </c>
      <c r="DQ154" s="460">
        <f t="shared" si="399"/>
        <v>310.37122277862824</v>
      </c>
      <c r="DS154" s="460">
        <f t="shared" si="400"/>
        <v>2640</v>
      </c>
      <c r="DT154" s="460">
        <f t="shared" si="401"/>
        <v>310.37122277862824</v>
      </c>
      <c r="DV154" s="5">
        <f t="shared" si="402"/>
        <v>3.2219481917408572</v>
      </c>
      <c r="DW154" s="5">
        <f t="shared" si="403"/>
        <v>1.6459952718676121</v>
      </c>
      <c r="DX154" s="5">
        <f t="shared" si="404"/>
        <v>1.5759529198732452</v>
      </c>
      <c r="DY154" s="173">
        <f t="shared" si="405"/>
        <v>0.51086956521739135</v>
      </c>
      <c r="EA154" s="5">
        <f t="shared" si="406"/>
        <v>108.6356879432624</v>
      </c>
      <c r="EB154" s="5">
        <f t="shared" si="407"/>
        <v>0.40235439978986076</v>
      </c>
      <c r="EC154" s="5">
        <f t="shared" si="408"/>
        <v>0.77046587193803084</v>
      </c>
      <c r="ED154" s="5"/>
      <c r="EE154" s="173">
        <f t="shared" si="409"/>
        <v>1.0188593384063576</v>
      </c>
      <c r="EF154" s="173">
        <f t="shared" si="410"/>
        <v>3.9877832936107449</v>
      </c>
      <c r="EG154" s="173">
        <f t="shared" si="411"/>
        <v>7.5983438432312853E-2</v>
      </c>
      <c r="EH154" s="173"/>
      <c r="EI154" s="528">
        <f t="shared" si="412"/>
        <v>1.2664507087785654E-2</v>
      </c>
      <c r="EJ154" s="528">
        <f t="shared" si="413"/>
        <v>0.56400000000000006</v>
      </c>
      <c r="EK154" s="528">
        <f t="shared" si="414"/>
        <v>3.8796402847328527E-2</v>
      </c>
      <c r="EL154" s="528">
        <f t="shared" si="415"/>
        <v>4.2031712473572944E-2</v>
      </c>
      <c r="EM154">
        <f t="shared" si="416"/>
        <v>8.0999999999999996E-3</v>
      </c>
      <c r="EN154" s="460">
        <f t="shared" si="417"/>
        <v>46.896402847328531</v>
      </c>
      <c r="EP154" s="460">
        <f t="shared" si="439"/>
        <v>665.59262240868725</v>
      </c>
      <c r="EQ154" s="173">
        <f t="shared" si="418"/>
        <v>1.8479999999999999</v>
      </c>
      <c r="ER154" s="173">
        <f t="shared" si="475"/>
        <v>1.9525000000000001E-2</v>
      </c>
      <c r="ES154" s="528"/>
      <c r="EU154" s="460">
        <f t="shared" si="420"/>
        <v>1867.5249999999999</v>
      </c>
      <c r="EV154" s="528">
        <f t="shared" si="421"/>
        <v>3.1142230543735216E-2</v>
      </c>
      <c r="EW154" s="528">
        <f t="shared" si="422"/>
        <v>0.4770724679040288</v>
      </c>
      <c r="EX154" s="528">
        <f t="shared" si="423"/>
        <v>2.8867414579985389E-5</v>
      </c>
      <c r="EY154" s="528">
        <f t="shared" si="424"/>
        <v>0.81278041177063254</v>
      </c>
      <c r="EZ154" s="528"/>
      <c r="FA154" s="625">
        <f t="shared" si="425"/>
        <v>4.7300000000000002E-2</v>
      </c>
      <c r="FB154" s="460">
        <f t="shared" si="426"/>
        <v>1368.3239776329765</v>
      </c>
      <c r="FC154" s="173">
        <f t="shared" si="427"/>
        <v>3.9014416000416636</v>
      </c>
      <c r="FD154" s="5">
        <f t="shared" si="428"/>
        <v>11.352</v>
      </c>
      <c r="FE154" s="173">
        <f t="shared" si="429"/>
        <v>0.74422548678909239</v>
      </c>
      <c r="FF154" s="5">
        <f t="shared" si="430"/>
        <v>74.422548678909237</v>
      </c>
      <c r="FG154">
        <f t="shared" si="431"/>
        <v>44</v>
      </c>
      <c r="FI154" s="562">
        <f t="shared" si="432"/>
        <v>-50</v>
      </c>
      <c r="FJ154">
        <f t="shared" si="433"/>
        <v>-50</v>
      </c>
    </row>
    <row r="155" spans="5:166">
      <c r="E155" s="170">
        <v>45</v>
      </c>
      <c r="F155" s="217">
        <f t="shared" si="476"/>
        <v>2.7</v>
      </c>
      <c r="G155" s="217">
        <f t="shared" si="444"/>
        <v>4.5000000000000005E-2</v>
      </c>
      <c r="H155" s="217">
        <f t="shared" si="445"/>
        <v>10.8</v>
      </c>
      <c r="I155" s="217">
        <f t="shared" si="446"/>
        <v>0.81</v>
      </c>
      <c r="J155" s="541">
        <f t="shared" si="447"/>
        <v>17.927496819811743</v>
      </c>
      <c r="K155" s="443">
        <f t="shared" si="448"/>
        <v>19.462400000000002</v>
      </c>
      <c r="L155" s="172">
        <f t="shared" si="449"/>
        <v>37.389896819811746</v>
      </c>
      <c r="M155" s="443"/>
      <c r="N155" s="217">
        <f t="shared" si="450"/>
        <v>0.52052564075778573</v>
      </c>
      <c r="O155" s="172">
        <f t="shared" si="451"/>
        <v>28.935571377723022</v>
      </c>
      <c r="P155" s="172">
        <f t="shared" si="452"/>
        <v>2.3329304423289186</v>
      </c>
      <c r="Q155" s="217">
        <f t="shared" si="322"/>
        <v>7.2338928444307555</v>
      </c>
      <c r="R155" s="217">
        <f t="shared" si="453"/>
        <v>1.6075317432068346</v>
      </c>
      <c r="S155" s="217">
        <f t="shared" si="454"/>
        <v>4</v>
      </c>
      <c r="T155" s="217">
        <f t="shared" si="455"/>
        <v>2.488286789298777</v>
      </c>
      <c r="U155" s="217">
        <f t="shared" si="326"/>
        <v>1.665566686286484</v>
      </c>
      <c r="V155" s="217">
        <f t="shared" si="327"/>
        <v>1.5342116836353852</v>
      </c>
      <c r="W155" s="197">
        <f t="shared" si="328"/>
        <v>350</v>
      </c>
      <c r="X155" s="443">
        <f t="shared" si="435"/>
        <v>294.13682046073524</v>
      </c>
      <c r="Z155" s="217">
        <f t="shared" si="329"/>
        <v>2.2218385165037313</v>
      </c>
      <c r="AA155" s="173">
        <f t="shared" si="330"/>
        <v>1.3699267406920408</v>
      </c>
      <c r="AB155" s="173">
        <f t="shared" si="456"/>
        <v>1.9819806493772996</v>
      </c>
      <c r="AC155" s="173"/>
      <c r="AD155" s="173">
        <f t="shared" si="332"/>
        <v>0.82209799408089446</v>
      </c>
      <c r="AE155" s="545">
        <f t="shared" si="457"/>
        <v>1231.605</v>
      </c>
      <c r="AF155" s="528">
        <f t="shared" si="458"/>
        <v>0.76729146114216829</v>
      </c>
      <c r="AH155" s="173">
        <f t="shared" si="459"/>
        <v>2.3512914384591777</v>
      </c>
      <c r="AI155" s="173">
        <f t="shared" si="460"/>
        <v>2.488286789298777</v>
      </c>
      <c r="AJ155" s="173">
        <f t="shared" si="461"/>
        <v>2.0555210784929212</v>
      </c>
      <c r="AL155" s="545">
        <f t="shared" si="462"/>
        <v>2700</v>
      </c>
      <c r="AM155" s="460">
        <f t="shared" si="463"/>
        <v>294.13682046073524</v>
      </c>
      <c r="AO155" s="460">
        <f t="shared" si="340"/>
        <v>2700</v>
      </c>
      <c r="AP155" s="460">
        <f t="shared" si="341"/>
        <v>294.13682046073524</v>
      </c>
      <c r="AR155" s="5">
        <f t="shared" si="443"/>
        <v>3.3997783699218691</v>
      </c>
      <c r="AS155" s="5">
        <f t="shared" si="440"/>
        <v>1.665566686286484</v>
      </c>
      <c r="AT155" s="5">
        <f t="shared" si="441"/>
        <v>1.7342116836353851</v>
      </c>
      <c r="AU155" s="173">
        <f t="shared" si="442"/>
        <v>0.48990448936962933</v>
      </c>
      <c r="AW155" s="5">
        <f t="shared" si="342"/>
        <v>112.42575132433767</v>
      </c>
      <c r="AX155" s="5">
        <f t="shared" si="343"/>
        <v>0.41639167157162105</v>
      </c>
      <c r="AY155" s="5">
        <f t="shared" si="344"/>
        <v>0.8706126298385457</v>
      </c>
      <c r="AZ155" s="5"/>
      <c r="BA155" s="173">
        <f t="shared" si="345"/>
        <v>1.0055311201181691</v>
      </c>
      <c r="BB155" s="173">
        <f t="shared" si="346"/>
        <v>4.1041719556051843</v>
      </c>
      <c r="BC155" s="173">
        <f t="shared" si="347"/>
        <v>7.8201114289233931E-2</v>
      </c>
      <c r="BD155" s="173"/>
      <c r="BE155" s="528">
        <f t="shared" si="348"/>
        <v>1.2335332569018417E-2</v>
      </c>
      <c r="BF155" s="528">
        <f t="shared" si="464"/>
        <v>0.51310395958318011</v>
      </c>
      <c r="BG155" s="528">
        <f t="shared" si="465"/>
        <v>0.13182842283498422</v>
      </c>
      <c r="BH155" s="528">
        <f t="shared" si="351"/>
        <v>4.1120456455762913E-2</v>
      </c>
      <c r="BI155">
        <f t="shared" si="352"/>
        <v>8.0673735689152839E-3</v>
      </c>
      <c r="BJ155" s="460">
        <f t="shared" si="436"/>
        <v>139.89579640389951</v>
      </c>
      <c r="BK155">
        <f t="shared" si="466"/>
        <v>0.57156547537475144</v>
      </c>
      <c r="BL155" s="460">
        <f t="shared" si="437"/>
        <v>706.45554501186086</v>
      </c>
      <c r="BM155" s="173">
        <f t="shared" si="467"/>
        <v>1.6773749999999998</v>
      </c>
      <c r="BN155" s="173">
        <f t="shared" si="468"/>
        <v>2.7956249999999998E-2</v>
      </c>
      <c r="BO155" s="528"/>
      <c r="BQ155" s="460">
        <f t="shared" si="356"/>
        <v>1705.3312499999997</v>
      </c>
      <c r="BR155" s="528">
        <f t="shared" si="357"/>
        <v>3.0332785005782993E-2</v>
      </c>
      <c r="BS155" s="528">
        <f t="shared" si="358"/>
        <v>0.50532682323528255</v>
      </c>
      <c r="BT155" s="528">
        <f t="shared" si="359"/>
        <v>3.0577071380389137E-5</v>
      </c>
      <c r="BU155" s="528">
        <f t="shared" si="360"/>
        <v>0.72459373159885976</v>
      </c>
      <c r="BV155" s="528"/>
      <c r="BW155" s="625">
        <f t="shared" si="469"/>
        <v>4.5529226262042387E-2</v>
      </c>
      <c r="BX155" s="460">
        <f t="shared" si="362"/>
        <v>1305.8131431733482</v>
      </c>
      <c r="BY155" s="173">
        <f t="shared" si="363"/>
        <v>3.717599938185209</v>
      </c>
      <c r="BZ155" s="5">
        <f t="shared" si="364"/>
        <v>11.610000000000001</v>
      </c>
      <c r="CA155" s="173">
        <f t="shared" si="365"/>
        <v>0.75745713920131363</v>
      </c>
      <c r="CB155" s="5">
        <f t="shared" si="366"/>
        <v>75.745713920131365</v>
      </c>
      <c r="CC155">
        <f t="shared" si="367"/>
        <v>45</v>
      </c>
      <c r="CE155" s="562">
        <f t="shared" si="470"/>
        <v>-50</v>
      </c>
      <c r="CF155">
        <f t="shared" si="471"/>
        <v>-50</v>
      </c>
      <c r="CG155" s="173">
        <f t="shared" si="370"/>
        <v>0.48913043478260876</v>
      </c>
      <c r="CH155" s="173">
        <f t="shared" si="472"/>
        <v>0.13097870664369973</v>
      </c>
      <c r="CI155" s="170">
        <v>45</v>
      </c>
      <c r="CJ155" s="217">
        <f t="shared" si="438"/>
        <v>2.7</v>
      </c>
      <c r="CK155" s="217">
        <f t="shared" si="372"/>
        <v>4.5000000000000005E-2</v>
      </c>
      <c r="CL155" s="217">
        <f t="shared" si="373"/>
        <v>10.8</v>
      </c>
      <c r="CM155" s="217">
        <f t="shared" si="374"/>
        <v>0.81</v>
      </c>
      <c r="CN155" s="541">
        <f t="shared" si="375"/>
        <v>18</v>
      </c>
      <c r="CO155" s="443">
        <f t="shared" si="473"/>
        <v>18.8</v>
      </c>
      <c r="CP155" s="443">
        <f t="shared" si="474"/>
        <v>36.799999999999997</v>
      </c>
      <c r="CQ155" s="443"/>
      <c r="CR155" s="217">
        <f t="shared" si="378"/>
        <v>0.51086956521739135</v>
      </c>
      <c r="CS155" s="172">
        <f t="shared" si="379"/>
        <v>28.513650151668358</v>
      </c>
      <c r="CT155" s="172">
        <f t="shared" si="380"/>
        <v>2.2989130434782612</v>
      </c>
      <c r="CU155" s="217">
        <f t="shared" si="381"/>
        <v>7.1284125379170895</v>
      </c>
      <c r="CV155" s="217">
        <f t="shared" si="382"/>
        <v>1.5840916750926866</v>
      </c>
      <c r="CW155" s="217">
        <f t="shared" si="383"/>
        <v>4</v>
      </c>
      <c r="CX155" s="217">
        <f t="shared" si="384"/>
        <v>2.5251063829787235</v>
      </c>
      <c r="CY155" s="217">
        <f t="shared" si="385"/>
        <v>1.6834042553191491</v>
      </c>
      <c r="CZ155" s="217">
        <f t="shared" si="386"/>
        <v>1.611770031688547</v>
      </c>
      <c r="DA155" s="197">
        <f t="shared" si="387"/>
        <v>350</v>
      </c>
      <c r="DB155" s="443">
        <f t="shared" si="388"/>
        <v>303.4740844946586</v>
      </c>
      <c r="DD155" s="217">
        <f t="shared" si="389"/>
        <v>2.18944099378882</v>
      </c>
      <c r="DE155" s="173">
        <f t="shared" si="390"/>
        <v>1.3975155279503106</v>
      </c>
      <c r="DF155" s="173">
        <f t="shared" si="391"/>
        <v>1.9924134422749624</v>
      </c>
      <c r="DG155" s="173"/>
      <c r="DH155" s="173">
        <f t="shared" si="392"/>
        <v>0.85106382978723416</v>
      </c>
      <c r="DI155" s="545">
        <f t="shared" si="393"/>
        <v>1189.6874999999998</v>
      </c>
      <c r="DJ155" s="528">
        <f t="shared" si="394"/>
        <v>0.79432624113475192</v>
      </c>
      <c r="DL155" s="173">
        <f t="shared" si="395"/>
        <v>2.3512914384591777</v>
      </c>
      <c r="DM155" s="173">
        <f t="shared" si="396"/>
        <v>2.5251063829787235</v>
      </c>
      <c r="DN155" s="173">
        <f t="shared" si="397"/>
        <v>2.0827948515891777</v>
      </c>
      <c r="DP155" s="545">
        <f t="shared" si="398"/>
        <v>2700</v>
      </c>
      <c r="DQ155" s="460">
        <f t="shared" si="399"/>
        <v>303.4740844946586</v>
      </c>
      <c r="DS155" s="460">
        <f t="shared" si="400"/>
        <v>2700</v>
      </c>
      <c r="DT155" s="460">
        <f t="shared" si="401"/>
        <v>303.4740844946586</v>
      </c>
      <c r="DV155" s="5">
        <f t="shared" si="402"/>
        <v>3.2951742870076965</v>
      </c>
      <c r="DW155" s="5">
        <f t="shared" si="403"/>
        <v>1.6834042553191491</v>
      </c>
      <c r="DX155" s="5">
        <f t="shared" si="404"/>
        <v>1.6117700316885475</v>
      </c>
      <c r="DY155" s="173">
        <f t="shared" si="405"/>
        <v>0.51086956521739124</v>
      </c>
      <c r="EA155" s="5">
        <f t="shared" si="406"/>
        <v>113.62978723404257</v>
      </c>
      <c r="EB155" s="5">
        <f t="shared" si="407"/>
        <v>0.42085106382978732</v>
      </c>
      <c r="EC155" s="5">
        <f t="shared" si="408"/>
        <v>0.80588501584427374</v>
      </c>
      <c r="ED155" s="5"/>
      <c r="EE155" s="173">
        <f t="shared" si="409"/>
        <v>1.0420152324610477</v>
      </c>
      <c r="EF155" s="173">
        <f t="shared" si="410"/>
        <v>4.0784147321018995</v>
      </c>
      <c r="EG155" s="173">
        <f t="shared" si="411"/>
        <v>7.771033476031998E-2</v>
      </c>
      <c r="EH155" s="173"/>
      <c r="EI155" s="528">
        <f t="shared" si="412"/>
        <v>1.3246708085106385E-2</v>
      </c>
      <c r="EJ155" s="528">
        <f t="shared" si="413"/>
        <v>0.56399999999999983</v>
      </c>
      <c r="EK155" s="528">
        <f t="shared" si="414"/>
        <v>3.7934260561832321E-2</v>
      </c>
      <c r="EL155" s="528">
        <f t="shared" si="415"/>
        <v>4.1097674418604638E-2</v>
      </c>
      <c r="EM155">
        <f t="shared" si="416"/>
        <v>8.0999999999999996E-3</v>
      </c>
      <c r="EN155" s="460">
        <f t="shared" si="417"/>
        <v>46.034260561832326</v>
      </c>
      <c r="EP155" s="460">
        <f t="shared" si="439"/>
        <v>664.37864306554332</v>
      </c>
      <c r="EQ155" s="173">
        <f t="shared" si="418"/>
        <v>1.89</v>
      </c>
      <c r="ER155" s="173">
        <f t="shared" si="475"/>
        <v>1.996875E-2</v>
      </c>
      <c r="ES155" s="528"/>
      <c r="EU155" s="460">
        <f t="shared" si="420"/>
        <v>1909.96875</v>
      </c>
      <c r="EV155" s="528">
        <f t="shared" si="421"/>
        <v>3.2573872340425539E-2</v>
      </c>
      <c r="EW155" s="528">
        <f t="shared" si="422"/>
        <v>0.49900400181077426</v>
      </c>
      <c r="EX155" s="528">
        <f t="shared" si="423"/>
        <v>3.0194480642804978E-5</v>
      </c>
      <c r="EY155" s="528">
        <f t="shared" si="424"/>
        <v>0.81278041177063243</v>
      </c>
      <c r="EZ155" s="528"/>
      <c r="FA155" s="625">
        <f t="shared" si="425"/>
        <v>4.8375000000000001E-2</v>
      </c>
      <c r="FB155" s="460">
        <f t="shared" si="426"/>
        <v>1392.7634804024751</v>
      </c>
      <c r="FC155" s="173">
        <f t="shared" si="427"/>
        <v>3.9671108734680183</v>
      </c>
      <c r="FD155" s="5">
        <f t="shared" si="428"/>
        <v>11.610000000000001</v>
      </c>
      <c r="FE155" s="173">
        <f t="shared" si="429"/>
        <v>0.7453243476474789</v>
      </c>
      <c r="FF155" s="5">
        <f t="shared" si="430"/>
        <v>74.53243476474789</v>
      </c>
      <c r="FG155">
        <f t="shared" si="431"/>
        <v>45</v>
      </c>
      <c r="FI155" s="562">
        <f t="shared" si="432"/>
        <v>-50</v>
      </c>
      <c r="FJ155">
        <f t="shared" si="433"/>
        <v>-50</v>
      </c>
    </row>
    <row r="156" spans="5:166" s="76" customFormat="1">
      <c r="E156" s="189">
        <v>46</v>
      </c>
      <c r="F156" s="329">
        <f t="shared" si="476"/>
        <v>2.7600000000000002</v>
      </c>
      <c r="G156" s="217">
        <f t="shared" si="444"/>
        <v>4.6000000000000006E-2</v>
      </c>
      <c r="H156" s="329">
        <f t="shared" si="445"/>
        <v>11.040000000000001</v>
      </c>
      <c r="I156" s="217">
        <f t="shared" si="446"/>
        <v>0.82800000000000007</v>
      </c>
      <c r="J156" s="541">
        <f t="shared" si="447"/>
        <v>17.925885638029779</v>
      </c>
      <c r="K156" s="443">
        <f t="shared" si="448"/>
        <v>19.477119999999999</v>
      </c>
      <c r="L156" s="172">
        <f t="shared" si="449"/>
        <v>37.403005638029782</v>
      </c>
      <c r="M156" s="443"/>
      <c r="N156" s="217">
        <f t="shared" si="450"/>
        <v>0.52073676079647713</v>
      </c>
      <c r="O156" s="172">
        <f t="shared" si="451"/>
        <v>28.944705803273543</v>
      </c>
      <c r="P156" s="172">
        <f t="shared" si="452"/>
        <v>2.3336669053889296</v>
      </c>
      <c r="Q156" s="329">
        <f t="shared" si="322"/>
        <v>7.2361764508183857</v>
      </c>
      <c r="R156" s="217">
        <f t="shared" si="453"/>
        <v>1.6080392112929747</v>
      </c>
      <c r="S156" s="329">
        <f t="shared" si="454"/>
        <v>4</v>
      </c>
      <c r="T156" s="217">
        <f t="shared" si="455"/>
        <v>2.5427793428004404</v>
      </c>
      <c r="U156" s="329">
        <f t="shared" si="326"/>
        <v>1.7021949559284919</v>
      </c>
      <c r="V156" s="329">
        <f t="shared" si="327"/>
        <v>1.566625461752317</v>
      </c>
      <c r="W156" s="537">
        <f t="shared" si="328"/>
        <v>350</v>
      </c>
      <c r="X156" s="443">
        <f t="shared" si="435"/>
        <v>288.28243598398274</v>
      </c>
      <c r="Z156" s="329">
        <f t="shared" si="329"/>
        <v>2.2225399098942185</v>
      </c>
      <c r="AA156" s="538">
        <f t="shared" si="330"/>
        <v>1.3693235405814936</v>
      </c>
      <c r="AB156" s="173">
        <f t="shared" si="456"/>
        <v>1.9817333515814117</v>
      </c>
      <c r="AC156" s="538"/>
      <c r="AD156" s="538">
        <f t="shared" si="332"/>
        <v>0.82147668649163752</v>
      </c>
      <c r="AE156" s="545">
        <f t="shared" si="457"/>
        <v>1259.9261999999997</v>
      </c>
      <c r="AF156" s="528">
        <f t="shared" si="458"/>
        <v>0.76671157405886181</v>
      </c>
      <c r="AH156" s="173">
        <f t="shared" si="459"/>
        <v>2.3772733480667658</v>
      </c>
      <c r="AI156" s="538">
        <f t="shared" si="460"/>
        <v>2.5427793428004404</v>
      </c>
      <c r="AJ156" s="538">
        <f t="shared" si="461"/>
        <v>2.0958859329385975</v>
      </c>
      <c r="AL156" s="563">
        <f t="shared" si="462"/>
        <v>2760.0000000000005</v>
      </c>
      <c r="AM156" s="564">
        <f t="shared" si="463"/>
        <v>288.28243598398274</v>
      </c>
      <c r="AO156" s="76">
        <f t="shared" si="340"/>
        <v>2760.0000000000005</v>
      </c>
      <c r="AP156" s="76">
        <f t="shared" si="341"/>
        <v>288.28243598398274</v>
      </c>
      <c r="AR156" s="534">
        <f t="shared" si="443"/>
        <v>3.4688204176808086</v>
      </c>
      <c r="AS156" s="5">
        <f t="shared" si="440"/>
        <v>1.7021949559284919</v>
      </c>
      <c r="AT156" s="5">
        <f t="shared" si="441"/>
        <v>1.7666254617523167</v>
      </c>
      <c r="AU156" s="173">
        <f t="shared" si="442"/>
        <v>0.49071290841471382</v>
      </c>
      <c r="AW156" s="5">
        <f t="shared" si="342"/>
        <v>117.45145195906595</v>
      </c>
      <c r="AX156" s="5">
        <f t="shared" si="343"/>
        <v>0.43500537762617014</v>
      </c>
      <c r="AY156" s="5">
        <f t="shared" si="344"/>
        <v>0.90667510528130657</v>
      </c>
      <c r="AZ156" s="5"/>
      <c r="BA156" s="173">
        <f t="shared" si="345"/>
        <v>1.0283993381719796</v>
      </c>
      <c r="BB156" s="173">
        <f t="shared" si="346"/>
        <v>4.1907270267675143</v>
      </c>
      <c r="BC156" s="173">
        <f t="shared" si="347"/>
        <v>7.9850339293813452E-2</v>
      </c>
      <c r="BD156" s="173"/>
      <c r="BE156" s="528">
        <f t="shared" si="348"/>
        <v>1.29027834247813E-2</v>
      </c>
      <c r="BF156" s="528">
        <f t="shared" si="464"/>
        <v>0.51408464537177823</v>
      </c>
      <c r="BG156" s="528">
        <f t="shared" si="465"/>
        <v>0.12919294947253787</v>
      </c>
      <c r="BH156" s="528">
        <f t="shared" si="351"/>
        <v>4.0330275491569673E-2</v>
      </c>
      <c r="BI156">
        <f t="shared" si="352"/>
        <v>8.0666485371133998E-3</v>
      </c>
      <c r="BJ156" s="460">
        <f t="shared" si="436"/>
        <v>137.25959800965126</v>
      </c>
      <c r="BK156">
        <f t="shared" si="466"/>
        <v>0.57255674379047405</v>
      </c>
      <c r="BL156" s="460">
        <f t="shared" si="437"/>
        <v>704.57730229778053</v>
      </c>
      <c r="BM156" s="173">
        <f t="shared" si="467"/>
        <v>1.7146499999999998</v>
      </c>
      <c r="BN156" s="173">
        <f t="shared" si="468"/>
        <v>2.8577499999999999E-2</v>
      </c>
      <c r="BO156" s="528"/>
      <c r="BP156"/>
      <c r="BQ156" s="460">
        <f t="shared" si="356"/>
        <v>1743.2274999999997</v>
      </c>
      <c r="BR156" s="528">
        <f t="shared" si="357"/>
        <v>3.172815596257697E-2</v>
      </c>
      <c r="BS156" s="528">
        <f t="shared" si="358"/>
        <v>0.5268657903863907</v>
      </c>
      <c r="BT156" s="528">
        <f t="shared" si="359"/>
        <v>3.1880383426685645E-5</v>
      </c>
      <c r="BU156" s="528">
        <f t="shared" si="360"/>
        <v>0.72742320132777216</v>
      </c>
      <c r="BV156" s="528"/>
      <c r="BW156" s="625">
        <f t="shared" si="469"/>
        <v>4.659888670811841E-2</v>
      </c>
      <c r="BX156" s="460">
        <f t="shared" si="362"/>
        <v>1332.6479147682849</v>
      </c>
      <c r="BY156" s="173">
        <f t="shared" si="363"/>
        <v>3.7804527170660651</v>
      </c>
      <c r="BZ156" s="5">
        <f t="shared" si="364"/>
        <v>11.868</v>
      </c>
      <c r="CA156" s="173">
        <f t="shared" si="365"/>
        <v>0.75841364092546115</v>
      </c>
      <c r="CB156" s="5">
        <f t="shared" si="366"/>
        <v>75.841364092546115</v>
      </c>
      <c r="CC156">
        <f t="shared" si="367"/>
        <v>46</v>
      </c>
      <c r="CE156" s="562">
        <f t="shared" si="470"/>
        <v>-50</v>
      </c>
      <c r="CF156">
        <f t="shared" si="471"/>
        <v>-50</v>
      </c>
      <c r="CG156" s="173">
        <f t="shared" si="370"/>
        <v>0.48913043478260854</v>
      </c>
      <c r="CH156" s="173">
        <f t="shared" si="472"/>
        <v>0.13097870664369979</v>
      </c>
      <c r="CI156" s="189">
        <v>46</v>
      </c>
      <c r="CJ156" s="329">
        <f t="shared" si="438"/>
        <v>2.7600000000000002</v>
      </c>
      <c r="CK156" s="217">
        <f t="shared" si="372"/>
        <v>4.6000000000000006E-2</v>
      </c>
      <c r="CL156" s="329">
        <f t="shared" si="373"/>
        <v>11.040000000000001</v>
      </c>
      <c r="CM156" s="217">
        <f t="shared" si="374"/>
        <v>0.82800000000000007</v>
      </c>
      <c r="CN156" s="541">
        <f t="shared" si="375"/>
        <v>18</v>
      </c>
      <c r="CO156" s="443">
        <f t="shared" si="473"/>
        <v>18.8</v>
      </c>
      <c r="CP156" s="443">
        <f t="shared" si="474"/>
        <v>36.799999999999997</v>
      </c>
      <c r="CQ156" s="535"/>
      <c r="CR156" s="329">
        <f t="shared" si="378"/>
        <v>0.51086956521739135</v>
      </c>
      <c r="CS156" s="172">
        <f t="shared" si="379"/>
        <v>28.513650151668358</v>
      </c>
      <c r="CT156" s="172">
        <f t="shared" si="380"/>
        <v>2.2989130434782612</v>
      </c>
      <c r="CU156" s="329">
        <f t="shared" si="381"/>
        <v>7.1284125379170895</v>
      </c>
      <c r="CV156" s="217">
        <f t="shared" si="382"/>
        <v>1.5840916750926866</v>
      </c>
      <c r="CW156" s="329">
        <f t="shared" si="383"/>
        <v>4</v>
      </c>
      <c r="CX156" s="217">
        <f t="shared" si="384"/>
        <v>2.5812198581560279</v>
      </c>
      <c r="CY156" s="329">
        <f t="shared" si="385"/>
        <v>1.7208132387706854</v>
      </c>
      <c r="CZ156" s="329">
        <f t="shared" si="386"/>
        <v>1.6475871435038474</v>
      </c>
      <c r="DA156" s="537">
        <f t="shared" si="387"/>
        <v>350</v>
      </c>
      <c r="DB156" s="535">
        <f t="shared" si="388"/>
        <v>296.8768217882531</v>
      </c>
      <c r="DD156" s="329">
        <f t="shared" si="389"/>
        <v>2.18944099378882</v>
      </c>
      <c r="DE156" s="538">
        <f t="shared" si="390"/>
        <v>1.3975155279503106</v>
      </c>
      <c r="DF156" s="173">
        <f t="shared" si="391"/>
        <v>1.9924134422749624</v>
      </c>
      <c r="DG156" s="538"/>
      <c r="DH156" s="538">
        <f t="shared" si="392"/>
        <v>0.85106382978723416</v>
      </c>
      <c r="DI156" s="545">
        <f t="shared" si="393"/>
        <v>1216.1249999999998</v>
      </c>
      <c r="DJ156" s="528">
        <f t="shared" si="394"/>
        <v>0.79432624113475192</v>
      </c>
      <c r="DL156" s="173">
        <f t="shared" si="395"/>
        <v>2.3772733480667658</v>
      </c>
      <c r="DM156" s="538">
        <f t="shared" si="396"/>
        <v>2.5812198581560279</v>
      </c>
      <c r="DN156" s="538">
        <f t="shared" si="397"/>
        <v>2.1243603887575513</v>
      </c>
      <c r="DP156" s="563">
        <f t="shared" si="398"/>
        <v>2760.0000000000005</v>
      </c>
      <c r="DQ156" s="564">
        <f t="shared" si="399"/>
        <v>296.8768217882531</v>
      </c>
      <c r="DS156" s="76">
        <f t="shared" si="400"/>
        <v>2760.0000000000005</v>
      </c>
      <c r="DT156" s="76">
        <f t="shared" si="401"/>
        <v>296.8768217882531</v>
      </c>
      <c r="DV156" s="534">
        <f t="shared" si="402"/>
        <v>3.3684003822745323</v>
      </c>
      <c r="DW156" s="5">
        <f t="shared" si="403"/>
        <v>1.7208132387706854</v>
      </c>
      <c r="DX156" s="5">
        <f t="shared" si="404"/>
        <v>1.6475871435038469</v>
      </c>
      <c r="DY156" s="173">
        <f t="shared" si="405"/>
        <v>0.51086956521739146</v>
      </c>
      <c r="EA156" s="5">
        <f t="shared" si="406"/>
        <v>118.73611347517729</v>
      </c>
      <c r="EB156" s="5">
        <f t="shared" si="407"/>
        <v>0.43976338324139747</v>
      </c>
      <c r="EC156" s="5">
        <f t="shared" si="408"/>
        <v>0.84210009556863274</v>
      </c>
      <c r="ED156" s="5"/>
      <c r="EE156" s="173">
        <f t="shared" si="409"/>
        <v>1.0651711265157375</v>
      </c>
      <c r="EF156" s="173">
        <f t="shared" si="410"/>
        <v>4.1690461705930506</v>
      </c>
      <c r="EG156" s="173">
        <f t="shared" si="411"/>
        <v>7.9437231088327051E-2</v>
      </c>
      <c r="EH156" s="173"/>
      <c r="EI156" s="528">
        <f t="shared" si="412"/>
        <v>1.3841992250906225E-2</v>
      </c>
      <c r="EJ156" s="528">
        <f t="shared" si="413"/>
        <v>0.56400000000000006</v>
      </c>
      <c r="EK156" s="528">
        <f t="shared" si="414"/>
        <v>3.7109602723531636E-2</v>
      </c>
      <c r="EL156" s="528">
        <f t="shared" si="415"/>
        <v>4.0204246713852379E-2</v>
      </c>
      <c r="EM156">
        <f t="shared" si="416"/>
        <v>8.0999999999999996E-3</v>
      </c>
      <c r="EN156" s="460">
        <f t="shared" si="417"/>
        <v>45.209602723531638</v>
      </c>
      <c r="EO156"/>
      <c r="EP156" s="460">
        <f t="shared" si="439"/>
        <v>663.25584168829016</v>
      </c>
      <c r="EQ156" s="173">
        <f t="shared" si="418"/>
        <v>1.9319999999999999</v>
      </c>
      <c r="ER156" s="173">
        <f t="shared" si="475"/>
        <v>2.04125E-2</v>
      </c>
      <c r="ES156" s="528"/>
      <c r="ET156"/>
      <c r="EU156" s="460">
        <f t="shared" si="420"/>
        <v>1952.4124999999999</v>
      </c>
      <c r="EV156" s="528">
        <f t="shared" si="421"/>
        <v>3.4037685862884158E-2</v>
      </c>
      <c r="EW156" s="528">
        <f t="shared" si="422"/>
        <v>0.52142837917609741</v>
      </c>
      <c r="EX156" s="528">
        <f t="shared" si="423"/>
        <v>3.1551368414901373E-5</v>
      </c>
      <c r="EY156" s="528">
        <f t="shared" si="424"/>
        <v>0.81278041177063287</v>
      </c>
      <c r="EZ156" s="528"/>
      <c r="FA156" s="625">
        <f t="shared" si="425"/>
        <v>4.9450000000000001E-2</v>
      </c>
      <c r="FB156" s="460">
        <f t="shared" si="426"/>
        <v>1417.7280281780293</v>
      </c>
      <c r="FC156" s="173">
        <f t="shared" si="427"/>
        <v>4.0333963698663196</v>
      </c>
      <c r="FD156" s="5">
        <f t="shared" si="428"/>
        <v>11.868</v>
      </c>
      <c r="FE156" s="173">
        <f t="shared" si="429"/>
        <v>0.74634954842646772</v>
      </c>
      <c r="FF156" s="5">
        <f t="shared" si="430"/>
        <v>74.634954842646778</v>
      </c>
      <c r="FG156">
        <f t="shared" si="431"/>
        <v>46</v>
      </c>
      <c r="FI156" s="562">
        <f t="shared" si="432"/>
        <v>-50</v>
      </c>
      <c r="FJ156">
        <f t="shared" si="433"/>
        <v>-50</v>
      </c>
    </row>
    <row r="157" spans="5:166">
      <c r="E157" s="170">
        <v>47</v>
      </c>
      <c r="F157" s="217">
        <f t="shared" si="476"/>
        <v>2.82</v>
      </c>
      <c r="G157" s="217">
        <f t="shared" si="444"/>
        <v>4.7E-2</v>
      </c>
      <c r="H157" s="217">
        <f t="shared" si="445"/>
        <v>11.28</v>
      </c>
      <c r="I157" s="217">
        <f t="shared" si="446"/>
        <v>0.84599999999999997</v>
      </c>
      <c r="J157" s="541">
        <f t="shared" si="447"/>
        <v>17.924274456247819</v>
      </c>
      <c r="K157" s="443">
        <f t="shared" si="448"/>
        <v>19.49184</v>
      </c>
      <c r="L157" s="172">
        <f t="shared" si="449"/>
        <v>37.416114456247819</v>
      </c>
      <c r="M157" s="443"/>
      <c r="N157" s="217">
        <f t="shared" si="450"/>
        <v>0.52094773290242624</v>
      </c>
      <c r="O157" s="172">
        <f t="shared" si="451"/>
        <v>28.95382989737417</v>
      </c>
      <c r="P157" s="172">
        <f t="shared" si="452"/>
        <v>2.3344025354757925</v>
      </c>
      <c r="Q157" s="217">
        <f t="shared" si="322"/>
        <v>7.2384574743435426</v>
      </c>
      <c r="R157" s="217">
        <f t="shared" si="453"/>
        <v>1.6085461054096761</v>
      </c>
      <c r="S157" s="217">
        <f t="shared" si="454"/>
        <v>4</v>
      </c>
      <c r="T157" s="217">
        <f t="shared" si="455"/>
        <v>2.5972384401836908</v>
      </c>
      <c r="U157" s="217">
        <f t="shared" si="326"/>
        <v>1.738807412165045</v>
      </c>
      <c r="V157" s="217">
        <f t="shared" si="327"/>
        <v>1.5989696858892894</v>
      </c>
      <c r="W157" s="197">
        <f t="shared" si="328"/>
        <v>350</v>
      </c>
      <c r="X157" s="443">
        <f t="shared" si="435"/>
        <v>282.66337089184287</v>
      </c>
      <c r="Z157" s="217">
        <f t="shared" si="329"/>
        <v>2.2232405099769452</v>
      </c>
      <c r="AA157" s="173">
        <f t="shared" si="330"/>
        <v>1.3687207631359248</v>
      </c>
      <c r="AB157" s="173">
        <f t="shared" si="456"/>
        <v>1.9814854076420867</v>
      </c>
      <c r="AC157" s="173"/>
      <c r="AD157" s="173">
        <f t="shared" si="332"/>
        <v>0.82085631731021813</v>
      </c>
      <c r="AE157" s="545">
        <f t="shared" si="457"/>
        <v>1288.2887999999996</v>
      </c>
      <c r="AF157" s="528">
        <f t="shared" si="458"/>
        <v>0.76613256282287046</v>
      </c>
      <c r="AH157" s="173">
        <f t="shared" si="459"/>
        <v>2.4029743474048395</v>
      </c>
      <c r="AI157" s="173">
        <f t="shared" si="460"/>
        <v>2.5972384401836908</v>
      </c>
      <c r="AJ157" s="173">
        <f t="shared" si="461"/>
        <v>2.1362260050743389</v>
      </c>
      <c r="AL157" s="545">
        <f t="shared" si="462"/>
        <v>2820</v>
      </c>
      <c r="AM157" s="460">
        <f t="shared" si="463"/>
        <v>282.66337089184287</v>
      </c>
      <c r="AO157">
        <f t="shared" si="340"/>
        <v>2820</v>
      </c>
      <c r="AP157">
        <f t="shared" si="341"/>
        <v>282.66337089184287</v>
      </c>
      <c r="AR157" s="5">
        <f t="shared" si="443"/>
        <v>3.5377770980543346</v>
      </c>
      <c r="AS157" s="5">
        <f t="shared" si="440"/>
        <v>1.738807412165045</v>
      </c>
      <c r="AT157" s="5">
        <f t="shared" si="441"/>
        <v>1.7989696858892896</v>
      </c>
      <c r="AU157" s="173">
        <f t="shared" si="442"/>
        <v>0.49149716445429364</v>
      </c>
      <c r="AW157" s="5">
        <f t="shared" si="342"/>
        <v>122.58592255763567</v>
      </c>
      <c r="AX157" s="5">
        <f t="shared" si="343"/>
        <v>0.45402193539865066</v>
      </c>
      <c r="AY157" s="5">
        <f t="shared" si="344"/>
        <v>0.94343093711472004</v>
      </c>
      <c r="AZ157" s="5"/>
      <c r="BA157" s="173">
        <f t="shared" si="345"/>
        <v>1.0512637832807283</v>
      </c>
      <c r="BB157" s="173">
        <f t="shared" si="346"/>
        <v>4.2771834277896357</v>
      </c>
      <c r="BC157" s="173">
        <f t="shared" si="347"/>
        <v>8.1497684232207934E-2</v>
      </c>
      <c r="BD157" s="173"/>
      <c r="BE157" s="528">
        <f t="shared" si="348"/>
        <v>1.3482897612860064E-2</v>
      </c>
      <c r="BF157" s="528">
        <f t="shared" si="464"/>
        <v>0.51504041973944237</v>
      </c>
      <c r="BG157" s="528">
        <f t="shared" si="465"/>
        <v>0.12666339596483905</v>
      </c>
      <c r="BH157" s="528">
        <f t="shared" si="351"/>
        <v>3.9571900156541058E-2</v>
      </c>
      <c r="BI157">
        <f t="shared" si="352"/>
        <v>8.0659235053115175E-3</v>
      </c>
      <c r="BJ157" s="460">
        <f t="shared" si="436"/>
        <v>134.72931947015059</v>
      </c>
      <c r="BK157">
        <f t="shared" si="466"/>
        <v>0.57357306208854097</v>
      </c>
      <c r="BL157" s="460">
        <f t="shared" si="437"/>
        <v>702.82453697899405</v>
      </c>
      <c r="BM157" s="173">
        <f t="shared" si="467"/>
        <v>1.7519249999999997</v>
      </c>
      <c r="BN157" s="173">
        <f t="shared" si="468"/>
        <v>2.9198749999999999E-2</v>
      </c>
      <c r="BO157" s="528"/>
      <c r="BQ157" s="460">
        <f t="shared" si="356"/>
        <v>1781.1237499999997</v>
      </c>
      <c r="BR157" s="528">
        <f t="shared" si="357"/>
        <v>3.3154666261131303E-2</v>
      </c>
      <c r="BS157" s="528">
        <f t="shared" si="358"/>
        <v>0.5488289422487489</v>
      </c>
      <c r="BT157" s="528">
        <f t="shared" si="359"/>
        <v>3.3209362676063369E-5</v>
      </c>
      <c r="BU157" s="528">
        <f t="shared" si="360"/>
        <v>0.73016900538351714</v>
      </c>
      <c r="BV157" s="528"/>
      <c r="BW157" s="625">
        <f t="shared" si="469"/>
        <v>4.7668686637137934E-2</v>
      </c>
      <c r="BX157" s="460">
        <f t="shared" si="362"/>
        <v>1359.8545098932113</v>
      </c>
      <c r="BY157" s="173">
        <f t="shared" si="363"/>
        <v>3.8438027968722057</v>
      </c>
      <c r="BZ157" s="5">
        <f t="shared" si="364"/>
        <v>12.125999999999999</v>
      </c>
      <c r="CA157" s="173">
        <f t="shared" si="365"/>
        <v>0.75930806123510552</v>
      </c>
      <c r="CB157" s="5">
        <f t="shared" si="366"/>
        <v>75.93080612351055</v>
      </c>
      <c r="CC157">
        <f t="shared" si="367"/>
        <v>47</v>
      </c>
      <c r="CE157" s="562">
        <f t="shared" si="470"/>
        <v>-50</v>
      </c>
      <c r="CF157">
        <f t="shared" si="471"/>
        <v>-50</v>
      </c>
      <c r="CG157" s="173">
        <f t="shared" si="370"/>
        <v>0.48913043478260876</v>
      </c>
      <c r="CH157" s="173">
        <f t="shared" si="472"/>
        <v>0.13097870664369976</v>
      </c>
      <c r="CI157" s="170">
        <v>47</v>
      </c>
      <c r="CJ157" s="217">
        <f t="shared" si="438"/>
        <v>2.82</v>
      </c>
      <c r="CK157" s="217">
        <f t="shared" si="372"/>
        <v>4.7E-2</v>
      </c>
      <c r="CL157" s="217">
        <f t="shared" si="373"/>
        <v>11.28</v>
      </c>
      <c r="CM157" s="217">
        <f t="shared" si="374"/>
        <v>0.84599999999999997</v>
      </c>
      <c r="CN157" s="541">
        <f t="shared" si="375"/>
        <v>18</v>
      </c>
      <c r="CO157" s="443">
        <f t="shared" si="473"/>
        <v>18.8</v>
      </c>
      <c r="CP157" s="443">
        <f t="shared" si="474"/>
        <v>36.799999999999997</v>
      </c>
      <c r="CQ157" s="443"/>
      <c r="CR157" s="217">
        <f t="shared" si="378"/>
        <v>0.51086956521739135</v>
      </c>
      <c r="CS157" s="172">
        <f t="shared" si="379"/>
        <v>28.513650151668358</v>
      </c>
      <c r="CT157" s="172">
        <f t="shared" si="380"/>
        <v>2.2989130434782612</v>
      </c>
      <c r="CU157" s="217">
        <f t="shared" si="381"/>
        <v>7.1284125379170895</v>
      </c>
      <c r="CV157" s="217">
        <f t="shared" si="382"/>
        <v>1.5840916750926866</v>
      </c>
      <c r="CW157" s="217">
        <f t="shared" si="383"/>
        <v>4</v>
      </c>
      <c r="CX157" s="217">
        <f t="shared" si="384"/>
        <v>2.6373333333333329</v>
      </c>
      <c r="CY157" s="217">
        <f t="shared" si="385"/>
        <v>1.7582222222222217</v>
      </c>
      <c r="CZ157" s="217">
        <f t="shared" si="386"/>
        <v>1.6834042553191484</v>
      </c>
      <c r="DA157" s="197">
        <f t="shared" si="387"/>
        <v>350</v>
      </c>
      <c r="DB157" s="443">
        <f t="shared" si="388"/>
        <v>290.56029366509875</v>
      </c>
      <c r="DD157" s="217">
        <f t="shared" si="389"/>
        <v>2.18944099378882</v>
      </c>
      <c r="DE157" s="173">
        <f t="shared" si="390"/>
        <v>1.3975155279503106</v>
      </c>
      <c r="DF157" s="173">
        <f t="shared" si="391"/>
        <v>1.9924134422749624</v>
      </c>
      <c r="DG157" s="173"/>
      <c r="DH157" s="173">
        <f t="shared" si="392"/>
        <v>0.85106382978723416</v>
      </c>
      <c r="DI157" s="545">
        <f t="shared" si="393"/>
        <v>1242.5624999999995</v>
      </c>
      <c r="DJ157" s="528">
        <f t="shared" si="394"/>
        <v>0.79432624113475192</v>
      </c>
      <c r="DL157" s="173">
        <f t="shared" si="395"/>
        <v>2.4029743474048395</v>
      </c>
      <c r="DM157" s="173">
        <f t="shared" si="396"/>
        <v>2.6373333333333329</v>
      </c>
      <c r="DN157" s="173">
        <f t="shared" si="397"/>
        <v>2.1659259259259254</v>
      </c>
      <c r="DP157" s="545">
        <f t="shared" si="398"/>
        <v>2820</v>
      </c>
      <c r="DQ157" s="460">
        <f t="shared" si="399"/>
        <v>290.56029366509875</v>
      </c>
      <c r="DS157">
        <f t="shared" si="400"/>
        <v>2820</v>
      </c>
      <c r="DT157">
        <f t="shared" si="401"/>
        <v>290.56029366509875</v>
      </c>
      <c r="DV157" s="5">
        <f t="shared" si="402"/>
        <v>3.4416264775413703</v>
      </c>
      <c r="DW157" s="5">
        <f t="shared" si="403"/>
        <v>1.7582222222222217</v>
      </c>
      <c r="DX157" s="5">
        <f t="shared" si="404"/>
        <v>1.6834042553191486</v>
      </c>
      <c r="DY157" s="173">
        <f t="shared" si="405"/>
        <v>0.51086956521739124</v>
      </c>
      <c r="EA157" s="5">
        <f t="shared" si="406"/>
        <v>123.95466666666661</v>
      </c>
      <c r="EB157" s="5">
        <f t="shared" si="407"/>
        <v>0.4590913580246912</v>
      </c>
      <c r="EC157" s="5">
        <f t="shared" si="408"/>
        <v>0.87911111111111073</v>
      </c>
      <c r="ED157" s="5"/>
      <c r="EE157" s="173">
        <f t="shared" si="409"/>
        <v>1.0883270205704272</v>
      </c>
      <c r="EF157" s="173">
        <f t="shared" si="410"/>
        <v>4.2596776090842052</v>
      </c>
      <c r="EG157" s="173">
        <f t="shared" si="411"/>
        <v>8.1164127416334178E-2</v>
      </c>
      <c r="EH157" s="173"/>
      <c r="EI157" s="528">
        <f t="shared" si="412"/>
        <v>1.4450359585185178E-2</v>
      </c>
      <c r="EJ157" s="528">
        <f t="shared" si="413"/>
        <v>0.56399999999999995</v>
      </c>
      <c r="EK157" s="528">
        <f t="shared" si="414"/>
        <v>3.632003670813734E-2</v>
      </c>
      <c r="EL157" s="528">
        <f t="shared" si="415"/>
        <v>3.934883720930233E-2</v>
      </c>
      <c r="EM157">
        <f t="shared" si="416"/>
        <v>8.0999999999999996E-3</v>
      </c>
      <c r="EN157" s="460">
        <f t="shared" si="417"/>
        <v>44.420036708137339</v>
      </c>
      <c r="EP157" s="460">
        <f t="shared" si="439"/>
        <v>662.21923350262477</v>
      </c>
      <c r="EQ157" s="173">
        <f t="shared" si="418"/>
        <v>1.9739999999999998</v>
      </c>
      <c r="ER157" s="173">
        <f t="shared" si="475"/>
        <v>2.085625E-2</v>
      </c>
      <c r="ES157" s="528"/>
      <c r="EU157" s="460">
        <f t="shared" si="420"/>
        <v>1994.8562499999998</v>
      </c>
      <c r="EV157" s="528">
        <f t="shared" si="421"/>
        <v>3.5533671111111095E-2</v>
      </c>
      <c r="EW157" s="528">
        <f t="shared" si="422"/>
        <v>0.54434559999999987</v>
      </c>
      <c r="EX157" s="528">
        <f t="shared" si="423"/>
        <v>3.2938077896274645E-5</v>
      </c>
      <c r="EY157" s="528">
        <f t="shared" si="424"/>
        <v>0.81278041177063098</v>
      </c>
      <c r="EZ157" s="528"/>
      <c r="FA157" s="625">
        <f t="shared" si="425"/>
        <v>5.0525E-2</v>
      </c>
      <c r="FB157" s="460">
        <f t="shared" si="426"/>
        <v>1443.2176209596382</v>
      </c>
      <c r="FC157" s="173">
        <f t="shared" si="427"/>
        <v>4.1002931044622635</v>
      </c>
      <c r="FD157" s="5">
        <f t="shared" si="428"/>
        <v>12.125999999999999</v>
      </c>
      <c r="FE157" s="173">
        <f t="shared" si="429"/>
        <v>0.74730561822929997</v>
      </c>
      <c r="FF157" s="5">
        <f t="shared" si="430"/>
        <v>74.730561822929999</v>
      </c>
      <c r="FG157">
        <f t="shared" si="431"/>
        <v>47</v>
      </c>
      <c r="FI157" s="562">
        <f t="shared" si="432"/>
        <v>-50</v>
      </c>
      <c r="FJ157">
        <f t="shared" si="433"/>
        <v>-50</v>
      </c>
    </row>
    <row r="158" spans="5:166">
      <c r="E158" s="170">
        <v>48</v>
      </c>
      <c r="F158" s="217">
        <f t="shared" si="476"/>
        <v>2.88</v>
      </c>
      <c r="G158" s="217">
        <f t="shared" si="444"/>
        <v>4.8000000000000001E-2</v>
      </c>
      <c r="H158" s="217">
        <f t="shared" si="445"/>
        <v>11.52</v>
      </c>
      <c r="I158" s="217">
        <f t="shared" si="446"/>
        <v>0.86399999999999999</v>
      </c>
      <c r="J158" s="541">
        <f t="shared" si="447"/>
        <v>17.922663274465858</v>
      </c>
      <c r="K158" s="443">
        <f t="shared" si="448"/>
        <v>19.50656</v>
      </c>
      <c r="L158" s="172">
        <f t="shared" si="449"/>
        <v>37.429223274465855</v>
      </c>
      <c r="M158" s="443"/>
      <c r="N158" s="217">
        <f t="shared" si="450"/>
        <v>0.52115855723106441</v>
      </c>
      <c r="O158" s="172">
        <f t="shared" si="451"/>
        <v>28.962943670880033</v>
      </c>
      <c r="P158" s="172">
        <f t="shared" si="452"/>
        <v>2.335137333464703</v>
      </c>
      <c r="Q158" s="217">
        <f t="shared" si="322"/>
        <v>7.2407359177200084</v>
      </c>
      <c r="R158" s="217">
        <f t="shared" si="453"/>
        <v>1.6090524261600019</v>
      </c>
      <c r="S158" s="217">
        <f t="shared" si="454"/>
        <v>4</v>
      </c>
      <c r="T158" s="217">
        <f t="shared" si="455"/>
        <v>2.6516641703521442</v>
      </c>
      <c r="U158" s="217">
        <f t="shared" si="326"/>
        <v>1.7754041102562672</v>
      </c>
      <c r="V158" s="217">
        <f t="shared" si="327"/>
        <v>1.6312445681978645</v>
      </c>
      <c r="W158" s="197">
        <f t="shared" si="328"/>
        <v>350</v>
      </c>
      <c r="X158" s="443">
        <f t="shared" si="435"/>
        <v>277.26570818331442</v>
      </c>
      <c r="Z158" s="217">
        <f t="shared" si="329"/>
        <v>2.2239403175854306</v>
      </c>
      <c r="AA158" s="173">
        <f t="shared" si="330"/>
        <v>1.3681184079112447</v>
      </c>
      <c r="AB158" s="173">
        <f t="shared" si="456"/>
        <v>1.9812368191713721</v>
      </c>
      <c r="AC158" s="173"/>
      <c r="AD158" s="173">
        <f t="shared" si="332"/>
        <v>0.82023688441221843</v>
      </c>
      <c r="AE158" s="545">
        <f t="shared" si="457"/>
        <v>1316.6927999999996</v>
      </c>
      <c r="AF158" s="528">
        <f t="shared" si="458"/>
        <v>0.76555442545140395</v>
      </c>
      <c r="AH158" s="173">
        <f t="shared" si="459"/>
        <v>2.4284033555286602</v>
      </c>
      <c r="AI158" s="173">
        <f t="shared" si="460"/>
        <v>2.6516641703521442</v>
      </c>
      <c r="AJ158" s="173">
        <f t="shared" si="461"/>
        <v>2.1765413607546744</v>
      </c>
      <c r="AL158" s="545">
        <f t="shared" si="462"/>
        <v>2880</v>
      </c>
      <c r="AM158" s="460">
        <f t="shared" si="463"/>
        <v>277.26570818331442</v>
      </c>
      <c r="AO158">
        <f t="shared" si="340"/>
        <v>2880</v>
      </c>
      <c r="AP158">
        <f t="shared" si="341"/>
        <v>277.26570818331442</v>
      </c>
      <c r="AR158" s="5">
        <f t="shared" si="443"/>
        <v>3.6066486784541323</v>
      </c>
      <c r="AS158" s="5">
        <f t="shared" si="440"/>
        <v>1.7754041102562672</v>
      </c>
      <c r="AT158" s="5">
        <f t="shared" si="441"/>
        <v>1.8312445681978651</v>
      </c>
      <c r="AU158" s="173">
        <f t="shared" si="442"/>
        <v>0.49225867794177114</v>
      </c>
      <c r="AW158" s="5">
        <f t="shared" si="342"/>
        <v>127.82909593845123</v>
      </c>
      <c r="AX158" s="5">
        <f t="shared" si="343"/>
        <v>0.4734410960683379</v>
      </c>
      <c r="AY158" s="5">
        <f t="shared" si="344"/>
        <v>0.9808780974948843</v>
      </c>
      <c r="AZ158" s="5"/>
      <c r="BA158" s="173">
        <f t="shared" si="345"/>
        <v>1.0741244033032318</v>
      </c>
      <c r="BB158" s="173">
        <f t="shared" si="346"/>
        <v>4.3635417853022433</v>
      </c>
      <c r="BC158" s="173">
        <f t="shared" si="347"/>
        <v>8.3143161044272468E-2</v>
      </c>
      <c r="BD158" s="173"/>
      <c r="BE158" s="528">
        <f t="shared" si="348"/>
        <v>1.4075667452012587E-2</v>
      </c>
      <c r="BF158" s="528">
        <f t="shared" si="464"/>
        <v>0.51597275162564327</v>
      </c>
      <c r="BG158" s="528">
        <f t="shared" si="465"/>
        <v>0.12423349813314642</v>
      </c>
      <c r="BH158" s="528">
        <f t="shared" si="351"/>
        <v>3.8843449413273175E-2</v>
      </c>
      <c r="BI158">
        <f t="shared" si="352"/>
        <v>8.0651984735096351E-3</v>
      </c>
      <c r="BJ158" s="460">
        <f t="shared" si="436"/>
        <v>132.29869660665605</v>
      </c>
      <c r="BK158">
        <f t="shared" si="466"/>
        <v>0.57461402554556607</v>
      </c>
      <c r="BL158" s="460">
        <f t="shared" si="437"/>
        <v>701.19056509758514</v>
      </c>
      <c r="BM158" s="173">
        <f t="shared" si="467"/>
        <v>1.7891999999999999</v>
      </c>
      <c r="BN158" s="173">
        <f t="shared" si="468"/>
        <v>2.9819999999999996E-2</v>
      </c>
      <c r="BO158" s="528"/>
      <c r="BQ158" s="460">
        <f t="shared" si="356"/>
        <v>1819.0199999999998</v>
      </c>
      <c r="BR158" s="528">
        <f t="shared" si="357"/>
        <v>3.4612297013145707E-2</v>
      </c>
      <c r="BS158" s="528">
        <f t="shared" si="358"/>
        <v>0.57121490736236069</v>
      </c>
      <c r="BT158" s="528">
        <f t="shared" si="359"/>
        <v>3.4563926142169134E-5</v>
      </c>
      <c r="BU158" s="528">
        <f t="shared" si="360"/>
        <v>0.73283584777347166</v>
      </c>
      <c r="BV158" s="528"/>
      <c r="BW158" s="625">
        <f t="shared" si="469"/>
        <v>4.8738617891548174E-2</v>
      </c>
      <c r="BX158" s="460">
        <f t="shared" si="362"/>
        <v>1387.4362339666684</v>
      </c>
      <c r="BY158" s="173">
        <f t="shared" si="363"/>
        <v>3.9076467990642536</v>
      </c>
      <c r="BZ158" s="5">
        <f t="shared" si="364"/>
        <v>12.384</v>
      </c>
      <c r="CA158" s="173">
        <f t="shared" si="365"/>
        <v>0.76014414949821418</v>
      </c>
      <c r="CB158" s="5">
        <f t="shared" si="366"/>
        <v>76.014414949821415</v>
      </c>
      <c r="CC158">
        <f t="shared" si="367"/>
        <v>48</v>
      </c>
      <c r="CE158" s="562">
        <f t="shared" si="470"/>
        <v>-50</v>
      </c>
      <c r="CF158">
        <f t="shared" si="471"/>
        <v>-50</v>
      </c>
      <c r="CG158" s="173">
        <f t="shared" si="370"/>
        <v>0.48913043478260865</v>
      </c>
      <c r="CH158" s="173">
        <f t="shared" si="472"/>
        <v>0.13097870664369976</v>
      </c>
      <c r="CI158" s="170">
        <v>48</v>
      </c>
      <c r="CJ158" s="217">
        <f t="shared" si="438"/>
        <v>2.88</v>
      </c>
      <c r="CK158" s="217">
        <f t="shared" si="372"/>
        <v>4.8000000000000001E-2</v>
      </c>
      <c r="CL158" s="217">
        <f t="shared" si="373"/>
        <v>11.52</v>
      </c>
      <c r="CM158" s="217">
        <f t="shared" si="374"/>
        <v>0.86399999999999999</v>
      </c>
      <c r="CN158" s="541">
        <f t="shared" si="375"/>
        <v>18</v>
      </c>
      <c r="CO158" s="443">
        <f t="shared" si="473"/>
        <v>18.8</v>
      </c>
      <c r="CP158" s="443">
        <f t="shared" si="474"/>
        <v>36.799999999999997</v>
      </c>
      <c r="CQ158" s="443"/>
      <c r="CR158" s="217">
        <f t="shared" si="378"/>
        <v>0.51086956521739135</v>
      </c>
      <c r="CS158" s="172">
        <f t="shared" si="379"/>
        <v>28.513650151668358</v>
      </c>
      <c r="CT158" s="172">
        <f t="shared" si="380"/>
        <v>2.2989130434782612</v>
      </c>
      <c r="CU158" s="217">
        <f t="shared" si="381"/>
        <v>7.1284125379170895</v>
      </c>
      <c r="CV158" s="217">
        <f t="shared" si="382"/>
        <v>1.5840916750926866</v>
      </c>
      <c r="CW158" s="217">
        <f t="shared" si="383"/>
        <v>4</v>
      </c>
      <c r="CX158" s="217">
        <f t="shared" si="384"/>
        <v>2.6934468085106378</v>
      </c>
      <c r="CY158" s="217">
        <f t="shared" si="385"/>
        <v>1.7956312056737584</v>
      </c>
      <c r="CZ158" s="217">
        <f t="shared" si="386"/>
        <v>1.7192213671344494</v>
      </c>
      <c r="DA158" s="197">
        <f t="shared" si="387"/>
        <v>350</v>
      </c>
      <c r="DB158" s="443">
        <f t="shared" si="388"/>
        <v>284.50695421374257</v>
      </c>
      <c r="DD158" s="217">
        <f t="shared" si="389"/>
        <v>2.18944099378882</v>
      </c>
      <c r="DE158" s="173">
        <f t="shared" si="390"/>
        <v>1.3975155279503106</v>
      </c>
      <c r="DF158" s="173">
        <f t="shared" si="391"/>
        <v>1.9924134422749624</v>
      </c>
      <c r="DG158" s="173"/>
      <c r="DH158" s="173">
        <f t="shared" si="392"/>
        <v>0.85106382978723416</v>
      </c>
      <c r="DI158" s="545">
        <f t="shared" si="393"/>
        <v>1268.9999999999998</v>
      </c>
      <c r="DJ158" s="528">
        <f t="shared" si="394"/>
        <v>0.79432624113475192</v>
      </c>
      <c r="DL158" s="173">
        <f t="shared" si="395"/>
        <v>2.4284033555286602</v>
      </c>
      <c r="DM158" s="173">
        <f t="shared" si="396"/>
        <v>2.6934468085106378</v>
      </c>
      <c r="DN158" s="173">
        <f t="shared" si="397"/>
        <v>2.2074914630942994</v>
      </c>
      <c r="DP158" s="545">
        <f t="shared" si="398"/>
        <v>2880</v>
      </c>
      <c r="DQ158" s="460">
        <f t="shared" si="399"/>
        <v>284.50695421374257</v>
      </c>
      <c r="DS158">
        <f t="shared" si="400"/>
        <v>2880</v>
      </c>
      <c r="DT158">
        <f t="shared" si="401"/>
        <v>284.50695421374257</v>
      </c>
      <c r="DV158" s="5">
        <f t="shared" si="402"/>
        <v>3.5148525728082078</v>
      </c>
      <c r="DW158" s="5">
        <f t="shared" si="403"/>
        <v>1.7956312056737584</v>
      </c>
      <c r="DX158" s="5">
        <f t="shared" si="404"/>
        <v>1.7192213671344494</v>
      </c>
      <c r="DY158" s="173">
        <f t="shared" si="405"/>
        <v>0.51086956521739135</v>
      </c>
      <c r="EA158" s="5">
        <f t="shared" si="406"/>
        <v>129.28544680851059</v>
      </c>
      <c r="EB158" s="5">
        <f t="shared" si="407"/>
        <v>0.47883498817966891</v>
      </c>
      <c r="EC158" s="5">
        <f t="shared" si="408"/>
        <v>0.91691806247170626</v>
      </c>
      <c r="ED158" s="5"/>
      <c r="EE158" s="173">
        <f t="shared" si="409"/>
        <v>1.1114829146251173</v>
      </c>
      <c r="EF158" s="173">
        <f t="shared" si="410"/>
        <v>4.3503090475753581</v>
      </c>
      <c r="EG158" s="173">
        <f t="shared" si="411"/>
        <v>8.2891023744341277E-2</v>
      </c>
      <c r="EH158" s="173"/>
      <c r="EI158" s="528">
        <f t="shared" si="412"/>
        <v>1.5071810087943258E-2</v>
      </c>
      <c r="EJ158" s="528">
        <f t="shared" si="413"/>
        <v>0.56400000000000006</v>
      </c>
      <c r="EK158" s="528">
        <f t="shared" si="414"/>
        <v>3.556336927671782E-2</v>
      </c>
      <c r="EL158" s="528">
        <f t="shared" si="415"/>
        <v>3.8529069767441866E-2</v>
      </c>
      <c r="EM158">
        <f t="shared" si="416"/>
        <v>8.0999999999999996E-3</v>
      </c>
      <c r="EN158" s="460">
        <f t="shared" si="417"/>
        <v>43.663369276717823</v>
      </c>
      <c r="EP158" s="460">
        <f t="shared" si="439"/>
        <v>661.26424913210292</v>
      </c>
      <c r="EQ158" s="173">
        <f t="shared" si="418"/>
        <v>2.016</v>
      </c>
      <c r="ER158" s="173">
        <f t="shared" si="475"/>
        <v>2.1299999999999999E-2</v>
      </c>
      <c r="ES158" s="528"/>
      <c r="EU158" s="460">
        <f t="shared" si="420"/>
        <v>2037.3000000000002</v>
      </c>
      <c r="EV158" s="528">
        <f t="shared" si="421"/>
        <v>3.7061828085106371E-2</v>
      </c>
      <c r="EW158" s="528">
        <f t="shared" si="422"/>
        <v>0.56775566428248059</v>
      </c>
      <c r="EX158" s="528">
        <f t="shared" si="423"/>
        <v>3.4354609086924746E-5</v>
      </c>
      <c r="EY158" s="528">
        <f t="shared" si="424"/>
        <v>0.81278041177063209</v>
      </c>
      <c r="EZ158" s="528"/>
      <c r="FA158" s="625">
        <f t="shared" si="425"/>
        <v>5.1600000000000007E-2</v>
      </c>
      <c r="FB158" s="460">
        <f t="shared" si="426"/>
        <v>1469.2322587473061</v>
      </c>
      <c r="FC158" s="173">
        <f t="shared" si="427"/>
        <v>4.1677965078794088</v>
      </c>
      <c r="FD158" s="5">
        <f t="shared" si="428"/>
        <v>12.384</v>
      </c>
      <c r="FE158" s="173">
        <f t="shared" si="429"/>
        <v>0.74819672862124975</v>
      </c>
      <c r="FF158" s="5">
        <f t="shared" si="430"/>
        <v>74.819672862124975</v>
      </c>
      <c r="FG158">
        <f t="shared" si="431"/>
        <v>48</v>
      </c>
      <c r="FI158" s="562">
        <f t="shared" si="432"/>
        <v>-50</v>
      </c>
      <c r="FJ158">
        <f t="shared" si="433"/>
        <v>-50</v>
      </c>
    </row>
    <row r="159" spans="5:166">
      <c r="E159" s="170">
        <v>49</v>
      </c>
      <c r="F159" s="217">
        <f t="shared" si="476"/>
        <v>2.94</v>
      </c>
      <c r="G159" s="217">
        <f t="shared" si="444"/>
        <v>4.9000000000000002E-2</v>
      </c>
      <c r="H159" s="217">
        <f t="shared" si="445"/>
        <v>11.76</v>
      </c>
      <c r="I159" s="217">
        <f t="shared" si="446"/>
        <v>0.88200000000000001</v>
      </c>
      <c r="J159" s="541">
        <f t="shared" si="447"/>
        <v>17.921052092683897</v>
      </c>
      <c r="K159" s="443">
        <f t="shared" si="448"/>
        <v>19.521280000000001</v>
      </c>
      <c r="L159" s="172">
        <f t="shared" si="449"/>
        <v>37.442332092683898</v>
      </c>
      <c r="M159" s="443"/>
      <c r="N159" s="217">
        <f t="shared" si="450"/>
        <v>0.52136923393760481</v>
      </c>
      <c r="O159" s="172">
        <f t="shared" si="451"/>
        <v>28.972047134631048</v>
      </c>
      <c r="P159" s="172">
        <f t="shared" si="452"/>
        <v>2.3358713002296283</v>
      </c>
      <c r="Q159" s="217">
        <f t="shared" si="322"/>
        <v>7.2430117836577619</v>
      </c>
      <c r="R159" s="217">
        <f t="shared" si="453"/>
        <v>1.6095581741461693</v>
      </c>
      <c r="S159" s="217">
        <f t="shared" si="454"/>
        <v>4</v>
      </c>
      <c r="T159" s="217">
        <f t="shared" si="455"/>
        <v>2.7060566219460003</v>
      </c>
      <c r="U159" s="217">
        <f t="shared" si="326"/>
        <v>1.8119851053057692</v>
      </c>
      <c r="V159" s="217">
        <f t="shared" si="327"/>
        <v>1.6634503200277853</v>
      </c>
      <c r="W159" s="197">
        <f t="shared" si="328"/>
        <v>350</v>
      </c>
      <c r="X159" s="443">
        <f t="shared" si="435"/>
        <v>272.07660706193684</v>
      </c>
      <c r="Z159" s="217">
        <f t="shared" si="329"/>
        <v>2.2246393335520271</v>
      </c>
      <c r="AA159" s="173">
        <f t="shared" si="330"/>
        <v>1.3675164744639863</v>
      </c>
      <c r="AB159" s="173">
        <f t="shared" si="456"/>
        <v>1.9809875877777545</v>
      </c>
      <c r="AC159" s="173"/>
      <c r="AD159" s="173">
        <f t="shared" si="332"/>
        <v>0.81961838567962764</v>
      </c>
      <c r="AE159" s="545">
        <f t="shared" si="457"/>
        <v>1345.1381999999996</v>
      </c>
      <c r="AF159" s="528">
        <f t="shared" si="458"/>
        <v>0.76497715996765259</v>
      </c>
      <c r="AH159" s="173">
        <f t="shared" si="459"/>
        <v>2.4535688292770592</v>
      </c>
      <c r="AI159" s="173">
        <f t="shared" si="460"/>
        <v>2.7060566219460003</v>
      </c>
      <c r="AJ159" s="173">
        <f t="shared" si="461"/>
        <v>2.2168320656390126</v>
      </c>
      <c r="AL159" s="545">
        <f t="shared" si="462"/>
        <v>2940</v>
      </c>
      <c r="AM159" s="460">
        <f t="shared" si="463"/>
        <v>272.07660706193684</v>
      </c>
      <c r="AO159">
        <f t="shared" si="340"/>
        <v>2940</v>
      </c>
      <c r="AP159">
        <f t="shared" si="341"/>
        <v>272.07660706193684</v>
      </c>
      <c r="AR159" s="5">
        <f t="shared" si="443"/>
        <v>3.6754354253335539</v>
      </c>
      <c r="AS159" s="5">
        <f t="shared" si="440"/>
        <v>1.8119851053057692</v>
      </c>
      <c r="AT159" s="5">
        <f t="shared" si="441"/>
        <v>1.8634503200277848</v>
      </c>
      <c r="AU159" s="173">
        <f t="shared" si="442"/>
        <v>0.49299875949835997</v>
      </c>
      <c r="AW159" s="5">
        <f t="shared" si="342"/>
        <v>133.18090523997404</v>
      </c>
      <c r="AX159" s="5">
        <f t="shared" si="343"/>
        <v>0.49326261199990384</v>
      </c>
      <c r="AY159" s="5">
        <f t="shared" si="344"/>
        <v>1.0190145668806745</v>
      </c>
      <c r="AZ159" s="5"/>
      <c r="BA159" s="173">
        <f t="shared" si="345"/>
        <v>1.0969811514069945</v>
      </c>
      <c r="BB159" s="173">
        <f t="shared" si="346"/>
        <v>4.4498026931845871</v>
      </c>
      <c r="BC159" s="173">
        <f t="shared" si="347"/>
        <v>8.4786781045814427E-2</v>
      </c>
      <c r="BD159" s="173"/>
      <c r="BE159" s="528">
        <f t="shared" si="348"/>
        <v>1.4681085287815027E-2</v>
      </c>
      <c r="BF159" s="528">
        <f t="shared" si="464"/>
        <v>0.51688299637644319</v>
      </c>
      <c r="BG159" s="528">
        <f t="shared" si="465"/>
        <v>0.12189747620894144</v>
      </c>
      <c r="BH159" s="528">
        <f t="shared" si="351"/>
        <v>3.8143187685350188E-2</v>
      </c>
      <c r="BI159">
        <f t="shared" si="352"/>
        <v>8.0644734417077528E-3</v>
      </c>
      <c r="BJ159" s="460">
        <f t="shared" si="436"/>
        <v>129.96194965064919</v>
      </c>
      <c r="BK159">
        <f t="shared" si="466"/>
        <v>0.57567926166745687</v>
      </c>
      <c r="BL159" s="460">
        <f t="shared" si="437"/>
        <v>699.66921900025761</v>
      </c>
      <c r="BM159" s="173">
        <f t="shared" si="467"/>
        <v>1.8264749999999998</v>
      </c>
      <c r="BN159" s="173">
        <f t="shared" si="468"/>
        <v>3.0441249999999996E-2</v>
      </c>
      <c r="BO159" s="528"/>
      <c r="BQ159" s="460">
        <f t="shared" si="356"/>
        <v>1856.9162499999998</v>
      </c>
      <c r="BR159" s="528">
        <f t="shared" si="357"/>
        <v>3.6101029396266464E-2</v>
      </c>
      <c r="BS159" s="528">
        <f t="shared" si="358"/>
        <v>0.59402232024818413</v>
      </c>
      <c r="BT159" s="528">
        <f t="shared" si="359"/>
        <v>3.5943991200554385E-5</v>
      </c>
      <c r="BU159" s="528">
        <f t="shared" si="360"/>
        <v>0.73542808511722646</v>
      </c>
      <c r="BV159" s="528"/>
      <c r="BW159" s="625">
        <f t="shared" si="469"/>
        <v>4.9808672944602506E-2</v>
      </c>
      <c r="BX159" s="460">
        <f t="shared" si="362"/>
        <v>1415.3960516974801</v>
      </c>
      <c r="BY159" s="173">
        <f t="shared" si="363"/>
        <v>3.9719815206977374</v>
      </c>
      <c r="BZ159" s="5">
        <f t="shared" si="364"/>
        <v>12.641999999999999</v>
      </c>
      <c r="CA159" s="173">
        <f t="shared" si="365"/>
        <v>0.76092536784458109</v>
      </c>
      <c r="CB159" s="5">
        <f t="shared" si="366"/>
        <v>76.092536784458105</v>
      </c>
      <c r="CC159">
        <f t="shared" si="367"/>
        <v>49</v>
      </c>
      <c r="CE159" s="562">
        <f t="shared" si="470"/>
        <v>-50</v>
      </c>
      <c r="CF159">
        <f t="shared" si="471"/>
        <v>-50</v>
      </c>
      <c r="CG159" s="173">
        <f t="shared" si="370"/>
        <v>0.48913043478260854</v>
      </c>
      <c r="CH159" s="173">
        <f t="shared" si="472"/>
        <v>0.13097870664369979</v>
      </c>
      <c r="CI159" s="170">
        <v>49</v>
      </c>
      <c r="CJ159" s="217">
        <f t="shared" si="438"/>
        <v>2.94</v>
      </c>
      <c r="CK159" s="217">
        <f t="shared" si="372"/>
        <v>4.9000000000000002E-2</v>
      </c>
      <c r="CL159" s="217">
        <f t="shared" si="373"/>
        <v>11.76</v>
      </c>
      <c r="CM159" s="217">
        <f t="shared" si="374"/>
        <v>0.88200000000000001</v>
      </c>
      <c r="CN159" s="541">
        <f t="shared" si="375"/>
        <v>18</v>
      </c>
      <c r="CO159" s="443">
        <f t="shared" si="473"/>
        <v>18.8</v>
      </c>
      <c r="CP159" s="443">
        <f t="shared" si="474"/>
        <v>36.799999999999997</v>
      </c>
      <c r="CQ159" s="443"/>
      <c r="CR159" s="217">
        <f t="shared" si="378"/>
        <v>0.51086956521739135</v>
      </c>
      <c r="CS159" s="172">
        <f t="shared" si="379"/>
        <v>28.513650151668358</v>
      </c>
      <c r="CT159" s="172">
        <f t="shared" si="380"/>
        <v>2.2989130434782612</v>
      </c>
      <c r="CU159" s="217">
        <f t="shared" si="381"/>
        <v>7.1284125379170895</v>
      </c>
      <c r="CV159" s="217">
        <f t="shared" si="382"/>
        <v>1.5840916750926866</v>
      </c>
      <c r="CW159" s="217">
        <f t="shared" si="383"/>
        <v>4</v>
      </c>
      <c r="CX159" s="217">
        <f t="shared" si="384"/>
        <v>2.7495602836879427</v>
      </c>
      <c r="CY159" s="217">
        <f t="shared" si="385"/>
        <v>1.833040189125295</v>
      </c>
      <c r="CZ159" s="217">
        <f t="shared" si="386"/>
        <v>1.7550384789497504</v>
      </c>
      <c r="DA159" s="197">
        <f t="shared" si="387"/>
        <v>350</v>
      </c>
      <c r="DB159" s="443">
        <f t="shared" si="388"/>
        <v>278.70068984203357</v>
      </c>
      <c r="DD159" s="217">
        <f t="shared" si="389"/>
        <v>2.18944099378882</v>
      </c>
      <c r="DE159" s="173">
        <f t="shared" si="390"/>
        <v>1.3975155279503106</v>
      </c>
      <c r="DF159" s="173">
        <f t="shared" si="391"/>
        <v>1.9924134422749624</v>
      </c>
      <c r="DG159" s="173"/>
      <c r="DH159" s="173">
        <f t="shared" si="392"/>
        <v>0.85106382978723416</v>
      </c>
      <c r="DI159" s="545">
        <f t="shared" si="393"/>
        <v>1295.4374999999998</v>
      </c>
      <c r="DJ159" s="528">
        <f t="shared" si="394"/>
        <v>0.79432624113475192</v>
      </c>
      <c r="DL159" s="173">
        <f t="shared" si="395"/>
        <v>2.4535688292770592</v>
      </c>
      <c r="DM159" s="173">
        <f t="shared" si="396"/>
        <v>2.7495602836879427</v>
      </c>
      <c r="DN159" s="173">
        <f t="shared" si="397"/>
        <v>2.2490570002626735</v>
      </c>
      <c r="DP159" s="545">
        <f t="shared" si="398"/>
        <v>2940</v>
      </c>
      <c r="DQ159" s="460">
        <f t="shared" si="399"/>
        <v>278.70068984203357</v>
      </c>
      <c r="DS159">
        <f t="shared" si="400"/>
        <v>2940</v>
      </c>
      <c r="DT159">
        <f t="shared" si="401"/>
        <v>278.70068984203357</v>
      </c>
      <c r="DV159" s="5">
        <f t="shared" si="402"/>
        <v>3.5880786680750445</v>
      </c>
      <c r="DW159" s="5">
        <f t="shared" si="403"/>
        <v>1.833040189125295</v>
      </c>
      <c r="DX159" s="5">
        <f t="shared" si="404"/>
        <v>1.7550384789497495</v>
      </c>
      <c r="DY159" s="173">
        <f t="shared" si="405"/>
        <v>0.51086956521739146</v>
      </c>
      <c r="EA159" s="5">
        <f t="shared" si="406"/>
        <v>134.72845390070918</v>
      </c>
      <c r="EB159" s="5">
        <f t="shared" si="407"/>
        <v>0.49899427370633037</v>
      </c>
      <c r="EC159" s="5">
        <f t="shared" si="408"/>
        <v>0.955520949650419</v>
      </c>
      <c r="ED159" s="5"/>
      <c r="EE159" s="173">
        <f t="shared" si="409"/>
        <v>1.1346388086798074</v>
      </c>
      <c r="EF159" s="173">
        <f t="shared" si="410"/>
        <v>4.4409404860665109</v>
      </c>
      <c r="EG159" s="173">
        <f t="shared" si="411"/>
        <v>8.4617920072348377E-2</v>
      </c>
      <c r="EH159" s="173"/>
      <c r="EI159" s="528">
        <f t="shared" si="412"/>
        <v>1.5706343759180456E-2</v>
      </c>
      <c r="EJ159" s="528">
        <f t="shared" si="413"/>
        <v>0.56400000000000006</v>
      </c>
      <c r="EK159" s="528">
        <f t="shared" si="414"/>
        <v>3.4837586230254194E-2</v>
      </c>
      <c r="EL159" s="528">
        <f t="shared" si="415"/>
        <v>3.7742762221167549E-2</v>
      </c>
      <c r="EM159">
        <f t="shared" si="416"/>
        <v>8.0999999999999996E-3</v>
      </c>
      <c r="EN159" s="460">
        <f t="shared" si="417"/>
        <v>42.93758623025419</v>
      </c>
      <c r="EP159" s="460">
        <f t="shared" si="439"/>
        <v>660.38669221060229</v>
      </c>
      <c r="EQ159" s="173">
        <f t="shared" si="418"/>
        <v>2.0579999999999998</v>
      </c>
      <c r="ER159" s="173">
        <f t="shared" si="475"/>
        <v>2.1743749999999999E-2</v>
      </c>
      <c r="ES159" s="528"/>
      <c r="EU159" s="460">
        <f t="shared" si="420"/>
        <v>2079.7437500000001</v>
      </c>
      <c r="EV159" s="528">
        <f t="shared" si="421"/>
        <v>3.8622156784869972E-2</v>
      </c>
      <c r="EW159" s="528">
        <f t="shared" si="422"/>
        <v>0.59165857202353977</v>
      </c>
      <c r="EX159" s="528">
        <f t="shared" si="423"/>
        <v>3.5800961986851692E-5</v>
      </c>
      <c r="EY159" s="528">
        <f t="shared" si="424"/>
        <v>0.81278041177063176</v>
      </c>
      <c r="EZ159" s="528"/>
      <c r="FA159" s="625">
        <f t="shared" si="425"/>
        <v>5.2675000000000007E-2</v>
      </c>
      <c r="FB159" s="460">
        <f t="shared" si="426"/>
        <v>1495.7719415410284</v>
      </c>
      <c r="FC159" s="173">
        <f t="shared" si="427"/>
        <v>4.2359023837516308</v>
      </c>
      <c r="FD159" s="5">
        <f t="shared" si="428"/>
        <v>12.641999999999999</v>
      </c>
      <c r="FE159" s="173">
        <f t="shared" si="429"/>
        <v>0.7490267281182087</v>
      </c>
      <c r="FF159" s="5">
        <f t="shared" si="430"/>
        <v>74.902672811820864</v>
      </c>
      <c r="FG159">
        <f t="shared" si="431"/>
        <v>49</v>
      </c>
      <c r="FI159" s="562">
        <f t="shared" si="432"/>
        <v>-50</v>
      </c>
      <c r="FJ159">
        <f t="shared" si="433"/>
        <v>-50</v>
      </c>
    </row>
    <row r="160" spans="5:166">
      <c r="E160" s="170">
        <v>50</v>
      </c>
      <c r="F160" s="217">
        <f t="shared" si="476"/>
        <v>3</v>
      </c>
      <c r="G160" s="217">
        <f t="shared" si="444"/>
        <v>0.05</v>
      </c>
      <c r="H160" s="217">
        <f t="shared" si="445"/>
        <v>12</v>
      </c>
      <c r="I160" s="217">
        <f t="shared" si="446"/>
        <v>0.9</v>
      </c>
      <c r="J160" s="541">
        <f t="shared" si="447"/>
        <v>17.919440910901937</v>
      </c>
      <c r="K160" s="443">
        <f t="shared" si="448"/>
        <v>19.536000000000001</v>
      </c>
      <c r="L160" s="172">
        <f t="shared" si="449"/>
        <v>37.455440910901942</v>
      </c>
      <c r="M160" s="443"/>
      <c r="N160" s="217">
        <f t="shared" si="450"/>
        <v>0.52157976317704402</v>
      </c>
      <c r="O160" s="172">
        <f t="shared" si="451"/>
        <v>28.981140299451987</v>
      </c>
      <c r="P160" s="172">
        <f t="shared" si="452"/>
        <v>2.3366044366433165</v>
      </c>
      <c r="Q160" s="217">
        <f t="shared" si="322"/>
        <v>7.2452850748629967</v>
      </c>
      <c r="R160" s="217">
        <f t="shared" si="453"/>
        <v>1.6100633499695549</v>
      </c>
      <c r="S160" s="217">
        <f t="shared" si="454"/>
        <v>4</v>
      </c>
      <c r="T160" s="217">
        <f t="shared" si="455"/>
        <v>2.7604158833430286</v>
      </c>
      <c r="U160" s="217">
        <f t="shared" si="326"/>
        <v>1.8485504522612399</v>
      </c>
      <c r="V160" s="217">
        <f t="shared" si="327"/>
        <v>1.6955871519306072</v>
      </c>
      <c r="W160" s="197">
        <f t="shared" si="328"/>
        <v>350</v>
      </c>
      <c r="X160" s="443">
        <f t="shared" si="435"/>
        <v>267.08420087990993</v>
      </c>
      <c r="Z160" s="217">
        <f t="shared" si="329"/>
        <v>2.2253375587079209</v>
      </c>
      <c r="AA160" s="173">
        <f t="shared" si="330"/>
        <v>1.3669149623513028</v>
      </c>
      <c r="AB160" s="173">
        <f t="shared" si="456"/>
        <v>1.9807377150661625</v>
      </c>
      <c r="AC160" s="173"/>
      <c r="AD160" s="173">
        <f t="shared" si="332"/>
        <v>0.81900081900081911</v>
      </c>
      <c r="AE160" s="545">
        <f t="shared" si="457"/>
        <v>1373.6249999999998</v>
      </c>
      <c r="AF160" s="528">
        <f t="shared" si="458"/>
        <v>0.76440076440076465</v>
      </c>
      <c r="AH160" s="173">
        <f t="shared" si="459"/>
        <v>2.4784787961282104</v>
      </c>
      <c r="AI160" s="173">
        <f t="shared" si="460"/>
        <v>2.7604158833430286</v>
      </c>
      <c r="AJ160" s="173">
        <f t="shared" si="461"/>
        <v>2.2570981851923668</v>
      </c>
      <c r="AL160" s="545">
        <f t="shared" si="462"/>
        <v>3000</v>
      </c>
      <c r="AM160" s="460">
        <f t="shared" si="463"/>
        <v>267.08420087990993</v>
      </c>
      <c r="AO160">
        <f t="shared" si="340"/>
        <v>3000</v>
      </c>
      <c r="AP160">
        <f t="shared" si="341"/>
        <v>267.08420087990993</v>
      </c>
      <c r="AR160" s="5">
        <f t="shared" si="443"/>
        <v>3.744137604191847</v>
      </c>
      <c r="AS160" s="5">
        <f t="shared" si="440"/>
        <v>1.8485504522612399</v>
      </c>
      <c r="AT160" s="5">
        <f t="shared" si="441"/>
        <v>1.8955871519306071</v>
      </c>
      <c r="AU160" s="173">
        <f t="shared" si="442"/>
        <v>0.49371862032838937</v>
      </c>
      <c r="AW160" s="5">
        <f t="shared" si="342"/>
        <v>138.64128391959301</v>
      </c>
      <c r="AX160" s="5">
        <f t="shared" si="343"/>
        <v>0.51348623673923333</v>
      </c>
      <c r="AY160" s="5">
        <f t="shared" si="344"/>
        <v>1.057838333994761</v>
      </c>
      <c r="AZ160" s="5"/>
      <c r="BA160" s="173">
        <f t="shared" si="345"/>
        <v>1.1198339855562609</v>
      </c>
      <c r="BB160" s="173">
        <f t="shared" si="346"/>
        <v>4.5359667155698356</v>
      </c>
      <c r="BC160" s="173">
        <f t="shared" si="347"/>
        <v>8.6428554985857678E-2</v>
      </c>
      <c r="BD160" s="173"/>
      <c r="BE160" s="528">
        <f t="shared" si="348"/>
        <v>1.5299143493523203E-2</v>
      </c>
      <c r="BF160" s="528">
        <f t="shared" si="464"/>
        <v>0.51777240651649381</v>
      </c>
      <c r="BG160" s="528">
        <f t="shared" si="465"/>
        <v>0.11964998889757524</v>
      </c>
      <c r="BH160" s="528">
        <f t="shared" si="351"/>
        <v>3.7469511063359481E-2</v>
      </c>
      <c r="BI160">
        <f t="shared" si="352"/>
        <v>8.0637484099058722E-3</v>
      </c>
      <c r="BJ160" s="460">
        <f t="shared" si="436"/>
        <v>127.71373730748111</v>
      </c>
      <c r="BK160">
        <f t="shared" si="466"/>
        <v>0.57676842716874555</v>
      </c>
      <c r="BL160" s="460">
        <f t="shared" si="437"/>
        <v>698.25479838085766</v>
      </c>
      <c r="BM160" s="173">
        <f t="shared" si="467"/>
        <v>1.8637499999999996</v>
      </c>
      <c r="BN160" s="173">
        <f t="shared" si="468"/>
        <v>3.1062499999999996E-2</v>
      </c>
      <c r="BO160" s="528"/>
      <c r="BQ160" s="460">
        <f t="shared" si="356"/>
        <v>1894.8124999999995</v>
      </c>
      <c r="BR160" s="528">
        <f t="shared" si="357"/>
        <v>3.7620844656204598E-2</v>
      </c>
      <c r="BS160" s="528">
        <f t="shared" si="358"/>
        <v>0.61724982134272199</v>
      </c>
      <c r="BT160" s="528">
        <f t="shared" si="359"/>
        <v>3.734947558471712E-5</v>
      </c>
      <c r="BU160" s="528">
        <f t="shared" si="360"/>
        <v>0.737949758078839</v>
      </c>
      <c r="BV160" s="528"/>
      <c r="BW160" s="625">
        <f t="shared" si="469"/>
        <v>5.0878844840540983E-2</v>
      </c>
      <c r="BX160" s="460">
        <f t="shared" si="362"/>
        <v>1443.7366183938916</v>
      </c>
      <c r="BY160" s="173">
        <f t="shared" si="363"/>
        <v>4.0368039167747485</v>
      </c>
      <c r="BZ160" s="5">
        <f t="shared" si="364"/>
        <v>12.9</v>
      </c>
      <c r="CA160" s="173">
        <f t="shared" si="365"/>
        <v>0.76165491809369235</v>
      </c>
      <c r="CB160" s="5">
        <f t="shared" si="366"/>
        <v>76.165491809369229</v>
      </c>
      <c r="CC160">
        <f t="shared" si="367"/>
        <v>50</v>
      </c>
      <c r="CE160" s="562">
        <f t="shared" si="470"/>
        <v>-50</v>
      </c>
      <c r="CF160">
        <f t="shared" si="471"/>
        <v>-50</v>
      </c>
      <c r="CG160" s="173">
        <f t="shared" si="370"/>
        <v>0.48913043478260865</v>
      </c>
      <c r="CH160" s="173">
        <f t="shared" si="472"/>
        <v>0.13097870664369976</v>
      </c>
      <c r="CI160" s="170">
        <v>50</v>
      </c>
      <c r="CJ160" s="217">
        <f t="shared" si="438"/>
        <v>3</v>
      </c>
      <c r="CK160" s="217">
        <f t="shared" si="372"/>
        <v>0.05</v>
      </c>
      <c r="CL160" s="217">
        <f t="shared" si="373"/>
        <v>12</v>
      </c>
      <c r="CM160" s="217">
        <f t="shared" si="374"/>
        <v>0.9</v>
      </c>
      <c r="CN160" s="541">
        <f t="shared" si="375"/>
        <v>18</v>
      </c>
      <c r="CO160" s="443">
        <f t="shared" si="473"/>
        <v>18.8</v>
      </c>
      <c r="CP160" s="443">
        <f t="shared" si="474"/>
        <v>36.799999999999997</v>
      </c>
      <c r="CQ160" s="443"/>
      <c r="CR160" s="217">
        <f t="shared" si="378"/>
        <v>0.51086956521739135</v>
      </c>
      <c r="CS160" s="172">
        <f t="shared" si="379"/>
        <v>28.513650151668358</v>
      </c>
      <c r="CT160" s="172">
        <f t="shared" si="380"/>
        <v>2.2989130434782612</v>
      </c>
      <c r="CU160" s="217">
        <f t="shared" si="381"/>
        <v>7.1284125379170895</v>
      </c>
      <c r="CV160" s="217">
        <f t="shared" si="382"/>
        <v>1.5840916750926866</v>
      </c>
      <c r="CW160" s="217">
        <f t="shared" si="383"/>
        <v>4</v>
      </c>
      <c r="CX160" s="217">
        <f t="shared" si="384"/>
        <v>2.8056737588652481</v>
      </c>
      <c r="CY160" s="217">
        <f t="shared" si="385"/>
        <v>1.870449172576832</v>
      </c>
      <c r="CZ160" s="217">
        <f t="shared" si="386"/>
        <v>1.7908555907650519</v>
      </c>
      <c r="DA160" s="197">
        <f t="shared" si="387"/>
        <v>350</v>
      </c>
      <c r="DB160" s="443">
        <f t="shared" si="388"/>
        <v>273.12667604519282</v>
      </c>
      <c r="DD160" s="217">
        <f t="shared" si="389"/>
        <v>2.18944099378882</v>
      </c>
      <c r="DE160" s="173">
        <f t="shared" si="390"/>
        <v>1.3975155279503106</v>
      </c>
      <c r="DF160" s="173">
        <f t="shared" si="391"/>
        <v>1.9924134422749624</v>
      </c>
      <c r="DG160" s="173"/>
      <c r="DH160" s="173">
        <f t="shared" si="392"/>
        <v>0.85106382978723416</v>
      </c>
      <c r="DI160" s="545">
        <f t="shared" si="393"/>
        <v>1321.8749999999998</v>
      </c>
      <c r="DJ160" s="528">
        <f t="shared" si="394"/>
        <v>0.79432624113475192</v>
      </c>
      <c r="DL160" s="173">
        <f t="shared" si="395"/>
        <v>2.4784787961282104</v>
      </c>
      <c r="DM160" s="173">
        <f t="shared" si="396"/>
        <v>2.8056737588652481</v>
      </c>
      <c r="DN160" s="173">
        <f t="shared" si="397"/>
        <v>2.2906225374310476</v>
      </c>
      <c r="DP160" s="545">
        <f t="shared" si="398"/>
        <v>3000</v>
      </c>
      <c r="DQ160" s="460">
        <f t="shared" si="399"/>
        <v>273.12667604519282</v>
      </c>
      <c r="DS160">
        <f t="shared" si="400"/>
        <v>3000</v>
      </c>
      <c r="DT160">
        <f t="shared" si="401"/>
        <v>273.12667604519282</v>
      </c>
      <c r="DV160" s="5">
        <f t="shared" si="402"/>
        <v>3.6613047633418834</v>
      </c>
      <c r="DW160" s="5">
        <f t="shared" si="403"/>
        <v>1.870449172576832</v>
      </c>
      <c r="DX160" s="5">
        <f t="shared" si="404"/>
        <v>1.7908555907650514</v>
      </c>
      <c r="DY160" s="173">
        <f t="shared" si="405"/>
        <v>0.51086956521739135</v>
      </c>
      <c r="EA160" s="5">
        <f t="shared" si="406"/>
        <v>140.28368794326241</v>
      </c>
      <c r="EB160" s="5">
        <f t="shared" si="407"/>
        <v>0.51956921460467564</v>
      </c>
      <c r="EC160" s="5">
        <f t="shared" si="408"/>
        <v>0.99491977264725051</v>
      </c>
      <c r="ED160" s="5"/>
      <c r="EE160" s="173">
        <f t="shared" si="409"/>
        <v>1.1577947027344972</v>
      </c>
      <c r="EF160" s="173">
        <f t="shared" si="410"/>
        <v>4.5315719245576647</v>
      </c>
      <c r="EG160" s="173">
        <f t="shared" si="411"/>
        <v>8.6344816400355531E-2</v>
      </c>
      <c r="EH160" s="173"/>
      <c r="EI160" s="528">
        <f t="shared" si="412"/>
        <v>1.6353960598896766E-2</v>
      </c>
      <c r="EJ160" s="528">
        <f t="shared" si="413"/>
        <v>0.56400000000000006</v>
      </c>
      <c r="EK160" s="528">
        <f t="shared" si="414"/>
        <v>3.4140834505649101E-2</v>
      </c>
      <c r="EL160" s="528">
        <f t="shared" si="415"/>
        <v>3.6987906976744186E-2</v>
      </c>
      <c r="EM160">
        <f t="shared" si="416"/>
        <v>8.0999999999999996E-3</v>
      </c>
      <c r="EN160" s="460">
        <f t="shared" si="417"/>
        <v>42.240834505649097</v>
      </c>
      <c r="EP160" s="460">
        <f t="shared" si="439"/>
        <v>659.58270208128999</v>
      </c>
      <c r="EQ160" s="173">
        <f t="shared" si="418"/>
        <v>2.0999999999999996</v>
      </c>
      <c r="ER160" s="173">
        <f t="shared" si="475"/>
        <v>2.2187499999999999E-2</v>
      </c>
      <c r="ES160" s="528"/>
      <c r="EU160" s="460">
        <f t="shared" si="420"/>
        <v>2122.1874999999995</v>
      </c>
      <c r="EV160" s="528">
        <f t="shared" si="421"/>
        <v>4.0214657210401884E-2</v>
      </c>
      <c r="EW160" s="528">
        <f t="shared" si="422"/>
        <v>0.61605432322317777</v>
      </c>
      <c r="EX160" s="528">
        <f t="shared" si="423"/>
        <v>3.7277136596055528E-5</v>
      </c>
      <c r="EY160" s="528">
        <f t="shared" si="424"/>
        <v>0.81278041177063221</v>
      </c>
      <c r="EZ160" s="528"/>
      <c r="FA160" s="625">
        <f t="shared" si="425"/>
        <v>5.3750000000000006E-2</v>
      </c>
      <c r="FB160" s="460">
        <f t="shared" si="426"/>
        <v>1522.8366693408079</v>
      </c>
      <c r="FC160" s="173">
        <f t="shared" si="427"/>
        <v>4.3046068714220969</v>
      </c>
      <c r="FD160" s="5">
        <f t="shared" si="428"/>
        <v>12.9</v>
      </c>
      <c r="FE160" s="173">
        <f t="shared" si="429"/>
        <v>0.74979917276852681</v>
      </c>
      <c r="FF160" s="5">
        <f t="shared" si="430"/>
        <v>74.979917276852674</v>
      </c>
      <c r="FG160">
        <f t="shared" si="431"/>
        <v>50</v>
      </c>
      <c r="FI160" s="562">
        <f t="shared" si="432"/>
        <v>-50</v>
      </c>
      <c r="FJ160">
        <f t="shared" si="433"/>
        <v>-50</v>
      </c>
    </row>
    <row r="161" spans="5:166">
      <c r="E161" s="170">
        <v>51</v>
      </c>
      <c r="F161" s="217">
        <f t="shared" si="476"/>
        <v>3.06</v>
      </c>
      <c r="G161" s="217">
        <f t="shared" si="444"/>
        <v>5.1000000000000004E-2</v>
      </c>
      <c r="H161" s="217">
        <f t="shared" si="445"/>
        <v>12.24</v>
      </c>
      <c r="I161" s="217">
        <f t="shared" si="446"/>
        <v>0.91800000000000004</v>
      </c>
      <c r="J161" s="541">
        <f t="shared" si="447"/>
        <v>17.917829729119973</v>
      </c>
      <c r="K161" s="443">
        <f t="shared" si="448"/>
        <v>19.550720000000002</v>
      </c>
      <c r="L161" s="172">
        <f t="shared" si="449"/>
        <v>37.468549729119971</v>
      </c>
      <c r="M161" s="443"/>
      <c r="N161" s="217">
        <f t="shared" si="450"/>
        <v>0.52179014510416155</v>
      </c>
      <c r="O161" s="172">
        <f t="shared" si="451"/>
        <v>28.990223176152465</v>
      </c>
      <c r="P161" s="172">
        <f t="shared" si="452"/>
        <v>2.3373367435772927</v>
      </c>
      <c r="Q161" s="217">
        <f t="shared" si="322"/>
        <v>7.2475557940381163</v>
      </c>
      <c r="R161" s="217">
        <f t="shared" si="453"/>
        <v>1.6105679542306925</v>
      </c>
      <c r="S161" s="217">
        <f t="shared" si="454"/>
        <v>4</v>
      </c>
      <c r="T161" s="217">
        <f t="shared" si="455"/>
        <v>2.8147420426595628</v>
      </c>
      <c r="U161" s="217">
        <f t="shared" si="326"/>
        <v>1.8851002059150437</v>
      </c>
      <c r="V161" s="217">
        <f t="shared" si="327"/>
        <v>1.7276552736633102</v>
      </c>
      <c r="W161" s="197">
        <f t="shared" si="328"/>
        <v>350</v>
      </c>
      <c r="X161" s="443">
        <f t="shared" si="435"/>
        <v>262.2775064795365</v>
      </c>
      <c r="Z161" s="217">
        <f t="shared" si="329"/>
        <v>2.2260349938831356</v>
      </c>
      <c r="AA161" s="173">
        <f t="shared" si="330"/>
        <v>1.3663138711309673</v>
      </c>
      <c r="AB161" s="173">
        <f t="shared" si="456"/>
        <v>1.9804872026379778</v>
      </c>
      <c r="AC161" s="173"/>
      <c r="AD161" s="173">
        <f t="shared" si="332"/>
        <v>0.81838418227052512</v>
      </c>
      <c r="AE161" s="545">
        <f t="shared" si="457"/>
        <v>1402.1531999999997</v>
      </c>
      <c r="AF161" s="528">
        <f t="shared" si="458"/>
        <v>0.76382523678582359</v>
      </c>
      <c r="AH161" s="173">
        <f t="shared" si="459"/>
        <v>2.5031408841122555</v>
      </c>
      <c r="AI161" s="173">
        <f t="shared" si="460"/>
        <v>2.8147420426595628</v>
      </c>
      <c r="AJ161" s="173">
        <f t="shared" si="461"/>
        <v>2.2973397846860957</v>
      </c>
      <c r="AL161" s="545">
        <f t="shared" si="462"/>
        <v>3060</v>
      </c>
      <c r="AM161" s="460">
        <f t="shared" si="463"/>
        <v>262.2775064795365</v>
      </c>
      <c r="AO161">
        <f t="shared" si="340"/>
        <v>3060</v>
      </c>
      <c r="AP161">
        <f t="shared" si="341"/>
        <v>262.2775064795365</v>
      </c>
      <c r="AR161" s="5">
        <f t="shared" si="443"/>
        <v>3.8127554795783536</v>
      </c>
      <c r="AS161" s="5">
        <f t="shared" si="440"/>
        <v>1.8851002059150437</v>
      </c>
      <c r="AT161" s="5">
        <f t="shared" si="441"/>
        <v>1.9276552736633099</v>
      </c>
      <c r="AU161" s="173">
        <f t="shared" si="442"/>
        <v>0.49441938147145847</v>
      </c>
      <c r="AW161" s="5">
        <f t="shared" si="342"/>
        <v>144.21016575250084</v>
      </c>
      <c r="AX161" s="5">
        <f t="shared" si="343"/>
        <v>0.53411172500926241</v>
      </c>
      <c r="AY161" s="5">
        <f t="shared" si="344"/>
        <v>1.0973473957848272</v>
      </c>
      <c r="AZ161" s="5"/>
      <c r="BA161" s="173">
        <f t="shared" si="345"/>
        <v>1.1426828680577867</v>
      </c>
      <c r="BB161" s="173">
        <f t="shared" si="346"/>
        <v>4.6220343895198468</v>
      </c>
      <c r="BC161" s="173">
        <f t="shared" si="347"/>
        <v>8.8068493097607906E-2</v>
      </c>
      <c r="BD161" s="173"/>
      <c r="BE161" s="528">
        <f t="shared" si="348"/>
        <v>1.5929834470823783E-2</v>
      </c>
      <c r="BF161" s="528">
        <f t="shared" si="464"/>
        <v>0.51864214131805042</v>
      </c>
      <c r="BG161" s="528">
        <f t="shared" si="465"/>
        <v>0.11748609257196238</v>
      </c>
      <c r="BH161" s="528">
        <f t="shared" si="351"/>
        <v>3.6820935051381544E-2</v>
      </c>
      <c r="BI161">
        <f t="shared" si="352"/>
        <v>8.0630233781039881E-3</v>
      </c>
      <c r="BJ161" s="460">
        <f t="shared" si="436"/>
        <v>125.54911595006638</v>
      </c>
      <c r="BK161">
        <f t="shared" si="466"/>
        <v>0.57788120528928644</v>
      </c>
      <c r="BL161" s="460">
        <f t="shared" si="437"/>
        <v>696.94202679032207</v>
      </c>
      <c r="BM161" s="173">
        <f t="shared" si="467"/>
        <v>1.9010249999999997</v>
      </c>
      <c r="BN161" s="173">
        <f t="shared" si="468"/>
        <v>3.1683750000000004E-2</v>
      </c>
      <c r="BO161" s="528"/>
      <c r="BQ161" s="460">
        <f t="shared" si="356"/>
        <v>1932.7087499999998</v>
      </c>
      <c r="BR161" s="528">
        <f t="shared" si="357"/>
        <v>3.9171724108583078E-2</v>
      </c>
      <c r="BS161" s="528">
        <f t="shared" si="358"/>
        <v>0.64089605693712304</v>
      </c>
      <c r="BT161" s="528">
        <f t="shared" si="359"/>
        <v>3.8780297382417057E-5</v>
      </c>
      <c r="BU161" s="528">
        <f t="shared" si="360"/>
        <v>0.74040461945280955</v>
      </c>
      <c r="BV161" s="528"/>
      <c r="BW161" s="625">
        <f t="shared" si="469"/>
        <v>5.1949127141451883E-2</v>
      </c>
      <c r="BX161" s="460">
        <f t="shared" si="362"/>
        <v>1472.4603079373499</v>
      </c>
      <c r="BY161" s="173">
        <f t="shared" si="363"/>
        <v>4.1021110847276709</v>
      </c>
      <c r="BZ161" s="5">
        <f t="shared" si="364"/>
        <v>13.157999999999999</v>
      </c>
      <c r="CA161" s="173">
        <f t="shared" si="365"/>
        <v>0.76233576570910044</v>
      </c>
      <c r="CB161" s="5">
        <f t="shared" si="366"/>
        <v>76.233576570910046</v>
      </c>
      <c r="CC161">
        <f t="shared" si="367"/>
        <v>51</v>
      </c>
      <c r="CE161" s="562">
        <f t="shared" si="470"/>
        <v>-50</v>
      </c>
      <c r="CF161">
        <f t="shared" si="471"/>
        <v>-50</v>
      </c>
      <c r="CG161" s="173">
        <f t="shared" si="370"/>
        <v>0.48913043478260865</v>
      </c>
      <c r="CH161" s="173">
        <f t="shared" si="472"/>
        <v>0.13097870664369976</v>
      </c>
      <c r="CI161" s="170">
        <v>51</v>
      </c>
      <c r="CJ161" s="217">
        <f t="shared" si="438"/>
        <v>3.06</v>
      </c>
      <c r="CK161" s="217">
        <f t="shared" si="372"/>
        <v>5.1000000000000004E-2</v>
      </c>
      <c r="CL161" s="217">
        <f t="shared" si="373"/>
        <v>12.24</v>
      </c>
      <c r="CM161" s="217">
        <f t="shared" si="374"/>
        <v>0.91800000000000004</v>
      </c>
      <c r="CN161" s="541">
        <f t="shared" si="375"/>
        <v>18</v>
      </c>
      <c r="CO161" s="443">
        <f t="shared" si="473"/>
        <v>18.8</v>
      </c>
      <c r="CP161" s="443">
        <f t="shared" si="474"/>
        <v>36.799999999999997</v>
      </c>
      <c r="CQ161" s="443"/>
      <c r="CR161" s="217">
        <f t="shared" si="378"/>
        <v>0.51086956521739135</v>
      </c>
      <c r="CS161" s="172">
        <f t="shared" si="379"/>
        <v>28.513650151668358</v>
      </c>
      <c r="CT161" s="172">
        <f t="shared" si="380"/>
        <v>2.2989130434782612</v>
      </c>
      <c r="CU161" s="217">
        <f t="shared" si="381"/>
        <v>7.1284125379170895</v>
      </c>
      <c r="CV161" s="217">
        <f t="shared" si="382"/>
        <v>1.5840916750926866</v>
      </c>
      <c r="CW161" s="217">
        <f t="shared" si="383"/>
        <v>4</v>
      </c>
      <c r="CX161" s="217">
        <f t="shared" si="384"/>
        <v>2.8617872340425525</v>
      </c>
      <c r="CY161" s="217">
        <f t="shared" si="385"/>
        <v>1.9078581560283683</v>
      </c>
      <c r="CZ161" s="217">
        <f t="shared" si="386"/>
        <v>1.8266727025803526</v>
      </c>
      <c r="DA161" s="197">
        <f t="shared" si="387"/>
        <v>350</v>
      </c>
      <c r="DB161" s="443">
        <f t="shared" si="388"/>
        <v>267.77125102469887</v>
      </c>
      <c r="DD161" s="217">
        <f t="shared" si="389"/>
        <v>2.18944099378882</v>
      </c>
      <c r="DE161" s="173">
        <f t="shared" si="390"/>
        <v>1.3975155279503106</v>
      </c>
      <c r="DF161" s="173">
        <f t="shared" si="391"/>
        <v>1.9924134422749624</v>
      </c>
      <c r="DG161" s="173"/>
      <c r="DH161" s="173">
        <f t="shared" si="392"/>
        <v>0.85106382978723416</v>
      </c>
      <c r="DI161" s="545">
        <f t="shared" si="393"/>
        <v>1348.3124999999998</v>
      </c>
      <c r="DJ161" s="528">
        <f t="shared" si="394"/>
        <v>0.79432624113475192</v>
      </c>
      <c r="DL161" s="173">
        <f t="shared" si="395"/>
        <v>2.5031408841122555</v>
      </c>
      <c r="DM161" s="173">
        <f t="shared" si="396"/>
        <v>2.8617872340425525</v>
      </c>
      <c r="DN161" s="173">
        <f t="shared" si="397"/>
        <v>2.3321880745994212</v>
      </c>
      <c r="DP161" s="545">
        <f t="shared" si="398"/>
        <v>3060</v>
      </c>
      <c r="DQ161" s="460">
        <f t="shared" si="399"/>
        <v>267.77125102469887</v>
      </c>
      <c r="DS161">
        <f t="shared" si="400"/>
        <v>3060</v>
      </c>
      <c r="DT161">
        <f t="shared" si="401"/>
        <v>267.77125102469887</v>
      </c>
      <c r="DV161" s="5">
        <f t="shared" si="402"/>
        <v>3.7345308586087209</v>
      </c>
      <c r="DW161" s="5">
        <f t="shared" si="403"/>
        <v>1.9078581560283683</v>
      </c>
      <c r="DX161" s="5">
        <f t="shared" si="404"/>
        <v>1.8266727025803526</v>
      </c>
      <c r="DY161" s="173">
        <f t="shared" si="405"/>
        <v>0.51086956521739135</v>
      </c>
      <c r="EA161" s="5">
        <f t="shared" si="406"/>
        <v>145.95114893617017</v>
      </c>
      <c r="EB161" s="5">
        <f t="shared" si="407"/>
        <v>0.54055981087470428</v>
      </c>
      <c r="EC161" s="5">
        <f t="shared" si="408"/>
        <v>1.0351145314621997</v>
      </c>
      <c r="ED161" s="5"/>
      <c r="EE161" s="173">
        <f t="shared" si="409"/>
        <v>1.1809505967891871</v>
      </c>
      <c r="EF161" s="173">
        <f t="shared" si="410"/>
        <v>4.6222033630488175</v>
      </c>
      <c r="EG161" s="173">
        <f t="shared" si="411"/>
        <v>8.8071712728362603E-2</v>
      </c>
      <c r="EH161" s="173"/>
      <c r="EI161" s="528">
        <f t="shared" si="412"/>
        <v>1.7014660607092193E-2</v>
      </c>
      <c r="EJ161" s="528">
        <f t="shared" si="413"/>
        <v>0.56400000000000006</v>
      </c>
      <c r="EK161" s="528">
        <f t="shared" si="414"/>
        <v>3.3471406378087355E-2</v>
      </c>
      <c r="EL161" s="528">
        <f t="shared" si="415"/>
        <v>3.6262653898768815E-2</v>
      </c>
      <c r="EM161">
        <f t="shared" si="416"/>
        <v>8.0999999999999996E-3</v>
      </c>
      <c r="EN161" s="460">
        <f t="shared" si="417"/>
        <v>41.57140637808736</v>
      </c>
      <c r="EP161" s="460">
        <f t="shared" si="439"/>
        <v>658.84872088394843</v>
      </c>
      <c r="EQ161" s="173">
        <f t="shared" si="418"/>
        <v>2.1419999999999999</v>
      </c>
      <c r="ER161" s="173">
        <f t="shared" si="475"/>
        <v>2.2631250000000002E-2</v>
      </c>
      <c r="ES161" s="528"/>
      <c r="EU161" s="460">
        <f t="shared" si="420"/>
        <v>2164.6312499999999</v>
      </c>
      <c r="EV161" s="528">
        <f t="shared" si="421"/>
        <v>4.1839329361702121E-2</v>
      </c>
      <c r="EW161" s="528">
        <f t="shared" si="422"/>
        <v>0.6409429178813939</v>
      </c>
      <c r="EX161" s="528">
        <f t="shared" si="423"/>
        <v>3.8783132914536139E-5</v>
      </c>
      <c r="EY161" s="528">
        <f t="shared" si="424"/>
        <v>0.81278041177063176</v>
      </c>
      <c r="EZ161" s="528"/>
      <c r="FA161" s="625">
        <f t="shared" si="425"/>
        <v>5.4824999999999992E-2</v>
      </c>
      <c r="FB161" s="460">
        <f t="shared" si="426"/>
        <v>1550.4264421466421</v>
      </c>
      <c r="FC161" s="173">
        <f t="shared" si="427"/>
        <v>4.3739064130305909</v>
      </c>
      <c r="FD161" s="5">
        <f t="shared" si="428"/>
        <v>13.157999999999999</v>
      </c>
      <c r="FE161" s="173">
        <f t="shared" si="429"/>
        <v>0.75051735333359504</v>
      </c>
      <c r="FF161" s="5">
        <f t="shared" si="430"/>
        <v>75.051735333359503</v>
      </c>
      <c r="FG161">
        <f t="shared" si="431"/>
        <v>51</v>
      </c>
      <c r="FI161" s="562">
        <f t="shared" si="432"/>
        <v>-50</v>
      </c>
      <c r="FJ161">
        <f t="shared" si="433"/>
        <v>-50</v>
      </c>
    </row>
    <row r="162" spans="5:166">
      <c r="E162" s="170">
        <v>52</v>
      </c>
      <c r="F162" s="217">
        <f t="shared" si="476"/>
        <v>3.12</v>
      </c>
      <c r="G162" s="217">
        <f t="shared" si="444"/>
        <v>5.2000000000000005E-2</v>
      </c>
      <c r="H162" s="217">
        <f t="shared" si="445"/>
        <v>12.48</v>
      </c>
      <c r="I162" s="217">
        <f t="shared" si="446"/>
        <v>0.93600000000000005</v>
      </c>
      <c r="J162" s="541">
        <f t="shared" si="447"/>
        <v>17.916218547338012</v>
      </c>
      <c r="K162" s="443">
        <f t="shared" si="448"/>
        <v>19.565440000000002</v>
      </c>
      <c r="L162" s="172">
        <f t="shared" si="449"/>
        <v>37.481658547338014</v>
      </c>
      <c r="M162" s="443"/>
      <c r="N162" s="217">
        <f t="shared" si="450"/>
        <v>0.52200037987351977</v>
      </c>
      <c r="O162" s="172">
        <f t="shared" si="451"/>
        <v>28.999295775526953</v>
      </c>
      <c r="P162" s="172">
        <f t="shared" si="452"/>
        <v>2.3380682219018607</v>
      </c>
      <c r="Q162" s="217">
        <f t="shared" si="322"/>
        <v>7.2498239438817382</v>
      </c>
      <c r="R162" s="217">
        <f t="shared" si="453"/>
        <v>1.6110719875292752</v>
      </c>
      <c r="S162" s="217">
        <f t="shared" si="454"/>
        <v>4</v>
      </c>
      <c r="T162" s="217">
        <f t="shared" si="455"/>
        <v>2.869035187751491</v>
      </c>
      <c r="U162" s="217">
        <f t="shared" si="326"/>
        <v>1.9216344209048097</v>
      </c>
      <c r="V162" s="217">
        <f t="shared" si="327"/>
        <v>1.7596548941918961</v>
      </c>
      <c r="W162" s="197">
        <f t="shared" si="328"/>
        <v>350</v>
      </c>
      <c r="X162" s="443">
        <f t="shared" si="435"/>
        <v>257.64634347416177</v>
      </c>
      <c r="Z162" s="217">
        <f t="shared" si="329"/>
        <v>2.226731639906534</v>
      </c>
      <c r="AA162" s="173">
        <f t="shared" si="330"/>
        <v>1.3657132003613721</v>
      </c>
      <c r="AB162" s="173">
        <f t="shared" si="456"/>
        <v>1.9802360520910469</v>
      </c>
      <c r="AC162" s="173"/>
      <c r="AD162" s="173">
        <f t="shared" si="332"/>
        <v>0.81776847338981384</v>
      </c>
      <c r="AE162" s="545">
        <f t="shared" si="457"/>
        <v>1430.7227999999998</v>
      </c>
      <c r="AF162" s="528">
        <f t="shared" si="458"/>
        <v>0.76325057516382644</v>
      </c>
      <c r="AH162" s="173">
        <f t="shared" si="459"/>
        <v>2.5275623490967396</v>
      </c>
      <c r="AI162" s="173">
        <f t="shared" si="460"/>
        <v>2.869035187751491</v>
      </c>
      <c r="AJ162" s="173">
        <f t="shared" si="461"/>
        <v>2.3375569291986351</v>
      </c>
      <c r="AL162" s="545">
        <f t="shared" si="462"/>
        <v>3120</v>
      </c>
      <c r="AM162" s="460">
        <f t="shared" si="463"/>
        <v>257.64634347416177</v>
      </c>
      <c r="AO162">
        <f t="shared" si="340"/>
        <v>3120</v>
      </c>
      <c r="AP162">
        <f t="shared" si="341"/>
        <v>257.64634347416177</v>
      </c>
      <c r="AR162" s="5">
        <f t="shared" si="443"/>
        <v>3.8812893150967063</v>
      </c>
      <c r="AS162" s="5">
        <f t="shared" si="440"/>
        <v>1.9216344209048097</v>
      </c>
      <c r="AT162" s="5">
        <f t="shared" si="441"/>
        <v>1.9596548941918965</v>
      </c>
      <c r="AU162" s="173">
        <f t="shared" si="442"/>
        <v>0.4951020820402125</v>
      </c>
      <c r="AW162" s="5">
        <f t="shared" si="342"/>
        <v>149.88748483057518</v>
      </c>
      <c r="AX162" s="5">
        <f t="shared" si="343"/>
        <v>0.55513883270583397</v>
      </c>
      <c r="AY162" s="5">
        <f t="shared" si="344"/>
        <v>1.1375397573850115</v>
      </c>
      <c r="AZ162" s="5"/>
      <c r="BA162" s="173">
        <f t="shared" si="345"/>
        <v>1.1655277651568796</v>
      </c>
      <c r="BB162" s="173">
        <f t="shared" si="346"/>
        <v>4.7080062274110404</v>
      </c>
      <c r="BC162" s="173">
        <f t="shared" si="347"/>
        <v>8.9706605143913057E-2</v>
      </c>
      <c r="BD162" s="173"/>
      <c r="BE162" s="528">
        <f t="shared" si="348"/>
        <v>1.65731506504894E-2</v>
      </c>
      <c r="BF162" s="528">
        <f t="shared" si="464"/>
        <v>0.5194932753208702</v>
      </c>
      <c r="BG162" s="528">
        <f t="shared" si="465"/>
        <v>0.11540120494013992</v>
      </c>
      <c r="BH162" s="528">
        <f t="shared" si="351"/>
        <v>3.6196083656913194E-2</v>
      </c>
      <c r="BI162">
        <f t="shared" si="352"/>
        <v>8.0622983463021058E-3</v>
      </c>
      <c r="BJ162" s="460">
        <f t="shared" si="436"/>
        <v>123.46350328644202</v>
      </c>
      <c r="BK162">
        <f t="shared" si="466"/>
        <v>0.57901730340516611</v>
      </c>
      <c r="BL162" s="460">
        <f t="shared" si="437"/>
        <v>695.72601291471483</v>
      </c>
      <c r="BM162" s="173">
        <f t="shared" si="467"/>
        <v>1.9382999999999997</v>
      </c>
      <c r="BN162" s="173">
        <f t="shared" si="468"/>
        <v>3.2305E-2</v>
      </c>
      <c r="BO162" s="528"/>
      <c r="BQ162" s="460">
        <f t="shared" si="356"/>
        <v>1970.6049999999998</v>
      </c>
      <c r="BR162" s="528">
        <f t="shared" si="357"/>
        <v>4.0753649140547708E-2</v>
      </c>
      <c r="BS162" s="528">
        <f t="shared" si="358"/>
        <v>0.66495967912023413</v>
      </c>
      <c r="BT162" s="528">
        <f t="shared" si="359"/>
        <v>4.0236375032229642E-5</v>
      </c>
      <c r="BU162" s="528">
        <f t="shared" si="360"/>
        <v>0.74279615931138943</v>
      </c>
      <c r="BV162" s="528"/>
      <c r="BW162" s="625">
        <f t="shared" si="469"/>
        <v>5.3019513879958874E-2</v>
      </c>
      <c r="BX162" s="460">
        <f t="shared" si="362"/>
        <v>1501.5692378271624</v>
      </c>
      <c r="BY162" s="173">
        <f t="shared" si="363"/>
        <v>4.1679002507418774</v>
      </c>
      <c r="BZ162" s="5">
        <f t="shared" si="364"/>
        <v>13.416</v>
      </c>
      <c r="CA162" s="173">
        <f t="shared" si="365"/>
        <v>0.76297066115544931</v>
      </c>
      <c r="CB162" s="5">
        <f t="shared" si="366"/>
        <v>76.297066115544936</v>
      </c>
      <c r="CC162">
        <f t="shared" si="367"/>
        <v>52</v>
      </c>
      <c r="CE162" s="562">
        <f t="shared" si="470"/>
        <v>-50</v>
      </c>
      <c r="CF162">
        <f t="shared" si="471"/>
        <v>-50</v>
      </c>
      <c r="CG162" s="173">
        <f t="shared" si="370"/>
        <v>0.48913043478260876</v>
      </c>
      <c r="CH162" s="173">
        <f t="shared" si="472"/>
        <v>0.13097870664369973</v>
      </c>
      <c r="CI162" s="170">
        <v>52</v>
      </c>
      <c r="CJ162" s="217">
        <f t="shared" si="438"/>
        <v>3.12</v>
      </c>
      <c r="CK162" s="217">
        <f t="shared" si="372"/>
        <v>5.2000000000000005E-2</v>
      </c>
      <c r="CL162" s="217">
        <f t="shared" si="373"/>
        <v>12.48</v>
      </c>
      <c r="CM162" s="217">
        <f t="shared" si="374"/>
        <v>0.93600000000000005</v>
      </c>
      <c r="CN162" s="541">
        <f t="shared" si="375"/>
        <v>18</v>
      </c>
      <c r="CO162" s="443">
        <f t="shared" si="473"/>
        <v>18.8</v>
      </c>
      <c r="CP162" s="443">
        <f t="shared" si="474"/>
        <v>36.799999999999997</v>
      </c>
      <c r="CQ162" s="443"/>
      <c r="CR162" s="217">
        <f t="shared" si="378"/>
        <v>0.51086956521739135</v>
      </c>
      <c r="CS162" s="172">
        <f t="shared" si="379"/>
        <v>28.513650151668358</v>
      </c>
      <c r="CT162" s="172">
        <f t="shared" si="380"/>
        <v>2.2989130434782612</v>
      </c>
      <c r="CU162" s="217">
        <f t="shared" si="381"/>
        <v>7.1284125379170895</v>
      </c>
      <c r="CV162" s="217">
        <f t="shared" si="382"/>
        <v>1.5840916750926866</v>
      </c>
      <c r="CW162" s="217">
        <f t="shared" si="383"/>
        <v>4</v>
      </c>
      <c r="CX162" s="217">
        <f t="shared" si="384"/>
        <v>2.9179007092198579</v>
      </c>
      <c r="CY162" s="217">
        <f t="shared" si="385"/>
        <v>1.9452671394799053</v>
      </c>
      <c r="CZ162" s="217">
        <f t="shared" si="386"/>
        <v>1.8624898143956541</v>
      </c>
      <c r="DA162" s="197">
        <f t="shared" si="387"/>
        <v>350</v>
      </c>
      <c r="DB162" s="443">
        <f t="shared" si="388"/>
        <v>262.62180388960843</v>
      </c>
      <c r="DD162" s="217">
        <f t="shared" si="389"/>
        <v>2.18944099378882</v>
      </c>
      <c r="DE162" s="173">
        <f t="shared" si="390"/>
        <v>1.3975155279503106</v>
      </c>
      <c r="DF162" s="173">
        <f t="shared" si="391"/>
        <v>1.9924134422749624</v>
      </c>
      <c r="DG162" s="173"/>
      <c r="DH162" s="173">
        <f t="shared" si="392"/>
        <v>0.85106382978723416</v>
      </c>
      <c r="DI162" s="545">
        <f t="shared" si="393"/>
        <v>1374.7499999999998</v>
      </c>
      <c r="DJ162" s="528">
        <f t="shared" si="394"/>
        <v>0.79432624113475192</v>
      </c>
      <c r="DL162" s="173">
        <f t="shared" si="395"/>
        <v>2.5275623490967396</v>
      </c>
      <c r="DM162" s="173">
        <f t="shared" si="396"/>
        <v>2.9179007092198579</v>
      </c>
      <c r="DN162" s="173">
        <f t="shared" si="397"/>
        <v>2.3737536117677958</v>
      </c>
      <c r="DP162" s="545">
        <f t="shared" si="398"/>
        <v>3120</v>
      </c>
      <c r="DQ162" s="460">
        <f t="shared" si="399"/>
        <v>262.62180388960843</v>
      </c>
      <c r="DS162">
        <f t="shared" si="400"/>
        <v>3120</v>
      </c>
      <c r="DT162">
        <f t="shared" si="401"/>
        <v>262.62180388960843</v>
      </c>
      <c r="DV162" s="5">
        <f t="shared" si="402"/>
        <v>3.8077569538755593</v>
      </c>
      <c r="DW162" s="5">
        <f t="shared" si="403"/>
        <v>1.9452671394799053</v>
      </c>
      <c r="DX162" s="5">
        <f t="shared" si="404"/>
        <v>1.8624898143956541</v>
      </c>
      <c r="DY162" s="173">
        <f t="shared" si="405"/>
        <v>0.51086956521739124</v>
      </c>
      <c r="EA162" s="5">
        <f t="shared" si="406"/>
        <v>151.73083687943262</v>
      </c>
      <c r="EB162" s="5">
        <f t="shared" si="407"/>
        <v>0.56196606251641723</v>
      </c>
      <c r="EC162" s="5">
        <f t="shared" si="408"/>
        <v>1.0761052260952668</v>
      </c>
      <c r="ED162" s="5"/>
      <c r="EE162" s="173">
        <f t="shared" si="409"/>
        <v>1.204106490843877</v>
      </c>
      <c r="EF162" s="173">
        <f t="shared" si="410"/>
        <v>4.7128348015399721</v>
      </c>
      <c r="EG162" s="173">
        <f t="shared" si="411"/>
        <v>8.9798609056369744E-2</v>
      </c>
      <c r="EH162" s="173"/>
      <c r="EI162" s="528">
        <f t="shared" si="412"/>
        <v>1.7688443783766737E-2</v>
      </c>
      <c r="EJ162" s="528">
        <f t="shared" si="413"/>
        <v>0.56399999999999995</v>
      </c>
      <c r="EK162" s="528">
        <f t="shared" si="414"/>
        <v>3.2827725486201054E-2</v>
      </c>
      <c r="EL162" s="528">
        <f t="shared" si="415"/>
        <v>3.5565295169946332E-2</v>
      </c>
      <c r="EM162">
        <f t="shared" si="416"/>
        <v>8.0999999999999996E-3</v>
      </c>
      <c r="EN162" s="460">
        <f t="shared" si="417"/>
        <v>40.927725486201048</v>
      </c>
      <c r="EP162" s="460">
        <f t="shared" si="439"/>
        <v>658.18146443991407</v>
      </c>
      <c r="EQ162" s="173">
        <f t="shared" si="418"/>
        <v>2.1839999999999997</v>
      </c>
      <c r="ER162" s="173">
        <f t="shared" si="475"/>
        <v>2.3075000000000002E-2</v>
      </c>
      <c r="ES162" s="528"/>
      <c r="EU162" s="460">
        <f t="shared" si="420"/>
        <v>2207.0749999999998</v>
      </c>
      <c r="EV162" s="528">
        <f t="shared" si="421"/>
        <v>4.3496173238770669E-2</v>
      </c>
      <c r="EW162" s="528">
        <f t="shared" si="422"/>
        <v>0.66632435599818929</v>
      </c>
      <c r="EX162" s="528">
        <f t="shared" si="423"/>
        <v>4.0318950942293655E-5</v>
      </c>
      <c r="EY162" s="528">
        <f t="shared" si="424"/>
        <v>0.81278041177063143</v>
      </c>
      <c r="EZ162" s="528"/>
      <c r="FA162" s="625">
        <f t="shared" si="425"/>
        <v>5.5899999999999991E-2</v>
      </c>
      <c r="FB162" s="460">
        <f t="shared" si="426"/>
        <v>1578.5412599585336</v>
      </c>
      <c r="FC162" s="173">
        <f t="shared" si="427"/>
        <v>4.4437977243984479</v>
      </c>
      <c r="FD162" s="5">
        <f t="shared" si="428"/>
        <v>13.416</v>
      </c>
      <c r="FE162" s="173">
        <f t="shared" si="429"/>
        <v>0.75118431949944586</v>
      </c>
      <c r="FF162" s="5">
        <f t="shared" si="430"/>
        <v>75.118431949944579</v>
      </c>
      <c r="FG162">
        <f t="shared" si="431"/>
        <v>52</v>
      </c>
      <c r="FI162" s="562">
        <f t="shared" si="432"/>
        <v>-50</v>
      </c>
      <c r="FJ162">
        <f t="shared" si="433"/>
        <v>-50</v>
      </c>
    </row>
    <row r="163" spans="5:166">
      <c r="E163" s="170">
        <v>53</v>
      </c>
      <c r="F163" s="217">
        <f t="shared" si="476"/>
        <v>3.18</v>
      </c>
      <c r="G163" s="217">
        <f t="shared" si="444"/>
        <v>5.3000000000000005E-2</v>
      </c>
      <c r="H163" s="217">
        <f t="shared" si="445"/>
        <v>12.72</v>
      </c>
      <c r="I163" s="217">
        <f t="shared" si="446"/>
        <v>0.95400000000000007</v>
      </c>
      <c r="J163" s="541">
        <f t="shared" si="447"/>
        <v>17.914607365556051</v>
      </c>
      <c r="K163" s="443">
        <f t="shared" si="448"/>
        <v>19.580159999999999</v>
      </c>
      <c r="L163" s="172">
        <f t="shared" si="449"/>
        <v>37.494767365556051</v>
      </c>
      <c r="M163" s="443"/>
      <c r="N163" s="217">
        <f t="shared" si="450"/>
        <v>0.52221046763946566</v>
      </c>
      <c r="O163" s="172">
        <f t="shared" si="451"/>
        <v>29.008358108354855</v>
      </c>
      <c r="P163" s="172">
        <f t="shared" si="452"/>
        <v>2.3387988724861102</v>
      </c>
      <c r="Q163" s="217">
        <f t="shared" si="322"/>
        <v>7.2520895270887138</v>
      </c>
      <c r="R163" s="217">
        <f t="shared" si="453"/>
        <v>1.6115754504641586</v>
      </c>
      <c r="S163" s="217">
        <f t="shared" si="454"/>
        <v>4</v>
      </c>
      <c r="T163" s="217">
        <f t="shared" si="455"/>
        <v>2.9232954062152281</v>
      </c>
      <c r="U163" s="217">
        <f t="shared" si="326"/>
        <v>1.9581531517140176</v>
      </c>
      <c r="V163" s="217">
        <f t="shared" si="327"/>
        <v>1.7915862216949576</v>
      </c>
      <c r="W163" s="197">
        <f t="shared" si="328"/>
        <v>350</v>
      </c>
      <c r="X163" s="443">
        <f t="shared" si="435"/>
        <v>253.1812622200718</v>
      </c>
      <c r="Z163" s="217">
        <f t="shared" si="329"/>
        <v>2.2274274976058193</v>
      </c>
      <c r="AA163" s="173">
        <f t="shared" si="330"/>
        <v>1.3651129496015268</v>
      </c>
      <c r="AB163" s="173">
        <f t="shared" si="456"/>
        <v>1.9799842650196833</v>
      </c>
      <c r="AC163" s="173"/>
      <c r="AD163" s="173">
        <f t="shared" si="332"/>
        <v>0.81715369026606532</v>
      </c>
      <c r="AE163" s="545">
        <f t="shared" si="457"/>
        <v>1459.3337999999997</v>
      </c>
      <c r="AF163" s="528">
        <f t="shared" si="458"/>
        <v>0.76267677758166108</v>
      </c>
      <c r="AH163" s="173">
        <f t="shared" si="459"/>
        <v>2.5517500997214779</v>
      </c>
      <c r="AI163" s="173">
        <f t="shared" si="460"/>
        <v>2.9232954062152281</v>
      </c>
      <c r="AJ163" s="173">
        <f t="shared" si="461"/>
        <v>2.3777496836162184</v>
      </c>
      <c r="AL163" s="545">
        <f t="shared" si="462"/>
        <v>3180</v>
      </c>
      <c r="AM163" s="460">
        <f t="shared" si="463"/>
        <v>253.1812622200718</v>
      </c>
      <c r="AO163">
        <f t="shared" si="340"/>
        <v>3180</v>
      </c>
      <c r="AP163">
        <f t="shared" si="341"/>
        <v>253.1812622200718</v>
      </c>
      <c r="AR163" s="5">
        <f t="shared" si="443"/>
        <v>3.9497393734089754</v>
      </c>
      <c r="AS163" s="5">
        <f t="shared" si="440"/>
        <v>1.9581531517140176</v>
      </c>
      <c r="AT163" s="5">
        <f t="shared" si="441"/>
        <v>1.9915862216949578</v>
      </c>
      <c r="AU163" s="173">
        <f t="shared" si="442"/>
        <v>0.49576768657116677</v>
      </c>
      <c r="AW163" s="5">
        <f t="shared" si="342"/>
        <v>155.67317556126443</v>
      </c>
      <c r="AX163" s="5">
        <f t="shared" si="343"/>
        <v>0.57656731689357199</v>
      </c>
      <c r="AY163" s="5">
        <f t="shared" si="344"/>
        <v>1.1784134320775437</v>
      </c>
      <c r="AZ163" s="5"/>
      <c r="BA163" s="173">
        <f t="shared" si="345"/>
        <v>1.1883686466773273</v>
      </c>
      <c r="BB163" s="173">
        <f t="shared" si="346"/>
        <v>4.7938827190671223</v>
      </c>
      <c r="BC163" s="173">
        <f t="shared" si="347"/>
        <v>9.1342900457900569E-2</v>
      </c>
      <c r="BD163" s="173"/>
      <c r="BE163" s="528">
        <f t="shared" si="348"/>
        <v>1.7229084492949569E-2</v>
      </c>
      <c r="BF163" s="528">
        <f t="shared" si="464"/>
        <v>0.5203268059347782</v>
      </c>
      <c r="BG163" s="528">
        <f t="shared" si="465"/>
        <v>0.1133910726247119</v>
      </c>
      <c r="BH163" s="528">
        <f t="shared" si="351"/>
        <v>3.5593679655470209E-2</v>
      </c>
      <c r="BI163">
        <f t="shared" si="352"/>
        <v>8.0615733145002234E-3</v>
      </c>
      <c r="BJ163" s="460">
        <f t="shared" si="436"/>
        <v>121.45264593921212</v>
      </c>
      <c r="BK163">
        <f t="shared" si="466"/>
        <v>0.58017645089686753</v>
      </c>
      <c r="BL163" s="460">
        <f t="shared" si="437"/>
        <v>694.60221602241018</v>
      </c>
      <c r="BM163" s="173">
        <f t="shared" si="467"/>
        <v>1.9755749999999999</v>
      </c>
      <c r="BN163" s="173">
        <f t="shared" si="468"/>
        <v>3.2926249999999997E-2</v>
      </c>
      <c r="BO163" s="528"/>
      <c r="BQ163" s="460">
        <f t="shared" si="356"/>
        <v>2008.5012499999996</v>
      </c>
      <c r="BR163" s="528">
        <f t="shared" si="357"/>
        <v>4.2366601212171069E-2</v>
      </c>
      <c r="BS163" s="528">
        <f t="shared" si="358"/>
        <v>0.68943934572511156</v>
      </c>
      <c r="BT163" s="528">
        <f t="shared" si="359"/>
        <v>4.1717627320309658E-5</v>
      </c>
      <c r="BU163" s="528">
        <f t="shared" si="360"/>
        <v>0.74512762756518658</v>
      </c>
      <c r="BV163" s="528"/>
      <c r="BW163" s="625">
        <f t="shared" si="469"/>
        <v>5.4089999517002281E-2</v>
      </c>
      <c r="BX163" s="460">
        <f t="shared" si="362"/>
        <v>1531.065291646792</v>
      </c>
      <c r="BY163" s="173">
        <f t="shared" si="363"/>
        <v>4.2341687576692006</v>
      </c>
      <c r="BZ163" s="5">
        <f t="shared" si="364"/>
        <v>13.674000000000001</v>
      </c>
      <c r="CA163" s="173">
        <f t="shared" si="365"/>
        <v>0.76356215898088908</v>
      </c>
      <c r="CB163" s="5">
        <f t="shared" si="366"/>
        <v>76.356215898088905</v>
      </c>
      <c r="CC163">
        <f t="shared" si="367"/>
        <v>53</v>
      </c>
      <c r="CE163" s="562">
        <f t="shared" si="470"/>
        <v>-50</v>
      </c>
      <c r="CF163">
        <f t="shared" si="471"/>
        <v>-50</v>
      </c>
      <c r="CG163" s="173">
        <f t="shared" si="370"/>
        <v>0.48913043478260865</v>
      </c>
      <c r="CH163" s="173">
        <f t="shared" si="472"/>
        <v>0.13097870664369976</v>
      </c>
      <c r="CI163" s="170">
        <v>53</v>
      </c>
      <c r="CJ163" s="217">
        <f t="shared" si="438"/>
        <v>3.18</v>
      </c>
      <c r="CK163" s="217">
        <f t="shared" si="372"/>
        <v>5.3000000000000005E-2</v>
      </c>
      <c r="CL163" s="217">
        <f t="shared" si="373"/>
        <v>12.72</v>
      </c>
      <c r="CM163" s="217">
        <f t="shared" si="374"/>
        <v>0.95400000000000007</v>
      </c>
      <c r="CN163" s="541">
        <f t="shared" si="375"/>
        <v>18</v>
      </c>
      <c r="CO163" s="443">
        <f t="shared" si="473"/>
        <v>18.8</v>
      </c>
      <c r="CP163" s="443">
        <f t="shared" si="474"/>
        <v>36.799999999999997</v>
      </c>
      <c r="CQ163" s="443"/>
      <c r="CR163" s="217">
        <f t="shared" si="378"/>
        <v>0.51086956521739135</v>
      </c>
      <c r="CS163" s="172">
        <f t="shared" si="379"/>
        <v>28.513650151668358</v>
      </c>
      <c r="CT163" s="172">
        <f t="shared" si="380"/>
        <v>2.2989130434782612</v>
      </c>
      <c r="CU163" s="217">
        <f t="shared" si="381"/>
        <v>7.1284125379170895</v>
      </c>
      <c r="CV163" s="217">
        <f t="shared" si="382"/>
        <v>1.5840916750926866</v>
      </c>
      <c r="CW163" s="217">
        <f t="shared" si="383"/>
        <v>4</v>
      </c>
      <c r="CX163" s="217">
        <f t="shared" si="384"/>
        <v>2.9740141843971628</v>
      </c>
      <c r="CY163" s="217">
        <f t="shared" si="385"/>
        <v>1.982676122931442</v>
      </c>
      <c r="CZ163" s="217">
        <f t="shared" si="386"/>
        <v>1.8983069262109551</v>
      </c>
      <c r="DA163" s="197">
        <f t="shared" si="387"/>
        <v>350</v>
      </c>
      <c r="DB163" s="443">
        <f t="shared" si="388"/>
        <v>257.66667551433284</v>
      </c>
      <c r="DD163" s="217">
        <f t="shared" si="389"/>
        <v>2.18944099378882</v>
      </c>
      <c r="DE163" s="173">
        <f t="shared" si="390"/>
        <v>1.3975155279503106</v>
      </c>
      <c r="DF163" s="173">
        <f t="shared" si="391"/>
        <v>1.9924134422749624</v>
      </c>
      <c r="DG163" s="173"/>
      <c r="DH163" s="173">
        <f t="shared" si="392"/>
        <v>0.85106382978723416</v>
      </c>
      <c r="DI163" s="545">
        <f t="shared" si="393"/>
        <v>1401.1874999999998</v>
      </c>
      <c r="DJ163" s="528">
        <f t="shared" si="394"/>
        <v>0.79432624113475192</v>
      </c>
      <c r="DL163" s="173">
        <f t="shared" si="395"/>
        <v>2.5517500997214779</v>
      </c>
      <c r="DM163" s="173">
        <f t="shared" si="396"/>
        <v>2.9740141843971628</v>
      </c>
      <c r="DN163" s="173">
        <f t="shared" si="397"/>
        <v>2.4153191489361698</v>
      </c>
      <c r="DP163" s="545">
        <f t="shared" si="398"/>
        <v>3180</v>
      </c>
      <c r="DQ163" s="460">
        <f t="shared" si="399"/>
        <v>257.66667551433284</v>
      </c>
      <c r="DS163">
        <f t="shared" si="400"/>
        <v>3180</v>
      </c>
      <c r="DT163">
        <f t="shared" si="401"/>
        <v>257.66667551433284</v>
      </c>
      <c r="DV163" s="5">
        <f t="shared" si="402"/>
        <v>3.8809830491423969</v>
      </c>
      <c r="DW163" s="5">
        <f t="shared" si="403"/>
        <v>1.982676122931442</v>
      </c>
      <c r="DX163" s="5">
        <f t="shared" si="404"/>
        <v>1.8983069262109549</v>
      </c>
      <c r="DY163" s="173">
        <f t="shared" si="405"/>
        <v>0.51086956521739135</v>
      </c>
      <c r="EA163" s="5">
        <f t="shared" si="406"/>
        <v>157.62275177304966</v>
      </c>
      <c r="EB163" s="5">
        <f t="shared" si="407"/>
        <v>0.58378796952981349</v>
      </c>
      <c r="EC163" s="5">
        <f t="shared" si="408"/>
        <v>1.1178918565464511</v>
      </c>
      <c r="ED163" s="5"/>
      <c r="EE163" s="173">
        <f t="shared" si="409"/>
        <v>1.2272623848985671</v>
      </c>
      <c r="EF163" s="173">
        <f t="shared" si="410"/>
        <v>4.803466240031125</v>
      </c>
      <c r="EG163" s="173">
        <f t="shared" si="411"/>
        <v>9.1525505384376843E-2</v>
      </c>
      <c r="EH163" s="173"/>
      <c r="EI163" s="528">
        <f t="shared" si="412"/>
        <v>1.8375310128920404E-2</v>
      </c>
      <c r="EJ163" s="528">
        <f t="shared" si="413"/>
        <v>0.56400000000000006</v>
      </c>
      <c r="EK163" s="528">
        <f t="shared" si="414"/>
        <v>3.2208334439291601E-2</v>
      </c>
      <c r="EL163" s="528">
        <f t="shared" si="415"/>
        <v>3.4894251864853003E-2</v>
      </c>
      <c r="EM163">
        <f t="shared" si="416"/>
        <v>8.0999999999999996E-3</v>
      </c>
      <c r="EN163" s="460">
        <f t="shared" si="417"/>
        <v>40.308334439291606</v>
      </c>
      <c r="EP163" s="460">
        <f t="shared" si="439"/>
        <v>657.57789643306501</v>
      </c>
      <c r="EQ163" s="173">
        <f t="shared" si="418"/>
        <v>2.226</v>
      </c>
      <c r="ER163" s="173">
        <f t="shared" si="475"/>
        <v>2.3518750000000001E-2</v>
      </c>
      <c r="ES163" s="528"/>
      <c r="EU163" s="460">
        <f t="shared" si="420"/>
        <v>2249.5187500000002</v>
      </c>
      <c r="EV163" s="528">
        <f t="shared" si="421"/>
        <v>4.5185188841607556E-2</v>
      </c>
      <c r="EW163" s="528">
        <f t="shared" si="422"/>
        <v>0.69219863757356259</v>
      </c>
      <c r="EX163" s="528">
        <f t="shared" si="423"/>
        <v>4.1884590679327967E-5</v>
      </c>
      <c r="EY163" s="528">
        <f t="shared" si="424"/>
        <v>0.81278041177063243</v>
      </c>
      <c r="EZ163" s="528"/>
      <c r="FA163" s="625">
        <f t="shared" si="425"/>
        <v>5.6975000000000005E-2</v>
      </c>
      <c r="FB163" s="460">
        <f t="shared" si="426"/>
        <v>1607.181122776482</v>
      </c>
      <c r="FC163" s="173">
        <f t="shared" si="427"/>
        <v>4.5142777692095475</v>
      </c>
      <c r="FD163" s="5">
        <f t="shared" si="428"/>
        <v>13.674000000000001</v>
      </c>
      <c r="FE163" s="173">
        <f t="shared" si="429"/>
        <v>0.75180290149012086</v>
      </c>
      <c r="FF163" s="5">
        <f t="shared" si="430"/>
        <v>75.18029014901208</v>
      </c>
      <c r="FG163">
        <f t="shared" si="431"/>
        <v>53</v>
      </c>
      <c r="FI163" s="562">
        <f t="shared" si="432"/>
        <v>-50</v>
      </c>
      <c r="FJ163">
        <f t="shared" si="433"/>
        <v>-50</v>
      </c>
    </row>
    <row r="164" spans="5:166">
      <c r="E164" s="170">
        <v>54</v>
      </c>
      <c r="F164" s="217">
        <f t="shared" si="476"/>
        <v>3.24</v>
      </c>
      <c r="G164" s="217">
        <f t="shared" si="444"/>
        <v>5.4000000000000006E-2</v>
      </c>
      <c r="H164" s="217">
        <f t="shared" si="445"/>
        <v>12.96</v>
      </c>
      <c r="I164" s="217">
        <f t="shared" si="446"/>
        <v>0.97200000000000009</v>
      </c>
      <c r="J164" s="541">
        <f t="shared" si="447"/>
        <v>17.912996183774091</v>
      </c>
      <c r="K164" s="443">
        <f t="shared" si="448"/>
        <v>19.59488</v>
      </c>
      <c r="L164" s="172">
        <f t="shared" si="449"/>
        <v>37.507876183774087</v>
      </c>
      <c r="M164" s="443"/>
      <c r="N164" s="217">
        <f t="shared" si="450"/>
        <v>0.52242040855613003</v>
      </c>
      <c r="O164" s="172">
        <f t="shared" si="451"/>
        <v>29.01741018540049</v>
      </c>
      <c r="P164" s="172">
        <f t="shared" si="452"/>
        <v>2.3395286961979145</v>
      </c>
      <c r="Q164" s="217">
        <f t="shared" si="322"/>
        <v>7.2543525463501224</v>
      </c>
      <c r="R164" s="217">
        <f t="shared" si="453"/>
        <v>1.6120783436333606</v>
      </c>
      <c r="S164" s="217">
        <f t="shared" si="454"/>
        <v>4</v>
      </c>
      <c r="T164" s="217">
        <f t="shared" si="455"/>
        <v>2.9775227853886967</v>
      </c>
      <c r="U164" s="217">
        <f t="shared" si="326"/>
        <v>1.9946564526725841</v>
      </c>
      <c r="V164" s="217">
        <f t="shared" si="327"/>
        <v>1.823449463567236</v>
      </c>
      <c r="W164" s="197">
        <f t="shared" si="328"/>
        <v>350</v>
      </c>
      <c r="X164" s="443">
        <f t="shared" si="435"/>
        <v>248.87347940688656</v>
      </c>
      <c r="Z164" s="217">
        <f t="shared" si="329"/>
        <v>2.2281225678075378</v>
      </c>
      <c r="AA164" s="173">
        <f t="shared" si="330"/>
        <v>1.3645131184110573</v>
      </c>
      <c r="AB164" s="173">
        <f t="shared" si="456"/>
        <v>1.9797318430146797</v>
      </c>
      <c r="AC164" s="173"/>
      <c r="AD164" s="173">
        <f t="shared" si="332"/>
        <v>0.81653983081294712</v>
      </c>
      <c r="AE164" s="545">
        <f t="shared" si="457"/>
        <v>1487.9862000000001</v>
      </c>
      <c r="AF164" s="528">
        <f t="shared" si="458"/>
        <v>0.76210384209208393</v>
      </c>
      <c r="AH164" s="173">
        <f t="shared" si="459"/>
        <v>2.5757107202257234</v>
      </c>
      <c r="AI164" s="173">
        <f t="shared" si="460"/>
        <v>2.9775227853886967</v>
      </c>
      <c r="AJ164" s="173">
        <f t="shared" si="461"/>
        <v>2.4179181126336022</v>
      </c>
      <c r="AL164" s="545">
        <f t="shared" si="462"/>
        <v>3240</v>
      </c>
      <c r="AM164" s="460">
        <f t="shared" si="463"/>
        <v>248.87347940688656</v>
      </c>
      <c r="AO164">
        <f t="shared" si="340"/>
        <v>3240</v>
      </c>
      <c r="AP164">
        <f t="shared" si="341"/>
        <v>248.87347940688656</v>
      </c>
      <c r="AR164" s="5">
        <f t="shared" si="443"/>
        <v>4.0181059162398203</v>
      </c>
      <c r="AS164" s="5">
        <f t="shared" si="440"/>
        <v>1.9946564526725841</v>
      </c>
      <c r="AT164" s="5">
        <f t="shared" si="441"/>
        <v>2.0234494635672364</v>
      </c>
      <c r="AU164" s="173">
        <f t="shared" si="442"/>
        <v>0.49641709159802377</v>
      </c>
      <c r="AW164" s="5">
        <f t="shared" si="342"/>
        <v>161.56717266647934</v>
      </c>
      <c r="AX164" s="5">
        <f t="shared" si="343"/>
        <v>0.59839693580177533</v>
      </c>
      <c r="AY164" s="5">
        <f t="shared" si="344"/>
        <v>1.2199664412546025</v>
      </c>
      <c r="AZ164" s="5"/>
      <c r="BA164" s="173">
        <f t="shared" si="345"/>
        <v>1.211205485699766</v>
      </c>
      <c r="BB164" s="173">
        <f t="shared" si="346"/>
        <v>4.8796643336695453</v>
      </c>
      <c r="BC164" s="173">
        <f t="shared" si="347"/>
        <v>9.297738797937917E-2</v>
      </c>
      <c r="BD164" s="173"/>
      <c r="BE164" s="528">
        <f t="shared" si="348"/>
        <v>1.7897628488788314E-2</v>
      </c>
      <c r="BF164" s="528">
        <f t="shared" si="464"/>
        <v>0.5211436602381041</v>
      </c>
      <c r="BG164" s="528">
        <f t="shared" si="465"/>
        <v>0.11145174217145347</v>
      </c>
      <c r="BH164" s="528">
        <f t="shared" si="351"/>
        <v>3.5012535884914195E-2</v>
      </c>
      <c r="BI164">
        <f t="shared" si="352"/>
        <v>8.0608482826983411E-3</v>
      </c>
      <c r="BJ164" s="460">
        <f t="shared" si="436"/>
        <v>119.51259045415182</v>
      </c>
      <c r="BK164">
        <f t="shared" si="466"/>
        <v>0.58135839724295491</v>
      </c>
      <c r="BL164" s="460">
        <f t="shared" si="437"/>
        <v>693.56641506595838</v>
      </c>
      <c r="BM164" s="173">
        <f t="shared" si="467"/>
        <v>2.0128499999999998</v>
      </c>
      <c r="BN164" s="173">
        <f t="shared" si="468"/>
        <v>3.3547500000000001E-2</v>
      </c>
      <c r="BO164" s="528"/>
      <c r="BQ164" s="460">
        <f t="shared" si="356"/>
        <v>2046.3974999999998</v>
      </c>
      <c r="BR164" s="528">
        <f t="shared" si="357"/>
        <v>4.4010561857676184E-2</v>
      </c>
      <c r="BS164" s="528">
        <f t="shared" si="358"/>
        <v>0.71433372027859943</v>
      </c>
      <c r="BT164" s="528">
        <f t="shared" si="359"/>
        <v>4.3223973377340009E-5</v>
      </c>
      <c r="BU164" s="528">
        <f t="shared" si="360"/>
        <v>0.74740205424174788</v>
      </c>
      <c r="BV164" s="528"/>
      <c r="BW164" s="625">
        <f t="shared" si="469"/>
        <v>5.5160578904086051E-2</v>
      </c>
      <c r="BX164" s="460">
        <f t="shared" si="362"/>
        <v>1560.9501392554869</v>
      </c>
      <c r="BY164" s="173">
        <f t="shared" si="363"/>
        <v>4.3009140543214457</v>
      </c>
      <c r="BZ164" s="5">
        <f t="shared" si="364"/>
        <v>13.932</v>
      </c>
      <c r="CA164" s="173">
        <f t="shared" si="365"/>
        <v>0.76411263490258852</v>
      </c>
      <c r="CB164" s="5">
        <f t="shared" si="366"/>
        <v>76.411263490258847</v>
      </c>
      <c r="CC164">
        <f t="shared" si="367"/>
        <v>54</v>
      </c>
      <c r="CE164" s="562">
        <f t="shared" si="470"/>
        <v>-50</v>
      </c>
      <c r="CF164">
        <f t="shared" si="471"/>
        <v>-50</v>
      </c>
      <c r="CG164" s="173">
        <f t="shared" si="370"/>
        <v>0.48913043478260865</v>
      </c>
      <c r="CH164" s="173">
        <f t="shared" si="472"/>
        <v>0.13097870664369976</v>
      </c>
      <c r="CI164" s="170">
        <v>54</v>
      </c>
      <c r="CJ164" s="217">
        <f t="shared" si="438"/>
        <v>3.24</v>
      </c>
      <c r="CK164" s="217">
        <f t="shared" si="372"/>
        <v>5.4000000000000006E-2</v>
      </c>
      <c r="CL164" s="217">
        <f t="shared" si="373"/>
        <v>12.96</v>
      </c>
      <c r="CM164" s="217">
        <f t="shared" si="374"/>
        <v>0.97200000000000009</v>
      </c>
      <c r="CN164" s="541">
        <f t="shared" si="375"/>
        <v>18</v>
      </c>
      <c r="CO164" s="443">
        <f t="shared" si="473"/>
        <v>18.8</v>
      </c>
      <c r="CP164" s="443">
        <f t="shared" si="474"/>
        <v>36.799999999999997</v>
      </c>
      <c r="CQ164" s="443"/>
      <c r="CR164" s="217">
        <f t="shared" si="378"/>
        <v>0.51086956521739135</v>
      </c>
      <c r="CS164" s="172">
        <f t="shared" si="379"/>
        <v>28.513650151668358</v>
      </c>
      <c r="CT164" s="172">
        <f t="shared" si="380"/>
        <v>2.2989130434782612</v>
      </c>
      <c r="CU164" s="217">
        <f t="shared" si="381"/>
        <v>7.1284125379170895</v>
      </c>
      <c r="CV164" s="217">
        <f t="shared" si="382"/>
        <v>1.5840916750926866</v>
      </c>
      <c r="CW164" s="217">
        <f t="shared" si="383"/>
        <v>4</v>
      </c>
      <c r="CX164" s="217">
        <f t="shared" si="384"/>
        <v>3.0301276595744677</v>
      </c>
      <c r="CY164" s="217">
        <f t="shared" si="385"/>
        <v>2.0200851063829788</v>
      </c>
      <c r="CZ164" s="217">
        <f t="shared" si="386"/>
        <v>1.9341240380262559</v>
      </c>
      <c r="DA164" s="197">
        <f t="shared" si="387"/>
        <v>350</v>
      </c>
      <c r="DB164" s="443">
        <f t="shared" si="388"/>
        <v>252.89507041221555</v>
      </c>
      <c r="DD164" s="217">
        <f t="shared" si="389"/>
        <v>2.18944099378882</v>
      </c>
      <c r="DE164" s="173">
        <f t="shared" si="390"/>
        <v>1.3975155279503106</v>
      </c>
      <c r="DF164" s="173">
        <f t="shared" si="391"/>
        <v>1.9924134422749624</v>
      </c>
      <c r="DG164" s="173"/>
      <c r="DH164" s="173">
        <f t="shared" si="392"/>
        <v>0.85106382978723416</v>
      </c>
      <c r="DI164" s="545">
        <f t="shared" si="393"/>
        <v>1427.6249999999998</v>
      </c>
      <c r="DJ164" s="528">
        <f t="shared" si="394"/>
        <v>0.79432624113475192</v>
      </c>
      <c r="DL164" s="173">
        <f t="shared" si="395"/>
        <v>2.5757107202257234</v>
      </c>
      <c r="DM164" s="173">
        <f t="shared" si="396"/>
        <v>3.0301276595744677</v>
      </c>
      <c r="DN164" s="173">
        <f t="shared" si="397"/>
        <v>2.4568846861045439</v>
      </c>
      <c r="DP164" s="545">
        <f t="shared" si="398"/>
        <v>3240</v>
      </c>
      <c r="DQ164" s="460">
        <f t="shared" si="399"/>
        <v>252.89507041221555</v>
      </c>
      <c r="DS164">
        <f t="shared" si="400"/>
        <v>3240</v>
      </c>
      <c r="DT164">
        <f t="shared" si="401"/>
        <v>252.89507041221555</v>
      </c>
      <c r="DV164" s="5">
        <f t="shared" si="402"/>
        <v>3.9542091444092349</v>
      </c>
      <c r="DW164" s="5">
        <f t="shared" si="403"/>
        <v>2.0200851063829788</v>
      </c>
      <c r="DX164" s="5">
        <f t="shared" si="404"/>
        <v>1.9341240380262561</v>
      </c>
      <c r="DY164" s="173">
        <f t="shared" si="405"/>
        <v>0.51086956521739135</v>
      </c>
      <c r="EA164" s="5">
        <f t="shared" si="406"/>
        <v>163.6268936170213</v>
      </c>
      <c r="EB164" s="5">
        <f t="shared" si="407"/>
        <v>0.60602553191489372</v>
      </c>
      <c r="EC164" s="5">
        <f t="shared" si="408"/>
        <v>1.1604744228157535</v>
      </c>
      <c r="ED164" s="5"/>
      <c r="EE164" s="173">
        <f t="shared" si="409"/>
        <v>1.250418278953257</v>
      </c>
      <c r="EF164" s="173">
        <f t="shared" si="410"/>
        <v>4.8940976785222778</v>
      </c>
      <c r="EG164" s="173">
        <f t="shared" si="411"/>
        <v>9.3252401712383956E-2</v>
      </c>
      <c r="EH164" s="173"/>
      <c r="EI164" s="528">
        <f t="shared" si="412"/>
        <v>1.9075259642553185E-2</v>
      </c>
      <c r="EJ164" s="528">
        <f t="shared" si="413"/>
        <v>0.56399999999999995</v>
      </c>
      <c r="EK164" s="528">
        <f t="shared" si="414"/>
        <v>3.1611883801526942E-2</v>
      </c>
      <c r="EL164" s="528">
        <f t="shared" si="415"/>
        <v>3.4248062015503872E-2</v>
      </c>
      <c r="EM164">
        <f t="shared" si="416"/>
        <v>8.0999999999999996E-3</v>
      </c>
      <c r="EN164" s="460">
        <f t="shared" si="417"/>
        <v>39.711883801526945</v>
      </c>
      <c r="EP164" s="460">
        <f t="shared" si="439"/>
        <v>657.03520545958395</v>
      </c>
      <c r="EQ164" s="173">
        <f t="shared" si="418"/>
        <v>2.2679999999999998</v>
      </c>
      <c r="ER164" s="173">
        <f t="shared" si="475"/>
        <v>2.3962500000000001E-2</v>
      </c>
      <c r="ES164" s="528"/>
      <c r="EU164" s="460">
        <f t="shared" si="420"/>
        <v>2291.9625000000001</v>
      </c>
      <c r="EV164" s="528">
        <f t="shared" si="421"/>
        <v>4.6906376170212753E-2</v>
      </c>
      <c r="EW164" s="528">
        <f t="shared" si="422"/>
        <v>0.71856576260751448</v>
      </c>
      <c r="EX164" s="528">
        <f t="shared" si="423"/>
        <v>4.348005212563915E-5</v>
      </c>
      <c r="EY164" s="528">
        <f t="shared" si="424"/>
        <v>0.81278041177063032</v>
      </c>
      <c r="EZ164" s="528"/>
      <c r="FA164" s="625">
        <f t="shared" si="425"/>
        <v>5.804999999999999E-2</v>
      </c>
      <c r="FB164" s="460">
        <f t="shared" si="426"/>
        <v>1636.3460306004831</v>
      </c>
      <c r="FC164" s="173">
        <f t="shared" si="427"/>
        <v>4.5853437360600671</v>
      </c>
      <c r="FD164" s="5">
        <f t="shared" si="428"/>
        <v>13.932</v>
      </c>
      <c r="FE164" s="173">
        <f t="shared" si="429"/>
        <v>0.75237572940168962</v>
      </c>
      <c r="FF164" s="5">
        <f t="shared" si="430"/>
        <v>75.23757294016896</v>
      </c>
      <c r="FG164">
        <f t="shared" si="431"/>
        <v>54</v>
      </c>
      <c r="FI164" s="562">
        <f t="shared" si="432"/>
        <v>-50</v>
      </c>
      <c r="FJ164">
        <f t="shared" si="433"/>
        <v>-50</v>
      </c>
    </row>
    <row r="165" spans="5:166">
      <c r="E165" s="170">
        <v>55</v>
      </c>
      <c r="F165" s="217">
        <f t="shared" si="476"/>
        <v>3.3000000000000003</v>
      </c>
      <c r="G165" s="217">
        <f t="shared" si="444"/>
        <v>5.5000000000000007E-2</v>
      </c>
      <c r="H165" s="217">
        <f t="shared" si="445"/>
        <v>13.200000000000001</v>
      </c>
      <c r="I165" s="217">
        <f t="shared" si="446"/>
        <v>0.9900000000000001</v>
      </c>
      <c r="J165" s="541">
        <f t="shared" si="447"/>
        <v>17.91138500199213</v>
      </c>
      <c r="K165" s="443">
        <f t="shared" si="448"/>
        <v>19.6096</v>
      </c>
      <c r="L165" s="172">
        <f t="shared" si="449"/>
        <v>37.52098500199213</v>
      </c>
      <c r="M165" s="443"/>
      <c r="N165" s="217">
        <f t="shared" si="450"/>
        <v>0.52263020277742844</v>
      </c>
      <c r="O165" s="172">
        <f t="shared" si="451"/>
        <v>29.026452017413146</v>
      </c>
      <c r="P165" s="172">
        <f t="shared" si="452"/>
        <v>2.3402576939039346</v>
      </c>
      <c r="Q165" s="217">
        <f t="shared" si="322"/>
        <v>7.2566130043532864</v>
      </c>
      <c r="R165" s="217">
        <f t="shared" si="453"/>
        <v>1.6125806676340637</v>
      </c>
      <c r="S165" s="217">
        <f t="shared" si="454"/>
        <v>4</v>
      </c>
      <c r="T165" s="217">
        <f t="shared" si="455"/>
        <v>3.0317174123523012</v>
      </c>
      <c r="U165" s="217">
        <f t="shared" si="326"/>
        <v>2.0311443779574452</v>
      </c>
      <c r="V165" s="217">
        <f t="shared" si="327"/>
        <v>1.8552448264231609</v>
      </c>
      <c r="W165" s="197">
        <f t="shared" si="328"/>
        <v>350</v>
      </c>
      <c r="X165" s="443">
        <f t="shared" si="435"/>
        <v>244.71482034261464</v>
      </c>
      <c r="Z165" s="217">
        <f t="shared" si="329"/>
        <v>2.2288168513370801</v>
      </c>
      <c r="AA165" s="173">
        <f t="shared" si="330"/>
        <v>1.363913706350204</v>
      </c>
      <c r="AB165" s="173">
        <f t="shared" si="456"/>
        <v>1.9794787876633155</v>
      </c>
      <c r="AC165" s="173"/>
      <c r="AD165" s="173">
        <f t="shared" si="332"/>
        <v>0.81592689295039178</v>
      </c>
      <c r="AE165" s="545">
        <f t="shared" si="457"/>
        <v>1516.6799999999996</v>
      </c>
      <c r="AF165" s="528">
        <f t="shared" si="458"/>
        <v>0.76153176675369916</v>
      </c>
      <c r="AH165" s="173">
        <f t="shared" si="459"/>
        <v>2.5994504913813721</v>
      </c>
      <c r="AI165" s="173">
        <f t="shared" si="460"/>
        <v>3.0317174123523012</v>
      </c>
      <c r="AJ165" s="173">
        <f t="shared" si="461"/>
        <v>2.4580622807547909</v>
      </c>
      <c r="AL165" s="545">
        <f t="shared" si="462"/>
        <v>3300.0000000000005</v>
      </c>
      <c r="AM165" s="460">
        <f t="shared" si="463"/>
        <v>244.71482034261464</v>
      </c>
      <c r="AO165">
        <f t="shared" si="340"/>
        <v>3300.0000000000005</v>
      </c>
      <c r="AP165">
        <f t="shared" si="341"/>
        <v>244.71482034261464</v>
      </c>
      <c r="AR165" s="5">
        <f t="shared" si="443"/>
        <v>4.0863892043806063</v>
      </c>
      <c r="AS165" s="5">
        <f t="shared" si="440"/>
        <v>2.0311443779574452</v>
      </c>
      <c r="AT165" s="5">
        <f t="shared" si="441"/>
        <v>2.0552448264231611</v>
      </c>
      <c r="AU165" s="173">
        <f t="shared" si="442"/>
        <v>0.49705113154176794</v>
      </c>
      <c r="AW165" s="5">
        <f t="shared" si="342"/>
        <v>167.56941118148924</v>
      </c>
      <c r="AX165" s="5">
        <f t="shared" si="343"/>
        <v>0.62062744882033061</v>
      </c>
      <c r="AY165" s="5">
        <f t="shared" si="344"/>
        <v>1.2621968143803681</v>
      </c>
      <c r="AZ165" s="5"/>
      <c r="BA165" s="173">
        <f t="shared" si="345"/>
        <v>1.2340382582737728</v>
      </c>
      <c r="BB165" s="173">
        <f t="shared" si="346"/>
        <v>4.9653515214722548</v>
      </c>
      <c r="BC165" s="173">
        <f t="shared" si="347"/>
        <v>9.4610076287511877E-2</v>
      </c>
      <c r="BD165" s="173"/>
      <c r="BE165" s="528">
        <f t="shared" si="348"/>
        <v>1.8578775159177073E-2</v>
      </c>
      <c r="BF165" s="528">
        <f t="shared" si="464"/>
        <v>0.52194470106949464</v>
      </c>
      <c r="BG165" s="528">
        <f t="shared" si="465"/>
        <v>0.10957953407124765</v>
      </c>
      <c r="BH165" s="528">
        <f t="shared" si="351"/>
        <v>3.4451547444637229E-2</v>
      </c>
      <c r="BI165">
        <f t="shared" si="352"/>
        <v>8.0601232508964588E-3</v>
      </c>
      <c r="BJ165" s="460">
        <f t="shared" si="436"/>
        <v>117.63965732214412</v>
      </c>
      <c r="BK165">
        <f t="shared" si="466"/>
        <v>0.58256291031192509</v>
      </c>
      <c r="BL165" s="460">
        <f t="shared" si="437"/>
        <v>692.614680995453</v>
      </c>
      <c r="BM165" s="173">
        <f t="shared" si="467"/>
        <v>2.050125</v>
      </c>
      <c r="BN165" s="173">
        <f t="shared" si="468"/>
        <v>3.4168749999999998E-2</v>
      </c>
      <c r="BO165" s="528"/>
      <c r="BQ165" s="460">
        <f t="shared" si="356"/>
        <v>2084.2937500000003</v>
      </c>
      <c r="BR165" s="528">
        <f t="shared" si="357"/>
        <v>4.5685512686500999E-2</v>
      </c>
      <c r="BS165" s="528">
        <f t="shared" si="358"/>
        <v>0.73964147195360508</v>
      </c>
      <c r="BT165" s="528">
        <f t="shared" si="359"/>
        <v>4.4755332675644086E-5</v>
      </c>
      <c r="BU165" s="528">
        <f t="shared" si="360"/>
        <v>0.74962226774649166</v>
      </c>
      <c r="BV165" s="528"/>
      <c r="BW165" s="625">
        <f t="shared" si="469"/>
        <v>5.6231247249448578E-2</v>
      </c>
      <c r="BX165" s="460">
        <f t="shared" si="362"/>
        <v>1591.2252549687221</v>
      </c>
      <c r="BY165" s="173">
        <f t="shared" si="363"/>
        <v>4.3681336859641755</v>
      </c>
      <c r="BZ165" s="5">
        <f t="shared" si="364"/>
        <v>14.190000000000001</v>
      </c>
      <c r="CA165" s="173">
        <f t="shared" si="365"/>
        <v>0.76462430113498603</v>
      </c>
      <c r="CB165" s="5">
        <f t="shared" si="366"/>
        <v>76.462430113498598</v>
      </c>
      <c r="CC165">
        <f t="shared" si="367"/>
        <v>55.000000000000007</v>
      </c>
      <c r="CE165" s="562">
        <f t="shared" si="470"/>
        <v>-50</v>
      </c>
      <c r="CF165">
        <f t="shared" si="471"/>
        <v>-50</v>
      </c>
      <c r="CG165" s="173">
        <f t="shared" si="370"/>
        <v>0.48913043478260876</v>
      </c>
      <c r="CH165" s="173">
        <f t="shared" si="472"/>
        <v>0.13097870664369973</v>
      </c>
      <c r="CI165" s="170">
        <v>55</v>
      </c>
      <c r="CJ165" s="217">
        <f t="shared" si="438"/>
        <v>3.3000000000000003</v>
      </c>
      <c r="CK165" s="217">
        <f t="shared" si="372"/>
        <v>5.5000000000000007E-2</v>
      </c>
      <c r="CL165" s="217">
        <f t="shared" si="373"/>
        <v>13.200000000000001</v>
      </c>
      <c r="CM165" s="217">
        <f t="shared" si="374"/>
        <v>0.9900000000000001</v>
      </c>
      <c r="CN165" s="541">
        <f t="shared" si="375"/>
        <v>18</v>
      </c>
      <c r="CO165" s="443">
        <f t="shared" si="473"/>
        <v>18.8</v>
      </c>
      <c r="CP165" s="443">
        <f t="shared" si="474"/>
        <v>36.799999999999997</v>
      </c>
      <c r="CQ165" s="443"/>
      <c r="CR165" s="217">
        <f t="shared" si="378"/>
        <v>0.51086956521739135</v>
      </c>
      <c r="CS165" s="172">
        <f t="shared" si="379"/>
        <v>28.513650151668358</v>
      </c>
      <c r="CT165" s="172">
        <f t="shared" si="380"/>
        <v>2.2989130434782612</v>
      </c>
      <c r="CU165" s="217">
        <f t="shared" si="381"/>
        <v>7.1284125379170895</v>
      </c>
      <c r="CV165" s="217">
        <f t="shared" si="382"/>
        <v>1.5840916750926866</v>
      </c>
      <c r="CW165" s="217">
        <f t="shared" si="383"/>
        <v>4</v>
      </c>
      <c r="CX165" s="217">
        <f t="shared" si="384"/>
        <v>3.0862411347517731</v>
      </c>
      <c r="CY165" s="217">
        <f t="shared" si="385"/>
        <v>2.0574940898345155</v>
      </c>
      <c r="CZ165" s="217">
        <f t="shared" si="386"/>
        <v>1.9699411498415573</v>
      </c>
      <c r="DA165" s="197">
        <f t="shared" si="387"/>
        <v>350</v>
      </c>
      <c r="DB165" s="443">
        <f t="shared" si="388"/>
        <v>248.29697822290248</v>
      </c>
      <c r="DD165" s="217">
        <f t="shared" si="389"/>
        <v>2.18944099378882</v>
      </c>
      <c r="DE165" s="173">
        <f t="shared" si="390"/>
        <v>1.3975155279503106</v>
      </c>
      <c r="DF165" s="173">
        <f t="shared" si="391"/>
        <v>1.9924134422749624</v>
      </c>
      <c r="DG165" s="173"/>
      <c r="DH165" s="173">
        <f t="shared" si="392"/>
        <v>0.85106382978723416</v>
      </c>
      <c r="DI165" s="545">
        <f t="shared" si="393"/>
        <v>1454.0624999999998</v>
      </c>
      <c r="DJ165" s="528">
        <f t="shared" si="394"/>
        <v>0.79432624113475192</v>
      </c>
      <c r="DL165" s="173">
        <f t="shared" si="395"/>
        <v>2.5994504913813721</v>
      </c>
      <c r="DM165" s="173">
        <f t="shared" si="396"/>
        <v>3.0862411347517731</v>
      </c>
      <c r="DN165" s="173">
        <f t="shared" si="397"/>
        <v>2.4984502232729184</v>
      </c>
      <c r="DP165" s="545">
        <f t="shared" si="398"/>
        <v>3300.0000000000005</v>
      </c>
      <c r="DQ165" s="460">
        <f t="shared" si="399"/>
        <v>248.29697822290248</v>
      </c>
      <c r="DS165">
        <f t="shared" si="400"/>
        <v>3300.0000000000005</v>
      </c>
      <c r="DT165">
        <f t="shared" si="401"/>
        <v>248.29697822290248</v>
      </c>
      <c r="DV165" s="5">
        <f t="shared" si="402"/>
        <v>4.0274352396760733</v>
      </c>
      <c r="DW165" s="5">
        <f t="shared" si="403"/>
        <v>2.0574940898345155</v>
      </c>
      <c r="DX165" s="5">
        <f t="shared" si="404"/>
        <v>1.9699411498415578</v>
      </c>
      <c r="DY165" s="173">
        <f t="shared" si="405"/>
        <v>0.51086956521739124</v>
      </c>
      <c r="EA165" s="5">
        <f t="shared" si="406"/>
        <v>169.74326241134756</v>
      </c>
      <c r="EB165" s="5">
        <f t="shared" si="407"/>
        <v>0.6286787496716576</v>
      </c>
      <c r="EC165" s="5">
        <f t="shared" si="408"/>
        <v>1.2038529249031742</v>
      </c>
      <c r="ED165" s="5"/>
      <c r="EE165" s="173">
        <f t="shared" si="409"/>
        <v>1.2735741730079471</v>
      </c>
      <c r="EF165" s="173">
        <f t="shared" si="410"/>
        <v>4.9847291170134325</v>
      </c>
      <c r="EG165" s="173">
        <f t="shared" si="411"/>
        <v>9.4979298040391069E-2</v>
      </c>
      <c r="EH165" s="173"/>
      <c r="EI165" s="528">
        <f t="shared" si="412"/>
        <v>1.9788292324665089E-2</v>
      </c>
      <c r="EJ165" s="528">
        <f t="shared" si="413"/>
        <v>0.56399999999999983</v>
      </c>
      <c r="EK165" s="528">
        <f t="shared" si="414"/>
        <v>3.1037122277862809E-2</v>
      </c>
      <c r="EL165" s="528">
        <f t="shared" si="415"/>
        <v>3.3625369978858337E-2</v>
      </c>
      <c r="EM165">
        <f t="shared" si="416"/>
        <v>8.0999999999999996E-3</v>
      </c>
      <c r="EN165" s="460">
        <f t="shared" si="417"/>
        <v>39.137122277862815</v>
      </c>
      <c r="EP165" s="460">
        <f t="shared" si="439"/>
        <v>656.5507845813861</v>
      </c>
      <c r="EQ165" s="173">
        <f t="shared" si="418"/>
        <v>2.31</v>
      </c>
      <c r="ER165" s="173">
        <f t="shared" si="475"/>
        <v>2.4406250000000001E-2</v>
      </c>
      <c r="ES165" s="528"/>
      <c r="EU165" s="460">
        <f t="shared" si="420"/>
        <v>2334.4062500000005</v>
      </c>
      <c r="EV165" s="528">
        <f t="shared" si="421"/>
        <v>4.865973522458629E-2</v>
      </c>
      <c r="EW165" s="528">
        <f t="shared" si="422"/>
        <v>0.7454257311000454</v>
      </c>
      <c r="EX165" s="528">
        <f t="shared" si="423"/>
        <v>4.5105335281227175E-5</v>
      </c>
      <c r="EY165" s="528">
        <f t="shared" si="424"/>
        <v>0.81278041177063054</v>
      </c>
      <c r="EZ165" s="528"/>
      <c r="FA165" s="625">
        <f t="shared" si="425"/>
        <v>5.9124999999999997E-2</v>
      </c>
      <c r="FB165" s="460">
        <f t="shared" si="426"/>
        <v>1666.0359834305436</v>
      </c>
      <c r="FC165" s="173">
        <f t="shared" si="427"/>
        <v>4.6569930180119297</v>
      </c>
      <c r="FD165" s="5">
        <f t="shared" si="428"/>
        <v>14.190000000000001</v>
      </c>
      <c r="FE165" s="173">
        <f t="shared" si="429"/>
        <v>0.75290525053194035</v>
      </c>
      <c r="FF165" s="5">
        <f t="shared" si="430"/>
        <v>75.290525053194031</v>
      </c>
      <c r="FG165">
        <f t="shared" si="431"/>
        <v>55.000000000000007</v>
      </c>
      <c r="FI165" s="562">
        <f t="shared" si="432"/>
        <v>-50</v>
      </c>
      <c r="FJ165">
        <f t="shared" si="433"/>
        <v>-50</v>
      </c>
    </row>
    <row r="166" spans="5:166">
      <c r="E166" s="170">
        <v>56</v>
      </c>
      <c r="F166" s="217">
        <f t="shared" si="476"/>
        <v>3.3600000000000003</v>
      </c>
      <c r="G166" s="217">
        <f t="shared" si="444"/>
        <v>5.6000000000000008E-2</v>
      </c>
      <c r="H166" s="217">
        <f t="shared" si="445"/>
        <v>13.440000000000001</v>
      </c>
      <c r="I166" s="217">
        <f t="shared" si="446"/>
        <v>1.0080000000000002</v>
      </c>
      <c r="J166" s="541">
        <f t="shared" si="447"/>
        <v>17.90977382021017</v>
      </c>
      <c r="K166" s="443">
        <f t="shared" si="448"/>
        <v>19.624320000000001</v>
      </c>
      <c r="L166" s="172">
        <f t="shared" si="449"/>
        <v>37.534093820210174</v>
      </c>
      <c r="M166" s="443"/>
      <c r="N166" s="217">
        <f t="shared" si="450"/>
        <v>0.52283985045706138</v>
      </c>
      <c r="O166" s="172">
        <f t="shared" si="451"/>
        <v>29.035483615127063</v>
      </c>
      <c r="P166" s="172">
        <f t="shared" si="452"/>
        <v>2.3409858664696195</v>
      </c>
      <c r="Q166" s="217">
        <f t="shared" si="322"/>
        <v>7.2588709037817658</v>
      </c>
      <c r="R166" s="217">
        <f t="shared" si="453"/>
        <v>1.6130824230626146</v>
      </c>
      <c r="S166" s="217">
        <f t="shared" si="454"/>
        <v>4</v>
      </c>
      <c r="T166" s="217">
        <f t="shared" si="455"/>
        <v>3.0858793739298944</v>
      </c>
      <c r="U166" s="217">
        <f t="shared" si="326"/>
        <v>2.0676169815931371</v>
      </c>
      <c r="V166" s="217">
        <f t="shared" si="327"/>
        <v>1.8869725161003659</v>
      </c>
      <c r="W166" s="197">
        <f t="shared" si="328"/>
        <v>350</v>
      </c>
      <c r="X166" s="443">
        <f t="shared" si="435"/>
        <v>240.69766713538567</v>
      </c>
      <c r="Z166" s="217">
        <f t="shared" si="329"/>
        <v>2.2295103490186854</v>
      </c>
      <c r="AA166" s="173">
        <f t="shared" si="330"/>
        <v>1.3633147129798244</v>
      </c>
      <c r="AB166" s="173">
        <f t="shared" si="456"/>
        <v>1.9792251005493673</v>
      </c>
      <c r="AC166" s="173"/>
      <c r="AD166" s="173">
        <f t="shared" si="332"/>
        <v>0.81531487460457241</v>
      </c>
      <c r="AE166" s="545">
        <f t="shared" si="457"/>
        <v>1545.4151999999997</v>
      </c>
      <c r="AF166" s="528">
        <f t="shared" si="458"/>
        <v>0.7609605496309344</v>
      </c>
      <c r="AH166" s="173">
        <f t="shared" si="459"/>
        <v>2.6229754097208002</v>
      </c>
      <c r="AI166" s="173">
        <f t="shared" si="460"/>
        <v>3.0858793739298944</v>
      </c>
      <c r="AJ166" s="173">
        <f t="shared" si="461"/>
        <v>2.4981822522937489</v>
      </c>
      <c r="AL166" s="545">
        <f t="shared" si="462"/>
        <v>3360.0000000000005</v>
      </c>
      <c r="AM166" s="460">
        <f t="shared" si="463"/>
        <v>240.69766713538567</v>
      </c>
      <c r="AO166">
        <f t="shared" si="340"/>
        <v>3360.0000000000005</v>
      </c>
      <c r="AP166">
        <f t="shared" si="341"/>
        <v>240.69766713538567</v>
      </c>
      <c r="AR166" s="5">
        <f t="shared" si="443"/>
        <v>4.1545894976935029</v>
      </c>
      <c r="AS166" s="5">
        <f t="shared" si="440"/>
        <v>2.0676169815931371</v>
      </c>
      <c r="AT166" s="5">
        <f t="shared" si="441"/>
        <v>2.0869725161003658</v>
      </c>
      <c r="AU166" s="173">
        <f t="shared" si="442"/>
        <v>0.49767058399897579</v>
      </c>
      <c r="AW166" s="5">
        <f t="shared" si="342"/>
        <v>173.67982645382355</v>
      </c>
      <c r="AX166" s="5">
        <f t="shared" si="343"/>
        <v>0.64325861649564275</v>
      </c>
      <c r="AY166" s="5">
        <f t="shared" si="344"/>
        <v>1.305102588953287</v>
      </c>
      <c r="AZ166" s="5"/>
      <c r="BA166" s="173">
        <f t="shared" si="345"/>
        <v>1.2568669431596393</v>
      </c>
      <c r="BB166" s="173">
        <f t="shared" si="346"/>
        <v>5.0509447153437677</v>
      </c>
      <c r="BC166" s="173">
        <f t="shared" si="347"/>
        <v>9.6240973630198831E-2</v>
      </c>
      <c r="BD166" s="173"/>
      <c r="BE166" s="528">
        <f t="shared" si="348"/>
        <v>1.9272517056250962E-2</v>
      </c>
      <c r="BF166" s="528">
        <f t="shared" si="464"/>
        <v>0.52273073249733293</v>
      </c>
      <c r="BG166" s="528">
        <f t="shared" si="465"/>
        <v>0.10777101943617479</v>
      </c>
      <c r="BH166" s="528">
        <f t="shared" si="351"/>
        <v>3.3909684691747898E-2</v>
      </c>
      <c r="BI166">
        <f t="shared" si="352"/>
        <v>8.0593982190945764E-3</v>
      </c>
      <c r="BJ166" s="460">
        <f t="shared" si="436"/>
        <v>115.83041765526936</v>
      </c>
      <c r="BK166">
        <f t="shared" si="466"/>
        <v>0.58378977482861305</v>
      </c>
      <c r="BL166" s="460">
        <f t="shared" si="437"/>
        <v>691.74335190060128</v>
      </c>
      <c r="BM166" s="173">
        <f t="shared" si="467"/>
        <v>2.0873999999999997</v>
      </c>
      <c r="BN166" s="173">
        <f t="shared" si="468"/>
        <v>3.4790000000000001E-2</v>
      </c>
      <c r="BO166" s="528"/>
      <c r="BQ166" s="460">
        <f t="shared" si="356"/>
        <v>2122.1899999999996</v>
      </c>
      <c r="BR166" s="528">
        <f t="shared" si="357"/>
        <v>4.7391435384223683E-2</v>
      </c>
      <c r="BS166" s="528">
        <f t="shared" si="358"/>
        <v>0.76536127552377398</v>
      </c>
      <c r="BT166" s="528">
        <f t="shared" si="359"/>
        <v>4.6311625026443136E-5</v>
      </c>
      <c r="BU166" s="528">
        <f t="shared" si="360"/>
        <v>0.75179091133609144</v>
      </c>
      <c r="BV166" s="528"/>
      <c r="BW166" s="625">
        <f t="shared" si="469"/>
        <v>5.7302000087689972E-2</v>
      </c>
      <c r="BX166" s="460">
        <f t="shared" si="362"/>
        <v>1621.8919339568056</v>
      </c>
      <c r="BY166" s="173">
        <f t="shared" si="363"/>
        <v>4.4358252858574065</v>
      </c>
      <c r="BZ166" s="5">
        <f t="shared" si="364"/>
        <v>14.448000000000002</v>
      </c>
      <c r="CA166" s="173">
        <f t="shared" si="365"/>
        <v>0.76509922016809206</v>
      </c>
      <c r="CB166" s="5">
        <f t="shared" si="366"/>
        <v>76.509922016809213</v>
      </c>
      <c r="CC166">
        <f t="shared" si="367"/>
        <v>56.000000000000007</v>
      </c>
      <c r="CE166" s="562">
        <f t="shared" si="470"/>
        <v>-50</v>
      </c>
      <c r="CF166">
        <f t="shared" si="471"/>
        <v>-50</v>
      </c>
      <c r="CG166" s="173">
        <f t="shared" si="370"/>
        <v>0.48913043478260876</v>
      </c>
      <c r="CH166" s="173">
        <f t="shared" si="472"/>
        <v>0.13097870664369976</v>
      </c>
      <c r="CI166" s="170">
        <v>56</v>
      </c>
      <c r="CJ166" s="217">
        <f t="shared" si="438"/>
        <v>3.3600000000000003</v>
      </c>
      <c r="CK166" s="217">
        <f t="shared" si="372"/>
        <v>5.6000000000000008E-2</v>
      </c>
      <c r="CL166" s="217">
        <f t="shared" si="373"/>
        <v>13.440000000000001</v>
      </c>
      <c r="CM166" s="217">
        <f t="shared" si="374"/>
        <v>1.0080000000000002</v>
      </c>
      <c r="CN166" s="541">
        <f t="shared" si="375"/>
        <v>18</v>
      </c>
      <c r="CO166" s="443">
        <f t="shared" si="473"/>
        <v>18.8</v>
      </c>
      <c r="CP166" s="443">
        <f t="shared" si="474"/>
        <v>36.799999999999997</v>
      </c>
      <c r="CQ166" s="443"/>
      <c r="CR166" s="217">
        <f t="shared" si="378"/>
        <v>0.51086956521739135</v>
      </c>
      <c r="CS166" s="172">
        <f t="shared" si="379"/>
        <v>28.513650151668358</v>
      </c>
      <c r="CT166" s="172">
        <f t="shared" si="380"/>
        <v>2.2989130434782612</v>
      </c>
      <c r="CU166" s="217">
        <f t="shared" si="381"/>
        <v>7.1284125379170895</v>
      </c>
      <c r="CV166" s="217">
        <f t="shared" si="382"/>
        <v>1.5840916750926866</v>
      </c>
      <c r="CW166" s="217">
        <f t="shared" si="383"/>
        <v>4</v>
      </c>
      <c r="CX166" s="217">
        <f t="shared" si="384"/>
        <v>3.142354609929078</v>
      </c>
      <c r="CY166" s="217">
        <f t="shared" si="385"/>
        <v>2.0949030732860519</v>
      </c>
      <c r="CZ166" s="217">
        <f t="shared" si="386"/>
        <v>2.0057582616568586</v>
      </c>
      <c r="DA166" s="197">
        <f t="shared" si="387"/>
        <v>350</v>
      </c>
      <c r="DB166" s="443">
        <f t="shared" si="388"/>
        <v>243.86310361177925</v>
      </c>
      <c r="DD166" s="217">
        <f t="shared" si="389"/>
        <v>2.18944099378882</v>
      </c>
      <c r="DE166" s="173">
        <f t="shared" si="390"/>
        <v>1.3975155279503106</v>
      </c>
      <c r="DF166" s="173">
        <f t="shared" si="391"/>
        <v>1.9924134422749624</v>
      </c>
      <c r="DG166" s="173"/>
      <c r="DH166" s="173">
        <f t="shared" si="392"/>
        <v>0.85106382978723416</v>
      </c>
      <c r="DI166" s="545">
        <f t="shared" si="393"/>
        <v>1480.4999999999998</v>
      </c>
      <c r="DJ166" s="528">
        <f t="shared" si="394"/>
        <v>0.79432624113475192</v>
      </c>
      <c r="DL166" s="173">
        <f t="shared" si="395"/>
        <v>2.6229754097208002</v>
      </c>
      <c r="DM166" s="173">
        <f t="shared" si="396"/>
        <v>3.142354609929078</v>
      </c>
      <c r="DN166" s="173">
        <f t="shared" si="397"/>
        <v>2.5400157604412925</v>
      </c>
      <c r="DP166" s="545">
        <f t="shared" si="398"/>
        <v>3360.0000000000005</v>
      </c>
      <c r="DQ166" s="460">
        <f t="shared" si="399"/>
        <v>243.86310361177925</v>
      </c>
      <c r="DS166">
        <f t="shared" si="400"/>
        <v>3360.0000000000005</v>
      </c>
      <c r="DT166">
        <f t="shared" si="401"/>
        <v>243.86310361177925</v>
      </c>
      <c r="DV166" s="5">
        <f t="shared" si="402"/>
        <v>4.1006613349429104</v>
      </c>
      <c r="DW166" s="5">
        <f t="shared" si="403"/>
        <v>2.0949030732860519</v>
      </c>
      <c r="DX166" s="5">
        <f t="shared" si="404"/>
        <v>2.0057582616568586</v>
      </c>
      <c r="DY166" s="173">
        <f t="shared" si="405"/>
        <v>0.51086956521739124</v>
      </c>
      <c r="EA166" s="5">
        <f t="shared" si="406"/>
        <v>175.97185815602839</v>
      </c>
      <c r="EB166" s="5">
        <f t="shared" si="407"/>
        <v>0.65174762280010512</v>
      </c>
      <c r="EC166" s="5">
        <f t="shared" si="408"/>
        <v>1.248027362808712</v>
      </c>
      <c r="ED166" s="5"/>
      <c r="EE166" s="173">
        <f t="shared" si="409"/>
        <v>1.2967300670626369</v>
      </c>
      <c r="EF166" s="173">
        <f t="shared" si="410"/>
        <v>5.0753605555045862</v>
      </c>
      <c r="EG166" s="173">
        <f t="shared" si="411"/>
        <v>9.6706194368398182E-2</v>
      </c>
      <c r="EH166" s="173"/>
      <c r="EI166" s="528">
        <f t="shared" si="412"/>
        <v>2.0514408175256103E-2</v>
      </c>
      <c r="EJ166" s="528">
        <f t="shared" si="413"/>
        <v>0.56399999999999995</v>
      </c>
      <c r="EK166" s="528">
        <f t="shared" si="414"/>
        <v>3.0482887951472405E-2</v>
      </c>
      <c r="EL166" s="528">
        <f t="shared" si="415"/>
        <v>3.3024916943521589E-2</v>
      </c>
      <c r="EM166">
        <f t="shared" si="416"/>
        <v>8.0999999999999996E-3</v>
      </c>
      <c r="EN166" s="460">
        <f t="shared" si="417"/>
        <v>38.582887951472401</v>
      </c>
      <c r="EP166" s="460">
        <f t="shared" si="439"/>
        <v>656.12221307024993</v>
      </c>
      <c r="EQ166" s="173">
        <f t="shared" si="418"/>
        <v>2.3519999999999999</v>
      </c>
      <c r="ER166" s="173">
        <f t="shared" si="475"/>
        <v>2.4850000000000004E-2</v>
      </c>
      <c r="ES166" s="528"/>
      <c r="EU166" s="460">
        <f t="shared" si="420"/>
        <v>2376.85</v>
      </c>
      <c r="EV166" s="528">
        <f t="shared" si="421"/>
        <v>5.0445266004728123E-2</v>
      </c>
      <c r="EW166" s="528">
        <f t="shared" si="422"/>
        <v>0.77277854305115457</v>
      </c>
      <c r="EX166" s="528">
        <f t="shared" si="423"/>
        <v>4.6760440146092045E-5</v>
      </c>
      <c r="EY166" s="528">
        <f t="shared" si="424"/>
        <v>0.81278041177063232</v>
      </c>
      <c r="EZ166" s="528"/>
      <c r="FA166" s="625">
        <f t="shared" si="425"/>
        <v>6.0199999999999997E-2</v>
      </c>
      <c r="FB166" s="460">
        <f t="shared" si="426"/>
        <v>1696.250981266661</v>
      </c>
      <c r="FC166" s="173">
        <f t="shared" si="427"/>
        <v>4.7292231943369103</v>
      </c>
      <c r="FD166" s="5">
        <f t="shared" si="428"/>
        <v>14.448000000000002</v>
      </c>
      <c r="FE166" s="173">
        <f t="shared" si="429"/>
        <v>0.75339374494356082</v>
      </c>
      <c r="FF166" s="5">
        <f t="shared" si="430"/>
        <v>75.339374494356079</v>
      </c>
      <c r="FG166">
        <f t="shared" si="431"/>
        <v>56.000000000000007</v>
      </c>
      <c r="FI166" s="562">
        <f t="shared" si="432"/>
        <v>-50</v>
      </c>
      <c r="FJ166">
        <f t="shared" si="433"/>
        <v>-50</v>
      </c>
    </row>
    <row r="167" spans="5:166">
      <c r="E167" s="170">
        <v>57</v>
      </c>
      <c r="F167" s="217">
        <f t="shared" si="476"/>
        <v>3.42</v>
      </c>
      <c r="G167" s="217">
        <f t="shared" si="444"/>
        <v>5.6999999999999995E-2</v>
      </c>
      <c r="H167" s="217">
        <f t="shared" si="445"/>
        <v>13.68</v>
      </c>
      <c r="I167" s="217">
        <f t="shared" si="446"/>
        <v>1.0259999999999998</v>
      </c>
      <c r="J167" s="541">
        <f t="shared" si="447"/>
        <v>17.908162638428205</v>
      </c>
      <c r="K167" s="443">
        <f t="shared" si="448"/>
        <v>19.639040000000001</v>
      </c>
      <c r="L167" s="172">
        <f t="shared" si="449"/>
        <v>37.547202638428203</v>
      </c>
      <c r="M167" s="443"/>
      <c r="N167" s="217">
        <f t="shared" si="450"/>
        <v>0.52304935174851497</v>
      </c>
      <c r="O167" s="172">
        <f t="shared" si="451"/>
        <v>29.044504989261544</v>
      </c>
      <c r="P167" s="172">
        <f t="shared" si="452"/>
        <v>2.3417132147592121</v>
      </c>
      <c r="Q167" s="217">
        <f t="shared" si="322"/>
        <v>7.2611262473153859</v>
      </c>
      <c r="R167" s="217">
        <f t="shared" si="453"/>
        <v>1.6135836105145303</v>
      </c>
      <c r="S167" s="217">
        <f t="shared" si="454"/>
        <v>4</v>
      </c>
      <c r="T167" s="217">
        <f t="shared" si="455"/>
        <v>3.1400087566897366</v>
      </c>
      <c r="U167" s="217">
        <f t="shared" si="326"/>
        <v>2.1040743174523691</v>
      </c>
      <c r="V167" s="217">
        <f t="shared" si="327"/>
        <v>1.9186327376631871</v>
      </c>
      <c r="W167" s="197">
        <f t="shared" si="328"/>
        <v>350</v>
      </c>
      <c r="X167" s="443">
        <f t="shared" si="435"/>
        <v>236.81491208076108</v>
      </c>
      <c r="Z167" s="217">
        <f t="shared" si="329"/>
        <v>2.2302030616754398</v>
      </c>
      <c r="AA167" s="173">
        <f t="shared" si="330"/>
        <v>1.3627161378613861</v>
      </c>
      <c r="AB167" s="173">
        <f t="shared" si="456"/>
        <v>1.9789707832531125</v>
      </c>
      <c r="AC167" s="173"/>
      <c r="AD167" s="173">
        <f t="shared" si="332"/>
        <v>0.81470377370787983</v>
      </c>
      <c r="AE167" s="545">
        <f t="shared" si="457"/>
        <v>1574.1917999999998</v>
      </c>
      <c r="AF167" s="528">
        <f t="shared" si="458"/>
        <v>0.7603901887940212</v>
      </c>
      <c r="AH167" s="173">
        <f t="shared" si="459"/>
        <v>2.646291205226126</v>
      </c>
      <c r="AI167" s="173">
        <f t="shared" si="460"/>
        <v>3.1400087566897366</v>
      </c>
      <c r="AJ167" s="173">
        <f t="shared" si="461"/>
        <v>2.5382780913751137</v>
      </c>
      <c r="AL167" s="545">
        <f t="shared" si="462"/>
        <v>3420</v>
      </c>
      <c r="AM167" s="460">
        <f t="shared" si="463"/>
        <v>236.81491208076108</v>
      </c>
      <c r="AO167">
        <f t="shared" si="340"/>
        <v>3420</v>
      </c>
      <c r="AP167">
        <f t="shared" si="341"/>
        <v>236.81491208076108</v>
      </c>
      <c r="AR167" s="5">
        <f t="shared" si="443"/>
        <v>4.2227070551155563</v>
      </c>
      <c r="AS167" s="5">
        <f t="shared" si="440"/>
        <v>2.1040743174523691</v>
      </c>
      <c r="AT167" s="5">
        <f t="shared" si="441"/>
        <v>2.1186327376631873</v>
      </c>
      <c r="AU167" s="173">
        <f t="shared" si="442"/>
        <v>0.49827617449887013</v>
      </c>
      <c r="AW167" s="5">
        <f t="shared" si="342"/>
        <v>179.89835414217754</v>
      </c>
      <c r="AX167" s="5">
        <f t="shared" si="343"/>
        <v>0.6662902005265835</v>
      </c>
      <c r="AY167" s="5">
        <f t="shared" si="344"/>
        <v>1.3486818104685352</v>
      </c>
      <c r="AZ167" s="5"/>
      <c r="BA167" s="173">
        <f t="shared" si="345"/>
        <v>1.2796915215963063</v>
      </c>
      <c r="BB167" s="173">
        <f t="shared" si="346"/>
        <v>5.1364443321565378</v>
      </c>
      <c r="BC167" s="173">
        <f t="shared" si="347"/>
        <v>9.7870087950550258E-2</v>
      </c>
      <c r="BD167" s="173"/>
      <c r="BE167" s="528">
        <f t="shared" si="348"/>
        <v>1.9978846763434727E-2</v>
      </c>
      <c r="BF167" s="528">
        <f t="shared" si="464"/>
        <v>0.52350250473970916</v>
      </c>
      <c r="BG167" s="528">
        <f t="shared" si="465"/>
        <v>0.10602299901868364</v>
      </c>
      <c r="BH167" s="528">
        <f t="shared" si="351"/>
        <v>3.3385986940849016E-2</v>
      </c>
      <c r="BI167">
        <f t="shared" si="352"/>
        <v>8.0586731872926923E-3</v>
      </c>
      <c r="BJ167" s="460">
        <f t="shared" si="436"/>
        <v>114.08167220597635</v>
      </c>
      <c r="BK167">
        <f t="shared" si="466"/>
        <v>0.58503879099469358</v>
      </c>
      <c r="BL167" s="460">
        <f t="shared" si="437"/>
        <v>690.9490106499693</v>
      </c>
      <c r="BM167" s="173">
        <f t="shared" si="467"/>
        <v>2.1246749999999994</v>
      </c>
      <c r="BN167" s="173">
        <f t="shared" si="468"/>
        <v>3.5411249999999991E-2</v>
      </c>
      <c r="BO167" s="528"/>
      <c r="BQ167" s="460">
        <f t="shared" si="356"/>
        <v>2160.0862499999994</v>
      </c>
      <c r="BR167" s="528">
        <f t="shared" si="357"/>
        <v>4.9128311713364084E-2</v>
      </c>
      <c r="BS167" s="528">
        <f t="shared" si="358"/>
        <v>0.79149181132029056</v>
      </c>
      <c r="BT167" s="528">
        <f t="shared" si="359"/>
        <v>4.7892770577242214E-5</v>
      </c>
      <c r="BU167" s="528">
        <f t="shared" si="360"/>
        <v>0.75391045800482459</v>
      </c>
      <c r="BV167" s="528"/>
      <c r="BW167" s="625">
        <f t="shared" si="469"/>
        <v>5.8372833252450261E-2</v>
      </c>
      <c r="BX167" s="460">
        <f t="shared" si="362"/>
        <v>1652.9513070615067</v>
      </c>
      <c r="BY167" s="173">
        <f t="shared" si="363"/>
        <v>4.5039865677114754</v>
      </c>
      <c r="BZ167" s="5">
        <f t="shared" si="364"/>
        <v>14.706</v>
      </c>
      <c r="CA167" s="173">
        <f t="shared" si="365"/>
        <v>0.76553931717568902</v>
      </c>
      <c r="CB167" s="5">
        <f t="shared" si="366"/>
        <v>76.553931717568901</v>
      </c>
      <c r="CC167">
        <f t="shared" si="367"/>
        <v>56.999999999999993</v>
      </c>
      <c r="CE167" s="562">
        <f t="shared" si="470"/>
        <v>-50</v>
      </c>
      <c r="CF167">
        <f t="shared" si="471"/>
        <v>-50</v>
      </c>
      <c r="CG167" s="173">
        <f t="shared" si="370"/>
        <v>0.48913043478260876</v>
      </c>
      <c r="CH167" s="173">
        <f t="shared" si="472"/>
        <v>0.13097870664369973</v>
      </c>
      <c r="CI167" s="170">
        <v>57</v>
      </c>
      <c r="CJ167" s="217">
        <f t="shared" si="438"/>
        <v>3.42</v>
      </c>
      <c r="CK167" s="217">
        <f t="shared" si="372"/>
        <v>5.6999999999999995E-2</v>
      </c>
      <c r="CL167" s="217">
        <f t="shared" si="373"/>
        <v>13.68</v>
      </c>
      <c r="CM167" s="217">
        <f t="shared" si="374"/>
        <v>1.0259999999999998</v>
      </c>
      <c r="CN167" s="541">
        <f t="shared" si="375"/>
        <v>18</v>
      </c>
      <c r="CO167" s="443">
        <f t="shared" si="473"/>
        <v>18.8</v>
      </c>
      <c r="CP167" s="443">
        <f t="shared" si="474"/>
        <v>36.799999999999997</v>
      </c>
      <c r="CQ167" s="443"/>
      <c r="CR167" s="217">
        <f t="shared" si="378"/>
        <v>0.51086956521739135</v>
      </c>
      <c r="CS167" s="172">
        <f t="shared" si="379"/>
        <v>28.513650151668358</v>
      </c>
      <c r="CT167" s="172">
        <f t="shared" si="380"/>
        <v>2.2989130434782612</v>
      </c>
      <c r="CU167" s="217">
        <f t="shared" si="381"/>
        <v>7.1284125379170895</v>
      </c>
      <c r="CV167" s="217">
        <f t="shared" si="382"/>
        <v>1.5840916750926866</v>
      </c>
      <c r="CW167" s="217">
        <f t="shared" si="383"/>
        <v>4</v>
      </c>
      <c r="CX167" s="217">
        <f t="shared" si="384"/>
        <v>3.1984680851063825</v>
      </c>
      <c r="CY167" s="217">
        <f t="shared" si="385"/>
        <v>2.1323120567375882</v>
      </c>
      <c r="CZ167" s="217">
        <f t="shared" si="386"/>
        <v>2.0415753734721589</v>
      </c>
      <c r="DA167" s="197">
        <f t="shared" si="387"/>
        <v>350</v>
      </c>
      <c r="DB167" s="443">
        <f t="shared" si="388"/>
        <v>239.58480354841475</v>
      </c>
      <c r="DD167" s="217">
        <f t="shared" si="389"/>
        <v>2.18944099378882</v>
      </c>
      <c r="DE167" s="173">
        <f t="shared" si="390"/>
        <v>1.3975155279503106</v>
      </c>
      <c r="DF167" s="173">
        <f t="shared" si="391"/>
        <v>1.9924134422749624</v>
      </c>
      <c r="DG167" s="173"/>
      <c r="DH167" s="173">
        <f t="shared" si="392"/>
        <v>0.85106382978723416</v>
      </c>
      <c r="DI167" s="545">
        <f t="shared" si="393"/>
        <v>1506.9374999999993</v>
      </c>
      <c r="DJ167" s="528">
        <f t="shared" si="394"/>
        <v>0.79432624113475192</v>
      </c>
      <c r="DL167" s="173">
        <f t="shared" si="395"/>
        <v>2.646291205226126</v>
      </c>
      <c r="DM167" s="173">
        <f t="shared" si="396"/>
        <v>3.1984680851063825</v>
      </c>
      <c r="DN167" s="173">
        <f t="shared" si="397"/>
        <v>2.5815812976096657</v>
      </c>
      <c r="DP167" s="545">
        <f t="shared" si="398"/>
        <v>3420</v>
      </c>
      <c r="DQ167" s="460">
        <f t="shared" si="399"/>
        <v>239.58480354841475</v>
      </c>
      <c r="DS167">
        <f t="shared" si="400"/>
        <v>3420</v>
      </c>
      <c r="DT167">
        <f t="shared" si="401"/>
        <v>239.58480354841475</v>
      </c>
      <c r="DV167" s="5">
        <f t="shared" si="402"/>
        <v>4.1738874302097475</v>
      </c>
      <c r="DW167" s="5">
        <f t="shared" si="403"/>
        <v>2.1323120567375882</v>
      </c>
      <c r="DX167" s="5">
        <f t="shared" si="404"/>
        <v>2.0415753734721593</v>
      </c>
      <c r="DY167" s="173">
        <f t="shared" si="405"/>
        <v>0.51086956521739124</v>
      </c>
      <c r="EA167" s="5">
        <f t="shared" si="406"/>
        <v>182.31268085106379</v>
      </c>
      <c r="EB167" s="5">
        <f t="shared" si="407"/>
        <v>0.67523215130023628</v>
      </c>
      <c r="EC167" s="5">
        <f t="shared" si="408"/>
        <v>1.2929977365323675</v>
      </c>
      <c r="ED167" s="5"/>
      <c r="EE167" s="173">
        <f t="shared" si="409"/>
        <v>1.3198859611173266</v>
      </c>
      <c r="EF167" s="173">
        <f t="shared" si="410"/>
        <v>5.1659919939957382</v>
      </c>
      <c r="EG167" s="173">
        <f t="shared" si="411"/>
        <v>9.8433090696405282E-2</v>
      </c>
      <c r="EH167" s="173"/>
      <c r="EI167" s="528">
        <f t="shared" si="412"/>
        <v>2.1253607194326226E-2</v>
      </c>
      <c r="EJ167" s="528">
        <f t="shared" si="413"/>
        <v>0.56400000000000006</v>
      </c>
      <c r="EK167" s="528">
        <f t="shared" si="414"/>
        <v>2.9948100443551843E-2</v>
      </c>
      <c r="EL167" s="528">
        <f t="shared" si="415"/>
        <v>3.2445532435740512E-2</v>
      </c>
      <c r="EM167">
        <f t="shared" si="416"/>
        <v>8.0999999999999996E-3</v>
      </c>
      <c r="EN167" s="460">
        <f t="shared" si="417"/>
        <v>38.048100443551846</v>
      </c>
      <c r="EP167" s="460">
        <f t="shared" si="439"/>
        <v>655.74724007361874</v>
      </c>
      <c r="EQ167" s="173">
        <f t="shared" si="418"/>
        <v>2.3939999999999997</v>
      </c>
      <c r="ER167" s="173">
        <f t="shared" si="475"/>
        <v>2.5293749999999997E-2</v>
      </c>
      <c r="ES167" s="528"/>
      <c r="EU167" s="460">
        <f t="shared" si="420"/>
        <v>2419.2937499999994</v>
      </c>
      <c r="EV167" s="528">
        <f t="shared" si="421"/>
        <v>5.2262968510638268E-2</v>
      </c>
      <c r="EW167" s="528">
        <f t="shared" si="422"/>
        <v>0.80062419846084187</v>
      </c>
      <c r="EX167" s="528">
        <f t="shared" si="423"/>
        <v>4.8445366720233737E-5</v>
      </c>
      <c r="EY167" s="528">
        <f t="shared" si="424"/>
        <v>0.81278041177063254</v>
      </c>
      <c r="EZ167" s="528"/>
      <c r="FA167" s="625">
        <f t="shared" si="425"/>
        <v>6.1274999999999996E-2</v>
      </c>
      <c r="FB167" s="460">
        <f t="shared" si="426"/>
        <v>1726.9910241088328</v>
      </c>
      <c r="FC167" s="173">
        <f t="shared" si="427"/>
        <v>4.8020320141824513</v>
      </c>
      <c r="FD167" s="5">
        <f t="shared" si="428"/>
        <v>14.706</v>
      </c>
      <c r="FE167" s="173">
        <f t="shared" si="429"/>
        <v>0.75384333946697712</v>
      </c>
      <c r="FF167" s="5">
        <f t="shared" si="430"/>
        <v>75.384333946697708</v>
      </c>
      <c r="FG167">
        <f t="shared" si="431"/>
        <v>56.999999999999993</v>
      </c>
      <c r="FI167" s="562">
        <f t="shared" si="432"/>
        <v>-50</v>
      </c>
      <c r="FJ167">
        <f t="shared" si="433"/>
        <v>-50</v>
      </c>
    </row>
    <row r="168" spans="5:166">
      <c r="E168" s="170">
        <v>58</v>
      </c>
      <c r="F168" s="217">
        <f t="shared" si="476"/>
        <v>3.4799999999999995</v>
      </c>
      <c r="G168" s="217">
        <f t="shared" si="444"/>
        <v>5.7999999999999996E-2</v>
      </c>
      <c r="H168" s="217">
        <f t="shared" si="445"/>
        <v>13.919999999999998</v>
      </c>
      <c r="I168" s="217">
        <f t="shared" si="446"/>
        <v>1.044</v>
      </c>
      <c r="J168" s="541">
        <f t="shared" si="447"/>
        <v>17.906551456646245</v>
      </c>
      <c r="K168" s="443">
        <f t="shared" si="448"/>
        <v>19.653760000000002</v>
      </c>
      <c r="L168" s="172">
        <f t="shared" si="449"/>
        <v>37.560311456646247</v>
      </c>
      <c r="M168" s="443"/>
      <c r="N168" s="217">
        <f t="shared" si="450"/>
        <v>0.52325870680506015</v>
      </c>
      <c r="O168" s="172">
        <f t="shared" si="451"/>
        <v>29.053516150520867</v>
      </c>
      <c r="P168" s="172">
        <f t="shared" si="452"/>
        <v>2.3424397396357448</v>
      </c>
      <c r="Q168" s="217">
        <f t="shared" si="322"/>
        <v>7.2633790376302168</v>
      </c>
      <c r="R168" s="217">
        <f t="shared" si="453"/>
        <v>1.6140842305844927</v>
      </c>
      <c r="S168" s="217">
        <f t="shared" si="454"/>
        <v>4</v>
      </c>
      <c r="T168" s="217">
        <f t="shared" si="455"/>
        <v>3.1941056469454661</v>
      </c>
      <c r="U168" s="217">
        <f t="shared" si="326"/>
        <v>2.1405164392566047</v>
      </c>
      <c r="V168" s="217">
        <f t="shared" si="327"/>
        <v>1.9502256954061508</v>
      </c>
      <c r="W168" s="197">
        <f t="shared" si="328"/>
        <v>350</v>
      </c>
      <c r="X168" s="443">
        <f t="shared" si="435"/>
        <v>233.05991565456736</v>
      </c>
      <c r="Z168" s="217">
        <f t="shared" si="329"/>
        <v>2.2308949901292809</v>
      </c>
      <c r="AA168" s="173">
        <f t="shared" si="330"/>
        <v>1.3621179805569705</v>
      </c>
      <c r="AB168" s="173">
        <f t="shared" si="456"/>
        <v>1.9787158373513405</v>
      </c>
      <c r="AC168" s="173"/>
      <c r="AD168" s="173">
        <f t="shared" si="332"/>
        <v>0.81409358819889943</v>
      </c>
      <c r="AE168" s="545">
        <f t="shared" si="457"/>
        <v>1603.0097999999991</v>
      </c>
      <c r="AF168" s="528">
        <f t="shared" si="458"/>
        <v>0.75982068231897293</v>
      </c>
      <c r="AH168" s="173">
        <f t="shared" si="459"/>
        <v>2.6694033576277461</v>
      </c>
      <c r="AI168" s="173">
        <f t="shared" si="460"/>
        <v>3.1941056469454661</v>
      </c>
      <c r="AJ168" s="173">
        <f t="shared" si="461"/>
        <v>2.578349861934913</v>
      </c>
      <c r="AL168" s="545">
        <f t="shared" si="462"/>
        <v>3479.9999999999995</v>
      </c>
      <c r="AM168" s="460">
        <f t="shared" si="463"/>
        <v>233.05991565456736</v>
      </c>
      <c r="AO168">
        <f t="shared" si="340"/>
        <v>3479.9999999999995</v>
      </c>
      <c r="AP168">
        <f t="shared" si="341"/>
        <v>233.05991565456736</v>
      </c>
      <c r="AR168" s="5">
        <f t="shared" si="443"/>
        <v>4.2907421346627554</v>
      </c>
      <c r="AS168" s="5">
        <f t="shared" si="440"/>
        <v>2.1405164392566047</v>
      </c>
      <c r="AT168" s="5">
        <f t="shared" si="441"/>
        <v>2.1502256954061507</v>
      </c>
      <c r="AU168" s="173">
        <f t="shared" si="442"/>
        <v>0.49886858079035912</v>
      </c>
      <c r="AW168" s="5">
        <f t="shared" si="342"/>
        <v>186.22493021532458</v>
      </c>
      <c r="AX168" s="5">
        <f t="shared" si="343"/>
        <v>0.68972196376046158</v>
      </c>
      <c r="AY168" s="5">
        <f t="shared" si="344"/>
        <v>1.3929325323806876</v>
      </c>
      <c r="AZ168" s="5"/>
      <c r="BA168" s="173">
        <f t="shared" si="345"/>
        <v>1.3025119770924363</v>
      </c>
      <c r="BB168" s="173">
        <f t="shared" si="346"/>
        <v>5.2218507740410312</v>
      </c>
      <c r="BC168" s="173">
        <f t="shared" si="347"/>
        <v>9.9497426910781825E-2</v>
      </c>
      <c r="BD168" s="173"/>
      <c r="BE168" s="528">
        <f t="shared" si="348"/>
        <v>2.0697756895724815E-2</v>
      </c>
      <c r="BF168" s="528">
        <f t="shared" si="464"/>
        <v>0.52426071859827783</v>
      </c>
      <c r="BG168" s="528">
        <f t="shared" si="465"/>
        <v>0.10433248430375359</v>
      </c>
      <c r="BH168" s="528">
        <f t="shared" si="351"/>
        <v>3.2879556786303034E-2</v>
      </c>
      <c r="BI168">
        <f t="shared" si="352"/>
        <v>8.05794815549081E-3</v>
      </c>
      <c r="BJ168" s="460">
        <f t="shared" si="436"/>
        <v>112.39043245924441</v>
      </c>
      <c r="BK168">
        <f t="shared" si="466"/>
        <v>0.58630977324551969</v>
      </c>
      <c r="BL168" s="460">
        <f t="shared" si="437"/>
        <v>690.22846473955008</v>
      </c>
      <c r="BM168" s="173">
        <f t="shared" si="467"/>
        <v>2.1619499999999996</v>
      </c>
      <c r="BN168" s="173">
        <f t="shared" si="468"/>
        <v>3.6032499999999995E-2</v>
      </c>
      <c r="BO168" s="528"/>
      <c r="BQ168" s="460">
        <f t="shared" si="356"/>
        <v>2197.9824999999996</v>
      </c>
      <c r="BR168" s="528">
        <f t="shared" si="357"/>
        <v>5.0896123514077414E-2</v>
      </c>
      <c r="BS168" s="528">
        <f t="shared" si="358"/>
        <v>0.81803176519058751</v>
      </c>
      <c r="BT168" s="528">
        <f t="shared" si="359"/>
        <v>4.9498689809331861E-5</v>
      </c>
      <c r="BU168" s="528">
        <f t="shared" si="360"/>
        <v>0.75598322395922901</v>
      </c>
      <c r="BV168" s="528"/>
      <c r="BW168" s="625">
        <f t="shared" si="469"/>
        <v>5.9443742851787579E-2</v>
      </c>
      <c r="BX168" s="460">
        <f t="shared" si="362"/>
        <v>1684.404354205491</v>
      </c>
      <c r="BY168" s="173">
        <f t="shared" si="363"/>
        <v>4.5726153189450409</v>
      </c>
      <c r="BZ168" s="5">
        <f t="shared" si="364"/>
        <v>14.963999999999999</v>
      </c>
      <c r="CA168" s="173">
        <f t="shared" si="365"/>
        <v>0.76594639120979746</v>
      </c>
      <c r="CB168" s="5">
        <f t="shared" si="366"/>
        <v>76.59463912097975</v>
      </c>
      <c r="CC168">
        <f t="shared" si="367"/>
        <v>57.999999999999993</v>
      </c>
      <c r="CE168" s="562">
        <f t="shared" si="470"/>
        <v>-50</v>
      </c>
      <c r="CF168">
        <f t="shared" si="471"/>
        <v>-50</v>
      </c>
      <c r="CG168" s="173">
        <f t="shared" si="370"/>
        <v>0.48913043478260876</v>
      </c>
      <c r="CH168" s="173">
        <f t="shared" si="472"/>
        <v>0.13097870664369973</v>
      </c>
      <c r="CI168" s="170">
        <v>58</v>
      </c>
      <c r="CJ168" s="217">
        <f t="shared" si="438"/>
        <v>3.4799999999999995</v>
      </c>
      <c r="CK168" s="217">
        <f t="shared" si="372"/>
        <v>5.7999999999999996E-2</v>
      </c>
      <c r="CL168" s="217">
        <f t="shared" si="373"/>
        <v>13.919999999999998</v>
      </c>
      <c r="CM168" s="217">
        <f t="shared" si="374"/>
        <v>1.044</v>
      </c>
      <c r="CN168" s="541">
        <f t="shared" si="375"/>
        <v>18</v>
      </c>
      <c r="CO168" s="443">
        <f t="shared" si="473"/>
        <v>18.8</v>
      </c>
      <c r="CP168" s="443">
        <f t="shared" si="474"/>
        <v>36.799999999999997</v>
      </c>
      <c r="CQ168" s="443"/>
      <c r="CR168" s="217">
        <f t="shared" si="378"/>
        <v>0.51086956521739135</v>
      </c>
      <c r="CS168" s="172">
        <f t="shared" si="379"/>
        <v>28.513650151668358</v>
      </c>
      <c r="CT168" s="172">
        <f t="shared" si="380"/>
        <v>2.2989130434782612</v>
      </c>
      <c r="CU168" s="217">
        <f t="shared" si="381"/>
        <v>7.1284125379170895</v>
      </c>
      <c r="CV168" s="217">
        <f t="shared" si="382"/>
        <v>1.5840916750926866</v>
      </c>
      <c r="CW168" s="217">
        <f t="shared" si="383"/>
        <v>4</v>
      </c>
      <c r="CX168" s="217">
        <f t="shared" si="384"/>
        <v>3.2545815602836874</v>
      </c>
      <c r="CY168" s="217">
        <f t="shared" si="385"/>
        <v>2.1697210401891249</v>
      </c>
      <c r="CZ168" s="217">
        <f t="shared" si="386"/>
        <v>2.0773924852874601</v>
      </c>
      <c r="DA168" s="197">
        <f t="shared" si="387"/>
        <v>350</v>
      </c>
      <c r="DB168" s="443">
        <f t="shared" si="388"/>
        <v>235.45403107344205</v>
      </c>
      <c r="DD168" s="217">
        <f t="shared" si="389"/>
        <v>2.18944099378882</v>
      </c>
      <c r="DE168" s="173">
        <f t="shared" si="390"/>
        <v>1.3975155279503106</v>
      </c>
      <c r="DF168" s="173">
        <f t="shared" si="391"/>
        <v>1.9924134422749624</v>
      </c>
      <c r="DG168" s="173"/>
      <c r="DH168" s="173">
        <f t="shared" si="392"/>
        <v>0.85106382978723416</v>
      </c>
      <c r="DI168" s="545">
        <f t="shared" si="393"/>
        <v>1533.3749999999993</v>
      </c>
      <c r="DJ168" s="528">
        <f t="shared" si="394"/>
        <v>0.79432624113475192</v>
      </c>
      <c r="DL168" s="173">
        <f t="shared" si="395"/>
        <v>2.6694033576277461</v>
      </c>
      <c r="DM168" s="173">
        <f t="shared" si="396"/>
        <v>3.2545815602836874</v>
      </c>
      <c r="DN168" s="173">
        <f t="shared" si="397"/>
        <v>2.6231468347780398</v>
      </c>
      <c r="DP168" s="545">
        <f t="shared" si="398"/>
        <v>3479.9999999999995</v>
      </c>
      <c r="DQ168" s="460">
        <f t="shared" si="399"/>
        <v>235.45403107344205</v>
      </c>
      <c r="DS168">
        <f t="shared" si="400"/>
        <v>3479.9999999999995</v>
      </c>
      <c r="DT168">
        <f t="shared" si="401"/>
        <v>235.45403107344205</v>
      </c>
      <c r="DV168" s="5">
        <f t="shared" si="402"/>
        <v>4.2471135254765855</v>
      </c>
      <c r="DW168" s="5">
        <f t="shared" si="403"/>
        <v>2.1697210401891249</v>
      </c>
      <c r="DX168" s="5">
        <f t="shared" si="404"/>
        <v>2.0773924852874606</v>
      </c>
      <c r="DY168" s="173">
        <f t="shared" si="405"/>
        <v>0.51086956521739124</v>
      </c>
      <c r="EA168" s="5">
        <f t="shared" si="406"/>
        <v>188.76573049645384</v>
      </c>
      <c r="EB168" s="5">
        <f t="shared" si="407"/>
        <v>0.69913233517205131</v>
      </c>
      <c r="EC168" s="5">
        <f t="shared" si="408"/>
        <v>1.3387640460741408</v>
      </c>
      <c r="ED168" s="5"/>
      <c r="EE168" s="173">
        <f t="shared" si="409"/>
        <v>1.3430418551720167</v>
      </c>
      <c r="EF168" s="173">
        <f t="shared" si="410"/>
        <v>5.2566234324868919</v>
      </c>
      <c r="EG168" s="173">
        <f t="shared" si="411"/>
        <v>0.10015998702441241</v>
      </c>
      <c r="EH168" s="173"/>
      <c r="EI168" s="528">
        <f t="shared" si="412"/>
        <v>2.2005889381875483E-2</v>
      </c>
      <c r="EJ168" s="528">
        <f t="shared" si="413"/>
        <v>0.56399999999999983</v>
      </c>
      <c r="EK168" s="528">
        <f t="shared" si="414"/>
        <v>2.9431753884180255E-2</v>
      </c>
      <c r="EL168" s="528">
        <f t="shared" si="415"/>
        <v>3.1886126704089815E-2</v>
      </c>
      <c r="EM168">
        <f t="shared" si="416"/>
        <v>8.0999999999999996E-3</v>
      </c>
      <c r="EN168" s="460">
        <f t="shared" si="417"/>
        <v>37.531753884180254</v>
      </c>
      <c r="EP168" s="460">
        <f t="shared" si="439"/>
        <v>655.42376997014549</v>
      </c>
      <c r="EQ168" s="173">
        <f t="shared" si="418"/>
        <v>2.4359999999999995</v>
      </c>
      <c r="ER168" s="173">
        <f t="shared" si="475"/>
        <v>2.5737499999999996E-2</v>
      </c>
      <c r="ES168" s="528"/>
      <c r="EU168" s="460">
        <f t="shared" si="420"/>
        <v>2461.7374999999993</v>
      </c>
      <c r="EV168" s="528">
        <f t="shared" si="421"/>
        <v>5.4112842742316765E-2</v>
      </c>
      <c r="EW168" s="528">
        <f t="shared" si="422"/>
        <v>0.8289626973291081</v>
      </c>
      <c r="EX168" s="528">
        <f t="shared" si="423"/>
        <v>5.0160115003652313E-5</v>
      </c>
      <c r="EY168" s="528">
        <f t="shared" si="424"/>
        <v>0.81278041177063176</v>
      </c>
      <c r="EZ168" s="528"/>
      <c r="FA168" s="625">
        <f t="shared" si="425"/>
        <v>6.2349999999999982E-2</v>
      </c>
      <c r="FB168" s="460">
        <f t="shared" si="426"/>
        <v>1758.2561119570603</v>
      </c>
      <c r="FC168" s="173">
        <f t="shared" si="427"/>
        <v>4.875417381927206</v>
      </c>
      <c r="FD168" s="5">
        <f t="shared" si="428"/>
        <v>14.963999999999999</v>
      </c>
      <c r="FE168" s="173">
        <f t="shared" si="429"/>
        <v>0.75425602032202377</v>
      </c>
      <c r="FF168" s="5">
        <f t="shared" si="430"/>
        <v>75.425602032202377</v>
      </c>
      <c r="FG168">
        <f t="shared" si="431"/>
        <v>57.999999999999993</v>
      </c>
      <c r="FI168" s="562">
        <f t="shared" si="432"/>
        <v>-50</v>
      </c>
      <c r="FJ168">
        <f t="shared" si="433"/>
        <v>-50</v>
      </c>
    </row>
    <row r="169" spans="5:166">
      <c r="E169" s="170">
        <v>59</v>
      </c>
      <c r="F169" s="217">
        <f t="shared" si="476"/>
        <v>3.54</v>
      </c>
      <c r="G169" s="217">
        <f t="shared" si="444"/>
        <v>5.8999999999999997E-2</v>
      </c>
      <c r="H169" s="217">
        <f t="shared" si="445"/>
        <v>14.16</v>
      </c>
      <c r="I169" s="217">
        <f t="shared" si="446"/>
        <v>1.0619999999999998</v>
      </c>
      <c r="J169" s="541">
        <f t="shared" si="447"/>
        <v>17.904940274864284</v>
      </c>
      <c r="K169" s="443">
        <f t="shared" si="448"/>
        <v>19.668480000000002</v>
      </c>
      <c r="L169" s="172">
        <f t="shared" si="449"/>
        <v>37.57342027486429</v>
      </c>
      <c r="M169" s="443"/>
      <c r="N169" s="217">
        <f t="shared" si="450"/>
        <v>0.52346791577975504</v>
      </c>
      <c r="O169" s="172">
        <f t="shared" si="451"/>
        <v>29.06251710959442</v>
      </c>
      <c r="P169" s="172">
        <f t="shared" si="452"/>
        <v>2.3431654419610504</v>
      </c>
      <c r="Q169" s="217">
        <f t="shared" si="322"/>
        <v>7.2656292773986051</v>
      </c>
      <c r="R169" s="217">
        <f t="shared" si="453"/>
        <v>1.6145842838663567</v>
      </c>
      <c r="S169" s="217">
        <f t="shared" si="454"/>
        <v>4</v>
      </c>
      <c r="T169" s="217">
        <f t="shared" si="455"/>
        <v>3.248170130757039</v>
      </c>
      <c r="U169" s="217">
        <f t="shared" si="326"/>
        <v>2.1769434005766275</v>
      </c>
      <c r="V169" s="217">
        <f t="shared" si="327"/>
        <v>1.9817515928574281</v>
      </c>
      <c r="W169" s="197">
        <f t="shared" si="328"/>
        <v>350</v>
      </c>
      <c r="X169" s="443">
        <f t="shared" si="435"/>
        <v>229.42646858897018</v>
      </c>
      <c r="Z169" s="217">
        <f t="shared" si="329"/>
        <v>2.2315861352010007</v>
      </c>
      <c r="AA169" s="173">
        <f t="shared" si="330"/>
        <v>1.361520240629271</v>
      </c>
      <c r="AB169" s="173">
        <f t="shared" si="456"/>
        <v>1.9784602644173654</v>
      </c>
      <c r="AC169" s="173"/>
      <c r="AD169" s="173">
        <f t="shared" si="332"/>
        <v>0.81348431602238713</v>
      </c>
      <c r="AE169" s="545">
        <f t="shared" si="457"/>
        <v>1631.8691999999999</v>
      </c>
      <c r="AF169" s="528">
        <f t="shared" si="458"/>
        <v>0.75925202828756155</v>
      </c>
      <c r="AH169" s="173">
        <f t="shared" si="459"/>
        <v>2.6923171114434918</v>
      </c>
      <c r="AI169" s="173">
        <f t="shared" si="460"/>
        <v>3.248170130757039</v>
      </c>
      <c r="AJ169" s="173">
        <f t="shared" si="461"/>
        <v>2.6183976277212633</v>
      </c>
      <c r="AL169" s="545">
        <f t="shared" si="462"/>
        <v>3540</v>
      </c>
      <c r="AM169" s="460">
        <f t="shared" si="463"/>
        <v>229.42646858897018</v>
      </c>
      <c r="AO169">
        <f t="shared" si="340"/>
        <v>3540</v>
      </c>
      <c r="AP169">
        <f t="shared" si="341"/>
        <v>229.42646858897018</v>
      </c>
      <c r="AR169" s="5">
        <f t="shared" si="443"/>
        <v>4.3586949934340558</v>
      </c>
      <c r="AS169" s="5">
        <f t="shared" si="440"/>
        <v>2.1769434005766275</v>
      </c>
      <c r="AT169" s="5">
        <f t="shared" si="441"/>
        <v>2.1817515928574283</v>
      </c>
      <c r="AU169" s="173">
        <f t="shared" si="442"/>
        <v>0.49944843671235956</v>
      </c>
      <c r="AW169" s="5">
        <f t="shared" si="342"/>
        <v>192.65949095103156</v>
      </c>
      <c r="AX169" s="5">
        <f t="shared" si="343"/>
        <v>0.71355367018900562</v>
      </c>
      <c r="AY169" s="5">
        <f t="shared" si="344"/>
        <v>1.4378528160665864</v>
      </c>
      <c r="AZ169" s="5"/>
      <c r="BA169" s="173">
        <f t="shared" si="345"/>
        <v>1.3253282952379575</v>
      </c>
      <c r="BB169" s="173">
        <f t="shared" si="346"/>
        <v>5.3071644295196023</v>
      </c>
      <c r="BC169" s="173">
        <f t="shared" si="347"/>
        <v>0.10112299791381944</v>
      </c>
      <c r="BD169" s="173"/>
      <c r="BE169" s="528">
        <f t="shared" si="348"/>
        <v>2.1429240099931874E-2</v>
      </c>
      <c r="BF169" s="528">
        <f t="shared" si="464"/>
        <v>0.5250060294611274</v>
      </c>
      <c r="BG169" s="528">
        <f t="shared" si="465"/>
        <v>0.10269668043896345</v>
      </c>
      <c r="BH169" s="528">
        <f t="shared" si="351"/>
        <v>3.2389554976392315E-2</v>
      </c>
      <c r="BI169">
        <f t="shared" si="352"/>
        <v>8.0572231236889277E-3</v>
      </c>
      <c r="BJ169" s="460">
        <f t="shared" si="436"/>
        <v>110.75390356265237</v>
      </c>
      <c r="BK169">
        <f t="shared" si="466"/>
        <v>0.58760254912783483</v>
      </c>
      <c r="BL169" s="460">
        <f t="shared" si="437"/>
        <v>689.57872810010394</v>
      </c>
      <c r="BM169" s="173">
        <f t="shared" si="467"/>
        <v>2.1992249999999998</v>
      </c>
      <c r="BN169" s="173">
        <f t="shared" si="468"/>
        <v>3.6653749999999992E-2</v>
      </c>
      <c r="BO169" s="528"/>
      <c r="BQ169" s="460">
        <f t="shared" si="356"/>
        <v>2235.8787499999999</v>
      </c>
      <c r="BR169" s="528">
        <f t="shared" si="357"/>
        <v>5.2694852704750515E-2</v>
      </c>
      <c r="BS169" s="528">
        <f t="shared" si="358"/>
        <v>0.84497982845874375</v>
      </c>
      <c r="BT169" s="528">
        <f t="shared" si="359"/>
        <v>5.1129303535391657E-5</v>
      </c>
      <c r="BU169" s="528">
        <f t="shared" si="360"/>
        <v>0.7580113808345994</v>
      </c>
      <c r="BV169" s="528"/>
      <c r="BW169" s="625">
        <f t="shared" si="469"/>
        <v>6.0514725245948912E-2</v>
      </c>
      <c r="BX169" s="460">
        <f t="shared" si="362"/>
        <v>1716.2519165475778</v>
      </c>
      <c r="BY169" s="173">
        <f t="shared" si="363"/>
        <v>4.6417093946476822</v>
      </c>
      <c r="BZ169" s="5">
        <f t="shared" si="364"/>
        <v>15.222</v>
      </c>
      <c r="CA169" s="173">
        <f t="shared" si="365"/>
        <v>0.76632212531772137</v>
      </c>
      <c r="CB169" s="5">
        <f t="shared" si="366"/>
        <v>76.63221253177214</v>
      </c>
      <c r="CC169">
        <f t="shared" si="367"/>
        <v>59</v>
      </c>
      <c r="CE169" s="562">
        <f t="shared" si="470"/>
        <v>-50</v>
      </c>
      <c r="CF169">
        <f t="shared" si="471"/>
        <v>-50</v>
      </c>
      <c r="CG169" s="173">
        <f t="shared" si="370"/>
        <v>0.48913043478260865</v>
      </c>
      <c r="CH169" s="173">
        <f t="shared" si="472"/>
        <v>0.13097870664369976</v>
      </c>
      <c r="CI169" s="170">
        <v>59</v>
      </c>
      <c r="CJ169" s="217">
        <f t="shared" si="438"/>
        <v>3.54</v>
      </c>
      <c r="CK169" s="217">
        <f t="shared" si="372"/>
        <v>5.8999999999999997E-2</v>
      </c>
      <c r="CL169" s="217">
        <f t="shared" si="373"/>
        <v>14.16</v>
      </c>
      <c r="CM169" s="217">
        <f t="shared" si="374"/>
        <v>1.0619999999999998</v>
      </c>
      <c r="CN169" s="541">
        <f t="shared" si="375"/>
        <v>18</v>
      </c>
      <c r="CO169" s="443">
        <f t="shared" si="473"/>
        <v>18.8</v>
      </c>
      <c r="CP169" s="443">
        <f t="shared" si="474"/>
        <v>36.799999999999997</v>
      </c>
      <c r="CQ169" s="443"/>
      <c r="CR169" s="217">
        <f t="shared" si="378"/>
        <v>0.51086956521739135</v>
      </c>
      <c r="CS169" s="172">
        <f t="shared" si="379"/>
        <v>28.513650151668358</v>
      </c>
      <c r="CT169" s="172">
        <f t="shared" si="380"/>
        <v>2.2989130434782612</v>
      </c>
      <c r="CU169" s="217">
        <f t="shared" si="381"/>
        <v>7.1284125379170895</v>
      </c>
      <c r="CV169" s="217">
        <f t="shared" si="382"/>
        <v>1.5840916750926866</v>
      </c>
      <c r="CW169" s="217">
        <f t="shared" si="383"/>
        <v>4</v>
      </c>
      <c r="CX169" s="217">
        <f t="shared" si="384"/>
        <v>3.3106950354609923</v>
      </c>
      <c r="CY169" s="217">
        <f t="shared" si="385"/>
        <v>2.2071300236406617</v>
      </c>
      <c r="CZ169" s="217">
        <f t="shared" si="386"/>
        <v>2.1132095971027609</v>
      </c>
      <c r="DA169" s="197">
        <f t="shared" si="387"/>
        <v>350</v>
      </c>
      <c r="DB169" s="443">
        <f t="shared" si="388"/>
        <v>231.46328478406173</v>
      </c>
      <c r="DD169" s="217">
        <f t="shared" si="389"/>
        <v>2.18944099378882</v>
      </c>
      <c r="DE169" s="173">
        <f t="shared" si="390"/>
        <v>1.3975155279503106</v>
      </c>
      <c r="DF169" s="173">
        <f t="shared" si="391"/>
        <v>1.9924134422749624</v>
      </c>
      <c r="DG169" s="173"/>
      <c r="DH169" s="173">
        <f t="shared" si="392"/>
        <v>0.85106382978723416</v>
      </c>
      <c r="DI169" s="545">
        <f t="shared" si="393"/>
        <v>1559.8124999999998</v>
      </c>
      <c r="DJ169" s="528">
        <f t="shared" si="394"/>
        <v>0.79432624113475192</v>
      </c>
      <c r="DL169" s="173">
        <f t="shared" si="395"/>
        <v>2.6923171114434918</v>
      </c>
      <c r="DM169" s="173">
        <f t="shared" si="396"/>
        <v>3.3106950354609923</v>
      </c>
      <c r="DN169" s="173">
        <f t="shared" si="397"/>
        <v>2.6647123719464139</v>
      </c>
      <c r="DP169" s="545">
        <f t="shared" si="398"/>
        <v>3540</v>
      </c>
      <c r="DQ169" s="460">
        <f t="shared" si="399"/>
        <v>231.46328478406173</v>
      </c>
      <c r="DS169">
        <f t="shared" si="400"/>
        <v>3540</v>
      </c>
      <c r="DT169">
        <f t="shared" si="401"/>
        <v>231.46328478406173</v>
      </c>
      <c r="DV169" s="5">
        <f t="shared" si="402"/>
        <v>4.3203396207434226</v>
      </c>
      <c r="DW169" s="5">
        <f t="shared" si="403"/>
        <v>2.2071300236406617</v>
      </c>
      <c r="DX169" s="5">
        <f t="shared" si="404"/>
        <v>2.1132095971027609</v>
      </c>
      <c r="DY169" s="173">
        <f t="shared" si="405"/>
        <v>0.51086956521739135</v>
      </c>
      <c r="EA169" s="5">
        <f t="shared" si="406"/>
        <v>195.33100709219858</v>
      </c>
      <c r="EB169" s="5">
        <f t="shared" si="407"/>
        <v>0.7234481744155502</v>
      </c>
      <c r="EC169" s="5">
        <f t="shared" si="408"/>
        <v>1.3853262914340319</v>
      </c>
      <c r="ED169" s="5"/>
      <c r="EE169" s="173">
        <f t="shared" si="409"/>
        <v>1.3661977492267068</v>
      </c>
      <c r="EF169" s="173">
        <f t="shared" si="410"/>
        <v>5.3472548709780439</v>
      </c>
      <c r="EG169" s="173">
        <f t="shared" si="411"/>
        <v>0.10188688335241948</v>
      </c>
      <c r="EH169" s="173"/>
      <c r="EI169" s="528">
        <f t="shared" si="412"/>
        <v>2.2771254737903857E-2</v>
      </c>
      <c r="EJ169" s="528">
        <f t="shared" si="413"/>
        <v>0.56400000000000006</v>
      </c>
      <c r="EK169" s="528">
        <f t="shared" si="414"/>
        <v>2.8932910598007712E-2</v>
      </c>
      <c r="EL169" s="528">
        <f t="shared" si="415"/>
        <v>3.1345683878596771E-2</v>
      </c>
      <c r="EM169">
        <f t="shared" si="416"/>
        <v>8.0999999999999996E-3</v>
      </c>
      <c r="EN169" s="460">
        <f t="shared" si="417"/>
        <v>37.032910598007717</v>
      </c>
      <c r="EP169" s="460">
        <f t="shared" si="439"/>
        <v>655.14984921450844</v>
      </c>
      <c r="EQ169" s="173">
        <f t="shared" si="418"/>
        <v>2.4779999999999998</v>
      </c>
      <c r="ER169" s="173">
        <f t="shared" si="475"/>
        <v>2.6181249999999996E-2</v>
      </c>
      <c r="ES169" s="528"/>
      <c r="EU169" s="460">
        <f t="shared" si="420"/>
        <v>2504.1812499999996</v>
      </c>
      <c r="EV169" s="528">
        <f t="shared" si="421"/>
        <v>5.5994888699763587E-2</v>
      </c>
      <c r="EW169" s="528">
        <f t="shared" si="422"/>
        <v>0.85779403965595247</v>
      </c>
      <c r="EX169" s="528">
        <f t="shared" si="423"/>
        <v>5.1904684996347672E-5</v>
      </c>
      <c r="EY169" s="528">
        <f t="shared" si="424"/>
        <v>0.81278041177063243</v>
      </c>
      <c r="EZ169" s="528"/>
      <c r="FA169" s="625">
        <f t="shared" si="425"/>
        <v>6.3424999999999995E-2</v>
      </c>
      <c r="FB169" s="460">
        <f t="shared" si="426"/>
        <v>1790.0462448113449</v>
      </c>
      <c r="FC169" s="173">
        <f t="shared" si="427"/>
        <v>4.9493773440258533</v>
      </c>
      <c r="FD169" s="5">
        <f t="shared" si="428"/>
        <v>15.222</v>
      </c>
      <c r="FE169" s="173">
        <f t="shared" si="429"/>
        <v>0.75463364451452752</v>
      </c>
      <c r="FF169" s="5">
        <f t="shared" si="430"/>
        <v>75.463364451452748</v>
      </c>
      <c r="FG169">
        <f t="shared" si="431"/>
        <v>59</v>
      </c>
      <c r="FI169" s="562">
        <f t="shared" si="432"/>
        <v>-50</v>
      </c>
      <c r="FJ169">
        <f t="shared" si="433"/>
        <v>-50</v>
      </c>
    </row>
    <row r="170" spans="5:166">
      <c r="E170" s="170">
        <v>60</v>
      </c>
      <c r="F170" s="217">
        <f t="shared" si="476"/>
        <v>3.5999999999999996</v>
      </c>
      <c r="G170" s="217">
        <f t="shared" si="444"/>
        <v>0.06</v>
      </c>
      <c r="H170" s="217">
        <f t="shared" si="445"/>
        <v>14.399999999999999</v>
      </c>
      <c r="I170" s="217">
        <f t="shared" si="446"/>
        <v>1.08</v>
      </c>
      <c r="J170" s="541">
        <f t="shared" si="447"/>
        <v>17.903329093082323</v>
      </c>
      <c r="K170" s="443">
        <f t="shared" si="448"/>
        <v>19.683199999999999</v>
      </c>
      <c r="L170" s="172">
        <f t="shared" si="449"/>
        <v>37.586529093082319</v>
      </c>
      <c r="M170" s="443"/>
      <c r="N170" s="217">
        <f t="shared" si="450"/>
        <v>0.52367697882544384</v>
      </c>
      <c r="O170" s="172">
        <f t="shared" si="451"/>
        <v>29.071507877156666</v>
      </c>
      <c r="P170" s="172">
        <f t="shared" si="452"/>
        <v>2.3438903225957564</v>
      </c>
      <c r="Q170" s="217">
        <f t="shared" si="322"/>
        <v>7.2678769692891665</v>
      </c>
      <c r="R170" s="217">
        <f t="shared" si="453"/>
        <v>1.615083770953148</v>
      </c>
      <c r="S170" s="217">
        <f t="shared" si="454"/>
        <v>4</v>
      </c>
      <c r="T170" s="217">
        <f t="shared" si="455"/>
        <v>3.3022022939316917</v>
      </c>
      <c r="U170" s="217">
        <f t="shared" si="326"/>
        <v>2.2133552548331124</v>
      </c>
      <c r="V170" s="217">
        <f t="shared" si="327"/>
        <v>2.0132106327822865</v>
      </c>
      <c r="W170" s="197">
        <f t="shared" si="328"/>
        <v>350</v>
      </c>
      <c r="X170" s="443">
        <f t="shared" si="435"/>
        <v>225.90875757611332</v>
      </c>
      <c r="Z170" s="217">
        <f t="shared" si="329"/>
        <v>2.2322764977102438</v>
      </c>
      <c r="AA170" s="173">
        <f t="shared" si="330"/>
        <v>1.3609229176415893</v>
      </c>
      <c r="AB170" s="173">
        <f t="shared" si="456"/>
        <v>1.9782040660210245</v>
      </c>
      <c r="AC170" s="173"/>
      <c r="AD170" s="173">
        <f t="shared" si="332"/>
        <v>0.81287595512924748</v>
      </c>
      <c r="AE170" s="545">
        <f t="shared" si="457"/>
        <v>1660.7699999999993</v>
      </c>
      <c r="AF170" s="528">
        <f t="shared" si="458"/>
        <v>0.7586842247872978</v>
      </c>
      <c r="AH170" s="173">
        <f t="shared" si="459"/>
        <v>2.7150374898753369</v>
      </c>
      <c r="AI170" s="173">
        <f t="shared" si="460"/>
        <v>3.3022022939316917</v>
      </c>
      <c r="AJ170" s="173">
        <f t="shared" si="461"/>
        <v>2.6584214522950802</v>
      </c>
      <c r="AL170" s="545">
        <f t="shared" si="462"/>
        <v>3599.9999999999995</v>
      </c>
      <c r="AM170" s="460">
        <f t="shared" si="463"/>
        <v>225.90875757611332</v>
      </c>
      <c r="AO170">
        <f t="shared" si="340"/>
        <v>3599.9999999999995</v>
      </c>
      <c r="AP170">
        <f t="shared" si="341"/>
        <v>225.90875757611332</v>
      </c>
      <c r="AR170" s="5">
        <f t="shared" si="443"/>
        <v>4.426565887615399</v>
      </c>
      <c r="AS170" s="5">
        <f t="shared" si="440"/>
        <v>2.2133552548331124</v>
      </c>
      <c r="AT170" s="5">
        <f t="shared" si="441"/>
        <v>2.2132106327822867</v>
      </c>
      <c r="AU170" s="173">
        <f t="shared" si="442"/>
        <v>0.50001633569391002</v>
      </c>
      <c r="AW170" s="5">
        <f t="shared" ref="AW170:AW210" si="477">F170*AS170/Vout_ripple*1000</f>
        <v>199.20197293498009</v>
      </c>
      <c r="AX170" s="5">
        <f t="shared" ref="AX170:AX210" si="478">G170*AS170/Vout_ripple2*1000</f>
        <v>0.73778508494437067</v>
      </c>
      <c r="AY170" s="5">
        <f t="shared" ref="AY170:AY210" si="479">H170/Efficiency/J170*AT170/Vinripple1</f>
        <v>1.4834407307884094</v>
      </c>
      <c r="AZ170" s="5"/>
      <c r="BA170" s="173">
        <f t="shared" ref="BA170:BA209" si="480">AI170*SQRT(AU170/3)</f>
        <v>1.3481404635337979</v>
      </c>
      <c r="BB170" s="173">
        <f t="shared" ref="BB170:BB210" si="481">AI170*Npri_sec1*SQRT((1-AU170)/3)*(Pout/Pout_total)</f>
        <v>5.3923856745334806</v>
      </c>
      <c r="BC170" s="173">
        <f t="shared" ref="BC170:BC210" si="482">AI170*Npri_sec2*SQRT((1-AU170)/3)*(Pout2/Pout_total)</f>
        <v>0.10274680812286767</v>
      </c>
      <c r="BD170" s="173"/>
      <c r="BE170" s="528">
        <f t="shared" ref="BE170:BE210" si="483">Rdson*BA170^2</f>
        <v>2.2173289054888905E-2</v>
      </c>
      <c r="BF170" s="528">
        <f t="shared" si="464"/>
        <v>0.52573905092276363</v>
      </c>
      <c r="BG170" s="528">
        <f t="shared" si="465"/>
        <v>0.10111297079736277</v>
      </c>
      <c r="BH170" s="528">
        <f t="shared" ref="BH170:BH210" si="484">0.5*(Coss+Csw)*L170^2*AM170*1000</f>
        <v>3.191519577778551E-2</v>
      </c>
      <c r="BI170">
        <f t="shared" ref="BI170:BI210" si="485">J170*IQ</f>
        <v>8.0564980918870453E-3</v>
      </c>
      <c r="BJ170" s="460">
        <f t="shared" si="436"/>
        <v>109.16946888924981</v>
      </c>
      <c r="BK170">
        <f t="shared" si="466"/>
        <v>0.58891695828487955</v>
      </c>
      <c r="BL170" s="460">
        <f t="shared" si="437"/>
        <v>688.99700464468799</v>
      </c>
      <c r="BM170" s="173">
        <f t="shared" si="467"/>
        <v>2.2364999999999995</v>
      </c>
      <c r="BN170" s="173">
        <f t="shared" si="468"/>
        <v>3.7274999999999996E-2</v>
      </c>
      <c r="BO170" s="528"/>
      <c r="BQ170" s="460">
        <f t="shared" ref="BQ170:BQ210" si="486">SUM(BM170:BP170)*1000</f>
        <v>2273.7749999999996</v>
      </c>
      <c r="BR170" s="528">
        <f t="shared" ref="BR170:BR210" si="487">Rdcr_pri*BA170^2</f>
        <v>5.4524481282513707E-2</v>
      </c>
      <c r="BS170" s="528">
        <f t="shared" ref="BS170:BS210" si="488">Rdcr_sec*BB170^2</f>
        <v>0.87233469788741691</v>
      </c>
      <c r="BT170" s="528">
        <f t="shared" ref="BT170:BT210" si="489">Rdcr_sec2*BC170^2</f>
        <v>5.2784532897186937E-5</v>
      </c>
      <c r="BU170" s="528">
        <f t="shared" ref="BU170:BU210" si="490">AI170^2.5*AM170^2.5*k_core</f>
        <v>0.75999696678813133</v>
      </c>
      <c r="BV170" s="528"/>
      <c r="BW170" s="625">
        <f t="shared" si="469"/>
        <v>6.1585777027268147E-2</v>
      </c>
      <c r="BX170" s="460">
        <f t="shared" ref="BX170:BX192" si="491">SUM(BR170:BW170)*1000</f>
        <v>1748.4947075182274</v>
      </c>
      <c r="BY170" s="173">
        <f t="shared" ref="BY170:BY192" si="492">SUM(BE170:BI170,BM170:BP170,BR170:BW170)</f>
        <v>4.7112667121629146</v>
      </c>
      <c r="BZ170" s="5">
        <f t="shared" ref="BZ170:BZ192" si="493">MIN(H170+I170,O170+P170)</f>
        <v>15.479999999999999</v>
      </c>
      <c r="CA170" s="173">
        <f t="shared" ref="CA170:CA192" si="494">BZ170/(BZ170+BY170)</f>
        <v>0.76666809570075567</v>
      </c>
      <c r="CB170" s="5">
        <f t="shared" ref="CB170:CB192" si="495">CA170*100</f>
        <v>76.666809570075571</v>
      </c>
      <c r="CC170">
        <f t="shared" ref="CC170:CC192" si="496">F170/Iout*100</f>
        <v>60</v>
      </c>
      <c r="CE170" s="562">
        <f t="shared" si="470"/>
        <v>-50</v>
      </c>
      <c r="CF170">
        <f t="shared" si="471"/>
        <v>-50</v>
      </c>
      <c r="CG170" s="173">
        <f t="shared" si="370"/>
        <v>0.48913043478260865</v>
      </c>
      <c r="CH170" s="173">
        <f t="shared" si="472"/>
        <v>0.13097870664369976</v>
      </c>
      <c r="CI170" s="170">
        <v>60</v>
      </c>
      <c r="CJ170" s="217">
        <f t="shared" si="438"/>
        <v>3.5999999999999996</v>
      </c>
      <c r="CK170" s="217">
        <f t="shared" si="372"/>
        <v>0.06</v>
      </c>
      <c r="CL170" s="217">
        <f t="shared" si="373"/>
        <v>14.399999999999999</v>
      </c>
      <c r="CM170" s="217">
        <f t="shared" si="374"/>
        <v>1.08</v>
      </c>
      <c r="CN170" s="541">
        <f t="shared" si="375"/>
        <v>18</v>
      </c>
      <c r="CO170" s="443">
        <f t="shared" si="473"/>
        <v>18.8</v>
      </c>
      <c r="CP170" s="443">
        <f t="shared" si="474"/>
        <v>36.799999999999997</v>
      </c>
      <c r="CQ170" s="443"/>
      <c r="CR170" s="217">
        <f t="shared" si="378"/>
        <v>0.51086956521739135</v>
      </c>
      <c r="CS170" s="172">
        <f t="shared" si="379"/>
        <v>28.513650151668358</v>
      </c>
      <c r="CT170" s="172">
        <f t="shared" si="380"/>
        <v>2.2989130434782612</v>
      </c>
      <c r="CU170" s="217">
        <f t="shared" si="381"/>
        <v>7.1284125379170895</v>
      </c>
      <c r="CV170" s="217">
        <f t="shared" si="382"/>
        <v>1.5840916750926866</v>
      </c>
      <c r="CW170" s="217">
        <f t="shared" si="383"/>
        <v>4</v>
      </c>
      <c r="CX170" s="217">
        <f t="shared" si="384"/>
        <v>3.3668085106382972</v>
      </c>
      <c r="CY170" s="217">
        <f t="shared" si="385"/>
        <v>2.2445390070921984</v>
      </c>
      <c r="CZ170" s="217">
        <f t="shared" si="386"/>
        <v>2.1490267089180621</v>
      </c>
      <c r="DA170" s="197">
        <f t="shared" si="387"/>
        <v>350</v>
      </c>
      <c r="DB170" s="443">
        <f t="shared" si="388"/>
        <v>227.60556337099399</v>
      </c>
      <c r="DD170" s="217">
        <f t="shared" si="389"/>
        <v>2.18944099378882</v>
      </c>
      <c r="DE170" s="173">
        <f t="shared" si="390"/>
        <v>1.3975155279503106</v>
      </c>
      <c r="DF170" s="173">
        <f t="shared" si="391"/>
        <v>1.9924134422749624</v>
      </c>
      <c r="DG170" s="173"/>
      <c r="DH170" s="173">
        <f t="shared" si="392"/>
        <v>0.85106382978723416</v>
      </c>
      <c r="DI170" s="545">
        <f t="shared" si="393"/>
        <v>1586.2499999999993</v>
      </c>
      <c r="DJ170" s="528">
        <f t="shared" si="394"/>
        <v>0.79432624113475192</v>
      </c>
      <c r="DL170" s="173">
        <f t="shared" si="395"/>
        <v>2.7150374898753369</v>
      </c>
      <c r="DM170" s="173">
        <f t="shared" si="396"/>
        <v>3.3668085106382972</v>
      </c>
      <c r="DN170" s="173">
        <f t="shared" si="397"/>
        <v>2.7062779091147879</v>
      </c>
      <c r="DP170" s="545">
        <f t="shared" si="398"/>
        <v>3599.9999999999995</v>
      </c>
      <c r="DQ170" s="460">
        <f t="shared" si="399"/>
        <v>227.60556337099399</v>
      </c>
      <c r="DS170">
        <f t="shared" si="400"/>
        <v>3599.9999999999995</v>
      </c>
      <c r="DT170">
        <f t="shared" si="401"/>
        <v>227.60556337099399</v>
      </c>
      <c r="DV170" s="5">
        <f t="shared" si="402"/>
        <v>4.3935657160102606</v>
      </c>
      <c r="DW170" s="5">
        <f t="shared" si="403"/>
        <v>2.2445390070921984</v>
      </c>
      <c r="DX170" s="5">
        <f t="shared" si="404"/>
        <v>2.1490267089180621</v>
      </c>
      <c r="DY170" s="173">
        <f t="shared" si="405"/>
        <v>0.51086956521739135</v>
      </c>
      <c r="EA170" s="5">
        <f t="shared" si="406"/>
        <v>202.00851063829782</v>
      </c>
      <c r="EB170" s="5">
        <f t="shared" si="407"/>
        <v>0.74817966903073274</v>
      </c>
      <c r="EC170" s="5">
        <f t="shared" si="408"/>
        <v>1.4326844726120411</v>
      </c>
      <c r="ED170" s="5"/>
      <c r="EE170" s="173">
        <f t="shared" si="409"/>
        <v>1.3893536432813967</v>
      </c>
      <c r="EF170" s="173">
        <f t="shared" si="410"/>
        <v>5.4378863094691976</v>
      </c>
      <c r="EG170" s="173">
        <f t="shared" si="411"/>
        <v>0.10361377968042661</v>
      </c>
      <c r="EH170" s="173"/>
      <c r="EI170" s="528">
        <f t="shared" si="412"/>
        <v>2.3549703262411341E-2</v>
      </c>
      <c r="EJ170" s="528">
        <f t="shared" si="413"/>
        <v>0.56399999999999983</v>
      </c>
      <c r="EK170" s="528">
        <f t="shared" si="414"/>
        <v>2.8450695421374246E-2</v>
      </c>
      <c r="EL170" s="528">
        <f t="shared" si="415"/>
        <v>3.0823255813953489E-2</v>
      </c>
      <c r="EM170">
        <f t="shared" si="416"/>
        <v>8.0999999999999996E-3</v>
      </c>
      <c r="EN170" s="460">
        <f t="shared" si="417"/>
        <v>36.55069542137425</v>
      </c>
      <c r="EP170" s="460">
        <f t="shared" si="439"/>
        <v>654.92365449773888</v>
      </c>
      <c r="EQ170" s="173">
        <f t="shared" si="418"/>
        <v>2.5199999999999996</v>
      </c>
      <c r="ER170" s="173">
        <f t="shared" si="475"/>
        <v>2.6624999999999999E-2</v>
      </c>
      <c r="ES170" s="528"/>
      <c r="EU170" s="460">
        <f t="shared" ref="EU170:EU210" si="497">SUM(EQ170:ET170)*1000</f>
        <v>2546.6249999999995</v>
      </c>
      <c r="EV170" s="528">
        <f t="shared" si="421"/>
        <v>5.7909106382978706E-2</v>
      </c>
      <c r="EW170" s="528">
        <f t="shared" si="422"/>
        <v>0.88711822544137586</v>
      </c>
      <c r="EX170" s="528">
        <f t="shared" si="423"/>
        <v>5.3679076698319928E-5</v>
      </c>
      <c r="EY170" s="528">
        <f t="shared" si="424"/>
        <v>0.81278041177063109</v>
      </c>
      <c r="EZ170" s="528"/>
      <c r="FA170" s="625">
        <f t="shared" si="425"/>
        <v>6.4499999999999988E-2</v>
      </c>
      <c r="FB170" s="460">
        <f t="shared" ref="FB170:FB192" si="498">SUM(EV170:FA170)*1000</f>
        <v>1822.3614226716841</v>
      </c>
      <c r="FC170" s="173">
        <f t="shared" si="427"/>
        <v>5.0239100771694218</v>
      </c>
      <c r="FD170" s="5">
        <f t="shared" si="428"/>
        <v>15.479999999999999</v>
      </c>
      <c r="FE170" s="173">
        <f t="shared" si="429"/>
        <v>0.75497795014408409</v>
      </c>
      <c r="FF170" s="5">
        <f t="shared" si="430"/>
        <v>75.49779501440841</v>
      </c>
      <c r="FG170">
        <f t="shared" si="431"/>
        <v>60</v>
      </c>
      <c r="FI170" s="562">
        <f t="shared" si="432"/>
        <v>-50</v>
      </c>
      <c r="FJ170">
        <f t="shared" si="433"/>
        <v>-50</v>
      </c>
    </row>
    <row r="171" spans="5:166">
      <c r="E171" s="170">
        <v>61</v>
      </c>
      <c r="F171" s="217">
        <f t="shared" si="476"/>
        <v>3.66</v>
      </c>
      <c r="G171" s="217">
        <f t="shared" si="444"/>
        <v>6.0999999999999999E-2</v>
      </c>
      <c r="H171" s="217">
        <f t="shared" si="445"/>
        <v>14.64</v>
      </c>
      <c r="I171" s="217">
        <f t="shared" si="446"/>
        <v>1.0979999999999999</v>
      </c>
      <c r="J171" s="541">
        <f t="shared" si="447"/>
        <v>17.901717911300363</v>
      </c>
      <c r="K171" s="443">
        <f t="shared" si="448"/>
        <v>19.69792</v>
      </c>
      <c r="L171" s="172">
        <f t="shared" si="449"/>
        <v>37.599637911300363</v>
      </c>
      <c r="M171" s="443"/>
      <c r="N171" s="217">
        <f t="shared" si="450"/>
        <v>0.52388589609475733</v>
      </c>
      <c r="O171" s="172">
        <f t="shared" si="451"/>
        <v>29.080488463867159</v>
      </c>
      <c r="P171" s="172">
        <f t="shared" si="452"/>
        <v>2.3446143823992895</v>
      </c>
      <c r="Q171" s="217">
        <f t="shared" si="322"/>
        <v>7.2701221159667897</v>
      </c>
      <c r="R171" s="217">
        <f t="shared" si="453"/>
        <v>1.6155826924370644</v>
      </c>
      <c r="S171" s="217">
        <f t="shared" si="454"/>
        <v>4</v>
      </c>
      <c r="T171" s="217">
        <f t="shared" si="455"/>
        <v>3.3562022220248853</v>
      </c>
      <c r="U171" s="217">
        <f t="shared" si="326"/>
        <v>2.2497520552971966</v>
      </c>
      <c r="V171" s="217">
        <f t="shared" si="327"/>
        <v>2.0446030171865162</v>
      </c>
      <c r="W171" s="197">
        <f t="shared" si="328"/>
        <v>350</v>
      </c>
      <c r="X171" s="443">
        <f t="shared" si="435"/>
        <v>222.50133420085356</v>
      </c>
      <c r="Z171" s="217">
        <f t="shared" si="329"/>
        <v>2.2329660784755134</v>
      </c>
      <c r="AA171" s="173">
        <f t="shared" si="330"/>
        <v>1.3603260111578361</v>
      </c>
      <c r="AB171" s="173">
        <f t="shared" si="456"/>
        <v>1.9779472437286936</v>
      </c>
      <c r="AC171" s="173"/>
      <c r="AD171" s="173">
        <f t="shared" si="332"/>
        <v>0.81226850347650936</v>
      </c>
      <c r="AE171" s="545">
        <f t="shared" si="457"/>
        <v>1689.7121999999993</v>
      </c>
      <c r="AF171" s="528">
        <f t="shared" si="458"/>
        <v>0.75811726991140882</v>
      </c>
      <c r="AH171" s="173">
        <f t="shared" si="459"/>
        <v>2.7375693076679748</v>
      </c>
      <c r="AI171" s="173">
        <f t="shared" si="460"/>
        <v>3.3562022220248853</v>
      </c>
      <c r="AJ171" s="173">
        <f t="shared" si="461"/>
        <v>2.6984213990307788</v>
      </c>
      <c r="AL171" s="545">
        <f t="shared" si="462"/>
        <v>3660</v>
      </c>
      <c r="AM171" s="460">
        <f t="shared" si="463"/>
        <v>222.50133420085356</v>
      </c>
      <c r="AO171">
        <f t="shared" si="340"/>
        <v>3660</v>
      </c>
      <c r="AP171">
        <f t="shared" si="341"/>
        <v>222.50133420085356</v>
      </c>
      <c r="AR171" s="5">
        <f t="shared" si="443"/>
        <v>4.4943550724837129</v>
      </c>
      <c r="AS171" s="5">
        <f t="shared" si="440"/>
        <v>2.2497520552971966</v>
      </c>
      <c r="AT171" s="5">
        <f t="shared" si="441"/>
        <v>2.2446030171865163</v>
      </c>
      <c r="AU171" s="173">
        <f t="shared" si="442"/>
        <v>0.50057283392473872</v>
      </c>
      <c r="AW171" s="5">
        <f t="shared" si="477"/>
        <v>205.8523130596935</v>
      </c>
      <c r="AX171" s="5">
        <f t="shared" si="478"/>
        <v>0.76241597429516095</v>
      </c>
      <c r="AY171" s="5">
        <f t="shared" si="479"/>
        <v>1.5296943536569412</v>
      </c>
      <c r="AZ171" s="5"/>
      <c r="BA171" s="173">
        <f t="shared" si="480"/>
        <v>1.3709484712377813</v>
      </c>
      <c r="BB171" s="173">
        <f t="shared" si="481"/>
        <v>5.4775148733744334</v>
      </c>
      <c r="BC171" s="173">
        <f t="shared" si="482"/>
        <v>0.10436886447916151</v>
      </c>
      <c r="BD171" s="173"/>
      <c r="BE171" s="528">
        <f t="shared" si="483"/>
        <v>2.2929896471628356E-2</v>
      </c>
      <c r="BF171" s="528">
        <f t="shared" si="464"/>
        <v>0.5264603580632593</v>
      </c>
      <c r="BG171" s="528">
        <f t="shared" si="465"/>
        <v>9.9578902993791199E-2</v>
      </c>
      <c r="BH171" s="528">
        <f t="shared" si="484"/>
        <v>3.1455742776451912E-2</v>
      </c>
      <c r="BI171">
        <f t="shared" si="485"/>
        <v>8.055773060085163E-3</v>
      </c>
      <c r="BJ171" s="460">
        <f t="shared" si="436"/>
        <v>107.63467605387636</v>
      </c>
      <c r="BK171">
        <f t="shared" si="466"/>
        <v>0.59025285153709139</v>
      </c>
      <c r="BL171" s="460">
        <f t="shared" si="437"/>
        <v>688.48067336521603</v>
      </c>
      <c r="BM171" s="173">
        <f t="shared" si="467"/>
        <v>2.2737749999999997</v>
      </c>
      <c r="BN171" s="173">
        <f t="shared" si="468"/>
        <v>3.7896249999999992E-2</v>
      </c>
      <c r="BO171" s="528"/>
      <c r="BQ171" s="460">
        <f t="shared" si="486"/>
        <v>2311.6712499999999</v>
      </c>
      <c r="BR171" s="528">
        <f t="shared" si="487"/>
        <v>5.638499132367629E-2</v>
      </c>
      <c r="BS171" s="528">
        <f t="shared" si="488"/>
        <v>0.90009507564114399</v>
      </c>
      <c r="BT171" s="528">
        <f t="shared" si="489"/>
        <v>5.4464299363347905E-5</v>
      </c>
      <c r="BU171" s="528">
        <f t="shared" si="490"/>
        <v>0.76194189658721068</v>
      </c>
      <c r="BV171" s="528"/>
      <c r="BW171" s="625">
        <f t="shared" si="469"/>
        <v>6.2656895001955801E-2</v>
      </c>
      <c r="BX171" s="460">
        <f t="shared" si="491"/>
        <v>1781.1333228533499</v>
      </c>
      <c r="BY171" s="173">
        <f t="shared" si="492"/>
        <v>4.781285246218566</v>
      </c>
      <c r="BZ171" s="5">
        <f t="shared" si="493"/>
        <v>15.738</v>
      </c>
      <c r="CA171" s="173">
        <f t="shared" si="494"/>
        <v>0.76698578001883888</v>
      </c>
      <c r="CB171" s="5">
        <f t="shared" si="495"/>
        <v>76.698578001883888</v>
      </c>
      <c r="CC171">
        <f t="shared" si="496"/>
        <v>61</v>
      </c>
      <c r="CE171" s="562">
        <f t="shared" si="470"/>
        <v>-50</v>
      </c>
      <c r="CF171">
        <f t="shared" si="471"/>
        <v>-50</v>
      </c>
      <c r="CG171" s="173">
        <f t="shared" si="370"/>
        <v>0.48913043478260865</v>
      </c>
      <c r="CH171" s="173">
        <f t="shared" si="472"/>
        <v>0.13097870664369973</v>
      </c>
      <c r="CI171" s="170">
        <v>61</v>
      </c>
      <c r="CJ171" s="217">
        <f t="shared" si="438"/>
        <v>3.66</v>
      </c>
      <c r="CK171" s="217">
        <f t="shared" si="372"/>
        <v>6.0999999999999999E-2</v>
      </c>
      <c r="CL171" s="217">
        <f t="shared" si="373"/>
        <v>14.64</v>
      </c>
      <c r="CM171" s="217">
        <f t="shared" si="374"/>
        <v>1.0979999999999999</v>
      </c>
      <c r="CN171" s="541">
        <f t="shared" si="375"/>
        <v>18</v>
      </c>
      <c r="CO171" s="443">
        <f t="shared" si="473"/>
        <v>18.8</v>
      </c>
      <c r="CP171" s="443">
        <f t="shared" si="474"/>
        <v>36.799999999999997</v>
      </c>
      <c r="CQ171" s="443"/>
      <c r="CR171" s="217">
        <f t="shared" si="378"/>
        <v>0.51086956521739135</v>
      </c>
      <c r="CS171" s="172">
        <f t="shared" si="379"/>
        <v>28.513650151668358</v>
      </c>
      <c r="CT171" s="172">
        <f t="shared" si="380"/>
        <v>2.2989130434782612</v>
      </c>
      <c r="CU171" s="217">
        <f t="shared" si="381"/>
        <v>7.1284125379170895</v>
      </c>
      <c r="CV171" s="217">
        <f t="shared" si="382"/>
        <v>1.5840916750926866</v>
      </c>
      <c r="CW171" s="217">
        <f t="shared" si="383"/>
        <v>4</v>
      </c>
      <c r="CX171" s="217">
        <f t="shared" si="384"/>
        <v>3.4229219858156021</v>
      </c>
      <c r="CY171" s="217">
        <f t="shared" si="385"/>
        <v>2.2819479905437348</v>
      </c>
      <c r="CZ171" s="217">
        <f t="shared" si="386"/>
        <v>2.1848438207333634</v>
      </c>
      <c r="DA171" s="197">
        <f t="shared" si="387"/>
        <v>350</v>
      </c>
      <c r="DB171" s="443">
        <f t="shared" si="388"/>
        <v>223.87432462720724</v>
      </c>
      <c r="DD171" s="217">
        <f t="shared" si="389"/>
        <v>2.18944099378882</v>
      </c>
      <c r="DE171" s="173">
        <f t="shared" si="390"/>
        <v>1.3975155279503106</v>
      </c>
      <c r="DF171" s="173">
        <f t="shared" si="391"/>
        <v>1.9924134422749624</v>
      </c>
      <c r="DG171" s="173"/>
      <c r="DH171" s="173">
        <f t="shared" si="392"/>
        <v>0.85106382978723416</v>
      </c>
      <c r="DI171" s="545">
        <f t="shared" si="393"/>
        <v>1612.6874999999998</v>
      </c>
      <c r="DJ171" s="528">
        <f t="shared" si="394"/>
        <v>0.79432624113475192</v>
      </c>
      <c r="DL171" s="173">
        <f t="shared" si="395"/>
        <v>2.7375693076679748</v>
      </c>
      <c r="DM171" s="173">
        <f t="shared" si="396"/>
        <v>3.4229219858156021</v>
      </c>
      <c r="DN171" s="173">
        <f t="shared" si="397"/>
        <v>2.747843446283162</v>
      </c>
      <c r="DP171" s="545">
        <f t="shared" si="398"/>
        <v>3660</v>
      </c>
      <c r="DQ171" s="460">
        <f t="shared" si="399"/>
        <v>223.87432462720724</v>
      </c>
      <c r="DS171">
        <f t="shared" si="400"/>
        <v>3660</v>
      </c>
      <c r="DT171">
        <f t="shared" si="401"/>
        <v>223.87432462720724</v>
      </c>
      <c r="DV171" s="5">
        <f t="shared" si="402"/>
        <v>4.4667918112770977</v>
      </c>
      <c r="DW171" s="5">
        <f t="shared" si="403"/>
        <v>2.2819479905437348</v>
      </c>
      <c r="DX171" s="5">
        <f t="shared" si="404"/>
        <v>2.1848438207333629</v>
      </c>
      <c r="DY171" s="173">
        <f t="shared" si="405"/>
        <v>0.51086956521739135</v>
      </c>
      <c r="EA171" s="5">
        <f t="shared" si="406"/>
        <v>208.79824113475175</v>
      </c>
      <c r="EB171" s="5">
        <f t="shared" si="407"/>
        <v>0.77332681901759892</v>
      </c>
      <c r="EC171" s="5">
        <f t="shared" si="408"/>
        <v>1.4808385896081682</v>
      </c>
      <c r="ED171" s="5"/>
      <c r="EE171" s="173">
        <f t="shared" si="409"/>
        <v>1.4125095373360865</v>
      </c>
      <c r="EF171" s="173">
        <f t="shared" si="410"/>
        <v>5.5285177479603504</v>
      </c>
      <c r="EG171" s="173">
        <f t="shared" si="411"/>
        <v>0.10534067600843372</v>
      </c>
      <c r="EH171" s="173"/>
      <c r="EI171" s="528">
        <f t="shared" si="412"/>
        <v>2.4341234955397941E-2</v>
      </c>
      <c r="EJ171" s="528">
        <f t="shared" si="413"/>
        <v>0.56400000000000006</v>
      </c>
      <c r="EK171" s="528">
        <f t="shared" si="414"/>
        <v>2.7984290578400906E-2</v>
      </c>
      <c r="EL171" s="528">
        <f t="shared" si="415"/>
        <v>3.031795653831491E-2</v>
      </c>
      <c r="EM171">
        <f t="shared" si="416"/>
        <v>8.0999999999999996E-3</v>
      </c>
      <c r="EN171" s="460">
        <f t="shared" si="417"/>
        <v>36.084290578400903</v>
      </c>
      <c r="EP171" s="460">
        <f t="shared" si="439"/>
        <v>654.74348207211381</v>
      </c>
      <c r="EQ171" s="173">
        <f t="shared" si="418"/>
        <v>2.5619999999999998</v>
      </c>
      <c r="ER171" s="173">
        <f t="shared" si="475"/>
        <v>2.7068749999999999E-2</v>
      </c>
      <c r="ES171" s="528"/>
      <c r="EU171" s="460">
        <f t="shared" si="497"/>
        <v>2589.0687499999999</v>
      </c>
      <c r="EV171" s="528">
        <f t="shared" si="421"/>
        <v>5.985549579196215E-2</v>
      </c>
      <c r="EW171" s="528">
        <f t="shared" si="422"/>
        <v>0.91693525468537751</v>
      </c>
      <c r="EX171" s="528">
        <f t="shared" si="423"/>
        <v>5.5483290109569015E-5</v>
      </c>
      <c r="EY171" s="528">
        <f t="shared" si="424"/>
        <v>0.81278041177063254</v>
      </c>
      <c r="EZ171" s="528"/>
      <c r="FA171" s="625">
        <f t="shared" si="425"/>
        <v>6.5574999999999994E-2</v>
      </c>
      <c r="FB171" s="460">
        <f t="shared" si="498"/>
        <v>1855.2016455380817</v>
      </c>
      <c r="FC171" s="173">
        <f t="shared" si="427"/>
        <v>5.0990138776101963</v>
      </c>
      <c r="FD171" s="5">
        <f t="shared" si="428"/>
        <v>15.738</v>
      </c>
      <c r="FE171" s="173">
        <f t="shared" si="429"/>
        <v>0.75529056574228259</v>
      </c>
      <c r="FF171" s="5">
        <f t="shared" si="430"/>
        <v>75.529056574228264</v>
      </c>
      <c r="FG171">
        <f t="shared" si="431"/>
        <v>61</v>
      </c>
      <c r="FI171" s="562">
        <f t="shared" si="432"/>
        <v>-50</v>
      </c>
      <c r="FJ171">
        <f t="shared" si="433"/>
        <v>-50</v>
      </c>
    </row>
    <row r="172" spans="5:166">
      <c r="E172" s="170">
        <v>62</v>
      </c>
      <c r="F172" s="217">
        <f t="shared" si="476"/>
        <v>3.7199999999999998</v>
      </c>
      <c r="G172" s="217">
        <f t="shared" si="444"/>
        <v>6.2E-2</v>
      </c>
      <c r="H172" s="217">
        <f t="shared" si="445"/>
        <v>14.879999999999999</v>
      </c>
      <c r="I172" s="217">
        <f t="shared" si="446"/>
        <v>1.1160000000000001</v>
      </c>
      <c r="J172" s="541">
        <f t="shared" si="447"/>
        <v>17.900106729518399</v>
      </c>
      <c r="K172" s="443">
        <f t="shared" si="448"/>
        <v>19.71264</v>
      </c>
      <c r="L172" s="172">
        <f t="shared" si="449"/>
        <v>37.612746729518399</v>
      </c>
      <c r="M172" s="443"/>
      <c r="N172" s="217">
        <f t="shared" si="450"/>
        <v>0.52409466774011393</v>
      </c>
      <c r="O172" s="172">
        <f t="shared" si="451"/>
        <v>29.089458880370614</v>
      </c>
      <c r="P172" s="172">
        <f t="shared" si="452"/>
        <v>2.3453376222298807</v>
      </c>
      <c r="Q172" s="217">
        <f t="shared" si="322"/>
        <v>7.2723647200926536</v>
      </c>
      <c r="R172" s="217">
        <f t="shared" si="453"/>
        <v>1.6160810489094786</v>
      </c>
      <c r="S172" s="217">
        <f t="shared" si="454"/>
        <v>4</v>
      </c>
      <c r="T172" s="217">
        <f t="shared" si="455"/>
        <v>3.4101700003412416</v>
      </c>
      <c r="U172" s="217">
        <f t="shared" si="326"/>
        <v>2.2861338550910362</v>
      </c>
      <c r="V172" s="217">
        <f t="shared" si="327"/>
        <v>2.0759289473198361</v>
      </c>
      <c r="W172" s="197">
        <f t="shared" si="328"/>
        <v>350</v>
      </c>
      <c r="X172" s="443">
        <f t="shared" si="435"/>
        <v>219.19908675337373</v>
      </c>
      <c r="Z172" s="217">
        <f t="shared" si="329"/>
        <v>2.2336548783141716</v>
      </c>
      <c r="AA172" s="173">
        <f t="shared" si="330"/>
        <v>1.3597295207425315</v>
      </c>
      <c r="AB172" s="173">
        <f t="shared" si="456"/>
        <v>1.9776897991032953</v>
      </c>
      <c r="AC172" s="173"/>
      <c r="AD172" s="173">
        <f t="shared" si="332"/>
        <v>0.81166195902730442</v>
      </c>
      <c r="AE172" s="545">
        <f t="shared" si="457"/>
        <v>1718.6957999999995</v>
      </c>
      <c r="AF172" s="528">
        <f t="shared" si="458"/>
        <v>0.75755116175881754</v>
      </c>
      <c r="AH172" s="173">
        <f t="shared" si="459"/>
        <v>2.7599171830225009</v>
      </c>
      <c r="AI172" s="173">
        <f t="shared" si="460"/>
        <v>3.4101700003412416</v>
      </c>
      <c r="AJ172" s="173">
        <f t="shared" si="461"/>
        <v>2.738397531116969</v>
      </c>
      <c r="AL172" s="545">
        <f t="shared" si="462"/>
        <v>3719.9999999999995</v>
      </c>
      <c r="AM172" s="460">
        <f t="shared" si="463"/>
        <v>219.19908675337373</v>
      </c>
      <c r="AO172">
        <f t="shared" si="340"/>
        <v>3719.9999999999995</v>
      </c>
      <c r="AP172">
        <f t="shared" si="341"/>
        <v>219.19908675337373</v>
      </c>
      <c r="AR172" s="5">
        <f t="shared" si="443"/>
        <v>4.562062802410872</v>
      </c>
      <c r="AS172" s="5">
        <f t="shared" si="440"/>
        <v>2.2861338550910362</v>
      </c>
      <c r="AT172" s="5">
        <f t="shared" si="441"/>
        <v>2.2759289473198359</v>
      </c>
      <c r="AU172" s="173">
        <f t="shared" si="442"/>
        <v>0.50111845323192472</v>
      </c>
      <c r="AW172" s="5">
        <f t="shared" si="477"/>
        <v>212.61044852346635</v>
      </c>
      <c r="AX172" s="5">
        <f t="shared" si="478"/>
        <v>0.78744610564246809</v>
      </c>
      <c r="AY172" s="5">
        <f t="shared" si="479"/>
        <v>1.5766117695950328</v>
      </c>
      <c r="AZ172" s="5"/>
      <c r="BA172" s="173">
        <f t="shared" si="480"/>
        <v>1.3937523092249258</v>
      </c>
      <c r="BB172" s="173">
        <f t="shared" si="481"/>
        <v>5.5625523795312732</v>
      </c>
      <c r="BC172" s="173">
        <f t="shared" si="482"/>
        <v>0.10598917371809588</v>
      </c>
      <c r="BD172" s="173"/>
      <c r="BE172" s="528">
        <f t="shared" si="483"/>
        <v>2.3699055093531717E-2</v>
      </c>
      <c r="BF172" s="528">
        <f t="shared" si="464"/>
        <v>0.52717049042343278</v>
      </c>
      <c r="BG172" s="528">
        <f t="shared" si="465"/>
        <v>9.8092176197458802E-2</v>
      </c>
      <c r="BH172" s="528">
        <f t="shared" si="484"/>
        <v>3.1010505067823126E-2</v>
      </c>
      <c r="BI172">
        <f t="shared" si="485"/>
        <v>8.0550480282832789E-3</v>
      </c>
      <c r="BJ172" s="460">
        <f t="shared" si="436"/>
        <v>106.14722422574208</v>
      </c>
      <c r="BK172">
        <f t="shared" si="466"/>
        <v>0.59161009004806331</v>
      </c>
      <c r="BL172" s="460">
        <f t="shared" si="437"/>
        <v>688.02727481052978</v>
      </c>
      <c r="BM172" s="173">
        <f t="shared" si="467"/>
        <v>2.3110499999999994</v>
      </c>
      <c r="BN172" s="173">
        <f t="shared" si="468"/>
        <v>3.8517499999999996E-2</v>
      </c>
      <c r="BO172" s="528"/>
      <c r="BQ172" s="460">
        <f t="shared" si="486"/>
        <v>2349.5674999999997</v>
      </c>
      <c r="BR172" s="528">
        <f t="shared" si="487"/>
        <v>5.8276364984094386E-2</v>
      </c>
      <c r="BS172" s="528">
        <f t="shared" si="488"/>
        <v>0.92825966925087089</v>
      </c>
      <c r="BT172" s="528">
        <f t="shared" si="489"/>
        <v>5.6168524727223527E-5</v>
      </c>
      <c r="BU172" s="528">
        <f t="shared" si="490"/>
        <v>0.76384797079739741</v>
      </c>
      <c r="BV172" s="528"/>
      <c r="BW172" s="625">
        <f t="shared" si="469"/>
        <v>6.3728076173577536E-2</v>
      </c>
      <c r="BX172" s="460">
        <f t="shared" si="491"/>
        <v>1814.1682497306672</v>
      </c>
      <c r="BY172" s="173">
        <f t="shared" si="492"/>
        <v>4.8517630245411976</v>
      </c>
      <c r="BZ172" s="5">
        <f t="shared" si="493"/>
        <v>15.995999999999999</v>
      </c>
      <c r="CA172" s="173">
        <f t="shared" si="494"/>
        <v>0.76727656493265561</v>
      </c>
      <c r="CB172" s="5">
        <f t="shared" si="495"/>
        <v>76.727656493265556</v>
      </c>
      <c r="CC172">
        <f t="shared" si="496"/>
        <v>62</v>
      </c>
      <c r="CE172" s="562">
        <f t="shared" si="470"/>
        <v>-50</v>
      </c>
      <c r="CF172">
        <f t="shared" si="471"/>
        <v>-50</v>
      </c>
      <c r="CG172" s="173">
        <f t="shared" si="370"/>
        <v>0.48913043478260865</v>
      </c>
      <c r="CH172" s="173">
        <f t="shared" si="472"/>
        <v>0.13097870664369976</v>
      </c>
      <c r="CI172" s="170">
        <v>62</v>
      </c>
      <c r="CJ172" s="217">
        <f t="shared" si="438"/>
        <v>3.7199999999999998</v>
      </c>
      <c r="CK172" s="217">
        <f t="shared" si="372"/>
        <v>6.2E-2</v>
      </c>
      <c r="CL172" s="217">
        <f t="shared" si="373"/>
        <v>14.879999999999999</v>
      </c>
      <c r="CM172" s="217">
        <f t="shared" si="374"/>
        <v>1.1160000000000001</v>
      </c>
      <c r="CN172" s="541">
        <f t="shared" si="375"/>
        <v>18</v>
      </c>
      <c r="CO172" s="443">
        <f t="shared" si="473"/>
        <v>18.8</v>
      </c>
      <c r="CP172" s="443">
        <f t="shared" si="474"/>
        <v>36.799999999999997</v>
      </c>
      <c r="CQ172" s="443"/>
      <c r="CR172" s="217">
        <f t="shared" si="378"/>
        <v>0.51086956521739135</v>
      </c>
      <c r="CS172" s="172">
        <f t="shared" si="379"/>
        <v>28.513650151668358</v>
      </c>
      <c r="CT172" s="172">
        <f t="shared" si="380"/>
        <v>2.2989130434782612</v>
      </c>
      <c r="CU172" s="217">
        <f t="shared" si="381"/>
        <v>7.1284125379170895</v>
      </c>
      <c r="CV172" s="217">
        <f t="shared" si="382"/>
        <v>1.5840916750926866</v>
      </c>
      <c r="CW172" s="217">
        <f t="shared" si="383"/>
        <v>4</v>
      </c>
      <c r="CX172" s="217">
        <f t="shared" si="384"/>
        <v>3.4790354609929071</v>
      </c>
      <c r="CY172" s="217">
        <f t="shared" si="385"/>
        <v>2.3193569739952715</v>
      </c>
      <c r="CZ172" s="217">
        <f t="shared" si="386"/>
        <v>2.2206609325486641</v>
      </c>
      <c r="DA172" s="197">
        <f t="shared" si="387"/>
        <v>350</v>
      </c>
      <c r="DB172" s="443">
        <f t="shared" si="388"/>
        <v>220.2634484235426</v>
      </c>
      <c r="DD172" s="217">
        <f t="shared" si="389"/>
        <v>2.18944099378882</v>
      </c>
      <c r="DE172" s="173">
        <f t="shared" si="390"/>
        <v>1.3975155279503106</v>
      </c>
      <c r="DF172" s="173">
        <f t="shared" si="391"/>
        <v>1.9924134422749624</v>
      </c>
      <c r="DG172" s="173"/>
      <c r="DH172" s="173">
        <f t="shared" si="392"/>
        <v>0.85106382978723416</v>
      </c>
      <c r="DI172" s="545">
        <f t="shared" si="393"/>
        <v>1639.1249999999993</v>
      </c>
      <c r="DJ172" s="528">
        <f t="shared" si="394"/>
        <v>0.79432624113475192</v>
      </c>
      <c r="DL172" s="173">
        <f t="shared" si="395"/>
        <v>2.7599171830225009</v>
      </c>
      <c r="DM172" s="173">
        <f t="shared" si="396"/>
        <v>3.4790354609929071</v>
      </c>
      <c r="DN172" s="173">
        <f t="shared" si="397"/>
        <v>2.7894089834515361</v>
      </c>
      <c r="DP172" s="545">
        <f t="shared" si="398"/>
        <v>3719.9999999999995</v>
      </c>
      <c r="DQ172" s="460">
        <f t="shared" si="399"/>
        <v>220.2634484235426</v>
      </c>
      <c r="DS172">
        <f t="shared" si="400"/>
        <v>3719.9999999999995</v>
      </c>
      <c r="DT172">
        <f t="shared" si="401"/>
        <v>220.2634484235426</v>
      </c>
      <c r="DV172" s="5">
        <f t="shared" si="402"/>
        <v>4.5400179065439357</v>
      </c>
      <c r="DW172" s="5">
        <f t="shared" si="403"/>
        <v>2.3193569739952715</v>
      </c>
      <c r="DX172" s="5">
        <f t="shared" si="404"/>
        <v>2.2206609325486641</v>
      </c>
      <c r="DY172" s="173">
        <f t="shared" si="405"/>
        <v>0.51086956521739135</v>
      </c>
      <c r="EA172" s="5">
        <f t="shared" si="406"/>
        <v>215.70019858156022</v>
      </c>
      <c r="EB172" s="5">
        <f t="shared" si="407"/>
        <v>0.79888962437614908</v>
      </c>
      <c r="EC172" s="5">
        <f t="shared" si="408"/>
        <v>1.529788642422413</v>
      </c>
      <c r="ED172" s="5"/>
      <c r="EE172" s="173">
        <f t="shared" si="409"/>
        <v>1.4356654313907764</v>
      </c>
      <c r="EF172" s="173">
        <f t="shared" si="410"/>
        <v>5.6191491864515042</v>
      </c>
      <c r="EG172" s="173">
        <f t="shared" si="411"/>
        <v>0.10706757233644082</v>
      </c>
      <c r="EH172" s="173"/>
      <c r="EI172" s="528">
        <f t="shared" si="412"/>
        <v>2.5145849816863661E-2</v>
      </c>
      <c r="EJ172" s="528">
        <f t="shared" si="413"/>
        <v>0.56399999999999995</v>
      </c>
      <c r="EK172" s="528">
        <f t="shared" si="414"/>
        <v>2.753293105294282E-2</v>
      </c>
      <c r="EL172" s="528">
        <f t="shared" si="415"/>
        <v>2.9828957239309829E-2</v>
      </c>
      <c r="EM172">
        <f t="shared" si="416"/>
        <v>8.0999999999999996E-3</v>
      </c>
      <c r="EN172" s="460">
        <f t="shared" si="417"/>
        <v>35.632931052942823</v>
      </c>
      <c r="EP172" s="460">
        <f t="shared" si="439"/>
        <v>654.60773810911621</v>
      </c>
      <c r="EQ172" s="173">
        <f t="shared" si="418"/>
        <v>2.6039999999999996</v>
      </c>
      <c r="ER172" s="173">
        <f t="shared" si="475"/>
        <v>2.7512499999999999E-2</v>
      </c>
      <c r="ES172" s="528"/>
      <c r="EU172" s="460">
        <f t="shared" si="497"/>
        <v>2631.5124999999994</v>
      </c>
      <c r="EV172" s="528">
        <f t="shared" si="421"/>
        <v>6.1834056926713926E-2</v>
      </c>
      <c r="EW172" s="528">
        <f t="shared" si="422"/>
        <v>0.94724512738795796</v>
      </c>
      <c r="EX172" s="528">
        <f t="shared" si="423"/>
        <v>5.7317325230094944E-5</v>
      </c>
      <c r="EY172" s="528">
        <f t="shared" si="424"/>
        <v>0.81278041177063332</v>
      </c>
      <c r="EZ172" s="528"/>
      <c r="FA172" s="625">
        <f t="shared" si="425"/>
        <v>6.6649999999999987E-2</v>
      </c>
      <c r="FB172" s="460">
        <f t="shared" si="498"/>
        <v>1888.5669134105351</v>
      </c>
      <c r="FC172" s="173">
        <f t="shared" si="427"/>
        <v>5.1746871515196506</v>
      </c>
      <c r="FD172" s="5">
        <f t="shared" si="428"/>
        <v>15.995999999999999</v>
      </c>
      <c r="FE172" s="173">
        <f t="shared" si="429"/>
        <v>0.75557301874595939</v>
      </c>
      <c r="FF172" s="5">
        <f t="shared" si="430"/>
        <v>75.557301874595936</v>
      </c>
      <c r="FG172">
        <f t="shared" si="431"/>
        <v>62</v>
      </c>
      <c r="FI172" s="562">
        <f t="shared" si="432"/>
        <v>-50</v>
      </c>
      <c r="FJ172">
        <f t="shared" si="433"/>
        <v>-50</v>
      </c>
    </row>
    <row r="173" spans="5:166">
      <c r="E173" s="170">
        <v>63</v>
      </c>
      <c r="F173" s="217">
        <f t="shared" si="476"/>
        <v>3.7800000000000002</v>
      </c>
      <c r="G173" s="217">
        <f t="shared" si="444"/>
        <v>6.3E-2</v>
      </c>
      <c r="H173" s="217">
        <f t="shared" si="445"/>
        <v>15.120000000000001</v>
      </c>
      <c r="I173" s="217">
        <f t="shared" si="446"/>
        <v>1.1339999999999999</v>
      </c>
      <c r="J173" s="541">
        <f t="shared" si="447"/>
        <v>17.898495547736438</v>
      </c>
      <c r="K173" s="443">
        <f t="shared" si="448"/>
        <v>19.727360000000001</v>
      </c>
      <c r="L173" s="172">
        <f t="shared" si="449"/>
        <v>37.625855547736435</v>
      </c>
      <c r="M173" s="443"/>
      <c r="N173" s="217">
        <f t="shared" si="450"/>
        <v>0.52430329391371921</v>
      </c>
      <c r="O173" s="172">
        <f t="shared" si="451"/>
        <v>29.098419137296904</v>
      </c>
      <c r="P173" s="172">
        <f t="shared" si="452"/>
        <v>2.3460600429445631</v>
      </c>
      <c r="Q173" s="217">
        <f t="shared" si="322"/>
        <v>7.2746047843242261</v>
      </c>
      <c r="R173" s="217">
        <f t="shared" si="453"/>
        <v>1.6165788409609392</v>
      </c>
      <c r="S173" s="217">
        <f t="shared" si="454"/>
        <v>4</v>
      </c>
      <c r="T173" s="217">
        <f t="shared" si="455"/>
        <v>3.4641057139354894</v>
      </c>
      <c r="U173" s="217">
        <f t="shared" si="326"/>
        <v>2.3225007071883756</v>
      </c>
      <c r="V173" s="217">
        <f t="shared" si="327"/>
        <v>2.1071886236792898</v>
      </c>
      <c r="W173" s="197">
        <f t="shared" si="328"/>
        <v>350</v>
      </c>
      <c r="X173" s="443">
        <f t="shared" si="435"/>
        <v>215.99721461495702</v>
      </c>
      <c r="Z173" s="217">
        <f t="shared" si="329"/>
        <v>2.2343428980424411</v>
      </c>
      <c r="AA173" s="173">
        <f t="shared" si="330"/>
        <v>1.3591334459608022</v>
      </c>
      <c r="AB173" s="173">
        <f t="shared" si="456"/>
        <v>1.977431733704305</v>
      </c>
      <c r="AC173" s="173"/>
      <c r="AD173" s="173">
        <f t="shared" si="332"/>
        <v>0.81105631975084358</v>
      </c>
      <c r="AE173" s="545">
        <f t="shared" si="457"/>
        <v>1747.7207999999998</v>
      </c>
      <c r="AF173" s="528">
        <f t="shared" si="458"/>
        <v>0.75698589843412067</v>
      </c>
      <c r="AH173" s="173">
        <f t="shared" si="459"/>
        <v>2.7820855486487113</v>
      </c>
      <c r="AI173" s="173">
        <f t="shared" si="460"/>
        <v>3.4641057139354894</v>
      </c>
      <c r="AJ173" s="173">
        <f t="shared" si="461"/>
        <v>2.7783499115571528</v>
      </c>
      <c r="AL173" s="545">
        <f t="shared" si="462"/>
        <v>3780.0000000000005</v>
      </c>
      <c r="AM173" s="460">
        <f t="shared" si="463"/>
        <v>215.99721461495702</v>
      </c>
      <c r="AO173">
        <f t="shared" si="340"/>
        <v>3780.0000000000005</v>
      </c>
      <c r="AP173">
        <f t="shared" si="341"/>
        <v>215.99721461495702</v>
      </c>
      <c r="AR173" s="5">
        <f t="shared" si="443"/>
        <v>4.6296893308676657</v>
      </c>
      <c r="AS173" s="5">
        <f t="shared" si="440"/>
        <v>2.3225007071883756</v>
      </c>
      <c r="AT173" s="5">
        <f t="shared" si="441"/>
        <v>2.30718862367929</v>
      </c>
      <c r="AU173" s="173">
        <f t="shared" si="442"/>
        <v>0.50165368369395702</v>
      </c>
      <c r="AW173" s="5">
        <f t="shared" si="477"/>
        <v>219.47631682930151</v>
      </c>
      <c r="AX173" s="5">
        <f t="shared" si="478"/>
        <v>0.81287524751593143</v>
      </c>
      <c r="AY173" s="5">
        <f t="shared" si="479"/>
        <v>1.6241910713012697</v>
      </c>
      <c r="AZ173" s="5"/>
      <c r="BA173" s="173">
        <f t="shared" si="480"/>
        <v>1.4165519698606099</v>
      </c>
      <c r="BB173" s="173">
        <f t="shared" si="481"/>
        <v>5.6474985364602306</v>
      </c>
      <c r="BC173" s="173">
        <f t="shared" si="482"/>
        <v>0.1076077423839044</v>
      </c>
      <c r="BD173" s="173"/>
      <c r="BE173" s="528">
        <f t="shared" si="483"/>
        <v>2.4480757696454886E-2</v>
      </c>
      <c r="BF173" s="528">
        <f t="shared" si="464"/>
        <v>0.5278699547084309</v>
      </c>
      <c r="BG173" s="528">
        <f t="shared" si="465"/>
        <v>9.6650629602731991E-2</v>
      </c>
      <c r="BH173" s="528">
        <f t="shared" si="484"/>
        <v>3.0578833794746366E-2</v>
      </c>
      <c r="BI173">
        <f t="shared" si="485"/>
        <v>8.0543229964813966E-3</v>
      </c>
      <c r="BJ173" s="460">
        <f t="shared" si="436"/>
        <v>104.70495259921339</v>
      </c>
      <c r="BK173">
        <f t="shared" si="466"/>
        <v>0.59298854456668626</v>
      </c>
      <c r="BL173" s="460">
        <f t="shared" si="437"/>
        <v>687.63449879884547</v>
      </c>
      <c r="BM173" s="173">
        <f t="shared" si="467"/>
        <v>2.348325</v>
      </c>
      <c r="BN173" s="173">
        <f t="shared" si="468"/>
        <v>3.913875E-2</v>
      </c>
      <c r="BO173" s="528"/>
      <c r="BQ173" s="460">
        <f t="shared" si="486"/>
        <v>2387.4637500000003</v>
      </c>
      <c r="BR173" s="528">
        <f t="shared" si="487"/>
        <v>6.0198584499479235E-2</v>
      </c>
      <c r="BS173" s="528">
        <f t="shared" si="488"/>
        <v>0.95682719157961338</v>
      </c>
      <c r="BT173" s="528">
        <f t="shared" si="489"/>
        <v>5.7897131104803681E-5</v>
      </c>
      <c r="BU173" s="528">
        <f t="shared" si="490"/>
        <v>0.7657168841623081</v>
      </c>
      <c r="BV173" s="528"/>
      <c r="BW173" s="625">
        <f t="shared" si="469"/>
        <v>6.4799317728040415E-2</v>
      </c>
      <c r="BX173" s="460">
        <f t="shared" si="491"/>
        <v>1847.5998751005459</v>
      </c>
      <c r="BY173" s="173">
        <f t="shared" si="492"/>
        <v>4.9226981238993908</v>
      </c>
      <c r="BZ173" s="5">
        <f t="shared" si="493"/>
        <v>16.254000000000001</v>
      </c>
      <c r="CA173" s="173">
        <f t="shared" si="494"/>
        <v>0.76754175296366056</v>
      </c>
      <c r="CB173" s="5">
        <f t="shared" si="495"/>
        <v>76.754175296366057</v>
      </c>
      <c r="CC173">
        <f t="shared" si="496"/>
        <v>63</v>
      </c>
      <c r="CE173" s="562">
        <f t="shared" si="470"/>
        <v>-50</v>
      </c>
      <c r="CF173">
        <f t="shared" si="471"/>
        <v>-50</v>
      </c>
      <c r="CG173" s="173">
        <f t="shared" si="370"/>
        <v>0.48913043478260876</v>
      </c>
      <c r="CH173" s="173">
        <f t="shared" si="472"/>
        <v>0.13097870664369973</v>
      </c>
      <c r="CI173" s="170">
        <v>63</v>
      </c>
      <c r="CJ173" s="217">
        <f t="shared" si="438"/>
        <v>3.7800000000000002</v>
      </c>
      <c r="CK173" s="217">
        <f t="shared" si="372"/>
        <v>6.3E-2</v>
      </c>
      <c r="CL173" s="217">
        <f t="shared" si="373"/>
        <v>15.120000000000001</v>
      </c>
      <c r="CM173" s="217">
        <f t="shared" si="374"/>
        <v>1.1339999999999999</v>
      </c>
      <c r="CN173" s="541">
        <f t="shared" si="375"/>
        <v>18</v>
      </c>
      <c r="CO173" s="443">
        <f t="shared" si="473"/>
        <v>18.8</v>
      </c>
      <c r="CP173" s="443">
        <f t="shared" si="474"/>
        <v>36.799999999999997</v>
      </c>
      <c r="CQ173" s="443"/>
      <c r="CR173" s="217">
        <f t="shared" si="378"/>
        <v>0.51086956521739135</v>
      </c>
      <c r="CS173" s="172">
        <f t="shared" si="379"/>
        <v>28.513650151668358</v>
      </c>
      <c r="CT173" s="172">
        <f t="shared" si="380"/>
        <v>2.2989130434782612</v>
      </c>
      <c r="CU173" s="217">
        <f t="shared" si="381"/>
        <v>7.1284125379170895</v>
      </c>
      <c r="CV173" s="217">
        <f t="shared" si="382"/>
        <v>1.5840916750926866</v>
      </c>
      <c r="CW173" s="217">
        <f t="shared" si="383"/>
        <v>4</v>
      </c>
      <c r="CX173" s="217">
        <f t="shared" si="384"/>
        <v>3.5351489361702124</v>
      </c>
      <c r="CY173" s="217">
        <f t="shared" si="385"/>
        <v>2.3567659574468083</v>
      </c>
      <c r="CZ173" s="217">
        <f t="shared" si="386"/>
        <v>2.2564780443639654</v>
      </c>
      <c r="DA173" s="197">
        <f t="shared" si="387"/>
        <v>350</v>
      </c>
      <c r="DB173" s="443">
        <f t="shared" si="388"/>
        <v>216.76720321047046</v>
      </c>
      <c r="DD173" s="217">
        <f t="shared" si="389"/>
        <v>2.18944099378882</v>
      </c>
      <c r="DE173" s="173">
        <f t="shared" si="390"/>
        <v>1.3975155279503106</v>
      </c>
      <c r="DF173" s="173">
        <f t="shared" si="391"/>
        <v>1.9924134422749624</v>
      </c>
      <c r="DG173" s="173"/>
      <c r="DH173" s="173">
        <f t="shared" si="392"/>
        <v>0.85106382978723416</v>
      </c>
      <c r="DI173" s="545">
        <f t="shared" si="393"/>
        <v>1665.5624999999998</v>
      </c>
      <c r="DJ173" s="528">
        <f t="shared" si="394"/>
        <v>0.79432624113475192</v>
      </c>
      <c r="DL173" s="173">
        <f t="shared" si="395"/>
        <v>2.7820855486487113</v>
      </c>
      <c r="DM173" s="173">
        <f t="shared" si="396"/>
        <v>3.5351489361702124</v>
      </c>
      <c r="DN173" s="173">
        <f t="shared" si="397"/>
        <v>2.8309745206199102</v>
      </c>
      <c r="DP173" s="545">
        <f t="shared" si="398"/>
        <v>3780.0000000000005</v>
      </c>
      <c r="DQ173" s="460">
        <f t="shared" si="399"/>
        <v>216.76720321047046</v>
      </c>
      <c r="DS173">
        <f t="shared" si="400"/>
        <v>3780.0000000000005</v>
      </c>
      <c r="DT173">
        <f t="shared" si="401"/>
        <v>216.76720321047046</v>
      </c>
      <c r="DV173" s="5">
        <f t="shared" si="402"/>
        <v>4.6132440018107745</v>
      </c>
      <c r="DW173" s="5">
        <f t="shared" si="403"/>
        <v>2.3567659574468083</v>
      </c>
      <c r="DX173" s="5">
        <f t="shared" si="404"/>
        <v>2.2564780443639663</v>
      </c>
      <c r="DY173" s="173">
        <f t="shared" si="405"/>
        <v>0.51086956521739124</v>
      </c>
      <c r="EA173" s="5">
        <f t="shared" si="406"/>
        <v>222.71438297872339</v>
      </c>
      <c r="EB173" s="5">
        <f t="shared" si="407"/>
        <v>0.82486808510638299</v>
      </c>
      <c r="EC173" s="5">
        <f t="shared" si="408"/>
        <v>1.5795346310547764</v>
      </c>
      <c r="ED173" s="5"/>
      <c r="EE173" s="173">
        <f t="shared" si="409"/>
        <v>1.4588213254454665</v>
      </c>
      <c r="EF173" s="173">
        <f t="shared" si="410"/>
        <v>5.7097806249426588</v>
      </c>
      <c r="EG173" s="173">
        <f t="shared" si="411"/>
        <v>0.10879446866444796</v>
      </c>
      <c r="EH173" s="173"/>
      <c r="EI173" s="528">
        <f t="shared" si="412"/>
        <v>2.5963547846808502E-2</v>
      </c>
      <c r="EJ173" s="528">
        <f t="shared" si="413"/>
        <v>0.56399999999999995</v>
      </c>
      <c r="EK173" s="528">
        <f t="shared" si="414"/>
        <v>2.7095900401308808E-2</v>
      </c>
      <c r="EL173" s="528">
        <f t="shared" si="415"/>
        <v>2.9355481727574746E-2</v>
      </c>
      <c r="EM173">
        <f t="shared" si="416"/>
        <v>8.0999999999999996E-3</v>
      </c>
      <c r="EN173" s="460">
        <f t="shared" si="417"/>
        <v>35.195900401308805</v>
      </c>
      <c r="EP173" s="460">
        <f t="shared" si="439"/>
        <v>654.5149299756921</v>
      </c>
      <c r="EQ173" s="173">
        <f t="shared" si="418"/>
        <v>2.6459999999999999</v>
      </c>
      <c r="ER173" s="173">
        <f t="shared" si="475"/>
        <v>2.7956249999999998E-2</v>
      </c>
      <c r="ES173" s="528"/>
      <c r="EU173" s="460">
        <f t="shared" si="497"/>
        <v>2673.9562499999997</v>
      </c>
      <c r="EV173" s="528">
        <f t="shared" si="421"/>
        <v>6.3844789787234027E-2</v>
      </c>
      <c r="EW173" s="528">
        <f t="shared" si="422"/>
        <v>0.97804784354911734</v>
      </c>
      <c r="EX173" s="528">
        <f t="shared" si="423"/>
        <v>5.9181182059897751E-5</v>
      </c>
      <c r="EY173" s="528">
        <f t="shared" si="424"/>
        <v>0.81278041177063109</v>
      </c>
      <c r="EZ173" s="528"/>
      <c r="FA173" s="625">
        <f t="shared" si="425"/>
        <v>6.772499999999998E-2</v>
      </c>
      <c r="FB173" s="460">
        <f t="shared" si="498"/>
        <v>1922.4572262890424</v>
      </c>
      <c r="FC173" s="173">
        <f t="shared" si="427"/>
        <v>5.2509284062647339</v>
      </c>
      <c r="FD173" s="5">
        <f t="shared" si="428"/>
        <v>16.254000000000001</v>
      </c>
      <c r="FE173" s="173">
        <f t="shared" si="429"/>
        <v>0.75582674319738474</v>
      </c>
      <c r="FF173" s="5">
        <f t="shared" si="430"/>
        <v>75.582674319738473</v>
      </c>
      <c r="FG173">
        <f t="shared" si="431"/>
        <v>63</v>
      </c>
      <c r="FI173" s="562">
        <f t="shared" si="432"/>
        <v>-50</v>
      </c>
      <c r="FJ173">
        <f t="shared" si="433"/>
        <v>-50</v>
      </c>
    </row>
    <row r="174" spans="5:166">
      <c r="E174" s="170">
        <v>64</v>
      </c>
      <c r="F174" s="217">
        <f t="shared" si="476"/>
        <v>3.84</v>
      </c>
      <c r="G174" s="217">
        <f t="shared" ref="G174:G210" si="499">IF(PLOT_TYPE=1, E174/100*Iout2, min_I*EXP(Q174*rr/100))</f>
        <v>6.4000000000000001E-2</v>
      </c>
      <c r="H174" s="217">
        <f t="shared" ref="H174:H210" si="500">F174*Vout</f>
        <v>15.36</v>
      </c>
      <c r="I174" s="217">
        <f t="shared" ref="I174:I210" si="501">Vout2*G174</f>
        <v>1.1520000000000001</v>
      </c>
      <c r="J174" s="541">
        <f t="shared" ref="J174:J210" si="502">VIN_min-(F174/CG174/Nps+G174/CH174/(Nps/Nsec1sec2))*(Rdcr_pri+RON/1000)</f>
        <v>17.896884365954477</v>
      </c>
      <c r="K174" s="443">
        <f t="shared" ref="K174:K210" si="503">MAX((S174+Vfwd2+Rdcr_sec*F174/CG174)*Nps,(Vout2+Vfwd22+Rdcr_sec2*G174/CH174)*Nps/Nsec1sec2)</f>
        <v>19.742080000000001</v>
      </c>
      <c r="L174" s="172">
        <f t="shared" ref="L174:L210" si="504">MAX((Vout+Vfwd2+F174/CG174*Rdcr_sec)*Nps+J174, (Vout2+Vfwd22+G174/CH174*Rdcr_sec2)*Nps/Nsec1sec2+J174)</f>
        <v>37.638964365954479</v>
      </c>
      <c r="M174" s="443"/>
      <c r="N174" s="217">
        <f t="shared" ref="N174:N210" si="505">MAX((Vout+Vfwd2+F174/CG174*Rdcr_sec)*Nps/((Vout+Vfwd2+F174/CG174*Rdcr_sec)*Nps+J174), (Vout2+Vfwd22+G174/CH174*Rdcr_sec2)*Nps/Nsec1sec2/((Vout2+Vfwd22+G174/CH174*Rdcr_sec2)*Nps/Nsec1sec2+J174))</f>
        <v>0.52451177476756716</v>
      </c>
      <c r="O174" s="172">
        <f t="shared" ref="O174:O205" si="506">N174*J174*Isw_max*0.5*Efficiency*Pout/(Pout+Pout2)</f>
        <v>29.107369245261115</v>
      </c>
      <c r="P174" s="172">
        <f t="shared" ref="P174:P210" si="507">N174*J174*Isw_max*0.5*Efficiency*(Pout2/Pout_total)</f>
        <v>2.3467816453991772</v>
      </c>
      <c r="Q174" s="217">
        <f t="shared" ref="Q174:Q210" si="508">O174/Vout</f>
        <v>7.2768423113152787</v>
      </c>
      <c r="R174" s="217">
        <f t="shared" ref="R174:R210" si="509">O174/Vout2</f>
        <v>1.617076069181173</v>
      </c>
      <c r="S174" s="217">
        <f t="shared" ref="S174:S210" si="510">MIN(Vout,O174/F174)</f>
        <v>4</v>
      </c>
      <c r="T174" s="217">
        <f t="shared" ref="T174:T210" si="511">MIN(2*(Vout*F174+Vout2*G174)/(Efficiency*J174*N174), Isw_max)</f>
        <v>3.5180094476133892</v>
      </c>
      <c r="U174" s="217">
        <f t="shared" ref="U174:U210" si="512">L*T174/J174*1000000</f>
        <v>2.3588526644151</v>
      </c>
      <c r="V174" s="217">
        <f t="shared" ref="V174:V210" si="513">L*T174/K174*1000000</f>
        <v>2.1383822460126116</v>
      </c>
      <c r="W174" s="197">
        <f t="shared" ref="W174:W210" si="514">IF(1/((350000*L)*(1/J174+1/K174))&gt;Isw_min, 350, 0.001/((Isw_min*L)*(1/J174+1/K174)))</f>
        <v>350</v>
      </c>
      <c r="X174" s="443">
        <f t="shared" si="435"/>
        <v>212.89120494698525</v>
      </c>
      <c r="Z174" s="217">
        <f t="shared" ref="Z174:Z210" si="515">1/((W174*1000*L)*(1/J174+1/K174))</f>
        <v>2.2350301384754068</v>
      </c>
      <c r="AA174" s="173">
        <f t="shared" ref="AA174:AA210" si="516">L*Z174/K174*1000000</f>
        <v>1.3585377863783796</v>
      </c>
      <c r="AB174" s="173">
        <f t="shared" ref="AB174:AB205" si="517">0.5*AA174*Z174*Nps*W174/1000*(Pout/(Pout+Pout2))</f>
        <v>1.9771730490877579</v>
      </c>
      <c r="AC174" s="173"/>
      <c r="AD174" s="173">
        <f t="shared" ref="AD174:AD210" si="518">L*Isw_min/K174*1000000</f>
        <v>0.81045158362239444</v>
      </c>
      <c r="AE174" s="545">
        <f t="shared" ref="AE174:AE205" si="519">MAX(10, F174/(0.5*AD174/1000000*Isw_min*Nps)/1000*Pout_total/Pout)</f>
        <v>1776.7871999999998</v>
      </c>
      <c r="AF174" s="528">
        <f t="shared" ref="AF174:AF210" si="520">0.5*AD174/1000000*Isw_min*Nps*W174*1000*(Pout/Pout_total)</f>
        <v>0.75642147804756832</v>
      </c>
      <c r="AH174" s="173">
        <f t="shared" ref="AH174:AH210" si="521">SQRT((H174+I174)/(0.5*L*Fsw_DCM))</f>
        <v>2.8040786620309253</v>
      </c>
      <c r="AI174" s="173">
        <f t="shared" ref="AI174:AI205" si="522">MAX(IF(F174&gt;AB174,T174,AH174),Isw_min)</f>
        <v>3.5180094476133892</v>
      </c>
      <c r="AJ174" s="173">
        <f t="shared" ref="AJ174:AJ205" si="523">IF(F174&gt;AF174, (AI174-Isw_min)/1.08*0.8+1.2, AE174*0.2/350+1)</f>
        <v>2.8182786031704117</v>
      </c>
      <c r="AL174" s="545">
        <f t="shared" ref="AL174:AL210" si="524">F174*1000</f>
        <v>3840</v>
      </c>
      <c r="AM174" s="460">
        <f t="shared" ref="AM174:AM210" si="525">IF(F174&gt;AF174, X174, AE174)</f>
        <v>212.89120494698525</v>
      </c>
      <c r="AO174">
        <f t="shared" ref="AO174:AO210" si="526">IF(H174&gt;O174, "",AL174)</f>
        <v>3840</v>
      </c>
      <c r="AP174">
        <f t="shared" ref="AP174:AP210" si="527">IF(H174&gt;O174, "",AM174)</f>
        <v>212.89120494698525</v>
      </c>
      <c r="AR174" s="5">
        <f t="shared" si="443"/>
        <v>4.6972349104277118</v>
      </c>
      <c r="AS174" s="5">
        <f t="shared" si="440"/>
        <v>2.3588526644151</v>
      </c>
      <c r="AT174" s="5">
        <f t="shared" si="441"/>
        <v>2.3383822460126118</v>
      </c>
      <c r="AU174" s="173">
        <f t="shared" si="442"/>
        <v>0.50217898601973732</v>
      </c>
      <c r="AW174" s="5">
        <f t="shared" si="477"/>
        <v>226.44985578384961</v>
      </c>
      <c r="AX174" s="5">
        <f t="shared" si="478"/>
        <v>0.83870316956981339</v>
      </c>
      <c r="AY174" s="5">
        <f t="shared" si="479"/>
        <v>1.6724303592138188</v>
      </c>
      <c r="AZ174" s="5"/>
      <c r="BA174" s="173">
        <f t="shared" si="480"/>
        <v>1.4393474468852303</v>
      </c>
      <c r="BB174" s="173">
        <f t="shared" si="481"/>
        <v>5.7323536782870015</v>
      </c>
      <c r="BC174" s="173">
        <f t="shared" si="482"/>
        <v>0.10922457684303612</v>
      </c>
      <c r="BD174" s="173"/>
      <c r="BE174" s="528">
        <f t="shared" si="483"/>
        <v>2.5274997088831377E-2</v>
      </c>
      <c r="BF174" s="528">
        <f t="shared" ref="BF174:BF210" si="528">0.5*L174*AI174*AM174*1000*Tfall</f>
        <v>0.52855922724820581</v>
      </c>
      <c r="BG174" s="528">
        <f t="shared" ref="BG174:BG210" si="529">Qg*Vdd*AM174*1000*0+Qg*J174*AM174*1000</f>
        <v>9.5252231936622772E-2</v>
      </c>
      <c r="BH174" s="528">
        <f t="shared" si="484"/>
        <v>3.0160118996743823E-2</v>
      </c>
      <c r="BI174">
        <f t="shared" si="485"/>
        <v>8.0535979646795142E-3</v>
      </c>
      <c r="BJ174" s="460">
        <f t="shared" si="436"/>
        <v>103.30582990130229</v>
      </c>
      <c r="BK174">
        <f t="shared" ref="BK174:BK210" si="530">(BF174+BG174*0+BH174+BI174*0+BE174*(1+RdsonTC*(Ta-25)))/(1-BE174*RdsonTC*ThetaJA)</f>
        <v>0.59438809473748178</v>
      </c>
      <c r="BL174" s="460">
        <f t="shared" si="437"/>
        <v>687.30017323508343</v>
      </c>
      <c r="BM174" s="173">
        <f t="shared" ref="BM174:BM210" si="531">Vfwd2*F174*(1+Diode_TC/1000*(Ta-25))</f>
        <v>2.3855999999999997</v>
      </c>
      <c r="BN174" s="173">
        <f t="shared" ref="BN174:BN210" si="532">Vfwd2*G174*(1+Diode_TC/1000*(Ta-25))</f>
        <v>3.9759999999999997E-2</v>
      </c>
      <c r="BO174" s="528"/>
      <c r="BQ174" s="460">
        <f t="shared" si="486"/>
        <v>2425.3599999999997</v>
      </c>
      <c r="BR174" s="528">
        <f t="shared" si="487"/>
        <v>6.215163218565093E-2</v>
      </c>
      <c r="BS174" s="528">
        <f t="shared" si="488"/>
        <v>0.98579636078911548</v>
      </c>
      <c r="BT174" s="528">
        <f t="shared" si="489"/>
        <v>5.965004093270151E-5</v>
      </c>
      <c r="BU174" s="528">
        <f t="shared" si="490"/>
        <v>0.76755023325707306</v>
      </c>
      <c r="BV174" s="528"/>
      <c r="BW174" s="625">
        <f t="shared" ref="BW174:BW210" si="533">0.5*Lleak*0.000000001*AI174^2*AM174*1000</f>
        <v>6.5870617019929481E-2</v>
      </c>
      <c r="BX174" s="460">
        <f t="shared" si="491"/>
        <v>1881.4284932927017</v>
      </c>
      <c r="BY174" s="173">
        <f t="shared" si="492"/>
        <v>4.9940886665277846</v>
      </c>
      <c r="BZ174" s="5">
        <f t="shared" si="493"/>
        <v>16.512</v>
      </c>
      <c r="CA174" s="173">
        <f t="shared" si="494"/>
        <v>0.76778256874293394</v>
      </c>
      <c r="CB174" s="5">
        <f t="shared" si="495"/>
        <v>76.77825687429339</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0.48913043478260876</v>
      </c>
      <c r="CH174" s="173">
        <f t="shared" ref="CH174:CH210" si="537">MIN(SQRT(2*DT174*1000*Ls2_*(CM174+CK174*Vfwd22))/(Vout2+Vfwd22), 1-DY174)</f>
        <v>0.13097870664369976</v>
      </c>
      <c r="CI174" s="170">
        <v>64</v>
      </c>
      <c r="CJ174" s="217">
        <f t="shared" si="438"/>
        <v>3.84</v>
      </c>
      <c r="CK174" s="217">
        <f t="shared" ref="CK174:CK210" si="538">IF(PLOT_TYPE=1, CI174/100*Iout2, min_I*EXP(CU174*rr/100))</f>
        <v>6.4000000000000001E-2</v>
      </c>
      <c r="CL174" s="217">
        <f t="shared" ref="CL174:CL210" si="539">CJ174*Vout</f>
        <v>15.36</v>
      </c>
      <c r="CM174" s="217">
        <f t="shared" ref="CM174:CM210" si="540">Vout2*CK174</f>
        <v>1.1520000000000001</v>
      </c>
      <c r="CN174" s="541">
        <f t="shared" ref="CN174:CN212" si="541">VIN_min</f>
        <v>18</v>
      </c>
      <c r="CO174" s="443">
        <f t="shared" ref="CO174:CO210" si="542">(CW174+Vfwd2)*Nps</f>
        <v>18.8</v>
      </c>
      <c r="CP174" s="443">
        <f t="shared" ref="CP174:CP210" si="543">(Vout+Vfwd2)*Nps+CN174</f>
        <v>36.799999999999997</v>
      </c>
      <c r="CQ174" s="443"/>
      <c r="CR174" s="217">
        <f t="shared" ref="CR174:CR210" si="544">(Vout+Vfwd1)*Nps/((Vout+Vfwd1)*Nps+CN174)</f>
        <v>0.51086956521739135</v>
      </c>
      <c r="CS174" s="172">
        <f t="shared" ref="CS174:CS210" si="545">CR174*CN174*Isw_max*0.5*Efficiency*Pout/(Pout+Pout2)</f>
        <v>28.513650151668358</v>
      </c>
      <c r="CT174" s="172">
        <f t="shared" ref="CT174:CT210" si="546">CR174*CN174*Isw_max*0.5*Efficiency*(Pout2/Pout_total)</f>
        <v>2.2989130434782612</v>
      </c>
      <c r="CU174" s="217">
        <f t="shared" ref="CU174:CU210" si="547">CS174/Vout</f>
        <v>7.1284125379170895</v>
      </c>
      <c r="CV174" s="217">
        <f t="shared" ref="CV174:CV210" si="548">CS174/Vout2</f>
        <v>1.5840916750926866</v>
      </c>
      <c r="CW174" s="217">
        <f t="shared" ref="CW174:CW210" si="549">MIN(Vout,CS174/CJ174)</f>
        <v>4</v>
      </c>
      <c r="CX174" s="217">
        <f t="shared" ref="CX174:CX210" si="550">MIN(2*(Vout*CJ174+Vout2*CK174)/(Efficiency*CN174*CR174), Isw_max)</f>
        <v>3.5912624113475173</v>
      </c>
      <c r="CY174" s="217">
        <f t="shared" ref="CY174:CY210" si="551">L*CX174/CN174*1000000</f>
        <v>2.394174940898345</v>
      </c>
      <c r="CZ174" s="217">
        <f t="shared" ref="CZ174:CZ210" si="552">L*CX174/CO174*1000000</f>
        <v>2.2922951561792662</v>
      </c>
      <c r="DA174" s="197">
        <f t="shared" ref="DA174:DA210" si="553">IF(1/((350000*L)*(1/CN174+1/CO174))&gt;Isw_min, 350, 0.001/((Isw_min*L)*(1/CN174+1/CO174)))</f>
        <v>350</v>
      </c>
      <c r="DB174" s="443">
        <f t="shared" ref="DB174:DB210" si="554">MIN(1/(CY174+CZ174)*1000, 350)</f>
        <v>213.38021566030685</v>
      </c>
      <c r="DD174" s="217">
        <f t="shared" ref="DD174:DD210" si="555">1/((DA174*1000*L)*(1/CN174+1/CO174))</f>
        <v>2.18944099378882</v>
      </c>
      <c r="DE174" s="173">
        <f t="shared" ref="DE174:DE210" si="556">L*DD174/CO174*1000000</f>
        <v>1.3975155279503106</v>
      </c>
      <c r="DF174" s="173">
        <f t="shared" ref="DF174:DF210" si="557">0.5*DE174*DD174*Nps*DA174/1000*(Pout/(Pout+Pout2))</f>
        <v>1.9924134422749624</v>
      </c>
      <c r="DG174" s="173"/>
      <c r="DH174" s="173">
        <f t="shared" ref="DH174:DH210" si="558">L*Isw_min/CO174*1000000</f>
        <v>0.85106382978723416</v>
      </c>
      <c r="DI174" s="545">
        <f t="shared" ref="DI174:DI210" si="559">MAX(10, CJ174/(0.5*DH174/1000000*Isw_min*Nps)/1000*Pout_total/Pout)</f>
        <v>1691.9999999999993</v>
      </c>
      <c r="DJ174" s="528">
        <f t="shared" ref="DJ174:DJ210" si="560">0.5*DH174/1000000*Isw_min*Nps*DA174*1000*(Pout/Pout_total)</f>
        <v>0.79432624113475192</v>
      </c>
      <c r="DL174" s="173">
        <f t="shared" ref="DL174:DL210" si="561">SQRT((CL174+CM174)/(0.5*L*Fsw_DCM))</f>
        <v>2.8040786620309253</v>
      </c>
      <c r="DM174" s="173">
        <f t="shared" ref="DM174:DM210" si="562">MAX(IF(CJ174&gt;DF174,CX174,DL174),Isw_min)</f>
        <v>3.5912624113475173</v>
      </c>
      <c r="DN174" s="173">
        <f t="shared" ref="DN174:DN210" si="563">IF(CJ174&gt;DJ174, (DM174-Isw_min)/1.08*0.8+1.2, DI174*0.2/350+1)</f>
        <v>2.8725400577882843</v>
      </c>
      <c r="DP174" s="545">
        <f t="shared" ref="DP174:DP210" si="564">CJ174*1000</f>
        <v>3840</v>
      </c>
      <c r="DQ174" s="460">
        <f t="shared" ref="DQ174:DQ210" si="565">IF(CJ174&gt;DJ174, DB174, DI174)</f>
        <v>213.38021566030685</v>
      </c>
      <c r="DS174">
        <f t="shared" ref="DS174:DS192" si="566">IF(CL174&gt;CS174, "",DP174)</f>
        <v>3840</v>
      </c>
      <c r="DT174">
        <f t="shared" ref="DT174:DT193" si="567">IF(CL174&gt;CS174, "",DQ174)</f>
        <v>213.38021566030685</v>
      </c>
      <c r="DV174" s="5">
        <f t="shared" ref="DV174:DV210" si="568">1/DQ174*1000</f>
        <v>4.6864700970776125</v>
      </c>
      <c r="DW174" s="5">
        <f t="shared" ref="DW174:DW210" si="569">L*DM174/CN174*1000000</f>
        <v>2.394174940898345</v>
      </c>
      <c r="DX174" s="5">
        <f t="shared" ref="DX174:DX210" si="570">DV174-DW174</f>
        <v>2.2922951561792675</v>
      </c>
      <c r="DY174" s="173">
        <f t="shared" ref="DY174:DY210" si="571">DW174/DV174</f>
        <v>0.51086956521739124</v>
      </c>
      <c r="EA174" s="5">
        <f t="shared" ref="EA174:EA210" si="572">CJ174*DW174/Vout_ripple*1000</f>
        <v>229.84079432624111</v>
      </c>
      <c r="EB174" s="5">
        <f t="shared" ref="EB174:EB210" si="573">CK174*DW174/Vout_ripple2*1000</f>
        <v>0.85126220120830043</v>
      </c>
      <c r="EC174" s="5">
        <f t="shared" ref="EC174:EC210" si="574">CL174/Efficiency/CN174*DX174/Vinripple1</f>
        <v>1.6300765555052565</v>
      </c>
      <c r="ED174" s="5"/>
      <c r="EE174" s="173">
        <f t="shared" ref="EE174:EE210" si="575">DM174*SQRT(DY174/3)</f>
        <v>1.4819772195001564</v>
      </c>
      <c r="EF174" s="173">
        <f t="shared" ref="EF174:EF210" si="576">DM174*Npri_sec1*SQRT((1-DY174)/3)*(Pout/Pout_total)</f>
        <v>5.8004120634338117</v>
      </c>
      <c r="EG174" s="173">
        <f t="shared" ref="EG174:EG210" si="577">DM174*Npri_sec2*SQRT((1-DY174)/3)*(Pout2/Pout_total)</f>
        <v>0.11052136499245506</v>
      </c>
      <c r="EH174" s="173"/>
      <c r="EI174" s="528">
        <f t="shared" ref="EI174:EI210" si="578">Rdson*EE174^2</f>
        <v>2.6794329045232455E-2</v>
      </c>
      <c r="EJ174" s="528">
        <f t="shared" ref="EJ174:EJ210" si="579">0.5*CP174*DM174*DQ174*1000*Trise</f>
        <v>0.56399999999999995</v>
      </c>
      <c r="EK174" s="528">
        <f t="shared" ref="EK174:EK210" si="580">Qg*Vdd*DQ174*1000</f>
        <v>2.6672526957538353E-2</v>
      </c>
      <c r="EL174" s="528">
        <f t="shared" ref="EL174:EL210" si="581">0.5*(Coss+Csw)*CP174^2*DQ174*1000</f>
        <v>2.8896802325581387E-2</v>
      </c>
      <c r="EM174">
        <f t="shared" ref="EM174:EM210" si="582">CN174*IQ</f>
        <v>8.0999999999999996E-3</v>
      </c>
      <c r="EN174" s="460">
        <f t="shared" ref="EN174:EN210" si="583">(EK174+EM174)*1000</f>
        <v>34.772526957538354</v>
      </c>
      <c r="EP174" s="460">
        <f t="shared" si="439"/>
        <v>654.46365832835204</v>
      </c>
      <c r="EQ174" s="173">
        <f t="shared" ref="EQ174:EQ210" si="584">Vfwd2*CJ174</f>
        <v>2.6879999999999997</v>
      </c>
      <c r="ER174" s="173">
        <f t="shared" ref="ER174:ER210" si="585">Vfwd22*CK174*(1+Diode_TC/1000*(Ta-25))</f>
        <v>2.8399999999999998E-2</v>
      </c>
      <c r="ES174" s="528"/>
      <c r="EU174" s="460">
        <f t="shared" si="497"/>
        <v>2716.3999999999996</v>
      </c>
      <c r="EV174" s="528">
        <f t="shared" ref="EV174:EV210" si="586">Rdcr_pri*EE174^2</f>
        <v>6.5887694373522432E-2</v>
      </c>
      <c r="EW174" s="528">
        <f t="shared" ref="EW174:EW210" si="587">Rdcr_sec*EF174^2</f>
        <v>1.0093434031688546</v>
      </c>
      <c r="EX174" s="528">
        <f t="shared" ref="EX174:EX210" si="588">Rdcr_sec2*EG174^2</f>
        <v>6.1074860598977354E-5</v>
      </c>
      <c r="EY174" s="528">
        <f t="shared" ref="EY174:EY210" si="589">DM174^2.5*DQ174^2.5*k_core</f>
        <v>0.81278041177063176</v>
      </c>
      <c r="EZ174" s="528"/>
      <c r="FA174" s="625">
        <f t="shared" ref="FA174:FA210" si="590">0.5*Lleak*0.000000001*DM174^2*DQ174*1000</f>
        <v>6.8799999999999986E-2</v>
      </c>
      <c r="FB174" s="460">
        <f t="shared" si="498"/>
        <v>1956.8725841736079</v>
      </c>
      <c r="FC174" s="173">
        <f t="shared" ref="FC174:FC210" si="591">SUM(EI174:EM174,EQ174:ET174,EV174:FA174)</f>
        <v>5.3277362425019597</v>
      </c>
      <c r="FD174" s="5">
        <f t="shared" ref="FD174:FD210" si="592">MIN(CL174+CM174,CS174+CT174)</f>
        <v>16.512</v>
      </c>
      <c r="FE174" s="173">
        <f t="shared" ref="FE174:FE210" si="593">FD174/(FD174+FC174)</f>
        <v>0.75605308675231442</v>
      </c>
      <c r="FF174" s="5">
        <f t="shared" ref="FF174:FF210" si="594">FE174*100</f>
        <v>75.605308675231441</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3.9000000000000004</v>
      </c>
      <c r="G175" s="217">
        <f t="shared" si="499"/>
        <v>6.5000000000000002E-2</v>
      </c>
      <c r="H175" s="217">
        <f t="shared" si="500"/>
        <v>15.600000000000001</v>
      </c>
      <c r="I175" s="217">
        <f t="shared" si="501"/>
        <v>1.17</v>
      </c>
      <c r="J175" s="541">
        <f t="shared" si="502"/>
        <v>17.895273184172517</v>
      </c>
      <c r="K175" s="443">
        <f t="shared" si="503"/>
        <v>19.756800000000002</v>
      </c>
      <c r="L175" s="172">
        <f t="shared" si="504"/>
        <v>37.652073184172522</v>
      </c>
      <c r="M175" s="443"/>
      <c r="N175" s="217">
        <f t="shared" si="505"/>
        <v>0.52472011045343969</v>
      </c>
      <c r="O175" s="172">
        <f t="shared" si="506"/>
        <v>29.116309214863506</v>
      </c>
      <c r="P175" s="172">
        <f t="shared" si="507"/>
        <v>2.3475024304483703</v>
      </c>
      <c r="Q175" s="217">
        <f t="shared" si="508"/>
        <v>7.2790773037158765</v>
      </c>
      <c r="R175" s="217">
        <f t="shared" si="509"/>
        <v>1.6175727341590838</v>
      </c>
      <c r="S175" s="217">
        <f t="shared" si="510"/>
        <v>4</v>
      </c>
      <c r="T175" s="217">
        <f t="shared" si="511"/>
        <v>3.5718812859326738</v>
      </c>
      <c r="U175" s="217">
        <f t="shared" si="512"/>
        <v>2.3951897794497996</v>
      </c>
      <c r="V175" s="217">
        <f t="shared" si="513"/>
        <v>2.1695100133215948</v>
      </c>
      <c r="W175" s="197">
        <f t="shared" si="514"/>
        <v>350</v>
      </c>
      <c r="X175" s="443">
        <f t="shared" ref="X175:X210" si="599">MIN(1/(U175+V175+0.2)*1000, 350)</f>
        <v>209.87681144510231</v>
      </c>
      <c r="Z175" s="217">
        <f t="shared" si="515"/>
        <v>2.2357166004270193</v>
      </c>
      <c r="AA175" s="173">
        <f t="shared" si="516"/>
        <v>1.3579425415616004</v>
      </c>
      <c r="AB175" s="173">
        <f t="shared" si="517"/>
        <v>1.9769137468062599</v>
      </c>
      <c r="AC175" s="173"/>
      <c r="AD175" s="173">
        <f t="shared" si="518"/>
        <v>0.80984774862325881</v>
      </c>
      <c r="AE175" s="545">
        <f t="shared" si="519"/>
        <v>1805.8949999999998</v>
      </c>
      <c r="AF175" s="528">
        <f t="shared" si="520"/>
        <v>0.75585789871504172</v>
      </c>
      <c r="AH175" s="173">
        <f t="shared" si="521"/>
        <v>2.8259006149746821</v>
      </c>
      <c r="AI175" s="173">
        <f t="shared" si="522"/>
        <v>3.5718812859326738</v>
      </c>
      <c r="AJ175" s="173">
        <f t="shared" si="523"/>
        <v>2.8581836685921038</v>
      </c>
      <c r="AL175" s="545">
        <f t="shared" si="524"/>
        <v>3900.0000000000005</v>
      </c>
      <c r="AM175" s="460">
        <f t="shared" si="525"/>
        <v>209.87681144510231</v>
      </c>
      <c r="AO175">
        <f t="shared" si="526"/>
        <v>3900.0000000000005</v>
      </c>
      <c r="AP175">
        <f t="shared" si="527"/>
        <v>209.87681144510231</v>
      </c>
      <c r="AR175" s="5">
        <f t="shared" si="443"/>
        <v>4.7646997927713945</v>
      </c>
      <c r="AS175" s="5">
        <f t="shared" si="440"/>
        <v>2.3951897794497996</v>
      </c>
      <c r="AT175" s="5">
        <f t="shared" si="441"/>
        <v>2.3695100133215949</v>
      </c>
      <c r="AU175" s="173">
        <f t="shared" si="442"/>
        <v>0.5026947937168218</v>
      </c>
      <c r="AW175" s="5">
        <f t="shared" si="477"/>
        <v>233.53100349635551</v>
      </c>
      <c r="AX175" s="5">
        <f t="shared" si="478"/>
        <v>0.86492964257909444</v>
      </c>
      <c r="AY175" s="5">
        <f t="shared" si="479"/>
        <v>1.721327741474493</v>
      </c>
      <c r="AZ175" s="5"/>
      <c r="BA175" s="173">
        <f t="shared" si="480"/>
        <v>1.462138735309169</v>
      </c>
      <c r="BB175" s="173">
        <f t="shared" si="481"/>
        <v>5.8171181304475557</v>
      </c>
      <c r="BC175" s="173">
        <f t="shared" si="482"/>
        <v>0.11083968329636559</v>
      </c>
      <c r="BD175" s="173"/>
      <c r="BE175" s="528">
        <f t="shared" si="483"/>
        <v>2.6081766111756253E-2</v>
      </c>
      <c r="BF175" s="528">
        <f t="shared" si="528"/>
        <v>0.5292387562400116</v>
      </c>
      <c r="BG175" s="528">
        <f t="shared" si="529"/>
        <v>9.3895071895829268E-2</v>
      </c>
      <c r="BH175" s="528">
        <f t="shared" si="484"/>
        <v>2.9753786738402017E-2</v>
      </c>
      <c r="BI175">
        <f t="shared" si="485"/>
        <v>8.0528729328776319E-3</v>
      </c>
      <c r="BJ175" s="460">
        <f t="shared" ref="BJ175:BJ210" si="600">(BG175+BI175)*1000</f>
        <v>101.94794482870689</v>
      </c>
      <c r="BK175">
        <f t="shared" si="530"/>
        <v>0.59580862847207761</v>
      </c>
      <c r="BL175" s="460">
        <f t="shared" ref="BL175:BL210" si="601">SUM(BE175:BI175)*1000</f>
        <v>687.02225391887669</v>
      </c>
      <c r="BM175" s="173">
        <f t="shared" si="531"/>
        <v>2.4228749999999999</v>
      </c>
      <c r="BN175" s="173">
        <f t="shared" si="532"/>
        <v>4.0381249999999994E-2</v>
      </c>
      <c r="BO175" s="528"/>
      <c r="BQ175" s="460">
        <f t="shared" si="486"/>
        <v>2463.2562499999999</v>
      </c>
      <c r="BR175" s="528">
        <f t="shared" si="487"/>
        <v>6.4135490438744891E-2</v>
      </c>
      <c r="BS175" s="528">
        <f t="shared" si="488"/>
        <v>1.0151659003074498</v>
      </c>
      <c r="BT175" s="528">
        <f t="shared" si="489"/>
        <v>6.142717696619313E-5</v>
      </c>
      <c r="BU175" s="528">
        <f t="shared" si="490"/>
        <v>0.76934952348766206</v>
      </c>
      <c r="BV175" s="528"/>
      <c r="BW175" s="625">
        <f t="shared" si="533"/>
        <v>6.6941971560054714E-2</v>
      </c>
      <c r="BX175" s="460">
        <f t="shared" si="491"/>
        <v>1915.6543129708773</v>
      </c>
      <c r="BY175" s="173">
        <f t="shared" si="492"/>
        <v>5.0659328168897542</v>
      </c>
      <c r="BZ175" s="5">
        <f t="shared" si="493"/>
        <v>16.770000000000003</v>
      </c>
      <c r="CA175" s="173">
        <f t="shared" si="494"/>
        <v>0.76800016471147348</v>
      </c>
      <c r="CB175" s="5">
        <f t="shared" si="495"/>
        <v>76.800016471147345</v>
      </c>
      <c r="CC175">
        <f t="shared" si="496"/>
        <v>65</v>
      </c>
      <c r="CE175" s="562">
        <f t="shared" si="534"/>
        <v>-50</v>
      </c>
      <c r="CF175">
        <f t="shared" si="535"/>
        <v>-50</v>
      </c>
      <c r="CG175" s="173">
        <f t="shared" si="536"/>
        <v>0.48913043478260876</v>
      </c>
      <c r="CH175" s="173">
        <f t="shared" si="537"/>
        <v>0.13097870664369973</v>
      </c>
      <c r="CI175" s="170">
        <v>65</v>
      </c>
      <c r="CJ175" s="217">
        <f t="shared" ref="CJ175:CJ210" si="602">IF(PLOT_TYPE=1, CI175/100*Iout_max, min_I*EXP(CS175*rr/100))</f>
        <v>3.9000000000000004</v>
      </c>
      <c r="CK175" s="217">
        <f t="shared" si="538"/>
        <v>6.5000000000000002E-2</v>
      </c>
      <c r="CL175" s="217">
        <f t="shared" si="539"/>
        <v>15.600000000000001</v>
      </c>
      <c r="CM175" s="217">
        <f t="shared" si="540"/>
        <v>1.17</v>
      </c>
      <c r="CN175" s="541">
        <f t="shared" si="541"/>
        <v>18</v>
      </c>
      <c r="CO175" s="443">
        <f t="shared" si="542"/>
        <v>18.8</v>
      </c>
      <c r="CP175" s="443">
        <f t="shared" si="543"/>
        <v>36.799999999999997</v>
      </c>
      <c r="CQ175" s="443"/>
      <c r="CR175" s="217">
        <f t="shared" si="544"/>
        <v>0.51086956521739135</v>
      </c>
      <c r="CS175" s="172">
        <f t="shared" si="545"/>
        <v>28.513650151668358</v>
      </c>
      <c r="CT175" s="172">
        <f t="shared" si="546"/>
        <v>2.2989130434782612</v>
      </c>
      <c r="CU175" s="217">
        <f t="shared" si="547"/>
        <v>7.1284125379170895</v>
      </c>
      <c r="CV175" s="217">
        <f t="shared" si="548"/>
        <v>1.5840916750926866</v>
      </c>
      <c r="CW175" s="217">
        <f t="shared" si="549"/>
        <v>4</v>
      </c>
      <c r="CX175" s="217">
        <f t="shared" si="550"/>
        <v>3.6473758865248227</v>
      </c>
      <c r="CY175" s="217">
        <f t="shared" si="551"/>
        <v>2.4315839243498818</v>
      </c>
      <c r="CZ175" s="217">
        <f t="shared" si="552"/>
        <v>2.3281122679945678</v>
      </c>
      <c r="DA175" s="197">
        <f t="shared" si="553"/>
        <v>350</v>
      </c>
      <c r="DB175" s="443">
        <f t="shared" si="554"/>
        <v>210.09744311168674</v>
      </c>
      <c r="DD175" s="217">
        <f t="shared" si="555"/>
        <v>2.18944099378882</v>
      </c>
      <c r="DE175" s="173">
        <f t="shared" si="556"/>
        <v>1.3975155279503106</v>
      </c>
      <c r="DF175" s="173">
        <f t="shared" si="557"/>
        <v>1.9924134422749624</v>
      </c>
      <c r="DG175" s="173"/>
      <c r="DH175" s="173">
        <f t="shared" si="558"/>
        <v>0.85106382978723416</v>
      </c>
      <c r="DI175" s="545">
        <f t="shared" si="559"/>
        <v>1718.4374999999998</v>
      </c>
      <c r="DJ175" s="528">
        <f t="shared" si="560"/>
        <v>0.79432624113475192</v>
      </c>
      <c r="DL175" s="173">
        <f t="shared" si="561"/>
        <v>2.8259006149746821</v>
      </c>
      <c r="DM175" s="173">
        <f t="shared" si="562"/>
        <v>3.6473758865248227</v>
      </c>
      <c r="DN175" s="173">
        <f t="shared" si="563"/>
        <v>2.9141055949566583</v>
      </c>
      <c r="DP175" s="545">
        <f t="shared" si="564"/>
        <v>3900.0000000000005</v>
      </c>
      <c r="DQ175" s="460">
        <f t="shared" si="565"/>
        <v>210.09744311168674</v>
      </c>
      <c r="DS175">
        <f t="shared" si="566"/>
        <v>3900.0000000000005</v>
      </c>
      <c r="DT175">
        <f t="shared" si="567"/>
        <v>210.09744311168674</v>
      </c>
      <c r="DV175" s="5">
        <f t="shared" si="568"/>
        <v>4.7596961923444496</v>
      </c>
      <c r="DW175" s="5">
        <f t="shared" si="569"/>
        <v>2.4315839243498818</v>
      </c>
      <c r="DX175" s="5">
        <f t="shared" si="570"/>
        <v>2.3281122679945678</v>
      </c>
      <c r="DY175" s="173">
        <f t="shared" si="571"/>
        <v>0.51086956521739124</v>
      </c>
      <c r="EA175" s="5">
        <f t="shared" si="572"/>
        <v>237.07943262411351</v>
      </c>
      <c r="EB175" s="5">
        <f t="shared" si="573"/>
        <v>0.87807197268190185</v>
      </c>
      <c r="EC175" s="5">
        <f t="shared" si="574"/>
        <v>1.6814144157738544</v>
      </c>
      <c r="ED175" s="5"/>
      <c r="EE175" s="173">
        <f t="shared" si="575"/>
        <v>1.5051331135548465</v>
      </c>
      <c r="EF175" s="173">
        <f t="shared" si="576"/>
        <v>5.8910435019249654</v>
      </c>
      <c r="EG175" s="173">
        <f t="shared" si="577"/>
        <v>0.11224826132046219</v>
      </c>
      <c r="EH175" s="173"/>
      <c r="EI175" s="528">
        <f t="shared" si="578"/>
        <v>2.7638193412135539E-2</v>
      </c>
      <c r="EJ175" s="528">
        <f t="shared" si="579"/>
        <v>0.56399999999999995</v>
      </c>
      <c r="EK175" s="528">
        <f t="shared" si="580"/>
        <v>2.6262180388960842E-2</v>
      </c>
      <c r="EL175" s="528">
        <f t="shared" si="581"/>
        <v>2.845223613595706E-2</v>
      </c>
      <c r="EM175">
        <f t="shared" si="582"/>
        <v>8.0999999999999996E-3</v>
      </c>
      <c r="EN175" s="460">
        <f t="shared" si="583"/>
        <v>34.362180388960844</v>
      </c>
      <c r="EP175" s="460">
        <f t="shared" ref="EP175:EP210" si="603">SUM(EI175:EM175)*1000</f>
        <v>654.45260993705347</v>
      </c>
      <c r="EQ175" s="173">
        <f t="shared" si="584"/>
        <v>2.73</v>
      </c>
      <c r="ER175" s="173">
        <f t="shared" si="585"/>
        <v>2.8843749999999998E-2</v>
      </c>
      <c r="ES175" s="528"/>
      <c r="EU175" s="460">
        <f t="shared" si="497"/>
        <v>2758.84375</v>
      </c>
      <c r="EV175" s="528">
        <f t="shared" si="586"/>
        <v>6.7962770685579196E-2</v>
      </c>
      <c r="EW175" s="528">
        <f t="shared" si="587"/>
        <v>1.0411318062471706</v>
      </c>
      <c r="EX175" s="528">
        <f t="shared" si="588"/>
        <v>6.2998360847333848E-5</v>
      </c>
      <c r="EY175" s="528">
        <f t="shared" si="589"/>
        <v>0.81278041177063254</v>
      </c>
      <c r="EZ175" s="528"/>
      <c r="FA175" s="625">
        <f t="shared" si="590"/>
        <v>6.9874999999999993E-2</v>
      </c>
      <c r="FB175" s="460">
        <f t="shared" si="498"/>
        <v>1991.8129870642297</v>
      </c>
      <c r="FC175" s="173">
        <f t="shared" si="591"/>
        <v>5.4051093470012823</v>
      </c>
      <c r="FD175" s="5">
        <f t="shared" si="592"/>
        <v>16.770000000000003</v>
      </c>
      <c r="FE175" s="173">
        <f t="shared" si="593"/>
        <v>0.75625331706730869</v>
      </c>
      <c r="FF175" s="5">
        <f t="shared" si="594"/>
        <v>75.625331706730876</v>
      </c>
      <c r="FG175">
        <f t="shared" si="595"/>
        <v>65</v>
      </c>
      <c r="FI175" s="562">
        <f t="shared" si="596"/>
        <v>-50</v>
      </c>
      <c r="FJ175">
        <f t="shared" si="597"/>
        <v>-50</v>
      </c>
    </row>
    <row r="176" spans="5:166">
      <c r="E176" s="170">
        <v>66</v>
      </c>
      <c r="F176" s="217">
        <f t="shared" si="598"/>
        <v>3.96</v>
      </c>
      <c r="G176" s="217">
        <f t="shared" si="499"/>
        <v>6.6000000000000003E-2</v>
      </c>
      <c r="H176" s="217">
        <f t="shared" si="500"/>
        <v>15.84</v>
      </c>
      <c r="I176" s="217">
        <f t="shared" si="501"/>
        <v>1.1880000000000002</v>
      </c>
      <c r="J176" s="541">
        <f t="shared" si="502"/>
        <v>17.893662002390556</v>
      </c>
      <c r="K176" s="443">
        <f t="shared" si="503"/>
        <v>19.771519999999999</v>
      </c>
      <c r="L176" s="172">
        <f t="shared" si="504"/>
        <v>37.665182002390551</v>
      </c>
      <c r="M176" s="443"/>
      <c r="N176" s="217">
        <f t="shared" si="505"/>
        <v>0.52492830112290789</v>
      </c>
      <c r="O176" s="172">
        <f t="shared" si="506"/>
        <v>29.12523905668963</v>
      </c>
      <c r="P176" s="172">
        <f t="shared" si="507"/>
        <v>2.3482223989456013</v>
      </c>
      <c r="Q176" s="217">
        <f t="shared" si="508"/>
        <v>7.2813097641724074</v>
      </c>
      <c r="R176" s="217">
        <f t="shared" si="509"/>
        <v>1.6180688364827571</v>
      </c>
      <c r="S176" s="217">
        <f t="shared" si="510"/>
        <v>4</v>
      </c>
      <c r="T176" s="217">
        <f t="shared" si="511"/>
        <v>3.6257213132039605</v>
      </c>
      <c r="U176" s="217">
        <f t="shared" si="512"/>
        <v>2.4315121048243147</v>
      </c>
      <c r="V176" s="217">
        <f t="shared" si="513"/>
        <v>2.2005721238654146</v>
      </c>
      <c r="W176" s="197">
        <f t="shared" si="514"/>
        <v>350</v>
      </c>
      <c r="X176" s="443">
        <f t="shared" si="599"/>
        <v>206.95003494820298</v>
      </c>
      <c r="Z176" s="217">
        <f t="shared" si="515"/>
        <v>2.2364022847100964</v>
      </c>
      <c r="AA176" s="173">
        <f t="shared" si="516"/>
        <v>1.3573477110774061</v>
      </c>
      <c r="AB176" s="173">
        <f t="shared" si="517"/>
        <v>1.9766538284089967</v>
      </c>
      <c r="AC176" s="173"/>
      <c r="AD176" s="173">
        <f t="shared" si="518"/>
        <v>0.80924481274075044</v>
      </c>
      <c r="AE176" s="545">
        <f t="shared" si="519"/>
        <v>1835.0441999999994</v>
      </c>
      <c r="AF176" s="528">
        <f t="shared" si="520"/>
        <v>0.75529515855803386</v>
      </c>
      <c r="AH176" s="173">
        <f t="shared" si="521"/>
        <v>2.8475553424949314</v>
      </c>
      <c r="AI176" s="173">
        <f t="shared" si="522"/>
        <v>3.6257213132039605</v>
      </c>
      <c r="AJ176" s="173">
        <f t="shared" si="523"/>
        <v>2.8980651702745384</v>
      </c>
      <c r="AL176" s="545">
        <f t="shared" si="524"/>
        <v>3960</v>
      </c>
      <c r="AM176" s="460">
        <f t="shared" si="525"/>
        <v>206.95003494820298</v>
      </c>
      <c r="AO176">
        <f t="shared" si="526"/>
        <v>3960</v>
      </c>
      <c r="AP176">
        <f t="shared" si="527"/>
        <v>206.95003494820298</v>
      </c>
      <c r="AR176" s="5">
        <f t="shared" si="443"/>
        <v>4.8320842286897294</v>
      </c>
      <c r="AS176" s="5">
        <f t="shared" si="440"/>
        <v>2.4315121048243147</v>
      </c>
      <c r="AT176" s="5">
        <f t="shared" si="441"/>
        <v>2.4005721238654147</v>
      </c>
      <c r="AU176" s="173">
        <f t="shared" si="442"/>
        <v>0.50320151507037059</v>
      </c>
      <c r="AW176" s="5">
        <f t="shared" si="477"/>
        <v>240.71969837760716</v>
      </c>
      <c r="AX176" s="5">
        <f t="shared" si="478"/>
        <v>0.89155443843558213</v>
      </c>
      <c r="AY176" s="5">
        <f t="shared" si="479"/>
        <v>1.7708813338929772</v>
      </c>
      <c r="AZ176" s="5"/>
      <c r="BA176" s="173">
        <f t="shared" si="480"/>
        <v>1.4849258313170015</v>
      </c>
      <c r="BB176" s="173">
        <f t="shared" si="481"/>
        <v>5.9017922102737517</v>
      </c>
      <c r="BC176" s="173">
        <f t="shared" si="482"/>
        <v>0.11245306779035122</v>
      </c>
      <c r="BD176" s="173"/>
      <c r="BE176" s="528">
        <f t="shared" si="483"/>
        <v>2.6901057639052352E-2</v>
      </c>
      <c r="BF176" s="528">
        <f t="shared" si="528"/>
        <v>0.52990896379512809</v>
      </c>
      <c r="BG176" s="528">
        <f t="shared" si="529"/>
        <v>9.2577349418651436E-2</v>
      </c>
      <c r="BH176" s="528">
        <f t="shared" si="484"/>
        <v>2.9359296488461487E-2</v>
      </c>
      <c r="BI176">
        <f t="shared" si="485"/>
        <v>8.0521479010757496E-3</v>
      </c>
      <c r="BJ176" s="460">
        <f t="shared" si="600"/>
        <v>100.62949731972719</v>
      </c>
      <c r="BK176">
        <f t="shared" si="530"/>
        <v>0.597250041375608</v>
      </c>
      <c r="BL176" s="460">
        <f t="shared" si="601"/>
        <v>686.79881524236919</v>
      </c>
      <c r="BM176" s="173">
        <f t="shared" si="531"/>
        <v>2.4601499999999996</v>
      </c>
      <c r="BN176" s="173">
        <f t="shared" si="532"/>
        <v>4.1002499999999997E-2</v>
      </c>
      <c r="BO176" s="528"/>
      <c r="BQ176" s="460">
        <f t="shared" si="486"/>
        <v>2501.1524999999992</v>
      </c>
      <c r="BR176" s="528">
        <f t="shared" si="487"/>
        <v>6.6150141735374632E-2</v>
      </c>
      <c r="BS176" s="528">
        <f t="shared" si="488"/>
        <v>1.044934538797438</v>
      </c>
      <c r="BT176" s="528">
        <f t="shared" si="489"/>
        <v>6.3228462277306629E-5</v>
      </c>
      <c r="BU176" s="528">
        <f t="shared" si="490"/>
        <v>0.77111617550037337</v>
      </c>
      <c r="BV176" s="528"/>
      <c r="BW176" s="625">
        <f t="shared" si="533"/>
        <v>6.8013379004085009E-2</v>
      </c>
      <c r="BX176" s="460">
        <f t="shared" si="491"/>
        <v>1950.2774634995483</v>
      </c>
      <c r="BY176" s="173">
        <f t="shared" si="492"/>
        <v>5.138228778741917</v>
      </c>
      <c r="BZ176" s="5">
        <f t="shared" si="493"/>
        <v>17.027999999999999</v>
      </c>
      <c r="CA176" s="173">
        <f t="shared" si="494"/>
        <v>0.76819562632730587</v>
      </c>
      <c r="CB176" s="5">
        <f t="shared" si="495"/>
        <v>76.81956263273058</v>
      </c>
      <c r="CC176">
        <f t="shared" si="496"/>
        <v>66</v>
      </c>
      <c r="CE176" s="562">
        <f t="shared" si="534"/>
        <v>-50</v>
      </c>
      <c r="CF176">
        <f t="shared" si="535"/>
        <v>-50</v>
      </c>
      <c r="CG176" s="173">
        <f t="shared" si="536"/>
        <v>0.48913043478260876</v>
      </c>
      <c r="CH176" s="173">
        <f t="shared" si="537"/>
        <v>0.13097870664369976</v>
      </c>
      <c r="CI176" s="170">
        <v>66</v>
      </c>
      <c r="CJ176" s="217">
        <f t="shared" si="602"/>
        <v>3.96</v>
      </c>
      <c r="CK176" s="217">
        <f t="shared" si="538"/>
        <v>6.6000000000000003E-2</v>
      </c>
      <c r="CL176" s="217">
        <f t="shared" si="539"/>
        <v>15.84</v>
      </c>
      <c r="CM176" s="217">
        <f t="shared" si="540"/>
        <v>1.1880000000000002</v>
      </c>
      <c r="CN176" s="541">
        <f t="shared" si="541"/>
        <v>18</v>
      </c>
      <c r="CO176" s="443">
        <f t="shared" si="542"/>
        <v>18.8</v>
      </c>
      <c r="CP176" s="443">
        <f t="shared" si="543"/>
        <v>36.799999999999997</v>
      </c>
      <c r="CQ176" s="443"/>
      <c r="CR176" s="217">
        <f t="shared" si="544"/>
        <v>0.51086956521739135</v>
      </c>
      <c r="CS176" s="172">
        <f t="shared" si="545"/>
        <v>28.513650151668358</v>
      </c>
      <c r="CT176" s="172">
        <f t="shared" si="546"/>
        <v>2.2989130434782612</v>
      </c>
      <c r="CU176" s="217">
        <f t="shared" si="547"/>
        <v>7.1284125379170895</v>
      </c>
      <c r="CV176" s="217">
        <f t="shared" si="548"/>
        <v>1.5840916750926866</v>
      </c>
      <c r="CW176" s="217">
        <f t="shared" si="549"/>
        <v>4</v>
      </c>
      <c r="CX176" s="217">
        <f t="shared" si="550"/>
        <v>3.7034893617021267</v>
      </c>
      <c r="CY176" s="217">
        <f t="shared" si="551"/>
        <v>2.4689929078014177</v>
      </c>
      <c r="CZ176" s="217">
        <f t="shared" si="552"/>
        <v>2.3639293798098682</v>
      </c>
      <c r="DA176" s="197">
        <f t="shared" si="553"/>
        <v>350</v>
      </c>
      <c r="DB176" s="443">
        <f t="shared" si="554"/>
        <v>206.9141485190855</v>
      </c>
      <c r="DD176" s="217">
        <f t="shared" si="555"/>
        <v>2.18944099378882</v>
      </c>
      <c r="DE176" s="173">
        <f t="shared" si="556"/>
        <v>1.3975155279503106</v>
      </c>
      <c r="DF176" s="173">
        <f t="shared" si="557"/>
        <v>1.9924134422749624</v>
      </c>
      <c r="DG176" s="173"/>
      <c r="DH176" s="173">
        <f t="shared" si="558"/>
        <v>0.85106382978723416</v>
      </c>
      <c r="DI176" s="545">
        <f t="shared" si="559"/>
        <v>1744.8749999999993</v>
      </c>
      <c r="DJ176" s="528">
        <f t="shared" si="560"/>
        <v>0.79432624113475192</v>
      </c>
      <c r="DL176" s="173">
        <f t="shared" si="561"/>
        <v>2.8475553424949314</v>
      </c>
      <c r="DM176" s="173">
        <f t="shared" si="562"/>
        <v>3.7034893617021267</v>
      </c>
      <c r="DN176" s="173">
        <f t="shared" si="563"/>
        <v>2.955671132125032</v>
      </c>
      <c r="DP176" s="545">
        <f t="shared" si="564"/>
        <v>3960</v>
      </c>
      <c r="DQ176" s="460">
        <f t="shared" si="565"/>
        <v>206.9141485190855</v>
      </c>
      <c r="DS176">
        <f t="shared" si="566"/>
        <v>3960</v>
      </c>
      <c r="DT176">
        <f t="shared" si="567"/>
        <v>206.9141485190855</v>
      </c>
      <c r="DV176" s="5">
        <f t="shared" si="568"/>
        <v>4.8329222876112858</v>
      </c>
      <c r="DW176" s="5">
        <f t="shared" si="569"/>
        <v>2.4689929078014177</v>
      </c>
      <c r="DX176" s="5">
        <f t="shared" si="570"/>
        <v>2.3639293798098682</v>
      </c>
      <c r="DY176" s="173">
        <f t="shared" si="571"/>
        <v>0.51086956521739124</v>
      </c>
      <c r="EA176" s="5">
        <f t="shared" si="572"/>
        <v>244.43029787234036</v>
      </c>
      <c r="EB176" s="5">
        <f t="shared" si="573"/>
        <v>0.90529739952718646</v>
      </c>
      <c r="EC176" s="5">
        <f t="shared" si="574"/>
        <v>1.7335482118605698</v>
      </c>
      <c r="ED176" s="5"/>
      <c r="EE176" s="173">
        <f t="shared" si="575"/>
        <v>1.5282890076095359</v>
      </c>
      <c r="EF176" s="173">
        <f t="shared" si="576"/>
        <v>5.9816749404161174</v>
      </c>
      <c r="EG176" s="173">
        <f t="shared" si="577"/>
        <v>0.11397515764846927</v>
      </c>
      <c r="EH176" s="173"/>
      <c r="EI176" s="528">
        <f t="shared" si="578"/>
        <v>2.8495140947517705E-2</v>
      </c>
      <c r="EJ176" s="528">
        <f t="shared" si="579"/>
        <v>0.56400000000000006</v>
      </c>
      <c r="EK176" s="528">
        <f t="shared" si="580"/>
        <v>2.586426856488569E-2</v>
      </c>
      <c r="EL176" s="528">
        <f t="shared" si="581"/>
        <v>2.8021141649048634E-2</v>
      </c>
      <c r="EM176">
        <f t="shared" si="582"/>
        <v>8.0999999999999996E-3</v>
      </c>
      <c r="EN176" s="460">
        <f t="shared" si="583"/>
        <v>33.964268564885685</v>
      </c>
      <c r="EP176" s="460">
        <f t="shared" si="603"/>
        <v>654.48055116145213</v>
      </c>
      <c r="EQ176" s="173">
        <f t="shared" si="584"/>
        <v>2.7719999999999998</v>
      </c>
      <c r="ER176" s="173">
        <f t="shared" si="585"/>
        <v>2.9287500000000001E-2</v>
      </c>
      <c r="ES176" s="528"/>
      <c r="EU176" s="460">
        <f t="shared" si="497"/>
        <v>2801.2874999999999</v>
      </c>
      <c r="EV176" s="528">
        <f t="shared" si="586"/>
        <v>7.0070018723404195E-2</v>
      </c>
      <c r="EW176" s="528">
        <f t="shared" si="587"/>
        <v>1.0734130527840646</v>
      </c>
      <c r="EX176" s="528">
        <f t="shared" si="588"/>
        <v>6.4951682804967117E-5</v>
      </c>
      <c r="EY176" s="528">
        <f t="shared" si="589"/>
        <v>0.81278041177063065</v>
      </c>
      <c r="EZ176" s="528"/>
      <c r="FA176" s="625">
        <f t="shared" si="590"/>
        <v>7.0949999999999985E-2</v>
      </c>
      <c r="FB176" s="460">
        <f t="shared" si="498"/>
        <v>2027.2784349609046</v>
      </c>
      <c r="FC176" s="173">
        <f t="shared" si="591"/>
        <v>5.4830464861223565</v>
      </c>
      <c r="FD176" s="5">
        <f t="shared" si="592"/>
        <v>17.027999999999999</v>
      </c>
      <c r="FE176" s="173">
        <f t="shared" si="593"/>
        <v>0.7564286276294373</v>
      </c>
      <c r="FF176" s="5">
        <f t="shared" si="594"/>
        <v>75.642862762943736</v>
      </c>
      <c r="FG176">
        <f t="shared" si="595"/>
        <v>66</v>
      </c>
      <c r="FI176" s="562">
        <f t="shared" si="596"/>
        <v>-50</v>
      </c>
      <c r="FJ176">
        <f t="shared" si="597"/>
        <v>-50</v>
      </c>
    </row>
    <row r="177" spans="5:166">
      <c r="E177" s="170">
        <v>67</v>
      </c>
      <c r="F177" s="217">
        <f t="shared" si="598"/>
        <v>4.0200000000000005</v>
      </c>
      <c r="G177" s="217">
        <f t="shared" si="499"/>
        <v>6.7000000000000004E-2</v>
      </c>
      <c r="H177" s="217">
        <f t="shared" si="500"/>
        <v>16.080000000000002</v>
      </c>
      <c r="I177" s="217">
        <f t="shared" si="501"/>
        <v>1.206</v>
      </c>
      <c r="J177" s="541">
        <f t="shared" si="502"/>
        <v>17.892050820608592</v>
      </c>
      <c r="K177" s="443">
        <f t="shared" si="503"/>
        <v>19.786239999999999</v>
      </c>
      <c r="L177" s="172">
        <f t="shared" si="504"/>
        <v>37.678290820608595</v>
      </c>
      <c r="M177" s="443"/>
      <c r="N177" s="217">
        <f t="shared" si="505"/>
        <v>0.52513634692733135</v>
      </c>
      <c r="O177" s="172">
        <f t="shared" si="506"/>
        <v>29.134158781310255</v>
      </c>
      <c r="P177" s="172">
        <f t="shared" si="507"/>
        <v>2.3489415517431391</v>
      </c>
      <c r="Q177" s="217">
        <f t="shared" si="508"/>
        <v>7.2835396953275637</v>
      </c>
      <c r="R177" s="217">
        <f t="shared" si="509"/>
        <v>1.6185643767394586</v>
      </c>
      <c r="S177" s="217">
        <f t="shared" si="510"/>
        <v>4</v>
      </c>
      <c r="T177" s="217">
        <f t="shared" si="511"/>
        <v>3.6795296134916891</v>
      </c>
      <c r="U177" s="217">
        <f t="shared" si="512"/>
        <v>2.4678196929243001</v>
      </c>
      <c r="V177" s="217">
        <f t="shared" si="513"/>
        <v>2.2315687751639661</v>
      </c>
      <c r="W177" s="197">
        <f t="shared" si="514"/>
        <v>350</v>
      </c>
      <c r="X177" s="443">
        <f t="shared" si="599"/>
        <v>204.10710571603204</v>
      </c>
      <c r="Z177" s="217">
        <f t="shared" si="515"/>
        <v>2.2370871921363231</v>
      </c>
      <c r="AA177" s="173">
        <f t="shared" si="516"/>
        <v>1.3567532944933387</v>
      </c>
      <c r="AB177" s="173">
        <f t="shared" si="517"/>
        <v>1.9763932954417365</v>
      </c>
      <c r="AC177" s="173"/>
      <c r="AD177" s="173">
        <f t="shared" si="518"/>
        <v>0.80864277396817197</v>
      </c>
      <c r="AE177" s="545">
        <f t="shared" si="519"/>
        <v>1864.2347999999995</v>
      </c>
      <c r="AF177" s="528">
        <f t="shared" si="520"/>
        <v>0.75473325570362726</v>
      </c>
      <c r="AH177" s="173">
        <f t="shared" si="521"/>
        <v>2.869046631100403</v>
      </c>
      <c r="AI177" s="173">
        <f t="shared" si="522"/>
        <v>3.6795296134916891</v>
      </c>
      <c r="AJ177" s="173">
        <f t="shared" si="523"/>
        <v>2.9379231704876707</v>
      </c>
      <c r="AL177" s="545">
        <f t="shared" si="524"/>
        <v>4020.0000000000005</v>
      </c>
      <c r="AM177" s="460">
        <f t="shared" si="525"/>
        <v>204.10710571603204</v>
      </c>
      <c r="AO177">
        <f t="shared" si="526"/>
        <v>4020.0000000000005</v>
      </c>
      <c r="AP177">
        <f t="shared" si="527"/>
        <v>204.10710571603204</v>
      </c>
      <c r="AR177" s="5">
        <f t="shared" si="443"/>
        <v>4.899388468088266</v>
      </c>
      <c r="AS177" s="5">
        <f t="shared" si="440"/>
        <v>2.4678196929243001</v>
      </c>
      <c r="AT177" s="5">
        <f t="shared" si="441"/>
        <v>2.4315687751639659</v>
      </c>
      <c r="AU177" s="173">
        <f t="shared" si="442"/>
        <v>0.50369953495180586</v>
      </c>
      <c r="AW177" s="5">
        <f t="shared" si="477"/>
        <v>248.01587913889216</v>
      </c>
      <c r="AX177" s="5">
        <f t="shared" si="478"/>
        <v>0.91857733014404519</v>
      </c>
      <c r="AY177" s="5">
        <f t="shared" si="479"/>
        <v>1.8210892599112816</v>
      </c>
      <c r="AZ177" s="5"/>
      <c r="BA177" s="173">
        <f t="shared" si="480"/>
        <v>1.5077087321800233</v>
      </c>
      <c r="BB177" s="173">
        <f t="shared" si="481"/>
        <v>5.9863762275293588</v>
      </c>
      <c r="BC177" s="173">
        <f t="shared" si="482"/>
        <v>0.11406473622724859</v>
      </c>
      <c r="BD177" s="173"/>
      <c r="BE177" s="528">
        <f t="shared" si="483"/>
        <v>2.7732864577321097E-2</v>
      </c>
      <c r="BF177" s="528">
        <f t="shared" si="528"/>
        <v>0.53057024780945983</v>
      </c>
      <c r="BG177" s="528">
        <f t="shared" si="529"/>
        <v>9.1297367707964386E-2</v>
      </c>
      <c r="BH177" s="528">
        <f t="shared" si="484"/>
        <v>2.8976138724437678E-2</v>
      </c>
      <c r="BI177">
        <f t="shared" si="485"/>
        <v>8.0514228692738655E-3</v>
      </c>
      <c r="BJ177" s="460">
        <f t="shared" si="600"/>
        <v>99.348790577238248</v>
      </c>
      <c r="BK177">
        <f t="shared" si="530"/>
        <v>0.5987122362225189</v>
      </c>
      <c r="BL177" s="460">
        <f t="shared" si="601"/>
        <v>686.62804168845685</v>
      </c>
      <c r="BM177" s="173">
        <f t="shared" si="531"/>
        <v>2.4974249999999998</v>
      </c>
      <c r="BN177" s="173">
        <f t="shared" si="532"/>
        <v>4.1623749999999994E-2</v>
      </c>
      <c r="BO177" s="528"/>
      <c r="BQ177" s="460">
        <f t="shared" si="486"/>
        <v>2539.0487499999995</v>
      </c>
      <c r="BR177" s="528">
        <f t="shared" si="487"/>
        <v>6.8195568632756789E-2</v>
      </c>
      <c r="BS177" s="528">
        <f t="shared" si="488"/>
        <v>1.0751010101258591</v>
      </c>
      <c r="BT177" s="528">
        <f t="shared" si="489"/>
        <v>6.5053820252958982E-5</v>
      </c>
      <c r="BU177" s="528">
        <f t="shared" si="490"/>
        <v>0.77285153105858284</v>
      </c>
      <c r="BV177" s="528"/>
      <c r="BW177" s="625">
        <f t="shared" si="533"/>
        <v>6.9084837142160585E-2</v>
      </c>
      <c r="BX177" s="460">
        <f t="shared" si="491"/>
        <v>1985.2980007796125</v>
      </c>
      <c r="BY177" s="173">
        <f t="shared" si="492"/>
        <v>5.2109747924680692</v>
      </c>
      <c r="BZ177" s="5">
        <f t="shared" si="493"/>
        <v>17.286000000000001</v>
      </c>
      <c r="CA177" s="173">
        <f t="shared" si="494"/>
        <v>0.76836997682849828</v>
      </c>
      <c r="CB177" s="5">
        <f t="shared" si="495"/>
        <v>76.836997682849827</v>
      </c>
      <c r="CC177">
        <f t="shared" si="496"/>
        <v>67</v>
      </c>
      <c r="CE177" s="562">
        <f t="shared" si="534"/>
        <v>-50</v>
      </c>
      <c r="CF177">
        <f t="shared" si="535"/>
        <v>-50</v>
      </c>
      <c r="CG177" s="173">
        <f t="shared" si="536"/>
        <v>0.48913043478260865</v>
      </c>
      <c r="CH177" s="173">
        <f t="shared" si="537"/>
        <v>0.13097870664369976</v>
      </c>
      <c r="CI177" s="170">
        <v>67</v>
      </c>
      <c r="CJ177" s="217">
        <f t="shared" si="602"/>
        <v>4.0200000000000005</v>
      </c>
      <c r="CK177" s="217">
        <f t="shared" si="538"/>
        <v>6.7000000000000004E-2</v>
      </c>
      <c r="CL177" s="217">
        <f t="shared" si="539"/>
        <v>16.080000000000002</v>
      </c>
      <c r="CM177" s="217">
        <f t="shared" si="540"/>
        <v>1.206</v>
      </c>
      <c r="CN177" s="541">
        <f t="shared" si="541"/>
        <v>18</v>
      </c>
      <c r="CO177" s="443">
        <f t="shared" si="542"/>
        <v>18.8</v>
      </c>
      <c r="CP177" s="443">
        <f t="shared" si="543"/>
        <v>36.799999999999997</v>
      </c>
      <c r="CQ177" s="443"/>
      <c r="CR177" s="217">
        <f t="shared" si="544"/>
        <v>0.51086956521739135</v>
      </c>
      <c r="CS177" s="172">
        <f t="shared" si="545"/>
        <v>28.513650151668358</v>
      </c>
      <c r="CT177" s="172">
        <f t="shared" si="546"/>
        <v>2.2989130434782612</v>
      </c>
      <c r="CU177" s="217">
        <f t="shared" si="547"/>
        <v>7.1284125379170895</v>
      </c>
      <c r="CV177" s="217">
        <f t="shared" si="548"/>
        <v>1.5840916750926866</v>
      </c>
      <c r="CW177" s="217">
        <f t="shared" si="549"/>
        <v>4</v>
      </c>
      <c r="CX177" s="217">
        <f t="shared" si="550"/>
        <v>3.7596028368794325</v>
      </c>
      <c r="CY177" s="217">
        <f t="shared" si="551"/>
        <v>2.5064018912529549</v>
      </c>
      <c r="CZ177" s="217">
        <f t="shared" si="552"/>
        <v>2.3997464916251694</v>
      </c>
      <c r="DA177" s="197">
        <f t="shared" si="553"/>
        <v>350</v>
      </c>
      <c r="DB177" s="443">
        <f t="shared" si="554"/>
        <v>203.82587764566628</v>
      </c>
      <c r="DD177" s="217">
        <f t="shared" si="555"/>
        <v>2.18944099378882</v>
      </c>
      <c r="DE177" s="173">
        <f t="shared" si="556"/>
        <v>1.3975155279503106</v>
      </c>
      <c r="DF177" s="173">
        <f t="shared" si="557"/>
        <v>1.9924134422749624</v>
      </c>
      <c r="DG177" s="173"/>
      <c r="DH177" s="173">
        <f t="shared" si="558"/>
        <v>0.85106382978723416</v>
      </c>
      <c r="DI177" s="545">
        <f t="shared" si="559"/>
        <v>1771.3124999999998</v>
      </c>
      <c r="DJ177" s="528">
        <f t="shared" si="560"/>
        <v>0.79432624113475192</v>
      </c>
      <c r="DL177" s="173">
        <f t="shared" si="561"/>
        <v>2.869046631100403</v>
      </c>
      <c r="DM177" s="173">
        <f t="shared" si="562"/>
        <v>3.7596028368794325</v>
      </c>
      <c r="DN177" s="173">
        <f t="shared" si="563"/>
        <v>2.9972366692934065</v>
      </c>
      <c r="DP177" s="545">
        <f t="shared" si="564"/>
        <v>4020.0000000000005</v>
      </c>
      <c r="DQ177" s="460">
        <f t="shared" si="565"/>
        <v>203.82587764566628</v>
      </c>
      <c r="DS177">
        <f t="shared" si="566"/>
        <v>4020.0000000000005</v>
      </c>
      <c r="DT177">
        <f t="shared" si="567"/>
        <v>203.82587764566628</v>
      </c>
      <c r="DV177" s="5">
        <f t="shared" si="568"/>
        <v>4.9061483828781238</v>
      </c>
      <c r="DW177" s="5">
        <f t="shared" si="569"/>
        <v>2.5064018912529549</v>
      </c>
      <c r="DX177" s="5">
        <f t="shared" si="570"/>
        <v>2.399746491625169</v>
      </c>
      <c r="DY177" s="173">
        <f t="shared" si="571"/>
        <v>0.51086956521739135</v>
      </c>
      <c r="EA177" s="5">
        <f t="shared" si="572"/>
        <v>251.89339007092198</v>
      </c>
      <c r="EB177" s="5">
        <f t="shared" si="573"/>
        <v>0.9329384817441555</v>
      </c>
      <c r="EC177" s="5">
        <f t="shared" si="574"/>
        <v>1.7864779437654033</v>
      </c>
      <c r="ED177" s="5"/>
      <c r="EE177" s="173">
        <f t="shared" si="575"/>
        <v>1.5514449016642264</v>
      </c>
      <c r="EF177" s="173">
        <f t="shared" si="576"/>
        <v>6.0723063789072711</v>
      </c>
      <c r="EG177" s="173">
        <f t="shared" si="577"/>
        <v>0.1157020539764764</v>
      </c>
      <c r="EH177" s="173"/>
      <c r="EI177" s="528">
        <f t="shared" si="578"/>
        <v>2.9365171651379036E-2</v>
      </c>
      <c r="EJ177" s="528">
        <f t="shared" si="579"/>
        <v>0.56400000000000006</v>
      </c>
      <c r="EK177" s="528">
        <f t="shared" si="580"/>
        <v>2.5478234705708286E-2</v>
      </c>
      <c r="EL177" s="528">
        <f t="shared" si="581"/>
        <v>2.7602915654286707E-2</v>
      </c>
      <c r="EM177">
        <f t="shared" si="582"/>
        <v>8.0999999999999996E-3</v>
      </c>
      <c r="EN177" s="460">
        <f t="shared" si="583"/>
        <v>33.578234705708283</v>
      </c>
      <c r="EP177" s="460">
        <f t="shared" si="603"/>
        <v>654.54632201137417</v>
      </c>
      <c r="EQ177" s="173">
        <f t="shared" si="584"/>
        <v>2.8140000000000001</v>
      </c>
      <c r="ER177" s="173">
        <f t="shared" si="585"/>
        <v>2.9731250000000001E-2</v>
      </c>
      <c r="ES177" s="528"/>
      <c r="EU177" s="460">
        <f t="shared" si="497"/>
        <v>2843.7312500000003</v>
      </c>
      <c r="EV177" s="528">
        <f t="shared" si="586"/>
        <v>7.2209438486997637E-2</v>
      </c>
      <c r="EW177" s="528">
        <f t="shared" si="587"/>
        <v>1.106187142779538</v>
      </c>
      <c r="EX177" s="528">
        <f t="shared" si="588"/>
        <v>6.6934826471877297E-5</v>
      </c>
      <c r="EY177" s="528">
        <f t="shared" si="589"/>
        <v>0.81278041177063243</v>
      </c>
      <c r="EZ177" s="528"/>
      <c r="FA177" s="625">
        <f t="shared" si="590"/>
        <v>7.202500000000002E-2</v>
      </c>
      <c r="FB177" s="460">
        <f t="shared" si="498"/>
        <v>2063.2689278636399</v>
      </c>
      <c r="FC177" s="173">
        <f t="shared" si="591"/>
        <v>5.561546499875015</v>
      </c>
      <c r="FD177" s="5">
        <f t="shared" si="592"/>
        <v>17.286000000000001</v>
      </c>
      <c r="FE177" s="173">
        <f t="shared" si="593"/>
        <v>0.75658014308427224</v>
      </c>
      <c r="FF177" s="5">
        <f t="shared" si="594"/>
        <v>75.658014308427227</v>
      </c>
      <c r="FG177">
        <f t="shared" si="595"/>
        <v>67</v>
      </c>
      <c r="FI177" s="562">
        <f t="shared" si="596"/>
        <v>-50</v>
      </c>
      <c r="FJ177">
        <f t="shared" si="597"/>
        <v>-50</v>
      </c>
    </row>
    <row r="178" spans="5:166">
      <c r="E178" s="170">
        <v>68</v>
      </c>
      <c r="F178" s="217">
        <f t="shared" si="598"/>
        <v>4.08</v>
      </c>
      <c r="G178" s="217">
        <f t="shared" si="499"/>
        <v>6.8000000000000005E-2</v>
      </c>
      <c r="H178" s="217">
        <f t="shared" si="500"/>
        <v>16.32</v>
      </c>
      <c r="I178" s="217">
        <f t="shared" si="501"/>
        <v>1.2240000000000002</v>
      </c>
      <c r="J178" s="541">
        <f t="shared" si="502"/>
        <v>17.890439638826631</v>
      </c>
      <c r="K178" s="443">
        <f t="shared" si="503"/>
        <v>19.80096</v>
      </c>
      <c r="L178" s="172">
        <f t="shared" si="504"/>
        <v>37.691399638826631</v>
      </c>
      <c r="M178" s="443"/>
      <c r="N178" s="217">
        <f t="shared" si="505"/>
        <v>0.52534424801785951</v>
      </c>
      <c r="O178" s="172">
        <f t="shared" si="506"/>
        <v>29.143068399281493</v>
      </c>
      <c r="P178" s="172">
        <f t="shared" si="507"/>
        <v>2.3496598896920706</v>
      </c>
      <c r="Q178" s="217">
        <f t="shared" si="508"/>
        <v>7.2857670998203732</v>
      </c>
      <c r="R178" s="217">
        <f t="shared" si="509"/>
        <v>1.6190593555156385</v>
      </c>
      <c r="S178" s="217">
        <f t="shared" si="510"/>
        <v>4</v>
      </c>
      <c r="T178" s="217">
        <f t="shared" si="511"/>
        <v>3.7333062706150186</v>
      </c>
      <c r="U178" s="217">
        <f t="shared" si="512"/>
        <v>2.5041125959897581</v>
      </c>
      <c r="V178" s="217">
        <f t="shared" si="513"/>
        <v>2.2625001640011506</v>
      </c>
      <c r="W178" s="197">
        <f t="shared" si="514"/>
        <v>350</v>
      </c>
      <c r="X178" s="443">
        <f t="shared" si="599"/>
        <v>201.34446721025023</v>
      </c>
      <c r="Z178" s="217">
        <f t="shared" si="515"/>
        <v>2.2377713235162582</v>
      </c>
      <c r="AA178" s="173">
        <f t="shared" si="516"/>
        <v>1.3561592913775442</v>
      </c>
      <c r="AB178" s="173">
        <f t="shared" si="517"/>
        <v>1.9761321494468451</v>
      </c>
      <c r="AC178" s="173"/>
      <c r="AD178" s="173">
        <f t="shared" si="518"/>
        <v>0.80804163030479348</v>
      </c>
      <c r="AE178" s="545">
        <f t="shared" si="519"/>
        <v>1893.4667999999995</v>
      </c>
      <c r="AF178" s="528">
        <f t="shared" si="520"/>
        <v>0.75417218828447397</v>
      </c>
      <c r="AH178" s="173">
        <f t="shared" si="521"/>
        <v>2.8903781265235375</v>
      </c>
      <c r="AI178" s="173">
        <f t="shared" si="522"/>
        <v>3.7333062706150186</v>
      </c>
      <c r="AJ178" s="173">
        <f t="shared" si="523"/>
        <v>2.977757731319767</v>
      </c>
      <c r="AL178" s="545">
        <f t="shared" si="524"/>
        <v>4080</v>
      </c>
      <c r="AM178" s="460">
        <f t="shared" si="525"/>
        <v>201.34446721025023</v>
      </c>
      <c r="AO178">
        <f t="shared" si="526"/>
        <v>4080</v>
      </c>
      <c r="AP178">
        <f t="shared" si="527"/>
        <v>201.34446721025023</v>
      </c>
      <c r="AR178" s="5">
        <f t="shared" si="443"/>
        <v>4.9666127599909089</v>
      </c>
      <c r="AS178" s="5">
        <f t="shared" si="440"/>
        <v>2.5041125959897581</v>
      </c>
      <c r="AT178" s="5">
        <f t="shared" si="441"/>
        <v>2.4625001640011508</v>
      </c>
      <c r="AU178" s="173">
        <f t="shared" si="442"/>
        <v>0.50418921647403447</v>
      </c>
      <c r="AW178" s="5">
        <f t="shared" si="477"/>
        <v>255.41948479095532</v>
      </c>
      <c r="AX178" s="5">
        <f t="shared" si="478"/>
        <v>0.94599809181835315</v>
      </c>
      <c r="AY178" s="5">
        <f t="shared" si="479"/>
        <v>1.8719496505683486</v>
      </c>
      <c r="AZ178" s="5"/>
      <c r="BA178" s="173">
        <f t="shared" si="480"/>
        <v>1.5304874361762484</v>
      </c>
      <c r="BB178" s="173">
        <f t="shared" si="481"/>
        <v>6.0708704849012136</v>
      </c>
      <c r="BC178" s="173">
        <f t="shared" si="482"/>
        <v>0.11567469437446908</v>
      </c>
      <c r="BD178" s="173"/>
      <c r="BE178" s="528">
        <f t="shared" si="483"/>
        <v>2.8577179865978821E-2</v>
      </c>
      <c r="BF178" s="528">
        <f t="shared" si="528"/>
        <v>0.53122298367544385</v>
      </c>
      <c r="BG178" s="528">
        <f t="shared" si="529"/>
        <v>9.0053525930917241E-2</v>
      </c>
      <c r="BH178" s="528">
        <f t="shared" si="484"/>
        <v>2.860383274045188E-2</v>
      </c>
      <c r="BI178">
        <f t="shared" si="485"/>
        <v>8.0506978374719831E-3</v>
      </c>
      <c r="BJ178" s="460">
        <f t="shared" si="600"/>
        <v>98.104223768389232</v>
      </c>
      <c r="BK178">
        <f t="shared" si="530"/>
        <v>0.60019512247689089</v>
      </c>
      <c r="BL178" s="460">
        <f t="shared" si="601"/>
        <v>686.50822005026384</v>
      </c>
      <c r="BM178" s="173">
        <f t="shared" si="531"/>
        <v>2.5347</v>
      </c>
      <c r="BN178" s="173">
        <f t="shared" si="532"/>
        <v>4.2244999999999998E-2</v>
      </c>
      <c r="BO178" s="528"/>
      <c r="BQ178" s="460">
        <f t="shared" si="486"/>
        <v>2576.9449999999997</v>
      </c>
      <c r="BR178" s="528">
        <f t="shared" si="487"/>
        <v>7.0271753768800377E-2</v>
      </c>
      <c r="BS178" s="528">
        <f t="shared" si="488"/>
        <v>1.1056640533333408</v>
      </c>
      <c r="BT178" s="528">
        <f t="shared" si="489"/>
        <v>6.6903174593134146E-5</v>
      </c>
      <c r="BU178" s="528">
        <f t="shared" si="490"/>
        <v>0.77455685843767041</v>
      </c>
      <c r="BV178" s="528"/>
      <c r="BW178" s="625">
        <f t="shared" si="533"/>
        <v>7.0156343889386144E-2</v>
      </c>
      <c r="BX178" s="460">
        <f t="shared" si="491"/>
        <v>2020.7159126037911</v>
      </c>
      <c r="BY178" s="173">
        <f t="shared" si="492"/>
        <v>5.2841691326540552</v>
      </c>
      <c r="BZ178" s="5">
        <f t="shared" si="493"/>
        <v>17.544</v>
      </c>
      <c r="CA178" s="173">
        <f t="shared" si="494"/>
        <v>0.76852418159564839</v>
      </c>
      <c r="CB178" s="5">
        <f t="shared" si="495"/>
        <v>76.852418159564834</v>
      </c>
      <c r="CC178">
        <f t="shared" si="496"/>
        <v>68</v>
      </c>
      <c r="CE178" s="562">
        <f t="shared" si="534"/>
        <v>-50</v>
      </c>
      <c r="CF178">
        <f t="shared" si="535"/>
        <v>-50</v>
      </c>
      <c r="CG178" s="173">
        <f t="shared" si="536"/>
        <v>0.48913043478260876</v>
      </c>
      <c r="CH178" s="173">
        <f t="shared" si="537"/>
        <v>0.13097870664369976</v>
      </c>
      <c r="CI178" s="170">
        <v>68</v>
      </c>
      <c r="CJ178" s="217">
        <f t="shared" si="602"/>
        <v>4.08</v>
      </c>
      <c r="CK178" s="217">
        <f t="shared" si="538"/>
        <v>6.8000000000000005E-2</v>
      </c>
      <c r="CL178" s="217">
        <f t="shared" si="539"/>
        <v>16.32</v>
      </c>
      <c r="CM178" s="217">
        <f t="shared" si="540"/>
        <v>1.2240000000000002</v>
      </c>
      <c r="CN178" s="541">
        <f t="shared" si="541"/>
        <v>18</v>
      </c>
      <c r="CO178" s="443">
        <f t="shared" si="542"/>
        <v>18.8</v>
      </c>
      <c r="CP178" s="443">
        <f t="shared" si="543"/>
        <v>36.799999999999997</v>
      </c>
      <c r="CQ178" s="443"/>
      <c r="CR178" s="217">
        <f t="shared" si="544"/>
        <v>0.51086956521739135</v>
      </c>
      <c r="CS178" s="172">
        <f t="shared" si="545"/>
        <v>28.513650151668358</v>
      </c>
      <c r="CT178" s="172">
        <f t="shared" si="546"/>
        <v>2.2989130434782612</v>
      </c>
      <c r="CU178" s="217">
        <f t="shared" si="547"/>
        <v>7.1284125379170895</v>
      </c>
      <c r="CV178" s="217">
        <f t="shared" si="548"/>
        <v>1.5840916750926866</v>
      </c>
      <c r="CW178" s="217">
        <f t="shared" si="549"/>
        <v>4</v>
      </c>
      <c r="CX178" s="217">
        <f t="shared" si="550"/>
        <v>3.815716312056737</v>
      </c>
      <c r="CY178" s="217">
        <f t="shared" si="551"/>
        <v>2.5438108747044912</v>
      </c>
      <c r="CZ178" s="217">
        <f t="shared" si="552"/>
        <v>2.4355636034404706</v>
      </c>
      <c r="DA178" s="197">
        <f t="shared" si="553"/>
        <v>350</v>
      </c>
      <c r="DB178" s="443">
        <f t="shared" si="554"/>
        <v>200.82843826852411</v>
      </c>
      <c r="DD178" s="217">
        <f t="shared" si="555"/>
        <v>2.18944099378882</v>
      </c>
      <c r="DE178" s="173">
        <f t="shared" si="556"/>
        <v>1.3975155279503106</v>
      </c>
      <c r="DF178" s="173">
        <f t="shared" si="557"/>
        <v>1.9924134422749624</v>
      </c>
      <c r="DG178" s="173"/>
      <c r="DH178" s="173">
        <f t="shared" si="558"/>
        <v>0.85106382978723416</v>
      </c>
      <c r="DI178" s="545">
        <f t="shared" si="559"/>
        <v>1797.7499999999993</v>
      </c>
      <c r="DJ178" s="528">
        <f t="shared" si="560"/>
        <v>0.79432624113475192</v>
      </c>
      <c r="DL178" s="173">
        <f t="shared" si="561"/>
        <v>2.8903781265235375</v>
      </c>
      <c r="DM178" s="173">
        <f t="shared" si="562"/>
        <v>3.815716312056737</v>
      </c>
      <c r="DN178" s="173">
        <f t="shared" si="563"/>
        <v>3.0388022064617806</v>
      </c>
      <c r="DP178" s="545">
        <f t="shared" si="564"/>
        <v>4080</v>
      </c>
      <c r="DQ178" s="460">
        <f t="shared" si="565"/>
        <v>200.82843826852411</v>
      </c>
      <c r="DS178">
        <f t="shared" si="566"/>
        <v>4080</v>
      </c>
      <c r="DT178">
        <f t="shared" si="567"/>
        <v>200.82843826852411</v>
      </c>
      <c r="DV178" s="5">
        <f t="shared" si="568"/>
        <v>4.9793744781449618</v>
      </c>
      <c r="DW178" s="5">
        <f t="shared" si="569"/>
        <v>2.5438108747044912</v>
      </c>
      <c r="DX178" s="5">
        <f t="shared" si="570"/>
        <v>2.4355636034404706</v>
      </c>
      <c r="DY178" s="173">
        <f t="shared" si="571"/>
        <v>0.51086956521739124</v>
      </c>
      <c r="EA178" s="5">
        <f t="shared" si="572"/>
        <v>259.46870921985811</v>
      </c>
      <c r="EB178" s="5">
        <f t="shared" si="573"/>
        <v>0.96099521933280796</v>
      </c>
      <c r="EC178" s="5">
        <f t="shared" si="574"/>
        <v>1.8402036114883555</v>
      </c>
      <c r="ED178" s="5"/>
      <c r="EE178" s="173">
        <f t="shared" si="575"/>
        <v>1.5746007957189161</v>
      </c>
      <c r="EF178" s="173">
        <f t="shared" si="576"/>
        <v>6.1629378173984248</v>
      </c>
      <c r="EG178" s="173">
        <f t="shared" si="577"/>
        <v>0.1174289503044835</v>
      </c>
      <c r="EH178" s="173"/>
      <c r="EI178" s="528">
        <f t="shared" si="578"/>
        <v>3.024828552371945E-2</v>
      </c>
      <c r="EJ178" s="528">
        <f t="shared" si="579"/>
        <v>0.56399999999999995</v>
      </c>
      <c r="EK178" s="528">
        <f t="shared" si="580"/>
        <v>2.5103554783565511E-2</v>
      </c>
      <c r="EL178" s="528">
        <f t="shared" si="581"/>
        <v>2.7196990424076608E-2</v>
      </c>
      <c r="EM178">
        <f t="shared" si="582"/>
        <v>8.0999999999999996E-3</v>
      </c>
      <c r="EN178" s="460">
        <f t="shared" si="583"/>
        <v>33.203554783565515</v>
      </c>
      <c r="EP178" s="460">
        <f t="shared" si="603"/>
        <v>654.64883073136161</v>
      </c>
      <c r="EQ178" s="173">
        <f t="shared" si="584"/>
        <v>2.8559999999999999</v>
      </c>
      <c r="ER178" s="173">
        <f t="shared" si="585"/>
        <v>3.0175E-2</v>
      </c>
      <c r="ES178" s="528"/>
      <c r="EU178" s="460">
        <f t="shared" si="497"/>
        <v>2886.1749999999997</v>
      </c>
      <c r="EV178" s="528">
        <f t="shared" si="586"/>
        <v>7.43810299763593E-2</v>
      </c>
      <c r="EW178" s="528">
        <f t="shared" si="587"/>
        <v>1.1394540762335899</v>
      </c>
      <c r="EX178" s="528">
        <f t="shared" si="588"/>
        <v>6.8947791848064281E-5</v>
      </c>
      <c r="EY178" s="528">
        <f t="shared" si="589"/>
        <v>0.81278041177063254</v>
      </c>
      <c r="EZ178" s="528"/>
      <c r="FA178" s="625">
        <f t="shared" si="590"/>
        <v>7.3099999999999984E-2</v>
      </c>
      <c r="FB178" s="460">
        <f t="shared" si="498"/>
        <v>2099.7844657724299</v>
      </c>
      <c r="FC178" s="173">
        <f t="shared" si="591"/>
        <v>5.6406082965037925</v>
      </c>
      <c r="FD178" s="5">
        <f t="shared" si="592"/>
        <v>17.544</v>
      </c>
      <c r="FE178" s="173">
        <f t="shared" si="593"/>
        <v>0.75670892411176127</v>
      </c>
      <c r="FF178" s="5">
        <f t="shared" si="594"/>
        <v>75.670892411176126</v>
      </c>
      <c r="FG178">
        <f t="shared" si="595"/>
        <v>68</v>
      </c>
      <c r="FI178" s="562">
        <f t="shared" si="596"/>
        <v>-50</v>
      </c>
      <c r="FJ178">
        <f t="shared" si="597"/>
        <v>-50</v>
      </c>
    </row>
    <row r="179" spans="5:166">
      <c r="E179" s="170">
        <v>69</v>
      </c>
      <c r="F179" s="217">
        <f t="shared" si="598"/>
        <v>4.1399999999999997</v>
      </c>
      <c r="G179" s="217">
        <f t="shared" si="499"/>
        <v>6.8999999999999992E-2</v>
      </c>
      <c r="H179" s="217">
        <f t="shared" si="500"/>
        <v>16.559999999999999</v>
      </c>
      <c r="I179" s="217">
        <f t="shared" si="501"/>
        <v>1.2419999999999998</v>
      </c>
      <c r="J179" s="541">
        <f t="shared" si="502"/>
        <v>17.888828457044671</v>
      </c>
      <c r="K179" s="443">
        <f t="shared" si="503"/>
        <v>19.81568</v>
      </c>
      <c r="L179" s="172">
        <f t="shared" si="504"/>
        <v>37.704508457044668</v>
      </c>
      <c r="M179" s="443"/>
      <c r="N179" s="217">
        <f t="shared" si="505"/>
        <v>0.52555200454543149</v>
      </c>
      <c r="O179" s="172">
        <f t="shared" si="506"/>
        <v>29.151967921144763</v>
      </c>
      <c r="P179" s="172">
        <f t="shared" si="507"/>
        <v>2.3503774136422964</v>
      </c>
      <c r="Q179" s="217">
        <f t="shared" si="508"/>
        <v>7.2879919802861908</v>
      </c>
      <c r="R179" s="217">
        <f t="shared" si="509"/>
        <v>1.6195537733969312</v>
      </c>
      <c r="S179" s="217">
        <f t="shared" si="510"/>
        <v>4</v>
      </c>
      <c r="T179" s="217">
        <f t="shared" si="511"/>
        <v>3.787051368148759</v>
      </c>
      <c r="U179" s="217">
        <f t="shared" si="512"/>
        <v>2.5403908661156005</v>
      </c>
      <c r="V179" s="217">
        <f t="shared" si="513"/>
        <v>2.2933664864281775</v>
      </c>
      <c r="W179" s="197">
        <f t="shared" si="514"/>
        <v>350</v>
      </c>
      <c r="X179" s="443">
        <f t="shared" si="599"/>
        <v>198.65876123223467</v>
      </c>
      <c r="Z179" s="217">
        <f t="shared" si="515"/>
        <v>2.2384546796593296</v>
      </c>
      <c r="AA179" s="173">
        <f t="shared" si="516"/>
        <v>1.3555657012987672</v>
      </c>
      <c r="AB179" s="173">
        <f t="shared" si="517"/>
        <v>1.9758703919632876</v>
      </c>
      <c r="AC179" s="173"/>
      <c r="AD179" s="173">
        <f t="shared" si="518"/>
        <v>0.80744137975582975</v>
      </c>
      <c r="AE179" s="545">
        <f t="shared" si="519"/>
        <v>1922.7401999999995</v>
      </c>
      <c r="AF179" s="528">
        <f t="shared" si="520"/>
        <v>0.7536119544387746</v>
      </c>
      <c r="AH179" s="173">
        <f t="shared" si="521"/>
        <v>2.9115533409406837</v>
      </c>
      <c r="AI179" s="173">
        <f t="shared" si="522"/>
        <v>3.787051368148759</v>
      </c>
      <c r="AJ179" s="173">
        <f t="shared" si="523"/>
        <v>3.0175689146780931</v>
      </c>
      <c r="AL179" s="545">
        <f t="shared" si="524"/>
        <v>4140</v>
      </c>
      <c r="AM179" s="460">
        <f t="shared" si="525"/>
        <v>198.65876123223467</v>
      </c>
      <c r="AO179">
        <f t="shared" si="526"/>
        <v>4140</v>
      </c>
      <c r="AP179">
        <f t="shared" si="527"/>
        <v>198.65876123223467</v>
      </c>
      <c r="AR179" s="5">
        <f t="shared" si="443"/>
        <v>5.0337573525437778</v>
      </c>
      <c r="AS179" s="5">
        <f t="shared" ref="AS179:AS242" si="604">L*AI179/J179*1000000</f>
        <v>2.5403908661156005</v>
      </c>
      <c r="AT179" s="5">
        <f t="shared" ref="AT179:AT242" si="605">AR179-AS179</f>
        <v>2.4933664864281773</v>
      </c>
      <c r="AU179" s="173">
        <f t="shared" ref="AU179:AU242" si="606">AS179/AR179</f>
        <v>0.5046709025082089</v>
      </c>
      <c r="AW179" s="5">
        <f t="shared" si="477"/>
        <v>262.93045464296461</v>
      </c>
      <c r="AX179" s="5">
        <f t="shared" si="478"/>
        <v>0.97381649867764675</v>
      </c>
      <c r="AY179" s="5">
        <f t="shared" si="479"/>
        <v>1.9234606444648805</v>
      </c>
      <c r="AZ179" s="5"/>
      <c r="BA179" s="173">
        <f t="shared" si="480"/>
        <v>1.5532619425171676</v>
      </c>
      <c r="BB179" s="173">
        <f t="shared" si="481"/>
        <v>6.1552752784499773</v>
      </c>
      <c r="BC179" s="173">
        <f t="shared" si="482"/>
        <v>0.11728294787316848</v>
      </c>
      <c r="BD179" s="173"/>
      <c r="BE179" s="528">
        <f t="shared" si="483"/>
        <v>2.9433996477280896E-2</v>
      </c>
      <c r="BF179" s="528">
        <f t="shared" si="528"/>
        <v>0.53186752585075681</v>
      </c>
      <c r="BG179" s="528">
        <f t="shared" si="529"/>
        <v>8.8844312529311048E-2</v>
      </c>
      <c r="BH179" s="528">
        <f t="shared" si="484"/>
        <v>2.8241924638440136E-2</v>
      </c>
      <c r="BI179">
        <f t="shared" si="485"/>
        <v>8.0499728056701008E-3</v>
      </c>
      <c r="BJ179" s="460">
        <f t="shared" si="600"/>
        <v>96.894285334981149</v>
      </c>
      <c r="BK179">
        <f t="shared" si="530"/>
        <v>0.60169861585294515</v>
      </c>
      <c r="BL179" s="460">
        <f t="shared" si="601"/>
        <v>686.43773230145894</v>
      </c>
      <c r="BM179" s="173">
        <f t="shared" si="531"/>
        <v>2.5719749999999997</v>
      </c>
      <c r="BN179" s="173">
        <f t="shared" si="532"/>
        <v>4.2866249999999988E-2</v>
      </c>
      <c r="BO179" s="528"/>
      <c r="BQ179" s="460">
        <f t="shared" si="486"/>
        <v>2614.8412499999995</v>
      </c>
      <c r="BR179" s="528">
        <f t="shared" si="487"/>
        <v>7.2378679862166145E-2</v>
      </c>
      <c r="BS179" s="528">
        <f t="shared" si="488"/>
        <v>1.1366224126049234</v>
      </c>
      <c r="BT179" s="528">
        <f t="shared" si="489"/>
        <v>6.8776449309101772E-5</v>
      </c>
      <c r="BU179" s="528">
        <f t="shared" si="490"/>
        <v>0.77623335738353261</v>
      </c>
      <c r="BV179" s="528"/>
      <c r="BW179" s="625">
        <f t="shared" si="533"/>
        <v>7.1227897277119812E-2</v>
      </c>
      <c r="BX179" s="460">
        <f t="shared" si="491"/>
        <v>2056.5311235770509</v>
      </c>
      <c r="BY179" s="173">
        <f t="shared" si="492"/>
        <v>5.3578101058785093</v>
      </c>
      <c r="BZ179" s="5">
        <f t="shared" si="493"/>
        <v>17.802</v>
      </c>
      <c r="CA179" s="173">
        <f t="shared" si="494"/>
        <v>0.76865915215260894</v>
      </c>
      <c r="CB179" s="5">
        <f t="shared" si="495"/>
        <v>76.865915215260898</v>
      </c>
      <c r="CC179">
        <f t="shared" si="496"/>
        <v>69</v>
      </c>
      <c r="CE179" s="562">
        <f t="shared" si="534"/>
        <v>-50</v>
      </c>
      <c r="CF179">
        <f t="shared" si="535"/>
        <v>-50</v>
      </c>
      <c r="CG179" s="173">
        <f t="shared" si="536"/>
        <v>0.48913043478260876</v>
      </c>
      <c r="CH179" s="173">
        <f t="shared" si="537"/>
        <v>0.13097870664369973</v>
      </c>
      <c r="CI179" s="170">
        <v>69</v>
      </c>
      <c r="CJ179" s="217">
        <f t="shared" si="602"/>
        <v>4.1399999999999997</v>
      </c>
      <c r="CK179" s="217">
        <f t="shared" si="538"/>
        <v>6.8999999999999992E-2</v>
      </c>
      <c r="CL179" s="217">
        <f t="shared" si="539"/>
        <v>16.559999999999999</v>
      </c>
      <c r="CM179" s="217">
        <f t="shared" si="540"/>
        <v>1.2419999999999998</v>
      </c>
      <c r="CN179" s="541">
        <f t="shared" si="541"/>
        <v>18</v>
      </c>
      <c r="CO179" s="443">
        <f t="shared" si="542"/>
        <v>18.8</v>
      </c>
      <c r="CP179" s="443">
        <f t="shared" si="543"/>
        <v>36.799999999999997</v>
      </c>
      <c r="CQ179" s="443"/>
      <c r="CR179" s="217">
        <f t="shared" si="544"/>
        <v>0.51086956521739135</v>
      </c>
      <c r="CS179" s="172">
        <f t="shared" si="545"/>
        <v>28.513650151668358</v>
      </c>
      <c r="CT179" s="172">
        <f t="shared" si="546"/>
        <v>2.2989130434782612</v>
      </c>
      <c r="CU179" s="217">
        <f t="shared" si="547"/>
        <v>7.1284125379170895</v>
      </c>
      <c r="CV179" s="217">
        <f t="shared" si="548"/>
        <v>1.5840916750926866</v>
      </c>
      <c r="CW179" s="217">
        <f t="shared" si="549"/>
        <v>4</v>
      </c>
      <c r="CX179" s="217">
        <f t="shared" si="550"/>
        <v>3.8718297872340419</v>
      </c>
      <c r="CY179" s="217">
        <f t="shared" si="551"/>
        <v>2.5812198581560279</v>
      </c>
      <c r="CZ179" s="217">
        <f t="shared" si="552"/>
        <v>2.4713807152557714</v>
      </c>
      <c r="DA179" s="197">
        <f t="shared" si="553"/>
        <v>350</v>
      </c>
      <c r="DB179" s="443">
        <f t="shared" si="554"/>
        <v>197.91788119216869</v>
      </c>
      <c r="DD179" s="217">
        <f t="shared" si="555"/>
        <v>2.18944099378882</v>
      </c>
      <c r="DE179" s="173">
        <f t="shared" si="556"/>
        <v>1.3975155279503106</v>
      </c>
      <c r="DF179" s="173">
        <f t="shared" si="557"/>
        <v>1.9924134422749624</v>
      </c>
      <c r="DG179" s="173"/>
      <c r="DH179" s="173">
        <f t="shared" si="558"/>
        <v>0.85106382978723416</v>
      </c>
      <c r="DI179" s="545">
        <f t="shared" si="559"/>
        <v>1824.1874999999993</v>
      </c>
      <c r="DJ179" s="528">
        <f t="shared" si="560"/>
        <v>0.79432624113475192</v>
      </c>
      <c r="DL179" s="173">
        <f t="shared" si="561"/>
        <v>2.9115533409406837</v>
      </c>
      <c r="DM179" s="173">
        <f t="shared" si="562"/>
        <v>3.8718297872340419</v>
      </c>
      <c r="DN179" s="173">
        <f t="shared" si="563"/>
        <v>3.0803677436301542</v>
      </c>
      <c r="DP179" s="545">
        <f t="shared" si="564"/>
        <v>4140</v>
      </c>
      <c r="DQ179" s="460">
        <f t="shared" si="565"/>
        <v>197.91788119216869</v>
      </c>
      <c r="DS179">
        <f t="shared" si="566"/>
        <v>4140</v>
      </c>
      <c r="DT179">
        <f t="shared" si="567"/>
        <v>197.91788119216869</v>
      </c>
      <c r="DV179" s="5">
        <f t="shared" si="568"/>
        <v>5.0526005734117998</v>
      </c>
      <c r="DW179" s="5">
        <f t="shared" si="569"/>
        <v>2.5812198581560279</v>
      </c>
      <c r="DX179" s="5">
        <f t="shared" si="570"/>
        <v>2.4713807152557719</v>
      </c>
      <c r="DY179" s="173">
        <f t="shared" si="571"/>
        <v>0.51086956521739124</v>
      </c>
      <c r="EA179" s="5">
        <f t="shared" si="572"/>
        <v>267.1562553191489</v>
      </c>
      <c r="EB179" s="5">
        <f t="shared" si="573"/>
        <v>0.98946761229314384</v>
      </c>
      <c r="EC179" s="5">
        <f t="shared" si="574"/>
        <v>1.8947252150294247</v>
      </c>
      <c r="ED179" s="5"/>
      <c r="EE179" s="173">
        <f t="shared" si="575"/>
        <v>1.597756689773606</v>
      </c>
      <c r="EF179" s="173">
        <f t="shared" si="576"/>
        <v>6.2535692558895777</v>
      </c>
      <c r="EG179" s="173">
        <f t="shared" si="577"/>
        <v>0.11915584663249061</v>
      </c>
      <c r="EH179" s="173"/>
      <c r="EI179" s="528">
        <f t="shared" si="578"/>
        <v>3.114448256453899E-2</v>
      </c>
      <c r="EJ179" s="528">
        <f t="shared" si="579"/>
        <v>0.56399999999999995</v>
      </c>
      <c r="EK179" s="528">
        <f t="shared" si="580"/>
        <v>2.4739735149021086E-2</v>
      </c>
      <c r="EL179" s="528">
        <f t="shared" si="581"/>
        <v>2.6802831142568252E-2</v>
      </c>
      <c r="EM179">
        <f t="shared" si="582"/>
        <v>8.0999999999999996E-3</v>
      </c>
      <c r="EN179" s="460">
        <f t="shared" si="583"/>
        <v>32.839735149021081</v>
      </c>
      <c r="EP179" s="460">
        <f t="shared" si="603"/>
        <v>654.78704885612819</v>
      </c>
      <c r="EQ179" s="173">
        <f t="shared" si="584"/>
        <v>2.8979999999999997</v>
      </c>
      <c r="ER179" s="173">
        <f t="shared" si="585"/>
        <v>3.0618749999999993E-2</v>
      </c>
      <c r="ES179" s="528"/>
      <c r="EU179" s="460">
        <f t="shared" si="497"/>
        <v>2928.6187499999996</v>
      </c>
      <c r="EV179" s="528">
        <f t="shared" si="586"/>
        <v>7.6584793191489323E-2</v>
      </c>
      <c r="EW179" s="528">
        <f t="shared" si="587"/>
        <v>1.1732138531462197</v>
      </c>
      <c r="EX179" s="528">
        <f t="shared" si="588"/>
        <v>7.0990578933528121E-5</v>
      </c>
      <c r="EY179" s="528">
        <f t="shared" si="589"/>
        <v>0.81278041177063332</v>
      </c>
      <c r="EZ179" s="528"/>
      <c r="FA179" s="625">
        <f t="shared" si="590"/>
        <v>7.4174999999999991E-2</v>
      </c>
      <c r="FB179" s="460">
        <f t="shared" si="498"/>
        <v>2136.8250486872757</v>
      </c>
      <c r="FC179" s="173">
        <f t="shared" si="591"/>
        <v>5.7202308475434043</v>
      </c>
      <c r="FD179" s="5">
        <f t="shared" si="592"/>
        <v>17.802</v>
      </c>
      <c r="FE179" s="173">
        <f t="shared" si="593"/>
        <v>0.75681597189405991</v>
      </c>
      <c r="FF179" s="5">
        <f t="shared" si="594"/>
        <v>75.681597189405991</v>
      </c>
      <c r="FG179">
        <f t="shared" si="595"/>
        <v>69</v>
      </c>
      <c r="FI179" s="562">
        <f t="shared" si="596"/>
        <v>-50</v>
      </c>
      <c r="FJ179">
        <f t="shared" si="597"/>
        <v>-50</v>
      </c>
    </row>
    <row r="180" spans="5:166">
      <c r="E180" s="170">
        <v>70</v>
      </c>
      <c r="F180" s="217">
        <f t="shared" si="598"/>
        <v>4.1999999999999993</v>
      </c>
      <c r="G180" s="217">
        <f t="shared" si="499"/>
        <v>6.9999999999999993E-2</v>
      </c>
      <c r="H180" s="217">
        <f t="shared" si="500"/>
        <v>16.799999999999997</v>
      </c>
      <c r="I180" s="217">
        <f t="shared" si="501"/>
        <v>1.2599999999999998</v>
      </c>
      <c r="J180" s="541">
        <f t="shared" si="502"/>
        <v>17.88721727526271</v>
      </c>
      <c r="K180" s="443">
        <f t="shared" si="503"/>
        <v>19.830400000000001</v>
      </c>
      <c r="L180" s="172">
        <f t="shared" si="504"/>
        <v>37.717617275262711</v>
      </c>
      <c r="M180" s="443"/>
      <c r="N180" s="217">
        <f t="shared" si="505"/>
        <v>0.52575961666077642</v>
      </c>
      <c r="O180" s="172">
        <f t="shared" si="506"/>
        <v>29.160857357426796</v>
      </c>
      <c r="P180" s="172">
        <f t="shared" si="507"/>
        <v>2.3510941244425352</v>
      </c>
      <c r="Q180" s="217">
        <f t="shared" si="508"/>
        <v>7.2902143393566989</v>
      </c>
      <c r="R180" s="217">
        <f t="shared" si="509"/>
        <v>1.6200476309681553</v>
      </c>
      <c r="S180" s="217">
        <f t="shared" si="510"/>
        <v>4</v>
      </c>
      <c r="T180" s="217">
        <f t="shared" si="511"/>
        <v>3.8407649894242701</v>
      </c>
      <c r="U180" s="217">
        <f t="shared" si="512"/>
        <v>2.5766545552521851</v>
      </c>
      <c r="V180" s="217">
        <f t="shared" si="513"/>
        <v>2.3241679377668247</v>
      </c>
      <c r="W180" s="197">
        <f t="shared" si="514"/>
        <v>350</v>
      </c>
      <c r="X180" s="443">
        <f t="shared" si="599"/>
        <v>196.04681428702935</v>
      </c>
      <c r="Z180" s="217">
        <f t="shared" si="515"/>
        <v>2.2391372613738429</v>
      </c>
      <c r="AA180" s="173">
        <f t="shared" si="516"/>
        <v>1.3549725238263532</v>
      </c>
      <c r="AB180" s="173">
        <f t="shared" si="517"/>
        <v>1.9756080245266432</v>
      </c>
      <c r="AC180" s="173"/>
      <c r="AD180" s="173">
        <f t="shared" si="518"/>
        <v>0.80684202033241903</v>
      </c>
      <c r="AE180" s="545">
        <f t="shared" si="519"/>
        <v>1952.0549999999992</v>
      </c>
      <c r="AF180" s="528">
        <f t="shared" si="520"/>
        <v>0.75305255231025792</v>
      </c>
      <c r="AH180" s="173">
        <f t="shared" si="521"/>
        <v>2.9325756597230357</v>
      </c>
      <c r="AI180" s="173">
        <f t="shared" si="522"/>
        <v>3.8407649894242701</v>
      </c>
      <c r="AJ180" s="173">
        <f t="shared" si="523"/>
        <v>3.0573567822895829</v>
      </c>
      <c r="AL180" s="545">
        <f t="shared" si="524"/>
        <v>4199.9999999999991</v>
      </c>
      <c r="AM180" s="460">
        <f t="shared" si="525"/>
        <v>196.04681428702935</v>
      </c>
      <c r="AO180">
        <f t="shared" si="526"/>
        <v>4199.9999999999991</v>
      </c>
      <c r="AP180">
        <f t="shared" si="527"/>
        <v>196.04681428702935</v>
      </c>
      <c r="AR180" s="5">
        <f t="shared" si="443"/>
        <v>5.1008224930190105</v>
      </c>
      <c r="AS180" s="5">
        <f t="shared" si="604"/>
        <v>2.5766545552521851</v>
      </c>
      <c r="AT180" s="5">
        <f t="shared" si="605"/>
        <v>2.5241679377668254</v>
      </c>
      <c r="AU180" s="173">
        <f t="shared" si="606"/>
        <v>0.50514491707535336</v>
      </c>
      <c r="AW180" s="5">
        <f t="shared" si="477"/>
        <v>270.5487283014794</v>
      </c>
      <c r="AX180" s="5">
        <f t="shared" si="478"/>
        <v>1.0020323270425162</v>
      </c>
      <c r="AY180" s="5">
        <f t="shared" si="479"/>
        <v>1.9756203877283383</v>
      </c>
      <c r="AZ180" s="5"/>
      <c r="BA180" s="173">
        <f t="shared" si="480"/>
        <v>1.576032251280592</v>
      </c>
      <c r="BB180" s="173">
        <f t="shared" si="481"/>
        <v>6.2395908980242192</v>
      </c>
      <c r="BC180" s="173">
        <f t="shared" si="482"/>
        <v>0.11888950224613715</v>
      </c>
      <c r="BD180" s="173"/>
      <c r="BE180" s="528">
        <f t="shared" si="483"/>
        <v>3.0303307416334163E-2</v>
      </c>
      <c r="BF180" s="528">
        <f t="shared" si="528"/>
        <v>0.53250420929759879</v>
      </c>
      <c r="BG180" s="528">
        <f t="shared" si="529"/>
        <v>8.7668299081879286E-2</v>
      </c>
      <c r="BH180" s="528">
        <f t="shared" si="484"/>
        <v>2.788998548508977E-2</v>
      </c>
      <c r="BI180">
        <f t="shared" si="485"/>
        <v>8.0492477738682185E-3</v>
      </c>
      <c r="BJ180" s="460">
        <f t="shared" si="600"/>
        <v>95.7175468557475</v>
      </c>
      <c r="BK180">
        <f t="shared" si="530"/>
        <v>0.60322263791185626</v>
      </c>
      <c r="BL180" s="460">
        <f t="shared" si="601"/>
        <v>686.41504905477018</v>
      </c>
      <c r="BM180" s="173">
        <f t="shared" si="531"/>
        <v>2.6092499999999994</v>
      </c>
      <c r="BN180" s="173">
        <f t="shared" si="532"/>
        <v>4.3487499999999991E-2</v>
      </c>
      <c r="BO180" s="528"/>
      <c r="BQ180" s="460">
        <f t="shared" si="486"/>
        <v>2652.7374999999993</v>
      </c>
      <c r="BR180" s="528">
        <f t="shared" si="487"/>
        <v>7.451632971229713E-2</v>
      </c>
      <c r="BS180" s="528">
        <f t="shared" si="488"/>
        <v>1.1679748372412004</v>
      </c>
      <c r="BT180" s="528">
        <f t="shared" si="489"/>
        <v>7.0673568721671244E-5</v>
      </c>
      <c r="BU180" s="528">
        <f t="shared" si="490"/>
        <v>0.77788216367532081</v>
      </c>
      <c r="BV180" s="528"/>
      <c r="BW180" s="625">
        <f t="shared" si="533"/>
        <v>7.2299495444980169E-2</v>
      </c>
      <c r="BX180" s="460">
        <f t="shared" si="491"/>
        <v>2092.7434996425204</v>
      </c>
      <c r="BY180" s="173">
        <f t="shared" si="492"/>
        <v>5.4318960486972898</v>
      </c>
      <c r="BZ180" s="5">
        <f t="shared" si="493"/>
        <v>18.059999999999995</v>
      </c>
      <c r="CA180" s="173">
        <f t="shared" si="494"/>
        <v>0.76877574983997476</v>
      </c>
      <c r="CB180" s="5">
        <f t="shared" si="495"/>
        <v>76.877574983997476</v>
      </c>
      <c r="CC180">
        <f t="shared" si="496"/>
        <v>69.999999999999986</v>
      </c>
      <c r="CE180" s="562">
        <f t="shared" si="534"/>
        <v>-50</v>
      </c>
      <c r="CF180">
        <f t="shared" si="535"/>
        <v>-50</v>
      </c>
      <c r="CG180" s="173">
        <f t="shared" si="536"/>
        <v>0.48913043478260865</v>
      </c>
      <c r="CH180" s="173">
        <f t="shared" si="537"/>
        <v>0.13097870664369976</v>
      </c>
      <c r="CI180" s="170">
        <v>70</v>
      </c>
      <c r="CJ180" s="217">
        <f t="shared" si="602"/>
        <v>4.1999999999999993</v>
      </c>
      <c r="CK180" s="217">
        <f t="shared" si="538"/>
        <v>6.9999999999999993E-2</v>
      </c>
      <c r="CL180" s="217">
        <f t="shared" si="539"/>
        <v>16.799999999999997</v>
      </c>
      <c r="CM180" s="217">
        <f t="shared" si="540"/>
        <v>1.2599999999999998</v>
      </c>
      <c r="CN180" s="541">
        <f t="shared" si="541"/>
        <v>18</v>
      </c>
      <c r="CO180" s="443">
        <f t="shared" si="542"/>
        <v>18.8</v>
      </c>
      <c r="CP180" s="443">
        <f t="shared" si="543"/>
        <v>36.799999999999997</v>
      </c>
      <c r="CQ180" s="443"/>
      <c r="CR180" s="217">
        <f t="shared" si="544"/>
        <v>0.51086956521739135</v>
      </c>
      <c r="CS180" s="172">
        <f t="shared" si="545"/>
        <v>28.513650151668358</v>
      </c>
      <c r="CT180" s="172">
        <f t="shared" si="546"/>
        <v>2.2989130434782612</v>
      </c>
      <c r="CU180" s="217">
        <f t="shared" si="547"/>
        <v>7.1284125379170895</v>
      </c>
      <c r="CV180" s="217">
        <f t="shared" si="548"/>
        <v>1.5840916750926866</v>
      </c>
      <c r="CW180" s="217">
        <f t="shared" si="549"/>
        <v>4</v>
      </c>
      <c r="CX180" s="217">
        <f t="shared" si="550"/>
        <v>3.9279432624113459</v>
      </c>
      <c r="CY180" s="217">
        <f t="shared" si="551"/>
        <v>2.6186288416075643</v>
      </c>
      <c r="CZ180" s="217">
        <f t="shared" si="552"/>
        <v>2.5071978270710722</v>
      </c>
      <c r="DA180" s="197">
        <f t="shared" si="553"/>
        <v>350</v>
      </c>
      <c r="DB180" s="443">
        <f t="shared" si="554"/>
        <v>195.0904828894235</v>
      </c>
      <c r="DD180" s="217">
        <f t="shared" si="555"/>
        <v>2.18944099378882</v>
      </c>
      <c r="DE180" s="173">
        <f t="shared" si="556"/>
        <v>1.3975155279503106</v>
      </c>
      <c r="DF180" s="173">
        <f t="shared" si="557"/>
        <v>1.9924134422749624</v>
      </c>
      <c r="DG180" s="173"/>
      <c r="DH180" s="173">
        <f t="shared" si="558"/>
        <v>0.85106382978723416</v>
      </c>
      <c r="DI180" s="545">
        <f t="shared" si="559"/>
        <v>1850.6249999999993</v>
      </c>
      <c r="DJ180" s="528">
        <f t="shared" si="560"/>
        <v>0.79432624113475192</v>
      </c>
      <c r="DL180" s="173">
        <f t="shared" si="561"/>
        <v>2.9325756597230357</v>
      </c>
      <c r="DM180" s="173">
        <f t="shared" si="562"/>
        <v>3.9279432624113459</v>
      </c>
      <c r="DN180" s="173">
        <f t="shared" si="563"/>
        <v>3.1219332807985278</v>
      </c>
      <c r="DP180" s="545">
        <f t="shared" si="564"/>
        <v>4199.9999999999991</v>
      </c>
      <c r="DQ180" s="460">
        <f t="shared" si="565"/>
        <v>195.0904828894235</v>
      </c>
      <c r="DS180">
        <f t="shared" si="566"/>
        <v>4199.9999999999991</v>
      </c>
      <c r="DT180">
        <f t="shared" si="567"/>
        <v>195.0904828894235</v>
      </c>
      <c r="DV180" s="5">
        <f t="shared" si="568"/>
        <v>5.125826668678636</v>
      </c>
      <c r="DW180" s="5">
        <f t="shared" si="569"/>
        <v>2.6186288416075643</v>
      </c>
      <c r="DX180" s="5">
        <f t="shared" si="570"/>
        <v>2.5071978270710717</v>
      </c>
      <c r="DY180" s="173">
        <f t="shared" si="571"/>
        <v>0.51086956521739135</v>
      </c>
      <c r="EA180" s="5">
        <f t="shared" si="572"/>
        <v>274.95602836879419</v>
      </c>
      <c r="EB180" s="5">
        <f t="shared" si="573"/>
        <v>1.0183556606251638</v>
      </c>
      <c r="EC180" s="5">
        <f t="shared" si="574"/>
        <v>1.9500427543886105</v>
      </c>
      <c r="ED180" s="5"/>
      <c r="EE180" s="173">
        <f t="shared" si="575"/>
        <v>1.6209125838282958</v>
      </c>
      <c r="EF180" s="173">
        <f t="shared" si="576"/>
        <v>6.3442006943807288</v>
      </c>
      <c r="EG180" s="173">
        <f t="shared" si="577"/>
        <v>0.12088274296049767</v>
      </c>
      <c r="EH180" s="173"/>
      <c r="EI180" s="528">
        <f t="shared" si="578"/>
        <v>3.2053762773837653E-2</v>
      </c>
      <c r="EJ180" s="528">
        <f t="shared" si="579"/>
        <v>0.56400000000000006</v>
      </c>
      <c r="EK180" s="528">
        <f t="shared" si="580"/>
        <v>2.4386310361177936E-2</v>
      </c>
      <c r="EL180" s="528">
        <f t="shared" si="581"/>
        <v>2.6419933554817285E-2</v>
      </c>
      <c r="EM180">
        <f t="shared" si="582"/>
        <v>8.0999999999999996E-3</v>
      </c>
      <c r="EN180" s="460">
        <f t="shared" si="583"/>
        <v>32.486310361177942</v>
      </c>
      <c r="EP180" s="460">
        <f t="shared" si="603"/>
        <v>654.96000668983288</v>
      </c>
      <c r="EQ180" s="173">
        <f t="shared" si="584"/>
        <v>2.9399999999999995</v>
      </c>
      <c r="ER180" s="173">
        <f t="shared" si="585"/>
        <v>3.1062499999999996E-2</v>
      </c>
      <c r="ES180" s="528"/>
      <c r="EU180" s="460">
        <f t="shared" si="497"/>
        <v>2971.0624999999995</v>
      </c>
      <c r="EV180" s="528">
        <f t="shared" si="586"/>
        <v>7.8820728132387663E-2</v>
      </c>
      <c r="EW180" s="528">
        <f t="shared" si="587"/>
        <v>1.2074664735174276</v>
      </c>
      <c r="EX180" s="528">
        <f t="shared" si="588"/>
        <v>7.306318772826875E-5</v>
      </c>
      <c r="EY180" s="528">
        <f t="shared" si="589"/>
        <v>0.81278041177063143</v>
      </c>
      <c r="EZ180" s="528"/>
      <c r="FA180" s="625">
        <f t="shared" si="590"/>
        <v>7.5249999999999984E-2</v>
      </c>
      <c r="FB180" s="460">
        <f t="shared" si="498"/>
        <v>2174.390676608175</v>
      </c>
      <c r="FC180" s="173">
        <f t="shared" si="591"/>
        <v>5.8004131832980059</v>
      </c>
      <c r="FD180" s="5">
        <f t="shared" si="592"/>
        <v>18.059999999999995</v>
      </c>
      <c r="FE180" s="173">
        <f t="shared" si="593"/>
        <v>0.75690223221456099</v>
      </c>
      <c r="FF180" s="5">
        <f t="shared" si="594"/>
        <v>75.690223221456094</v>
      </c>
      <c r="FG180">
        <f t="shared" si="595"/>
        <v>69.999999999999986</v>
      </c>
      <c r="FI180" s="562">
        <f t="shared" si="596"/>
        <v>-50</v>
      </c>
      <c r="FJ180">
        <f t="shared" si="597"/>
        <v>-50</v>
      </c>
    </row>
    <row r="181" spans="5:166">
      <c r="E181" s="170">
        <v>71</v>
      </c>
      <c r="F181" s="217">
        <f t="shared" si="598"/>
        <v>4.26</v>
      </c>
      <c r="G181" s="217">
        <f t="shared" si="499"/>
        <v>7.0999999999999994E-2</v>
      </c>
      <c r="H181" s="217">
        <f t="shared" si="500"/>
        <v>17.04</v>
      </c>
      <c r="I181" s="217">
        <f t="shared" si="501"/>
        <v>1.2779999999999998</v>
      </c>
      <c r="J181" s="541">
        <f t="shared" si="502"/>
        <v>17.885606093480749</v>
      </c>
      <c r="K181" s="443">
        <f t="shared" si="503"/>
        <v>19.845120000000001</v>
      </c>
      <c r="L181" s="172">
        <f t="shared" si="504"/>
        <v>37.730726093480754</v>
      </c>
      <c r="M181" s="443"/>
      <c r="N181" s="217">
        <f t="shared" si="505"/>
        <v>0.5259670845144141</v>
      </c>
      <c r="O181" s="172">
        <f t="shared" si="506"/>
        <v>29.169736718639719</v>
      </c>
      <c r="P181" s="172">
        <f t="shared" si="507"/>
        <v>2.3518100229403274</v>
      </c>
      <c r="Q181" s="217">
        <f t="shared" si="508"/>
        <v>7.2924341796599297</v>
      </c>
      <c r="R181" s="217">
        <f t="shared" si="509"/>
        <v>1.6205409288133177</v>
      </c>
      <c r="S181" s="217">
        <f t="shared" si="510"/>
        <v>4</v>
      </c>
      <c r="T181" s="217">
        <f t="shared" si="511"/>
        <v>3.8944472175303724</v>
      </c>
      <c r="U181" s="217">
        <f t="shared" si="512"/>
        <v>2.6129037152058627</v>
      </c>
      <c r="V181" s="217">
        <f t="shared" si="513"/>
        <v>2.3549047126126958</v>
      </c>
      <c r="W181" s="197">
        <f t="shared" si="514"/>
        <v>350</v>
      </c>
      <c r="X181" s="443">
        <f t="shared" si="599"/>
        <v>193.50562505702658</v>
      </c>
      <c r="Z181" s="217">
        <f t="shared" si="515"/>
        <v>2.2398190694669782</v>
      </c>
      <c r="AA181" s="173">
        <f t="shared" si="516"/>
        <v>1.3543797585302451</v>
      </c>
      <c r="AB181" s="173">
        <f t="shared" si="517"/>
        <v>1.975345048669104</v>
      </c>
      <c r="AC181" s="173"/>
      <c r="AD181" s="173">
        <f t="shared" si="518"/>
        <v>0.80624355005159964</v>
      </c>
      <c r="AE181" s="545">
        <f t="shared" si="519"/>
        <v>1981.4111999999996</v>
      </c>
      <c r="AF181" s="528">
        <f t="shared" si="520"/>
        <v>0.75249398004815971</v>
      </c>
      <c r="AH181" s="173">
        <f t="shared" si="521"/>
        <v>2.9534483477550677</v>
      </c>
      <c r="AI181" s="173">
        <f t="shared" si="522"/>
        <v>3.8944472175303724</v>
      </c>
      <c r="AJ181" s="173">
        <f t="shared" si="523"/>
        <v>3.0971213957015102</v>
      </c>
      <c r="AL181" s="545">
        <f t="shared" si="524"/>
        <v>4260</v>
      </c>
      <c r="AM181" s="460">
        <f t="shared" si="525"/>
        <v>193.50562505702658</v>
      </c>
      <c r="AO181">
        <f t="shared" si="526"/>
        <v>4260</v>
      </c>
      <c r="AP181">
        <f t="shared" si="527"/>
        <v>193.50562505702658</v>
      </c>
      <c r="AR181" s="5">
        <f t="shared" si="443"/>
        <v>5.1678084278185583</v>
      </c>
      <c r="AS181" s="5">
        <f t="shared" si="604"/>
        <v>2.6129037152058627</v>
      </c>
      <c r="AT181" s="5">
        <f t="shared" si="605"/>
        <v>2.5549047126126956</v>
      </c>
      <c r="AU181" s="173">
        <f t="shared" si="606"/>
        <v>0.5056115666247375</v>
      </c>
      <c r="AW181" s="5">
        <f t="shared" si="477"/>
        <v>278.27424566942437</v>
      </c>
      <c r="AX181" s="5">
        <f t="shared" si="478"/>
        <v>1.0306453543312013</v>
      </c>
      <c r="AY181" s="5">
        <f t="shared" si="479"/>
        <v>2.0284270339781267</v>
      </c>
      <c r="AZ181" s="5"/>
      <c r="BA181" s="173">
        <f t="shared" si="480"/>
        <v>1.5987983633490119</v>
      </c>
      <c r="BB181" s="173">
        <f t="shared" si="481"/>
        <v>6.3238176276413389</v>
      </c>
      <c r="BC181" s="173">
        <f t="shared" si="482"/>
        <v>0.12049436290505794</v>
      </c>
      <c r="BD181" s="173"/>
      <c r="BE181" s="528">
        <f t="shared" si="483"/>
        <v>3.1185105721099244E-2</v>
      </c>
      <c r="BF181" s="528">
        <f t="shared" si="528"/>
        <v>0.53313335080484736</v>
      </c>
      <c r="BG181" s="528">
        <f t="shared" si="529"/>
        <v>8.6524134666068897E-2</v>
      </c>
      <c r="BH181" s="528">
        <f t="shared" si="484"/>
        <v>2.7547609618768405E-2</v>
      </c>
      <c r="BI181">
        <f t="shared" si="485"/>
        <v>8.0485227420663379E-3</v>
      </c>
      <c r="BJ181" s="460">
        <f t="shared" si="600"/>
        <v>94.572657408135242</v>
      </c>
      <c r="BK181">
        <f t="shared" si="530"/>
        <v>0.60476711569143271</v>
      </c>
      <c r="BL181" s="460">
        <f t="shared" si="601"/>
        <v>686.43872355285032</v>
      </c>
      <c r="BM181" s="173">
        <f t="shared" si="531"/>
        <v>2.6465249999999996</v>
      </c>
      <c r="BN181" s="173">
        <f t="shared" si="532"/>
        <v>4.4108749999999995E-2</v>
      </c>
      <c r="BO181" s="528"/>
      <c r="BQ181" s="460">
        <f t="shared" si="486"/>
        <v>2690.6337499999995</v>
      </c>
      <c r="BR181" s="528">
        <f t="shared" si="487"/>
        <v>7.6684686199424368E-2</v>
      </c>
      <c r="BS181" s="528">
        <f t="shared" si="488"/>
        <v>1.19972008163002</v>
      </c>
      <c r="BT181" s="528">
        <f t="shared" si="489"/>
        <v>7.2594457459479019E-5</v>
      </c>
      <c r="BU181" s="528">
        <f t="shared" si="490"/>
        <v>0.77950435332870438</v>
      </c>
      <c r="BV181" s="528"/>
      <c r="BW181" s="625">
        <f t="shared" si="533"/>
        <v>7.3371136633504488E-2</v>
      </c>
      <c r="BX181" s="460">
        <f t="shared" si="491"/>
        <v>2129.3528522491124</v>
      </c>
      <c r="BY181" s="173">
        <f t="shared" si="492"/>
        <v>5.5064253258019624</v>
      </c>
      <c r="BZ181" s="5">
        <f t="shared" si="493"/>
        <v>18.317999999999998</v>
      </c>
      <c r="CA181" s="173">
        <f t="shared" si="494"/>
        <v>0.76887478919214558</v>
      </c>
      <c r="CB181" s="5">
        <f t="shared" si="495"/>
        <v>76.887478919214558</v>
      </c>
      <c r="CC181">
        <f t="shared" si="496"/>
        <v>71</v>
      </c>
      <c r="CE181" s="562">
        <f t="shared" si="534"/>
        <v>-50</v>
      </c>
      <c r="CF181">
        <f t="shared" si="535"/>
        <v>-50</v>
      </c>
      <c r="CG181" s="173">
        <f t="shared" si="536"/>
        <v>0.48913043478260865</v>
      </c>
      <c r="CH181" s="173">
        <f t="shared" si="537"/>
        <v>0.13097870664369976</v>
      </c>
      <c r="CI181" s="170">
        <v>71</v>
      </c>
      <c r="CJ181" s="217">
        <f t="shared" si="602"/>
        <v>4.26</v>
      </c>
      <c r="CK181" s="217">
        <f t="shared" si="538"/>
        <v>7.0999999999999994E-2</v>
      </c>
      <c r="CL181" s="217">
        <f t="shared" si="539"/>
        <v>17.04</v>
      </c>
      <c r="CM181" s="217">
        <f t="shared" si="540"/>
        <v>1.2779999999999998</v>
      </c>
      <c r="CN181" s="541">
        <f t="shared" si="541"/>
        <v>18</v>
      </c>
      <c r="CO181" s="443">
        <f t="shared" si="542"/>
        <v>18.8</v>
      </c>
      <c r="CP181" s="443">
        <f t="shared" si="543"/>
        <v>36.799999999999997</v>
      </c>
      <c r="CQ181" s="443"/>
      <c r="CR181" s="217">
        <f t="shared" si="544"/>
        <v>0.51086956521739135</v>
      </c>
      <c r="CS181" s="172">
        <f t="shared" si="545"/>
        <v>28.513650151668358</v>
      </c>
      <c r="CT181" s="172">
        <f t="shared" si="546"/>
        <v>2.2989130434782612</v>
      </c>
      <c r="CU181" s="217">
        <f t="shared" si="547"/>
        <v>7.1284125379170895</v>
      </c>
      <c r="CV181" s="217">
        <f t="shared" si="548"/>
        <v>1.5840916750926866</v>
      </c>
      <c r="CW181" s="217">
        <f t="shared" si="549"/>
        <v>4</v>
      </c>
      <c r="CX181" s="217">
        <f t="shared" si="550"/>
        <v>3.9840567375886513</v>
      </c>
      <c r="CY181" s="217">
        <f t="shared" si="551"/>
        <v>2.656037825059101</v>
      </c>
      <c r="CZ181" s="217">
        <f t="shared" si="552"/>
        <v>2.5430149388863734</v>
      </c>
      <c r="DA181" s="197">
        <f t="shared" si="553"/>
        <v>350</v>
      </c>
      <c r="DB181" s="443">
        <f t="shared" si="554"/>
        <v>192.34272960929076</v>
      </c>
      <c r="DD181" s="217">
        <f t="shared" si="555"/>
        <v>2.18944099378882</v>
      </c>
      <c r="DE181" s="173">
        <f t="shared" si="556"/>
        <v>1.3975155279503106</v>
      </c>
      <c r="DF181" s="173">
        <f t="shared" si="557"/>
        <v>1.9924134422749624</v>
      </c>
      <c r="DG181" s="173"/>
      <c r="DH181" s="173">
        <f t="shared" si="558"/>
        <v>0.85106382978723416</v>
      </c>
      <c r="DI181" s="545">
        <f t="shared" si="559"/>
        <v>1877.0624999999993</v>
      </c>
      <c r="DJ181" s="528">
        <f t="shared" si="560"/>
        <v>0.79432624113475192</v>
      </c>
      <c r="DL181" s="173">
        <f t="shared" si="561"/>
        <v>2.9534483477550677</v>
      </c>
      <c r="DM181" s="173">
        <f t="shared" si="562"/>
        <v>3.9840567375886513</v>
      </c>
      <c r="DN181" s="173">
        <f t="shared" si="563"/>
        <v>3.1634988179669019</v>
      </c>
      <c r="DP181" s="545">
        <f t="shared" si="564"/>
        <v>4260</v>
      </c>
      <c r="DQ181" s="460">
        <f t="shared" si="565"/>
        <v>192.34272960929076</v>
      </c>
      <c r="DS181">
        <f t="shared" si="566"/>
        <v>4260</v>
      </c>
      <c r="DT181">
        <f t="shared" si="567"/>
        <v>192.34272960929076</v>
      </c>
      <c r="DV181" s="5">
        <f t="shared" si="568"/>
        <v>5.199052763945474</v>
      </c>
      <c r="DW181" s="5">
        <f t="shared" si="569"/>
        <v>2.656037825059101</v>
      </c>
      <c r="DX181" s="5">
        <f t="shared" si="570"/>
        <v>2.543014938886373</v>
      </c>
      <c r="DY181" s="173">
        <f t="shared" si="571"/>
        <v>0.51086956521739135</v>
      </c>
      <c r="EA181" s="5">
        <f t="shared" si="572"/>
        <v>282.86802836879423</v>
      </c>
      <c r="EB181" s="5">
        <f t="shared" si="573"/>
        <v>1.0476593643288674</v>
      </c>
      <c r="EC181" s="5">
        <f t="shared" si="574"/>
        <v>2.0061562295659159</v>
      </c>
      <c r="ED181" s="5"/>
      <c r="EE181" s="173">
        <f t="shared" si="575"/>
        <v>1.6440684778829859</v>
      </c>
      <c r="EF181" s="173">
        <f t="shared" si="576"/>
        <v>6.4348321328718825</v>
      </c>
      <c r="EG181" s="173">
        <f t="shared" si="577"/>
        <v>0.1226096392885048</v>
      </c>
      <c r="EH181" s="173"/>
      <c r="EI181" s="528">
        <f t="shared" si="578"/>
        <v>3.297612615161543E-2</v>
      </c>
      <c r="EJ181" s="528">
        <f t="shared" si="579"/>
        <v>0.56400000000000006</v>
      </c>
      <c r="EK181" s="528">
        <f t="shared" si="580"/>
        <v>2.4042841201161343E-2</v>
      </c>
      <c r="EL181" s="528">
        <f t="shared" si="581"/>
        <v>2.6047821814608588E-2</v>
      </c>
      <c r="EM181">
        <f t="shared" si="582"/>
        <v>8.0999999999999996E-3</v>
      </c>
      <c r="EN181" s="460">
        <f t="shared" si="583"/>
        <v>32.142841201161346</v>
      </c>
      <c r="EP181" s="460">
        <f t="shared" si="603"/>
        <v>655.16678916738533</v>
      </c>
      <c r="EQ181" s="173">
        <f t="shared" si="584"/>
        <v>2.9819999999999998</v>
      </c>
      <c r="ER181" s="173">
        <f t="shared" si="585"/>
        <v>3.1506249999999993E-2</v>
      </c>
      <c r="ES181" s="528"/>
      <c r="EU181" s="460">
        <f t="shared" si="497"/>
        <v>3013.5062499999999</v>
      </c>
      <c r="EV181" s="528">
        <f t="shared" si="586"/>
        <v>8.1088834799054349E-2</v>
      </c>
      <c r="EW181" s="528">
        <f t="shared" si="587"/>
        <v>1.2422119373472149</v>
      </c>
      <c r="EX181" s="528">
        <f t="shared" si="588"/>
        <v>7.516561823228629E-5</v>
      </c>
      <c r="EY181" s="528">
        <f t="shared" si="589"/>
        <v>0.81278041177063243</v>
      </c>
      <c r="EZ181" s="528"/>
      <c r="FA181" s="625">
        <f t="shared" si="590"/>
        <v>7.6325000000000004E-2</v>
      </c>
      <c r="FB181" s="460">
        <f t="shared" si="498"/>
        <v>2212.4813495351341</v>
      </c>
      <c r="FC181" s="173">
        <f t="shared" si="591"/>
        <v>5.8811543887025186</v>
      </c>
      <c r="FD181" s="5">
        <f t="shared" si="592"/>
        <v>18.317999999999998</v>
      </c>
      <c r="FE181" s="173">
        <f t="shared" si="593"/>
        <v>0.75696859922311321</v>
      </c>
      <c r="FF181" s="5">
        <f t="shared" si="594"/>
        <v>75.696859922311319</v>
      </c>
      <c r="FG181">
        <f t="shared" si="595"/>
        <v>71</v>
      </c>
      <c r="FI181" s="562">
        <f t="shared" si="596"/>
        <v>-50</v>
      </c>
      <c r="FJ181">
        <f t="shared" si="597"/>
        <v>-50</v>
      </c>
    </row>
    <row r="182" spans="5:166">
      <c r="E182" s="170">
        <v>72</v>
      </c>
      <c r="F182" s="217">
        <f t="shared" si="598"/>
        <v>4.32</v>
      </c>
      <c r="G182" s="217">
        <f t="shared" si="499"/>
        <v>7.1999999999999995E-2</v>
      </c>
      <c r="H182" s="217">
        <f t="shared" si="500"/>
        <v>17.28</v>
      </c>
      <c r="I182" s="217">
        <f t="shared" si="501"/>
        <v>1.2959999999999998</v>
      </c>
      <c r="J182" s="541">
        <f t="shared" si="502"/>
        <v>17.883994911698789</v>
      </c>
      <c r="K182" s="443">
        <f t="shared" si="503"/>
        <v>19.859840000000002</v>
      </c>
      <c r="L182" s="172">
        <f t="shared" si="504"/>
        <v>37.743834911698791</v>
      </c>
      <c r="M182" s="443"/>
      <c r="N182" s="217">
        <f t="shared" si="505"/>
        <v>0.5261744082566554</v>
      </c>
      <c r="O182" s="172">
        <f t="shared" si="506"/>
        <v>29.178606015281076</v>
      </c>
      <c r="P182" s="172">
        <f t="shared" si="507"/>
        <v>2.3525251099820368</v>
      </c>
      <c r="Q182" s="217">
        <f t="shared" si="508"/>
        <v>7.2946515038202691</v>
      </c>
      <c r="R182" s="217">
        <f t="shared" si="509"/>
        <v>1.6210336675156154</v>
      </c>
      <c r="S182" s="217">
        <f t="shared" si="510"/>
        <v>4</v>
      </c>
      <c r="T182" s="217">
        <f t="shared" si="511"/>
        <v>3.948098135314237</v>
      </c>
      <c r="U182" s="217">
        <f t="shared" si="512"/>
        <v>2.6491383976395082</v>
      </c>
      <c r="V182" s="217">
        <f t="shared" si="513"/>
        <v>2.3855770048384501</v>
      </c>
      <c r="W182" s="197">
        <f t="shared" si="514"/>
        <v>350</v>
      </c>
      <c r="X182" s="443">
        <f t="shared" si="599"/>
        <v>191.03235288142497</v>
      </c>
      <c r="Z182" s="217">
        <f t="shared" si="515"/>
        <v>2.2405001047447968</v>
      </c>
      <c r="AA182" s="173">
        <f t="shared" si="516"/>
        <v>1.3537874049809846</v>
      </c>
      <c r="AB182" s="173">
        <f t="shared" si="517"/>
        <v>1.9750814659194957</v>
      </c>
      <c r="AC182" s="173"/>
      <c r="AD182" s="173">
        <f t="shared" si="518"/>
        <v>0.80564596693628965</v>
      </c>
      <c r="AE182" s="545">
        <f t="shared" si="519"/>
        <v>2010.8087999999998</v>
      </c>
      <c r="AF182" s="528">
        <f t="shared" si="520"/>
        <v>0.7519362358072037</v>
      </c>
      <c r="AH182" s="173">
        <f t="shared" si="521"/>
        <v>2.9741745553538523</v>
      </c>
      <c r="AI182" s="173">
        <f t="shared" si="522"/>
        <v>3.948098135314237</v>
      </c>
      <c r="AJ182" s="173">
        <f t="shared" si="523"/>
        <v>3.1368628162821506</v>
      </c>
      <c r="AL182" s="545">
        <f t="shared" si="524"/>
        <v>4320</v>
      </c>
      <c r="AM182" s="460">
        <f t="shared" si="525"/>
        <v>191.03235288142497</v>
      </c>
      <c r="AO182">
        <f t="shared" si="526"/>
        <v>4320</v>
      </c>
      <c r="AP182">
        <f t="shared" si="527"/>
        <v>191.03235288142497</v>
      </c>
      <c r="AR182" s="5">
        <f t="shared" si="443"/>
        <v>5.234715402477959</v>
      </c>
      <c r="AS182" s="5">
        <f t="shared" si="604"/>
        <v>2.6491383976395082</v>
      </c>
      <c r="AT182" s="5">
        <f t="shared" si="605"/>
        <v>2.5855770048384508</v>
      </c>
      <c r="AU182" s="173">
        <f t="shared" si="606"/>
        <v>0.50607114120960328</v>
      </c>
      <c r="AW182" s="5">
        <f t="shared" si="477"/>
        <v>286.10694694506691</v>
      </c>
      <c r="AX182" s="5">
        <f t="shared" si="478"/>
        <v>1.0596553590558031</v>
      </c>
      <c r="AY182" s="5">
        <f t="shared" si="479"/>
        <v>2.0818787442909765</v>
      </c>
      <c r="AZ182" s="5"/>
      <c r="BA182" s="173">
        <f t="shared" si="480"/>
        <v>1.6215602803529412</v>
      </c>
      <c r="BB182" s="173">
        <f t="shared" si="481"/>
        <v>6.4079557458383771</v>
      </c>
      <c r="BC182" s="173">
        <f t="shared" si="482"/>
        <v>0.12209753515719071</v>
      </c>
      <c r="BD182" s="173"/>
      <c r="BE182" s="528">
        <f t="shared" si="483"/>
        <v>3.207938446238337E-2</v>
      </c>
      <c r="BF182" s="528">
        <f t="shared" si="528"/>
        <v>0.53375525020405046</v>
      </c>
      <c r="BG182" s="528">
        <f t="shared" si="529"/>
        <v>8.5410540672531288E-2</v>
      </c>
      <c r="BH182" s="528">
        <f t="shared" si="484"/>
        <v>2.7214413092394869E-2</v>
      </c>
      <c r="BI182">
        <f t="shared" si="485"/>
        <v>8.0477977102644555E-3</v>
      </c>
      <c r="BJ182" s="460">
        <f t="shared" si="600"/>
        <v>93.458338382795745</v>
      </c>
      <c r="BK182">
        <f t="shared" si="530"/>
        <v>0.60633198136558697</v>
      </c>
      <c r="BL182" s="460">
        <f t="shared" si="601"/>
        <v>686.50738614162447</v>
      </c>
      <c r="BM182" s="173">
        <f t="shared" si="531"/>
        <v>2.6837999999999997</v>
      </c>
      <c r="BN182" s="173">
        <f t="shared" si="532"/>
        <v>4.4729999999999992E-2</v>
      </c>
      <c r="BO182" s="528"/>
      <c r="BQ182" s="460">
        <f t="shared" si="486"/>
        <v>2728.5299999999997</v>
      </c>
      <c r="BR182" s="528">
        <f t="shared" si="487"/>
        <v>7.8883732284549285E-2</v>
      </c>
      <c r="BS182" s="528">
        <f t="shared" si="488"/>
        <v>1.2318569052186921</v>
      </c>
      <c r="BT182" s="528">
        <f t="shared" si="489"/>
        <v>7.4539040457307113E-5</v>
      </c>
      <c r="BU182" s="528">
        <f t="shared" si="490"/>
        <v>0.78110094647225159</v>
      </c>
      <c r="BV182" s="528"/>
      <c r="BW182" s="625">
        <f t="shared" si="533"/>
        <v>7.4442819177395536E-2</v>
      </c>
      <c r="BX182" s="460">
        <f t="shared" si="491"/>
        <v>2166.3589421933457</v>
      </c>
      <c r="BY182" s="173">
        <f t="shared" si="492"/>
        <v>5.5813963283349697</v>
      </c>
      <c r="BZ182" s="5">
        <f t="shared" si="493"/>
        <v>18.576000000000001</v>
      </c>
      <c r="CA182" s="173">
        <f t="shared" si="494"/>
        <v>0.76895704104550489</v>
      </c>
      <c r="CB182" s="5">
        <f t="shared" si="495"/>
        <v>76.895704104550489</v>
      </c>
      <c r="CC182">
        <f t="shared" si="496"/>
        <v>72.000000000000014</v>
      </c>
      <c r="CE182" s="562">
        <f t="shared" si="534"/>
        <v>-50</v>
      </c>
      <c r="CF182">
        <f t="shared" si="535"/>
        <v>-50</v>
      </c>
      <c r="CG182" s="173">
        <f t="shared" si="536"/>
        <v>0.48913043478260876</v>
      </c>
      <c r="CH182" s="173">
        <f t="shared" si="537"/>
        <v>0.13097870664369973</v>
      </c>
      <c r="CI182" s="170">
        <v>72</v>
      </c>
      <c r="CJ182" s="217">
        <f t="shared" si="602"/>
        <v>4.32</v>
      </c>
      <c r="CK182" s="217">
        <f t="shared" si="538"/>
        <v>7.1999999999999995E-2</v>
      </c>
      <c r="CL182" s="217">
        <f t="shared" si="539"/>
        <v>17.28</v>
      </c>
      <c r="CM182" s="217">
        <f t="shared" si="540"/>
        <v>1.2959999999999998</v>
      </c>
      <c r="CN182" s="541">
        <f t="shared" si="541"/>
        <v>18</v>
      </c>
      <c r="CO182" s="443">
        <f t="shared" si="542"/>
        <v>18.8</v>
      </c>
      <c r="CP182" s="443">
        <f t="shared" si="543"/>
        <v>36.799999999999997</v>
      </c>
      <c r="CQ182" s="443"/>
      <c r="CR182" s="217">
        <f t="shared" si="544"/>
        <v>0.51086956521739135</v>
      </c>
      <c r="CS182" s="172">
        <f t="shared" si="545"/>
        <v>28.513650151668358</v>
      </c>
      <c r="CT182" s="172">
        <f t="shared" si="546"/>
        <v>2.2989130434782612</v>
      </c>
      <c r="CU182" s="217">
        <f t="shared" si="547"/>
        <v>7.1284125379170895</v>
      </c>
      <c r="CV182" s="217">
        <f t="shared" si="548"/>
        <v>1.5840916750926866</v>
      </c>
      <c r="CW182" s="217">
        <f t="shared" si="549"/>
        <v>4</v>
      </c>
      <c r="CX182" s="217">
        <f t="shared" si="550"/>
        <v>4.0401702127659567</v>
      </c>
      <c r="CY182" s="217">
        <f t="shared" si="551"/>
        <v>2.6934468085106378</v>
      </c>
      <c r="CZ182" s="217">
        <f t="shared" si="552"/>
        <v>2.5788320507016742</v>
      </c>
      <c r="DA182" s="197">
        <f t="shared" si="553"/>
        <v>350</v>
      </c>
      <c r="DB182" s="443">
        <f t="shared" si="554"/>
        <v>189.67130280916169</v>
      </c>
      <c r="DD182" s="217">
        <f t="shared" si="555"/>
        <v>2.18944099378882</v>
      </c>
      <c r="DE182" s="173">
        <f t="shared" si="556"/>
        <v>1.3975155279503106</v>
      </c>
      <c r="DF182" s="173">
        <f t="shared" si="557"/>
        <v>1.9924134422749624</v>
      </c>
      <c r="DG182" s="173"/>
      <c r="DH182" s="173">
        <f t="shared" si="558"/>
        <v>0.85106382978723416</v>
      </c>
      <c r="DI182" s="545">
        <f t="shared" si="559"/>
        <v>1903.4999999999998</v>
      </c>
      <c r="DJ182" s="528">
        <f t="shared" si="560"/>
        <v>0.79432624113475192</v>
      </c>
      <c r="DL182" s="173">
        <f t="shared" si="561"/>
        <v>2.9741745553538523</v>
      </c>
      <c r="DM182" s="173">
        <f t="shared" si="562"/>
        <v>4.0401702127659567</v>
      </c>
      <c r="DN182" s="173">
        <f t="shared" si="563"/>
        <v>3.205064355135276</v>
      </c>
      <c r="DP182" s="545">
        <f t="shared" si="564"/>
        <v>4320</v>
      </c>
      <c r="DQ182" s="460">
        <f t="shared" si="565"/>
        <v>189.67130280916169</v>
      </c>
      <c r="DS182">
        <f t="shared" si="566"/>
        <v>4320</v>
      </c>
      <c r="DT182">
        <f t="shared" si="567"/>
        <v>189.67130280916169</v>
      </c>
      <c r="DV182" s="5">
        <f t="shared" si="568"/>
        <v>5.2722788592123129</v>
      </c>
      <c r="DW182" s="5">
        <f t="shared" si="569"/>
        <v>2.6934468085106378</v>
      </c>
      <c r="DX182" s="5">
        <f t="shared" si="570"/>
        <v>2.5788320507016751</v>
      </c>
      <c r="DY182" s="173">
        <f t="shared" si="571"/>
        <v>0.51086956521739124</v>
      </c>
      <c r="EA182" s="5">
        <f t="shared" si="572"/>
        <v>290.89225531914894</v>
      </c>
      <c r="EB182" s="5">
        <f t="shared" si="573"/>
        <v>1.0773787234042551</v>
      </c>
      <c r="EC182" s="5">
        <f t="shared" si="574"/>
        <v>2.0630656405613399</v>
      </c>
      <c r="ED182" s="5"/>
      <c r="EE182" s="173">
        <f t="shared" si="575"/>
        <v>1.6672243719376758</v>
      </c>
      <c r="EF182" s="173">
        <f t="shared" si="576"/>
        <v>6.525463571363038</v>
      </c>
      <c r="EG182" s="173">
        <f t="shared" si="577"/>
        <v>0.12433653561651194</v>
      </c>
      <c r="EH182" s="173"/>
      <c r="EI182" s="528">
        <f t="shared" si="578"/>
        <v>3.3911572697872323E-2</v>
      </c>
      <c r="EJ182" s="528">
        <f t="shared" si="579"/>
        <v>0.56400000000000006</v>
      </c>
      <c r="EK182" s="528">
        <f t="shared" si="580"/>
        <v>2.3708912851145209E-2</v>
      </c>
      <c r="EL182" s="528">
        <f t="shared" si="581"/>
        <v>2.5686046511627911E-2</v>
      </c>
      <c r="EM182">
        <f t="shared" si="582"/>
        <v>8.0999999999999996E-3</v>
      </c>
      <c r="EN182" s="460">
        <f t="shared" si="583"/>
        <v>31.808912851145205</v>
      </c>
      <c r="EP182" s="460">
        <f t="shared" si="603"/>
        <v>655.40653206064553</v>
      </c>
      <c r="EQ182" s="173">
        <f t="shared" si="584"/>
        <v>3.024</v>
      </c>
      <c r="ER182" s="173">
        <f t="shared" si="585"/>
        <v>3.1949999999999999E-2</v>
      </c>
      <c r="ES182" s="528"/>
      <c r="EU182" s="460">
        <f t="shared" si="497"/>
        <v>3055.9500000000003</v>
      </c>
      <c r="EV182" s="528">
        <f t="shared" si="586"/>
        <v>8.3389113191489325E-2</v>
      </c>
      <c r="EW182" s="528">
        <f t="shared" si="587"/>
        <v>1.2774502446355815</v>
      </c>
      <c r="EX182" s="528">
        <f t="shared" si="588"/>
        <v>7.7297870445580715E-5</v>
      </c>
      <c r="EY182" s="528">
        <f t="shared" si="589"/>
        <v>0.81278041177063076</v>
      </c>
      <c r="EZ182" s="528"/>
      <c r="FA182" s="625">
        <f t="shared" si="590"/>
        <v>7.7399999999999983E-2</v>
      </c>
      <c r="FB182" s="460">
        <f t="shared" si="498"/>
        <v>2251.0970674681471</v>
      </c>
      <c r="FC182" s="173">
        <f t="shared" si="591"/>
        <v>5.9624535995287928</v>
      </c>
      <c r="FD182" s="5">
        <f t="shared" si="592"/>
        <v>18.576000000000001</v>
      </c>
      <c r="FE182" s="173">
        <f t="shared" si="593"/>
        <v>0.75701591889868358</v>
      </c>
      <c r="FF182" s="5">
        <f t="shared" si="594"/>
        <v>75.701591889868354</v>
      </c>
      <c r="FG182">
        <f t="shared" si="595"/>
        <v>72.000000000000014</v>
      </c>
      <c r="FI182" s="562">
        <f t="shared" si="596"/>
        <v>-50</v>
      </c>
      <c r="FJ182">
        <f t="shared" si="597"/>
        <v>-50</v>
      </c>
    </row>
    <row r="183" spans="5:166">
      <c r="E183" s="170">
        <v>73</v>
      </c>
      <c r="F183" s="217">
        <f t="shared" si="598"/>
        <v>4.38</v>
      </c>
      <c r="G183" s="217">
        <f t="shared" si="499"/>
        <v>7.2999999999999995E-2</v>
      </c>
      <c r="H183" s="217">
        <f t="shared" si="500"/>
        <v>17.52</v>
      </c>
      <c r="I183" s="217">
        <f t="shared" si="501"/>
        <v>1.3139999999999998</v>
      </c>
      <c r="J183" s="541">
        <f t="shared" si="502"/>
        <v>17.882383729916825</v>
      </c>
      <c r="K183" s="443">
        <f t="shared" si="503"/>
        <v>19.874560000000002</v>
      </c>
      <c r="L183" s="172">
        <f t="shared" si="504"/>
        <v>37.756943729916827</v>
      </c>
      <c r="M183" s="443"/>
      <c r="N183" s="217">
        <f t="shared" si="505"/>
        <v>0.52638158803760204</v>
      </c>
      <c r="O183" s="172">
        <f t="shared" si="506"/>
        <v>29.187465257833782</v>
      </c>
      <c r="P183" s="172">
        <f t="shared" si="507"/>
        <v>2.3532393864128487</v>
      </c>
      <c r="Q183" s="217">
        <f t="shared" si="508"/>
        <v>7.2968663144584456</v>
      </c>
      <c r="R183" s="217">
        <f t="shared" si="509"/>
        <v>1.6215258476574324</v>
      </c>
      <c r="S183" s="217">
        <f t="shared" si="510"/>
        <v>4</v>
      </c>
      <c r="T183" s="217">
        <f t="shared" si="511"/>
        <v>4.0017178253822987</v>
      </c>
      <c r="U183" s="217">
        <f t="shared" si="512"/>
        <v>2.6853586540730685</v>
      </c>
      <c r="V183" s="217">
        <f t="shared" si="513"/>
        <v>2.4161850075970275</v>
      </c>
      <c r="W183" s="197">
        <f t="shared" si="514"/>
        <v>350</v>
      </c>
      <c r="X183" s="443">
        <f t="shared" si="599"/>
        <v>188.62430714849177</v>
      </c>
      <c r="Z183" s="217">
        <f t="shared" si="515"/>
        <v>2.2411803680122375</v>
      </c>
      <c r="AA183" s="173">
        <f t="shared" si="516"/>
        <v>1.3531954627497085</v>
      </c>
      <c r="AB183" s="173">
        <f t="shared" si="517"/>
        <v>1.9748172778032718</v>
      </c>
      <c r="AC183" s="173"/>
      <c r="AD183" s="173">
        <f t="shared" si="518"/>
        <v>0.80504926901526375</v>
      </c>
      <c r="AE183" s="545">
        <f t="shared" si="519"/>
        <v>2040.2477999999999</v>
      </c>
      <c r="AF183" s="528">
        <f t="shared" si="520"/>
        <v>0.7513793177475796</v>
      </c>
      <c r="AH183" s="173">
        <f t="shared" si="521"/>
        <v>2.9947573238196492</v>
      </c>
      <c r="AI183" s="173">
        <f t="shared" si="522"/>
        <v>4.0017178253822987</v>
      </c>
      <c r="AJ183" s="173">
        <f t="shared" si="523"/>
        <v>3.1765811052214556</v>
      </c>
      <c r="AL183" s="545">
        <f t="shared" si="524"/>
        <v>4380</v>
      </c>
      <c r="AM183" s="460">
        <f t="shared" si="525"/>
        <v>188.62430714849177</v>
      </c>
      <c r="AO183">
        <f t="shared" si="526"/>
        <v>4380</v>
      </c>
      <c r="AP183">
        <f t="shared" si="527"/>
        <v>188.62430714849177</v>
      </c>
      <c r="AR183" s="5">
        <f t="shared" si="443"/>
        <v>5.3015436616700971</v>
      </c>
      <c r="AS183" s="5">
        <f t="shared" si="604"/>
        <v>2.6853586540730685</v>
      </c>
      <c r="AT183" s="5">
        <f t="shared" si="605"/>
        <v>2.6161850075970285</v>
      </c>
      <c r="AU183" s="173">
        <f t="shared" si="606"/>
        <v>0.50652391556973886</v>
      </c>
      <c r="AW183" s="5">
        <f t="shared" si="477"/>
        <v>294.04677262100097</v>
      </c>
      <c r="AX183" s="5">
        <f t="shared" si="478"/>
        <v>1.0890621208185223</v>
      </c>
      <c r="AY183" s="5">
        <f t="shared" si="479"/>
        <v>2.1359736871664965</v>
      </c>
      <c r="AZ183" s="5"/>
      <c r="BA183" s="173">
        <f t="shared" si="480"/>
        <v>1.6443180046188022</v>
      </c>
      <c r="BB183" s="173">
        <f t="shared" si="481"/>
        <v>6.4920055259954932</v>
      </c>
      <c r="BC183" s="173">
        <f t="shared" si="482"/>
        <v>0.12369902421153577</v>
      </c>
      <c r="BD183" s="173"/>
      <c r="BE183" s="528">
        <f t="shared" si="483"/>
        <v>3.2986136743825424E-2</v>
      </c>
      <c r="BF183" s="528">
        <f t="shared" si="528"/>
        <v>0.53437019148907394</v>
      </c>
      <c r="BG183" s="528">
        <f t="shared" si="529"/>
        <v>8.432630603047557E-2</v>
      </c>
      <c r="BH183" s="528">
        <f t="shared" si="484"/>
        <v>2.6890032239685755E-2</v>
      </c>
      <c r="BI183">
        <f t="shared" si="485"/>
        <v>8.0470726784625714E-3</v>
      </c>
      <c r="BJ183" s="460">
        <f t="shared" si="600"/>
        <v>92.373378708938134</v>
      </c>
      <c r="BK183">
        <f t="shared" si="530"/>
        <v>0.60791717193084394</v>
      </c>
      <c r="BL183" s="460">
        <f t="shared" si="601"/>
        <v>686.6197391815233</v>
      </c>
      <c r="BM183" s="173">
        <f t="shared" si="531"/>
        <v>2.7210749999999999</v>
      </c>
      <c r="BN183" s="173">
        <f t="shared" si="532"/>
        <v>4.5351249999999989E-2</v>
      </c>
      <c r="BO183" s="528"/>
      <c r="BQ183" s="460">
        <f t="shared" si="486"/>
        <v>2766.42625</v>
      </c>
      <c r="BR183" s="528">
        <f t="shared" si="487"/>
        <v>8.1113451009406784E-2</v>
      </c>
      <c r="BS183" s="528">
        <f t="shared" si="488"/>
        <v>1.2643840724866806</v>
      </c>
      <c r="BT183" s="528">
        <f t="shared" si="489"/>
        <v>7.6507242954430558E-5</v>
      </c>
      <c r="BU183" s="528">
        <f t="shared" si="490"/>
        <v>0.78267291092621927</v>
      </c>
      <c r="BV183" s="528"/>
      <c r="BW183" s="625">
        <f t="shared" si="533"/>
        <v>7.5514541499304449E-2</v>
      </c>
      <c r="BX183" s="460">
        <f t="shared" si="491"/>
        <v>2203.7614831645656</v>
      </c>
      <c r="BY183" s="173">
        <f t="shared" si="492"/>
        <v>5.656807472346089</v>
      </c>
      <c r="BZ183" s="5">
        <f t="shared" si="493"/>
        <v>18.834</v>
      </c>
      <c r="CA183" s="173">
        <f t="shared" si="494"/>
        <v>0.76902323540236472</v>
      </c>
      <c r="CB183" s="5">
        <f t="shared" si="495"/>
        <v>76.902323540236466</v>
      </c>
      <c r="CC183">
        <f t="shared" si="496"/>
        <v>73</v>
      </c>
      <c r="CE183" s="562">
        <f t="shared" si="534"/>
        <v>-50</v>
      </c>
      <c r="CF183">
        <f t="shared" si="535"/>
        <v>-50</v>
      </c>
      <c r="CG183" s="173">
        <f t="shared" si="536"/>
        <v>0.48913043478260865</v>
      </c>
      <c r="CH183" s="173">
        <f t="shared" si="537"/>
        <v>0.13097870664369973</v>
      </c>
      <c r="CI183" s="170">
        <v>73</v>
      </c>
      <c r="CJ183" s="217">
        <f t="shared" si="602"/>
        <v>4.38</v>
      </c>
      <c r="CK183" s="217">
        <f t="shared" si="538"/>
        <v>7.2999999999999995E-2</v>
      </c>
      <c r="CL183" s="217">
        <f t="shared" si="539"/>
        <v>17.52</v>
      </c>
      <c r="CM183" s="217">
        <f t="shared" si="540"/>
        <v>1.3139999999999998</v>
      </c>
      <c r="CN183" s="541">
        <f t="shared" si="541"/>
        <v>18</v>
      </c>
      <c r="CO183" s="443">
        <f t="shared" si="542"/>
        <v>18.8</v>
      </c>
      <c r="CP183" s="443">
        <f t="shared" si="543"/>
        <v>36.799999999999997</v>
      </c>
      <c r="CQ183" s="443"/>
      <c r="CR183" s="217">
        <f t="shared" si="544"/>
        <v>0.51086956521739135</v>
      </c>
      <c r="CS183" s="172">
        <f t="shared" si="545"/>
        <v>28.513650151668358</v>
      </c>
      <c r="CT183" s="172">
        <f t="shared" si="546"/>
        <v>2.2989130434782612</v>
      </c>
      <c r="CU183" s="217">
        <f t="shared" si="547"/>
        <v>7.1284125379170895</v>
      </c>
      <c r="CV183" s="217">
        <f t="shared" si="548"/>
        <v>1.5840916750926866</v>
      </c>
      <c r="CW183" s="217">
        <f t="shared" si="549"/>
        <v>4</v>
      </c>
      <c r="CX183" s="217">
        <f t="shared" si="550"/>
        <v>4.096283687943262</v>
      </c>
      <c r="CY183" s="217">
        <f t="shared" si="551"/>
        <v>2.730855791962175</v>
      </c>
      <c r="CZ183" s="217">
        <f t="shared" si="552"/>
        <v>2.6146491625169759</v>
      </c>
      <c r="DA183" s="197">
        <f t="shared" si="553"/>
        <v>350</v>
      </c>
      <c r="DB183" s="443">
        <f t="shared" si="554"/>
        <v>187.07306578437863</v>
      </c>
      <c r="DD183" s="217">
        <f t="shared" si="555"/>
        <v>2.18944099378882</v>
      </c>
      <c r="DE183" s="173">
        <f t="shared" si="556"/>
        <v>1.3975155279503106</v>
      </c>
      <c r="DF183" s="173">
        <f t="shared" si="557"/>
        <v>1.9924134422749624</v>
      </c>
      <c r="DG183" s="173"/>
      <c r="DH183" s="173">
        <f t="shared" si="558"/>
        <v>0.85106382978723416</v>
      </c>
      <c r="DI183" s="545">
        <f t="shared" si="559"/>
        <v>1929.9374999999993</v>
      </c>
      <c r="DJ183" s="528">
        <f t="shared" si="560"/>
        <v>0.79432624113475192</v>
      </c>
      <c r="DL183" s="173">
        <f t="shared" si="561"/>
        <v>2.9947573238196492</v>
      </c>
      <c r="DM183" s="173">
        <f t="shared" si="562"/>
        <v>4.096283687943262</v>
      </c>
      <c r="DN183" s="173">
        <f t="shared" si="563"/>
        <v>3.246629892303651</v>
      </c>
      <c r="DP183" s="545">
        <f t="shared" si="564"/>
        <v>4380</v>
      </c>
      <c r="DQ183" s="460">
        <f t="shared" si="565"/>
        <v>187.07306578437863</v>
      </c>
      <c r="DS183">
        <f t="shared" si="566"/>
        <v>4380</v>
      </c>
      <c r="DT183">
        <f t="shared" si="567"/>
        <v>187.07306578437863</v>
      </c>
      <c r="DV183" s="5">
        <f t="shared" si="568"/>
        <v>5.34550495447915</v>
      </c>
      <c r="DW183" s="5">
        <f t="shared" si="569"/>
        <v>2.730855791962175</v>
      </c>
      <c r="DX183" s="5">
        <f t="shared" si="570"/>
        <v>2.614649162516975</v>
      </c>
      <c r="DY183" s="173">
        <f t="shared" si="571"/>
        <v>0.51086956521739135</v>
      </c>
      <c r="EA183" s="5">
        <f t="shared" si="572"/>
        <v>299.02870921985811</v>
      </c>
      <c r="EB183" s="5">
        <f t="shared" si="573"/>
        <v>1.1075137378513262</v>
      </c>
      <c r="EC183" s="5">
        <f t="shared" si="574"/>
        <v>2.1207709873748795</v>
      </c>
      <c r="ED183" s="5"/>
      <c r="EE183" s="173">
        <f t="shared" si="575"/>
        <v>1.6903802659923661</v>
      </c>
      <c r="EF183" s="173">
        <f t="shared" si="576"/>
        <v>6.6160950098541909</v>
      </c>
      <c r="EG183" s="173">
        <f t="shared" si="577"/>
        <v>0.12606343194451905</v>
      </c>
      <c r="EH183" s="173"/>
      <c r="EI183" s="528">
        <f t="shared" si="578"/>
        <v>3.4860102412608354E-2</v>
      </c>
      <c r="EJ183" s="528">
        <f t="shared" si="579"/>
        <v>0.56399999999999995</v>
      </c>
      <c r="EK183" s="528">
        <f t="shared" si="580"/>
        <v>2.3384133223047329E-2</v>
      </c>
      <c r="EL183" s="528">
        <f t="shared" si="581"/>
        <v>2.5334182860783688E-2</v>
      </c>
      <c r="EM183">
        <f t="shared" si="582"/>
        <v>8.0999999999999996E-3</v>
      </c>
      <c r="EN183" s="460">
        <f t="shared" si="583"/>
        <v>31.48413322304733</v>
      </c>
      <c r="EP183" s="460">
        <f t="shared" si="603"/>
        <v>655.67841849643935</v>
      </c>
      <c r="EQ183" s="173">
        <f t="shared" si="584"/>
        <v>3.0659999999999998</v>
      </c>
      <c r="ER183" s="173">
        <f t="shared" si="585"/>
        <v>3.2393749999999999E-2</v>
      </c>
      <c r="ES183" s="528"/>
      <c r="EU183" s="460">
        <f t="shared" si="497"/>
        <v>3098.3937499999997</v>
      </c>
      <c r="EV183" s="528">
        <f t="shared" si="586"/>
        <v>8.5721563309692675E-2</v>
      </c>
      <c r="EW183" s="528">
        <f t="shared" si="587"/>
        <v>1.3131813953825258</v>
      </c>
      <c r="EX183" s="528">
        <f t="shared" si="588"/>
        <v>7.9459944368151929E-5</v>
      </c>
      <c r="EY183" s="528">
        <f t="shared" si="589"/>
        <v>0.81278041177063065</v>
      </c>
      <c r="EZ183" s="528"/>
      <c r="FA183" s="625">
        <f t="shared" si="590"/>
        <v>7.8475000000000003E-2</v>
      </c>
      <c r="FB183" s="460">
        <f t="shared" si="498"/>
        <v>2290.2378304072172</v>
      </c>
      <c r="FC183" s="173">
        <f t="shared" si="591"/>
        <v>6.0443099989036568</v>
      </c>
      <c r="FD183" s="5">
        <f t="shared" si="592"/>
        <v>18.834</v>
      </c>
      <c r="FE183" s="173">
        <f t="shared" si="593"/>
        <v>0.75704499223741406</v>
      </c>
      <c r="FF183" s="5">
        <f t="shared" si="594"/>
        <v>75.704499223741408</v>
      </c>
      <c r="FG183">
        <f t="shared" si="595"/>
        <v>73</v>
      </c>
      <c r="FI183" s="562">
        <f t="shared" si="596"/>
        <v>-50</v>
      </c>
      <c r="FJ183">
        <f t="shared" si="597"/>
        <v>-50</v>
      </c>
    </row>
    <row r="184" spans="5:166">
      <c r="E184" s="170">
        <v>74</v>
      </c>
      <c r="F184" s="217">
        <f t="shared" si="598"/>
        <v>4.4399999999999995</v>
      </c>
      <c r="G184" s="217">
        <f t="shared" si="499"/>
        <v>7.3999999999999996E-2</v>
      </c>
      <c r="H184" s="217">
        <f t="shared" si="500"/>
        <v>17.759999999999998</v>
      </c>
      <c r="I184" s="217">
        <f t="shared" si="501"/>
        <v>1.3319999999999999</v>
      </c>
      <c r="J184" s="541">
        <f t="shared" si="502"/>
        <v>17.880772548134864</v>
      </c>
      <c r="K184" s="443">
        <f t="shared" si="503"/>
        <v>19.889279999999999</v>
      </c>
      <c r="L184" s="172">
        <f t="shared" si="504"/>
        <v>37.770052548134863</v>
      </c>
      <c r="M184" s="443"/>
      <c r="N184" s="217">
        <f t="shared" si="505"/>
        <v>0.52658862400714768</v>
      </c>
      <c r="O184" s="172">
        <f t="shared" si="506"/>
        <v>29.19631445676626</v>
      </c>
      <c r="P184" s="172">
        <f t="shared" si="507"/>
        <v>2.3539528530767795</v>
      </c>
      <c r="Q184" s="217">
        <f t="shared" si="508"/>
        <v>7.2990786141915649</v>
      </c>
      <c r="R184" s="217">
        <f t="shared" si="509"/>
        <v>1.6220174698203478</v>
      </c>
      <c r="S184" s="217">
        <f t="shared" si="510"/>
        <v>4</v>
      </c>
      <c r="T184" s="217">
        <f t="shared" si="511"/>
        <v>4.0553063701011327</v>
      </c>
      <c r="U184" s="217">
        <f t="shared" si="512"/>
        <v>2.7215645358840872</v>
      </c>
      <c r="V184" s="217">
        <f t="shared" si="513"/>
        <v>2.4467289133248462</v>
      </c>
      <c r="W184" s="197">
        <f t="shared" si="514"/>
        <v>350</v>
      </c>
      <c r="X184" s="443">
        <f t="shared" si="599"/>
        <v>186.27893751735181</v>
      </c>
      <c r="Z184" s="217">
        <f t="shared" si="515"/>
        <v>2.2418598600731232</v>
      </c>
      <c r="AA184" s="173">
        <f t="shared" si="516"/>
        <v>1.3526039314081495</v>
      </c>
      <c r="AB184" s="173">
        <f t="shared" si="517"/>
        <v>1.9745524858425314</v>
      </c>
      <c r="AC184" s="173"/>
      <c r="AD184" s="173">
        <f t="shared" si="518"/>
        <v>0.80445345432313298</v>
      </c>
      <c r="AE184" s="545">
        <f t="shared" si="519"/>
        <v>2069.7281999999991</v>
      </c>
      <c r="AF184" s="528">
        <f t="shared" si="520"/>
        <v>0.7508232240349243</v>
      </c>
      <c r="AH184" s="173">
        <f t="shared" si="521"/>
        <v>3.0151995906454636</v>
      </c>
      <c r="AI184" s="173">
        <f t="shared" si="522"/>
        <v>4.0553063701011327</v>
      </c>
      <c r="AJ184" s="173">
        <f t="shared" si="523"/>
        <v>3.2162763235317033</v>
      </c>
      <c r="AL184" s="545">
        <f t="shared" si="524"/>
        <v>4439.9999999999991</v>
      </c>
      <c r="AM184" s="460">
        <f t="shared" si="525"/>
        <v>186.27893751735181</v>
      </c>
      <c r="AO184">
        <f t="shared" si="526"/>
        <v>4439.9999999999991</v>
      </c>
      <c r="AP184">
        <f t="shared" si="527"/>
        <v>186.27893751735181</v>
      </c>
      <c r="AR184" s="5">
        <f t="shared" si="443"/>
        <v>5.3682934492089336</v>
      </c>
      <c r="AS184" s="5">
        <f t="shared" si="604"/>
        <v>2.7215645358840872</v>
      </c>
      <c r="AT184" s="5">
        <f t="shared" si="605"/>
        <v>2.6467289133248464</v>
      </c>
      <c r="AU184" s="173">
        <f t="shared" si="606"/>
        <v>0.50697015012939251</v>
      </c>
      <c r="AW184" s="5">
        <f t="shared" si="477"/>
        <v>302.09366348313358</v>
      </c>
      <c r="AX184" s="5">
        <f t="shared" si="478"/>
        <v>1.1188654203079023</v>
      </c>
      <c r="AY184" s="5">
        <f t="shared" si="479"/>
        <v>2.1907100384929223</v>
      </c>
      <c r="AZ184" s="5"/>
      <c r="BA184" s="173">
        <f t="shared" si="480"/>
        <v>1.6670715391209041</v>
      </c>
      <c r="BB184" s="173">
        <f t="shared" si="481"/>
        <v>6.5759672366345239</v>
      </c>
      <c r="BC184" s="173">
        <f t="shared" si="482"/>
        <v>0.1252988351845227</v>
      </c>
      <c r="BD184" s="173"/>
      <c r="BE184" s="528">
        <f t="shared" si="483"/>
        <v>3.3905355701872669E-2</v>
      </c>
      <c r="BF184" s="528">
        <f t="shared" si="528"/>
        <v>0.53497844384819115</v>
      </c>
      <c r="BG184" s="528">
        <f t="shared" si="529"/>
        <v>8.3270282806399851E-2</v>
      </c>
      <c r="BH184" s="528">
        <f t="shared" si="484"/>
        <v>2.6574122353521634E-2</v>
      </c>
      <c r="BI184">
        <f t="shared" si="485"/>
        <v>8.0463476466606891E-3</v>
      </c>
      <c r="BJ184" s="460">
        <f t="shared" si="600"/>
        <v>91.31663045306054</v>
      </c>
      <c r="BK184">
        <f t="shared" si="530"/>
        <v>0.60952262891741926</v>
      </c>
      <c r="BL184" s="460">
        <f t="shared" si="601"/>
        <v>686.77455235664593</v>
      </c>
      <c r="BM184" s="173">
        <f t="shared" si="531"/>
        <v>2.7583499999999996</v>
      </c>
      <c r="BN184" s="173">
        <f t="shared" si="532"/>
        <v>4.5972499999999993E-2</v>
      </c>
      <c r="BO184" s="528"/>
      <c r="BQ184" s="460">
        <f t="shared" si="486"/>
        <v>2804.3224999999998</v>
      </c>
      <c r="BR184" s="528">
        <f t="shared" si="487"/>
        <v>8.3373825496408205E-2</v>
      </c>
      <c r="BS184" s="528">
        <f t="shared" si="488"/>
        <v>1.2973003529187208</v>
      </c>
      <c r="BT184" s="528">
        <f t="shared" si="489"/>
        <v>7.849899049299091E-5</v>
      </c>
      <c r="BU184" s="528">
        <f t="shared" si="490"/>
        <v>0.78422116550999499</v>
      </c>
      <c r="BV184" s="528"/>
      <c r="BW184" s="625">
        <f t="shared" si="533"/>
        <v>7.6586302104098933E-2</v>
      </c>
      <c r="BX184" s="460">
        <f t="shared" si="491"/>
        <v>2241.5601450197159</v>
      </c>
      <c r="BY184" s="173">
        <f t="shared" si="492"/>
        <v>5.7326571973763603</v>
      </c>
      <c r="BZ184" s="5">
        <f t="shared" si="493"/>
        <v>19.091999999999999</v>
      </c>
      <c r="CA184" s="173">
        <f t="shared" si="494"/>
        <v>0.76907406407278689</v>
      </c>
      <c r="CB184" s="5">
        <f t="shared" si="495"/>
        <v>76.907406407278685</v>
      </c>
      <c r="CC184">
        <f t="shared" si="496"/>
        <v>73.999999999999986</v>
      </c>
      <c r="CE184" s="562">
        <f t="shared" si="534"/>
        <v>-50</v>
      </c>
      <c r="CF184">
        <f t="shared" si="535"/>
        <v>-50</v>
      </c>
      <c r="CG184" s="173">
        <f t="shared" si="536"/>
        <v>0.48913043478260865</v>
      </c>
      <c r="CH184" s="173">
        <f t="shared" si="537"/>
        <v>0.13097870664369973</v>
      </c>
      <c r="CI184" s="170">
        <v>74</v>
      </c>
      <c r="CJ184" s="217">
        <f t="shared" si="602"/>
        <v>4.4399999999999995</v>
      </c>
      <c r="CK184" s="217">
        <f t="shared" si="538"/>
        <v>7.3999999999999996E-2</v>
      </c>
      <c r="CL184" s="217">
        <f t="shared" si="539"/>
        <v>17.759999999999998</v>
      </c>
      <c r="CM184" s="217">
        <f t="shared" si="540"/>
        <v>1.3319999999999999</v>
      </c>
      <c r="CN184" s="541">
        <f t="shared" si="541"/>
        <v>18</v>
      </c>
      <c r="CO184" s="443">
        <f t="shared" si="542"/>
        <v>18.8</v>
      </c>
      <c r="CP184" s="443">
        <f t="shared" si="543"/>
        <v>36.799999999999997</v>
      </c>
      <c r="CQ184" s="443"/>
      <c r="CR184" s="217">
        <f t="shared" si="544"/>
        <v>0.51086956521739135</v>
      </c>
      <c r="CS184" s="172">
        <f t="shared" si="545"/>
        <v>28.513650151668358</v>
      </c>
      <c r="CT184" s="172">
        <f t="shared" si="546"/>
        <v>2.2989130434782612</v>
      </c>
      <c r="CU184" s="217">
        <f t="shared" si="547"/>
        <v>7.1284125379170895</v>
      </c>
      <c r="CV184" s="217">
        <f t="shared" si="548"/>
        <v>1.5840916750926866</v>
      </c>
      <c r="CW184" s="217">
        <f t="shared" si="549"/>
        <v>4</v>
      </c>
      <c r="CX184" s="217">
        <f t="shared" si="550"/>
        <v>4.1523971631205665</v>
      </c>
      <c r="CY184" s="217">
        <f t="shared" si="551"/>
        <v>2.7682647754137113</v>
      </c>
      <c r="CZ184" s="217">
        <f t="shared" si="552"/>
        <v>2.6504662743322762</v>
      </c>
      <c r="DA184" s="197">
        <f t="shared" si="553"/>
        <v>350</v>
      </c>
      <c r="DB184" s="443">
        <f t="shared" si="554"/>
        <v>184.54505138188705</v>
      </c>
      <c r="DD184" s="217">
        <f t="shared" si="555"/>
        <v>2.18944099378882</v>
      </c>
      <c r="DE184" s="173">
        <f t="shared" si="556"/>
        <v>1.3975155279503106</v>
      </c>
      <c r="DF184" s="173">
        <f t="shared" si="557"/>
        <v>1.9924134422749624</v>
      </c>
      <c r="DG184" s="173"/>
      <c r="DH184" s="173">
        <f t="shared" si="558"/>
        <v>0.85106382978723416</v>
      </c>
      <c r="DI184" s="545">
        <f t="shared" si="559"/>
        <v>1956.3749999999993</v>
      </c>
      <c r="DJ184" s="528">
        <f t="shared" si="560"/>
        <v>0.79432624113475192</v>
      </c>
      <c r="DL184" s="173">
        <f t="shared" si="561"/>
        <v>3.0151995906454636</v>
      </c>
      <c r="DM184" s="173">
        <f t="shared" si="562"/>
        <v>4.1523971631205665</v>
      </c>
      <c r="DN184" s="173">
        <f t="shared" si="563"/>
        <v>3.2881954294720241</v>
      </c>
      <c r="DP184" s="545">
        <f t="shared" si="564"/>
        <v>4439.9999999999991</v>
      </c>
      <c r="DQ184" s="460">
        <f t="shared" si="565"/>
        <v>184.54505138188705</v>
      </c>
      <c r="DS184">
        <f t="shared" si="566"/>
        <v>4439.9999999999991</v>
      </c>
      <c r="DT184">
        <f t="shared" si="567"/>
        <v>184.54505138188705</v>
      </c>
      <c r="DV184" s="5">
        <f t="shared" si="568"/>
        <v>5.4187310497459871</v>
      </c>
      <c r="DW184" s="5">
        <f t="shared" si="569"/>
        <v>2.7682647754137113</v>
      </c>
      <c r="DX184" s="5">
        <f t="shared" si="570"/>
        <v>2.6504662743322758</v>
      </c>
      <c r="DY184" s="173">
        <f t="shared" si="571"/>
        <v>0.51086956521739135</v>
      </c>
      <c r="EA184" s="5">
        <f t="shared" si="572"/>
        <v>307.27739007092191</v>
      </c>
      <c r="EB184" s="5">
        <f t="shared" si="573"/>
        <v>1.1380644076700814</v>
      </c>
      <c r="EC184" s="5">
        <f t="shared" si="574"/>
        <v>2.1792722700065372</v>
      </c>
      <c r="ED184" s="5"/>
      <c r="EE184" s="173">
        <f t="shared" si="575"/>
        <v>1.7135361600470558</v>
      </c>
      <c r="EF184" s="173">
        <f t="shared" si="576"/>
        <v>6.7067264483453437</v>
      </c>
      <c r="EG184" s="173">
        <f t="shared" si="577"/>
        <v>0.12779032827252615</v>
      </c>
      <c r="EH184" s="173"/>
      <c r="EI184" s="528">
        <f t="shared" si="578"/>
        <v>3.5821715295823467E-2</v>
      </c>
      <c r="EJ184" s="528">
        <f t="shared" si="579"/>
        <v>0.56400000000000006</v>
      </c>
      <c r="EK184" s="528">
        <f t="shared" si="580"/>
        <v>2.306813142273588E-2</v>
      </c>
      <c r="EL184" s="528">
        <f t="shared" si="581"/>
        <v>2.4991829038340668E-2</v>
      </c>
      <c r="EM184">
        <f t="shared" si="582"/>
        <v>8.0999999999999996E-3</v>
      </c>
      <c r="EN184" s="460">
        <f t="shared" si="583"/>
        <v>31.168131422735879</v>
      </c>
      <c r="EP184" s="460">
        <f t="shared" si="603"/>
        <v>655.98167575690002</v>
      </c>
      <c r="EQ184" s="173">
        <f t="shared" si="584"/>
        <v>3.1079999999999997</v>
      </c>
      <c r="ER184" s="173">
        <f t="shared" si="585"/>
        <v>3.2837499999999999E-2</v>
      </c>
      <c r="ES184" s="528"/>
      <c r="EU184" s="460">
        <f t="shared" si="497"/>
        <v>3140.8374999999996</v>
      </c>
      <c r="EV184" s="528">
        <f t="shared" si="586"/>
        <v>8.8086185153664273E-2</v>
      </c>
      <c r="EW184" s="528">
        <f t="shared" si="587"/>
        <v>1.3494053895880485</v>
      </c>
      <c r="EX184" s="528">
        <f t="shared" si="588"/>
        <v>8.1651839999999972E-5</v>
      </c>
      <c r="EY184" s="528">
        <f t="shared" si="589"/>
        <v>0.81278041177063176</v>
      </c>
      <c r="EZ184" s="528"/>
      <c r="FA184" s="625">
        <f t="shared" si="590"/>
        <v>7.9549999999999996E-2</v>
      </c>
      <c r="FB184" s="460">
        <f t="shared" si="498"/>
        <v>2329.9036383523439</v>
      </c>
      <c r="FC184" s="173">
        <f t="shared" si="591"/>
        <v>6.126722814109244</v>
      </c>
      <c r="FD184" s="5">
        <f t="shared" si="592"/>
        <v>19.091999999999999</v>
      </c>
      <c r="FE184" s="173">
        <f t="shared" si="593"/>
        <v>0.75705657819112493</v>
      </c>
      <c r="FF184" s="5">
        <f t="shared" si="594"/>
        <v>75.705657819112488</v>
      </c>
      <c r="FG184">
        <f t="shared" si="595"/>
        <v>73.999999999999986</v>
      </c>
      <c r="FI184" s="562">
        <f t="shared" si="596"/>
        <v>-50</v>
      </c>
      <c r="FJ184">
        <f t="shared" si="597"/>
        <v>-50</v>
      </c>
    </row>
    <row r="185" spans="5:166">
      <c r="E185" s="170">
        <v>75</v>
      </c>
      <c r="F185" s="217">
        <f t="shared" si="598"/>
        <v>4.5</v>
      </c>
      <c r="G185" s="217">
        <f t="shared" si="499"/>
        <v>7.5000000000000011E-2</v>
      </c>
      <c r="H185" s="217">
        <f t="shared" si="500"/>
        <v>18</v>
      </c>
      <c r="I185" s="217">
        <f t="shared" si="501"/>
        <v>1.35</v>
      </c>
      <c r="J185" s="541">
        <f t="shared" si="502"/>
        <v>17.879161366352903</v>
      </c>
      <c r="K185" s="443">
        <f t="shared" si="503"/>
        <v>19.904</v>
      </c>
      <c r="L185" s="172">
        <f t="shared" si="504"/>
        <v>37.7831613663529</v>
      </c>
      <c r="M185" s="443"/>
      <c r="N185" s="217">
        <f t="shared" si="505"/>
        <v>0.5267955163149779</v>
      </c>
      <c r="O185" s="172">
        <f t="shared" si="506"/>
        <v>29.205153622532354</v>
      </c>
      <c r="P185" s="172">
        <f t="shared" si="507"/>
        <v>2.354665510816671</v>
      </c>
      <c r="Q185" s="217">
        <f t="shared" si="508"/>
        <v>7.3012884056330885</v>
      </c>
      <c r="R185" s="217">
        <f t="shared" si="509"/>
        <v>1.6225085345851307</v>
      </c>
      <c r="S185" s="217">
        <f t="shared" si="510"/>
        <v>4</v>
      </c>
      <c r="T185" s="217">
        <f t="shared" si="511"/>
        <v>4.1088638515983575</v>
      </c>
      <c r="U185" s="217">
        <f t="shared" si="512"/>
        <v>2.7577560943082475</v>
      </c>
      <c r="V185" s="217">
        <f t="shared" si="513"/>
        <v>2.4772089137449909</v>
      </c>
      <c r="W185" s="197">
        <f t="shared" si="514"/>
        <v>350</v>
      </c>
      <c r="X185" s="443">
        <f t="shared" si="599"/>
        <v>183.99382489459524</v>
      </c>
      <c r="Z185" s="217">
        <f t="shared" si="515"/>
        <v>2.242538581730162</v>
      </c>
      <c r="AA185" s="173">
        <f t="shared" si="516"/>
        <v>1.3520128105286349</v>
      </c>
      <c r="AB185" s="173">
        <f t="shared" si="517"/>
        <v>1.9742870915560247</v>
      </c>
      <c r="AC185" s="173"/>
      <c r="AD185" s="173">
        <f t="shared" si="518"/>
        <v>0.80385852090032173</v>
      </c>
      <c r="AE185" s="545">
        <f t="shared" si="519"/>
        <v>2099.2499999999995</v>
      </c>
      <c r="AF185" s="528">
        <f t="shared" si="520"/>
        <v>0.75026795284030035</v>
      </c>
      <c r="AH185" s="173">
        <f t="shared" si="521"/>
        <v>3.0355041944108256</v>
      </c>
      <c r="AI185" s="173">
        <f t="shared" si="522"/>
        <v>4.1088638515983575</v>
      </c>
      <c r="AJ185" s="173">
        <f t="shared" si="523"/>
        <v>3.2559485320481656</v>
      </c>
      <c r="AL185" s="545">
        <f t="shared" si="524"/>
        <v>4500</v>
      </c>
      <c r="AM185" s="460">
        <f t="shared" si="525"/>
        <v>183.99382489459524</v>
      </c>
      <c r="AO185">
        <f t="shared" si="526"/>
        <v>4500</v>
      </c>
      <c r="AP185">
        <f t="shared" si="527"/>
        <v>183.99382489459524</v>
      </c>
      <c r="AR185" s="5">
        <f t="shared" si="443"/>
        <v>5.4349650080532381</v>
      </c>
      <c r="AS185" s="5">
        <f t="shared" si="604"/>
        <v>2.7577560943082475</v>
      </c>
      <c r="AT185" s="5">
        <f t="shared" si="605"/>
        <v>2.6772089137449906</v>
      </c>
      <c r="AU185" s="173">
        <f t="shared" si="606"/>
        <v>0.50741009191815467</v>
      </c>
      <c r="AW185" s="5">
        <f t="shared" si="477"/>
        <v>310.24756060967786</v>
      </c>
      <c r="AX185" s="5">
        <f t="shared" si="478"/>
        <v>1.1490650392951034</v>
      </c>
      <c r="AY185" s="5">
        <f t="shared" si="479"/>
        <v>2.2460859815130441</v>
      </c>
      <c r="AZ185" s="5"/>
      <c r="BA185" s="173">
        <f t="shared" si="480"/>
        <v>1.6898208874371754</v>
      </c>
      <c r="BB185" s="173">
        <f t="shared" si="481"/>
        <v>6.659841141694919</v>
      </c>
      <c r="BC185" s="173">
        <f t="shared" si="482"/>
        <v>0.12689697310526804</v>
      </c>
      <c r="BD185" s="173"/>
      <c r="BE185" s="528">
        <f t="shared" si="483"/>
        <v>3.4837034505751346E-2</v>
      </c>
      <c r="BF185" s="528">
        <f t="shared" si="528"/>
        <v>0.53558026261650282</v>
      </c>
      <c r="BG185" s="528">
        <f t="shared" si="529"/>
        <v>8.2241382142573705E-2</v>
      </c>
      <c r="BH185" s="528">
        <f t="shared" si="484"/>
        <v>2.6266356466335475E-2</v>
      </c>
      <c r="BI185">
        <f t="shared" si="485"/>
        <v>8.0456226148588068E-3</v>
      </c>
      <c r="BJ185" s="460">
        <f t="shared" si="600"/>
        <v>90.287004757432513</v>
      </c>
      <c r="BK185">
        <f t="shared" si="530"/>
        <v>0.61114829812266214</v>
      </c>
      <c r="BL185" s="460">
        <f t="shared" si="601"/>
        <v>686.97065834602222</v>
      </c>
      <c r="BM185" s="173">
        <f t="shared" si="531"/>
        <v>2.7956249999999998</v>
      </c>
      <c r="BN185" s="173">
        <f t="shared" si="532"/>
        <v>4.6593750000000003E-2</v>
      </c>
      <c r="BO185" s="528"/>
      <c r="BQ185" s="460">
        <f t="shared" si="486"/>
        <v>2842.21875</v>
      </c>
      <c r="BR185" s="528">
        <f t="shared" si="487"/>
        <v>8.5664838948568883E-2</v>
      </c>
      <c r="BS185" s="528">
        <f t="shared" si="488"/>
        <v>1.3306045209783686</v>
      </c>
      <c r="BT185" s="528">
        <f t="shared" si="489"/>
        <v>8.0514208916395612E-5</v>
      </c>
      <c r="BU185" s="528">
        <f t="shared" si="490"/>
        <v>0.78574658310191547</v>
      </c>
      <c r="BV185" s="528"/>
      <c r="BW185" s="625">
        <f t="shared" si="533"/>
        <v>7.7658099573574627E-2</v>
      </c>
      <c r="BX185" s="460">
        <f t="shared" si="491"/>
        <v>2279.7545568113442</v>
      </c>
      <c r="BY185" s="173">
        <f t="shared" si="492"/>
        <v>5.8089439651573658</v>
      </c>
      <c r="BZ185" s="5">
        <f t="shared" si="493"/>
        <v>19.350000000000001</v>
      </c>
      <c r="CA185" s="173">
        <f t="shared" si="494"/>
        <v>0.76911018311411739</v>
      </c>
      <c r="CB185" s="5">
        <f t="shared" si="495"/>
        <v>76.911018311411738</v>
      </c>
      <c r="CC185">
        <f t="shared" si="496"/>
        <v>75</v>
      </c>
      <c r="CE185" s="562">
        <f t="shared" si="534"/>
        <v>-50</v>
      </c>
      <c r="CF185">
        <f t="shared" si="535"/>
        <v>-50</v>
      </c>
      <c r="CG185" s="173">
        <f t="shared" si="536"/>
        <v>0.48913043478260865</v>
      </c>
      <c r="CH185" s="173">
        <f t="shared" si="537"/>
        <v>0.13097870664369976</v>
      </c>
      <c r="CI185" s="170">
        <v>75</v>
      </c>
      <c r="CJ185" s="217">
        <f t="shared" si="602"/>
        <v>4.5</v>
      </c>
      <c r="CK185" s="217">
        <f t="shared" si="538"/>
        <v>7.5000000000000011E-2</v>
      </c>
      <c r="CL185" s="217">
        <f t="shared" si="539"/>
        <v>18</v>
      </c>
      <c r="CM185" s="217">
        <f t="shared" si="540"/>
        <v>1.35</v>
      </c>
      <c r="CN185" s="541">
        <f t="shared" si="541"/>
        <v>18</v>
      </c>
      <c r="CO185" s="443">
        <f t="shared" si="542"/>
        <v>18.8</v>
      </c>
      <c r="CP185" s="443">
        <f t="shared" si="543"/>
        <v>36.799999999999997</v>
      </c>
      <c r="CQ185" s="443"/>
      <c r="CR185" s="217">
        <f t="shared" si="544"/>
        <v>0.51086956521739135</v>
      </c>
      <c r="CS185" s="172">
        <f t="shared" si="545"/>
        <v>28.513650151668358</v>
      </c>
      <c r="CT185" s="172">
        <f t="shared" si="546"/>
        <v>2.2989130434782612</v>
      </c>
      <c r="CU185" s="217">
        <f t="shared" si="547"/>
        <v>7.1284125379170895</v>
      </c>
      <c r="CV185" s="217">
        <f t="shared" si="548"/>
        <v>1.5840916750926866</v>
      </c>
      <c r="CW185" s="217">
        <f t="shared" si="549"/>
        <v>4</v>
      </c>
      <c r="CX185" s="217">
        <f t="shared" si="550"/>
        <v>4.2085106382978719</v>
      </c>
      <c r="CY185" s="217">
        <f t="shared" si="551"/>
        <v>2.8056737588652481</v>
      </c>
      <c r="CZ185" s="217">
        <f t="shared" si="552"/>
        <v>2.6862833861475779</v>
      </c>
      <c r="DA185" s="197">
        <f t="shared" si="553"/>
        <v>350</v>
      </c>
      <c r="DB185" s="443">
        <f t="shared" si="554"/>
        <v>182.08445069679519</v>
      </c>
      <c r="DD185" s="217">
        <f t="shared" si="555"/>
        <v>2.18944099378882</v>
      </c>
      <c r="DE185" s="173">
        <f t="shared" si="556"/>
        <v>1.3975155279503106</v>
      </c>
      <c r="DF185" s="173">
        <f t="shared" si="557"/>
        <v>1.9924134422749624</v>
      </c>
      <c r="DG185" s="173"/>
      <c r="DH185" s="173">
        <f t="shared" si="558"/>
        <v>0.85106382978723416</v>
      </c>
      <c r="DI185" s="545">
        <f t="shared" si="559"/>
        <v>1982.8124999999993</v>
      </c>
      <c r="DJ185" s="528">
        <f t="shared" si="560"/>
        <v>0.79432624113475192</v>
      </c>
      <c r="DL185" s="173">
        <f t="shared" si="561"/>
        <v>3.0355041944108256</v>
      </c>
      <c r="DM185" s="173">
        <f t="shared" si="562"/>
        <v>4.2085106382978719</v>
      </c>
      <c r="DN185" s="173">
        <f t="shared" si="563"/>
        <v>3.3297609666403982</v>
      </c>
      <c r="DP185" s="545">
        <f t="shared" si="564"/>
        <v>4500</v>
      </c>
      <c r="DQ185" s="460">
        <f t="shared" si="565"/>
        <v>182.08445069679519</v>
      </c>
      <c r="DS185">
        <f t="shared" si="566"/>
        <v>4500</v>
      </c>
      <c r="DT185">
        <f t="shared" si="567"/>
        <v>182.08445069679519</v>
      </c>
      <c r="DV185" s="5">
        <f t="shared" si="568"/>
        <v>5.4919571450128259</v>
      </c>
      <c r="DW185" s="5">
        <f t="shared" si="569"/>
        <v>2.8056737588652481</v>
      </c>
      <c r="DX185" s="5">
        <f t="shared" si="570"/>
        <v>2.6862833861475779</v>
      </c>
      <c r="DY185" s="173">
        <f t="shared" si="571"/>
        <v>0.51086956521739135</v>
      </c>
      <c r="EA185" s="5">
        <f t="shared" si="572"/>
        <v>315.63829787234039</v>
      </c>
      <c r="EB185" s="5">
        <f t="shared" si="573"/>
        <v>1.1690307328605203</v>
      </c>
      <c r="EC185" s="5">
        <f t="shared" si="574"/>
        <v>2.2385694884563145</v>
      </c>
      <c r="ED185" s="5"/>
      <c r="EE185" s="173">
        <f t="shared" si="575"/>
        <v>1.7366920541017459</v>
      </c>
      <c r="EF185" s="173">
        <f t="shared" si="576"/>
        <v>6.7973578868364974</v>
      </c>
      <c r="EG185" s="173">
        <f t="shared" si="577"/>
        <v>0.12951722460053325</v>
      </c>
      <c r="EH185" s="173"/>
      <c r="EI185" s="528">
        <f t="shared" si="578"/>
        <v>3.6796411347517724E-2</v>
      </c>
      <c r="EJ185" s="528">
        <f t="shared" si="579"/>
        <v>0.56399999999999983</v>
      </c>
      <c r="EK185" s="528">
        <f t="shared" si="580"/>
        <v>2.2760556337099398E-2</v>
      </c>
      <c r="EL185" s="528">
        <f t="shared" si="581"/>
        <v>2.4658604651162788E-2</v>
      </c>
      <c r="EM185">
        <f t="shared" si="582"/>
        <v>8.0999999999999996E-3</v>
      </c>
      <c r="EN185" s="460">
        <f t="shared" si="583"/>
        <v>30.860556337099396</v>
      </c>
      <c r="EP185" s="460">
        <f t="shared" si="603"/>
        <v>656.31557233577973</v>
      </c>
      <c r="EQ185" s="173">
        <f t="shared" si="584"/>
        <v>3.15</v>
      </c>
      <c r="ER185" s="173">
        <f t="shared" si="585"/>
        <v>3.3281250000000005E-2</v>
      </c>
      <c r="ES185" s="528"/>
      <c r="EU185" s="460">
        <f t="shared" si="497"/>
        <v>3183.28125</v>
      </c>
      <c r="EV185" s="528">
        <f t="shared" si="586"/>
        <v>9.0482978723404245E-2</v>
      </c>
      <c r="EW185" s="528">
        <f t="shared" si="587"/>
        <v>1.3861222272521498</v>
      </c>
      <c r="EX185" s="528">
        <f t="shared" si="588"/>
        <v>8.3873557341124873E-5</v>
      </c>
      <c r="EY185" s="528">
        <f t="shared" si="589"/>
        <v>0.81278041177063187</v>
      </c>
      <c r="EZ185" s="528"/>
      <c r="FA185" s="625">
        <f t="shared" si="590"/>
        <v>8.0625000000000002E-2</v>
      </c>
      <c r="FB185" s="460">
        <f t="shared" si="498"/>
        <v>2370.0944913035273</v>
      </c>
      <c r="FC185" s="173">
        <f t="shared" si="591"/>
        <v>6.2096913136393077</v>
      </c>
      <c r="FD185" s="5">
        <f t="shared" si="592"/>
        <v>19.350000000000001</v>
      </c>
      <c r="FE185" s="173">
        <f t="shared" si="593"/>
        <v>0.75705139637873264</v>
      </c>
      <c r="FF185" s="5">
        <f t="shared" si="594"/>
        <v>75.705139637873259</v>
      </c>
      <c r="FG185">
        <f t="shared" si="595"/>
        <v>75</v>
      </c>
      <c r="FI185" s="562">
        <f t="shared" si="596"/>
        <v>-50</v>
      </c>
      <c r="FJ185">
        <f t="shared" si="597"/>
        <v>-50</v>
      </c>
    </row>
    <row r="186" spans="5:166">
      <c r="E186" s="170">
        <v>76</v>
      </c>
      <c r="F186" s="217">
        <f t="shared" si="598"/>
        <v>4.5600000000000005</v>
      </c>
      <c r="G186" s="217">
        <f t="shared" si="499"/>
        <v>7.6000000000000012E-2</v>
      </c>
      <c r="H186" s="217">
        <f t="shared" si="500"/>
        <v>18.240000000000002</v>
      </c>
      <c r="I186" s="217">
        <f t="shared" si="501"/>
        <v>1.3680000000000003</v>
      </c>
      <c r="J186" s="541">
        <f t="shared" si="502"/>
        <v>17.877550184570943</v>
      </c>
      <c r="K186" s="443">
        <f t="shared" si="503"/>
        <v>19.91872</v>
      </c>
      <c r="L186" s="172">
        <f t="shared" si="504"/>
        <v>37.796270184570943</v>
      </c>
      <c r="M186" s="443"/>
      <c r="N186" s="217">
        <f t="shared" si="505"/>
        <v>0.52700226511057036</v>
      </c>
      <c r="O186" s="172">
        <f t="shared" si="506"/>
        <v>29.213982765571416</v>
      </c>
      <c r="P186" s="172">
        <f t="shared" si="507"/>
        <v>2.3553773604741957</v>
      </c>
      <c r="Q186" s="217">
        <f t="shared" si="508"/>
        <v>7.3034956913928539</v>
      </c>
      <c r="R186" s="217">
        <f t="shared" si="509"/>
        <v>1.6229990425317453</v>
      </c>
      <c r="S186" s="217">
        <f t="shared" si="510"/>
        <v>4</v>
      </c>
      <c r="T186" s="217">
        <f t="shared" si="511"/>
        <v>4.1623903517635128</v>
      </c>
      <c r="U186" s="217">
        <f t="shared" si="512"/>
        <v>2.7939333804398943</v>
      </c>
      <c r="V186" s="217">
        <f t="shared" si="513"/>
        <v>2.5076251998703811</v>
      </c>
      <c r="W186" s="197">
        <f t="shared" si="514"/>
        <v>350</v>
      </c>
      <c r="X186" s="443">
        <f t="shared" si="599"/>
        <v>181.76667309858988</v>
      </c>
      <c r="Z186" s="217">
        <f t="shared" si="515"/>
        <v>2.2432165337849477</v>
      </c>
      <c r="AA186" s="173">
        <f t="shared" si="516"/>
        <v>1.3514220996840847</v>
      </c>
      <c r="AB186" s="173">
        <f t="shared" si="517"/>
        <v>1.9740210964591591</v>
      </c>
      <c r="AC186" s="173"/>
      <c r="AD186" s="173">
        <f t="shared" si="518"/>
        <v>0.80326446679304708</v>
      </c>
      <c r="AE186" s="545">
        <f t="shared" si="519"/>
        <v>2128.8131999999996</v>
      </c>
      <c r="AF186" s="528">
        <f t="shared" si="520"/>
        <v>0.74971350234017731</v>
      </c>
      <c r="AH186" s="173">
        <f t="shared" si="521"/>
        <v>3.0556738793828861</v>
      </c>
      <c r="AI186" s="173">
        <f t="shared" si="522"/>
        <v>4.1623903517635128</v>
      </c>
      <c r="AJ186" s="173">
        <f t="shared" si="523"/>
        <v>3.2955977914297625</v>
      </c>
      <c r="AL186" s="545">
        <f t="shared" si="524"/>
        <v>4560.0000000000009</v>
      </c>
      <c r="AM186" s="460">
        <f t="shared" si="525"/>
        <v>181.76667309858988</v>
      </c>
      <c r="AO186">
        <f t="shared" si="526"/>
        <v>4560.0000000000009</v>
      </c>
      <c r="AP186">
        <f t="shared" si="527"/>
        <v>181.76667309858988</v>
      </c>
      <c r="AR186" s="5">
        <f t="shared" si="443"/>
        <v>5.5015585803102747</v>
      </c>
      <c r="AS186" s="5">
        <f t="shared" si="604"/>
        <v>2.7939333804398943</v>
      </c>
      <c r="AT186" s="5">
        <f t="shared" si="605"/>
        <v>2.7076251998703804</v>
      </c>
      <c r="AU186" s="173">
        <f t="shared" si="606"/>
        <v>0.50784397542165649</v>
      </c>
      <c r="AW186" s="5">
        <f t="shared" si="477"/>
        <v>318.50840537014801</v>
      </c>
      <c r="AX186" s="5">
        <f t="shared" si="478"/>
        <v>1.1796607606301779</v>
      </c>
      <c r="AY186" s="5">
        <f t="shared" si="479"/>
        <v>2.3020997067903077</v>
      </c>
      <c r="AZ186" s="5"/>
      <c r="BA186" s="173">
        <f t="shared" si="480"/>
        <v>1.7125660537082925</v>
      </c>
      <c r="BB186" s="173">
        <f t="shared" si="481"/>
        <v>6.743627500788973</v>
      </c>
      <c r="BC186" s="173">
        <f t="shared" si="482"/>
        <v>0.12849344292043854</v>
      </c>
      <c r="BD186" s="173"/>
      <c r="BE186" s="528">
        <f t="shared" si="483"/>
        <v>3.5781166357430727E-2</v>
      </c>
      <c r="BF186" s="528">
        <f t="shared" si="528"/>
        <v>0.53617589015576872</v>
      </c>
      <c r="BG186" s="528">
        <f t="shared" si="529"/>
        <v>8.1238570505063543E-2</v>
      </c>
      <c r="BH186" s="528">
        <f t="shared" si="484"/>
        <v>2.596642422345195E-2</v>
      </c>
      <c r="BI186">
        <f t="shared" si="485"/>
        <v>8.0448975830569244E-3</v>
      </c>
      <c r="BJ186" s="460">
        <f t="shared" si="600"/>
        <v>89.283468088120458</v>
      </c>
      <c r="BK186">
        <f t="shared" si="530"/>
        <v>0.61279412936487088</v>
      </c>
      <c r="BL186" s="460">
        <f t="shared" si="601"/>
        <v>687.20694882477198</v>
      </c>
      <c r="BM186" s="173">
        <f t="shared" si="531"/>
        <v>2.8329</v>
      </c>
      <c r="BN186" s="173">
        <f t="shared" si="532"/>
        <v>4.7215E-2</v>
      </c>
      <c r="BO186" s="528"/>
      <c r="BQ186" s="460">
        <f t="shared" si="486"/>
        <v>2880.1149999999998</v>
      </c>
      <c r="BR186" s="528">
        <f t="shared" si="487"/>
        <v>8.7986474649419832E-2</v>
      </c>
      <c r="BS186" s="528">
        <f t="shared" si="488"/>
        <v>1.3642953560819198</v>
      </c>
      <c r="BT186" s="528">
        <f t="shared" si="489"/>
        <v>8.2552824367739997E-5</v>
      </c>
      <c r="BU186" s="528">
        <f t="shared" si="490"/>
        <v>0.78724999347278535</v>
      </c>
      <c r="BV186" s="528"/>
      <c r="BW186" s="625">
        <f t="shared" si="533"/>
        <v>7.8729932561569044E-2</v>
      </c>
      <c r="BX186" s="460">
        <f t="shared" si="491"/>
        <v>2318.3443095900616</v>
      </c>
      <c r="BY186" s="173">
        <f t="shared" si="492"/>
        <v>5.8856662584148332</v>
      </c>
      <c r="BZ186" s="5">
        <f t="shared" si="493"/>
        <v>19.608000000000004</v>
      </c>
      <c r="CA186" s="173">
        <f t="shared" si="494"/>
        <v>0.76913221508608565</v>
      </c>
      <c r="CB186" s="5">
        <f t="shared" si="495"/>
        <v>76.913221508608558</v>
      </c>
      <c r="CC186">
        <f t="shared" si="496"/>
        <v>76.000000000000014</v>
      </c>
      <c r="CE186" s="562">
        <f t="shared" si="534"/>
        <v>-50</v>
      </c>
      <c r="CF186">
        <f t="shared" si="535"/>
        <v>-50</v>
      </c>
      <c r="CG186" s="173">
        <f t="shared" si="536"/>
        <v>0.48913043478260876</v>
      </c>
      <c r="CH186" s="173">
        <f t="shared" si="537"/>
        <v>0.13097870664369976</v>
      </c>
      <c r="CI186" s="170">
        <v>76</v>
      </c>
      <c r="CJ186" s="217">
        <f t="shared" si="602"/>
        <v>4.5600000000000005</v>
      </c>
      <c r="CK186" s="217">
        <f t="shared" si="538"/>
        <v>7.6000000000000012E-2</v>
      </c>
      <c r="CL186" s="217">
        <f t="shared" si="539"/>
        <v>18.240000000000002</v>
      </c>
      <c r="CM186" s="217">
        <f t="shared" si="540"/>
        <v>1.3680000000000003</v>
      </c>
      <c r="CN186" s="541">
        <f t="shared" si="541"/>
        <v>18</v>
      </c>
      <c r="CO186" s="443">
        <f t="shared" si="542"/>
        <v>18.8</v>
      </c>
      <c r="CP186" s="443">
        <f t="shared" si="543"/>
        <v>36.799999999999997</v>
      </c>
      <c r="CQ186" s="443"/>
      <c r="CR186" s="217">
        <f t="shared" si="544"/>
        <v>0.51086956521739135</v>
      </c>
      <c r="CS186" s="172">
        <f t="shared" si="545"/>
        <v>28.513650151668358</v>
      </c>
      <c r="CT186" s="172">
        <f t="shared" si="546"/>
        <v>2.2989130434782612</v>
      </c>
      <c r="CU186" s="217">
        <f t="shared" si="547"/>
        <v>7.1284125379170895</v>
      </c>
      <c r="CV186" s="217">
        <f t="shared" si="548"/>
        <v>1.5840916750926866</v>
      </c>
      <c r="CW186" s="217">
        <f t="shared" si="549"/>
        <v>4</v>
      </c>
      <c r="CX186" s="217">
        <f t="shared" si="550"/>
        <v>4.2646241134751772</v>
      </c>
      <c r="CY186" s="217">
        <f t="shared" si="551"/>
        <v>2.8430827423167848</v>
      </c>
      <c r="CZ186" s="217">
        <f t="shared" si="552"/>
        <v>2.7221004979628787</v>
      </c>
      <c r="DA186" s="197">
        <f t="shared" si="553"/>
        <v>350</v>
      </c>
      <c r="DB186" s="443">
        <f t="shared" si="554"/>
        <v>179.68860266131102</v>
      </c>
      <c r="DD186" s="217">
        <f t="shared" si="555"/>
        <v>2.18944099378882</v>
      </c>
      <c r="DE186" s="173">
        <f t="shared" si="556"/>
        <v>1.3975155279503106</v>
      </c>
      <c r="DF186" s="173">
        <f t="shared" si="557"/>
        <v>1.9924134422749624</v>
      </c>
      <c r="DG186" s="173"/>
      <c r="DH186" s="173">
        <f t="shared" si="558"/>
        <v>0.85106382978723416</v>
      </c>
      <c r="DI186" s="545">
        <f t="shared" si="559"/>
        <v>2009.2499999999998</v>
      </c>
      <c r="DJ186" s="528">
        <f t="shared" si="560"/>
        <v>0.79432624113475192</v>
      </c>
      <c r="DL186" s="173">
        <f t="shared" si="561"/>
        <v>3.0556738793828861</v>
      </c>
      <c r="DM186" s="173">
        <f t="shared" si="562"/>
        <v>4.2646241134751772</v>
      </c>
      <c r="DN186" s="173">
        <f t="shared" si="563"/>
        <v>3.3713265038087732</v>
      </c>
      <c r="DP186" s="545">
        <f t="shared" si="564"/>
        <v>4560.0000000000009</v>
      </c>
      <c r="DQ186" s="460">
        <f t="shared" si="565"/>
        <v>179.68860266131102</v>
      </c>
      <c r="DS186">
        <f t="shared" si="566"/>
        <v>4560.0000000000009</v>
      </c>
      <c r="DT186">
        <f t="shared" si="567"/>
        <v>179.68860266131102</v>
      </c>
      <c r="DV186" s="5">
        <f t="shared" si="568"/>
        <v>5.5651832402796648</v>
      </c>
      <c r="DW186" s="5">
        <f t="shared" si="569"/>
        <v>2.8430827423167848</v>
      </c>
      <c r="DX186" s="5">
        <f t="shared" si="570"/>
        <v>2.72210049796288</v>
      </c>
      <c r="DY186" s="173">
        <f t="shared" si="571"/>
        <v>0.51086956521739124</v>
      </c>
      <c r="EA186" s="5">
        <f t="shared" si="572"/>
        <v>324.11143262411349</v>
      </c>
      <c r="EB186" s="5">
        <f t="shared" si="573"/>
        <v>1.2004127134226428</v>
      </c>
      <c r="EC186" s="5">
        <f t="shared" si="574"/>
        <v>2.2986626427242096</v>
      </c>
      <c r="ED186" s="5"/>
      <c r="EE186" s="173">
        <f t="shared" si="575"/>
        <v>1.7598479481564357</v>
      </c>
      <c r="EF186" s="173">
        <f t="shared" si="576"/>
        <v>6.8879893253276521</v>
      </c>
      <c r="EG186" s="173">
        <f t="shared" si="577"/>
        <v>0.13124412092854038</v>
      </c>
      <c r="EH186" s="173"/>
      <c r="EI186" s="528">
        <f t="shared" si="578"/>
        <v>3.7784190567691084E-2</v>
      </c>
      <c r="EJ186" s="528">
        <f t="shared" si="579"/>
        <v>0.56399999999999995</v>
      </c>
      <c r="EK186" s="528">
        <f t="shared" si="580"/>
        <v>2.246107533266388E-2</v>
      </c>
      <c r="EL186" s="528">
        <f t="shared" si="581"/>
        <v>2.4334149326805381E-2</v>
      </c>
      <c r="EM186">
        <f t="shared" si="582"/>
        <v>8.0999999999999996E-3</v>
      </c>
      <c r="EN186" s="460">
        <f t="shared" si="583"/>
        <v>30.561075332663879</v>
      </c>
      <c r="EP186" s="460">
        <f t="shared" si="603"/>
        <v>656.67941522716023</v>
      </c>
      <c r="EQ186" s="173">
        <f t="shared" si="584"/>
        <v>3.1920000000000002</v>
      </c>
      <c r="ER186" s="173">
        <f t="shared" si="585"/>
        <v>3.3725000000000005E-2</v>
      </c>
      <c r="ES186" s="528"/>
      <c r="EU186" s="460">
        <f t="shared" si="497"/>
        <v>3225.7250000000004</v>
      </c>
      <c r="EV186" s="528">
        <f t="shared" si="586"/>
        <v>9.2911944018912507E-2</v>
      </c>
      <c r="EW186" s="528">
        <f t="shared" si="587"/>
        <v>1.4233319083748304</v>
      </c>
      <c r="EX186" s="528">
        <f t="shared" si="588"/>
        <v>8.6125096391526657E-5</v>
      </c>
      <c r="EY186" s="528">
        <f t="shared" si="589"/>
        <v>0.81278041177063221</v>
      </c>
      <c r="EZ186" s="528"/>
      <c r="FA186" s="625">
        <f t="shared" si="590"/>
        <v>8.1700000000000009E-2</v>
      </c>
      <c r="FB186" s="460">
        <f t="shared" si="498"/>
        <v>2410.8103892607669</v>
      </c>
      <c r="FC186" s="173">
        <f t="shared" si="591"/>
        <v>6.2932148044879259</v>
      </c>
      <c r="FD186" s="5">
        <f t="shared" si="592"/>
        <v>19.608000000000004</v>
      </c>
      <c r="FE186" s="173">
        <f t="shared" si="593"/>
        <v>0.75703012959077531</v>
      </c>
      <c r="FF186" s="5">
        <f t="shared" si="594"/>
        <v>75.703012959077526</v>
      </c>
      <c r="FG186">
        <f t="shared" si="595"/>
        <v>76.000000000000014</v>
      </c>
      <c r="FI186" s="562">
        <f t="shared" si="596"/>
        <v>-50</v>
      </c>
      <c r="FJ186">
        <f t="shared" si="597"/>
        <v>-50</v>
      </c>
    </row>
    <row r="187" spans="5:166">
      <c r="E187" s="170">
        <v>77</v>
      </c>
      <c r="F187" s="217">
        <f t="shared" si="598"/>
        <v>4.62</v>
      </c>
      <c r="G187" s="217">
        <f t="shared" si="499"/>
        <v>7.7000000000000013E-2</v>
      </c>
      <c r="H187" s="217">
        <f t="shared" si="500"/>
        <v>18.48</v>
      </c>
      <c r="I187" s="217">
        <f t="shared" si="501"/>
        <v>1.3860000000000001</v>
      </c>
      <c r="J187" s="541">
        <f t="shared" si="502"/>
        <v>17.875939002788982</v>
      </c>
      <c r="K187" s="443">
        <f t="shared" si="503"/>
        <v>19.933440000000001</v>
      </c>
      <c r="L187" s="172">
        <f t="shared" si="504"/>
        <v>37.809379002788987</v>
      </c>
      <c r="M187" s="443"/>
      <c r="N187" s="217">
        <f t="shared" si="505"/>
        <v>0.52720887054319576</v>
      </c>
      <c r="O187" s="172">
        <f t="shared" si="506"/>
        <v>29.222801896308347</v>
      </c>
      <c r="P187" s="172">
        <f t="shared" si="507"/>
        <v>2.3560884028898603</v>
      </c>
      <c r="Q187" s="217">
        <f t="shared" si="508"/>
        <v>7.3057004740770868</v>
      </c>
      <c r="R187" s="217">
        <f t="shared" si="509"/>
        <v>1.6234889942393527</v>
      </c>
      <c r="S187" s="217">
        <f t="shared" si="510"/>
        <v>4</v>
      </c>
      <c r="T187" s="217">
        <f t="shared" si="511"/>
        <v>4.2158859522489385</v>
      </c>
      <c r="U187" s="217">
        <f t="shared" si="512"/>
        <v>2.8300964452325652</v>
      </c>
      <c r="V187" s="217">
        <f t="shared" si="513"/>
        <v>2.5379779620069218</v>
      </c>
      <c r="W187" s="197">
        <f t="shared" si="514"/>
        <v>350</v>
      </c>
      <c r="X187" s="443">
        <f t="shared" si="599"/>
        <v>179.59530115111647</v>
      </c>
      <c r="Z187" s="217">
        <f t="shared" si="515"/>
        <v>2.2438937170379618</v>
      </c>
      <c r="AA187" s="173">
        <f t="shared" si="516"/>
        <v>1.350831798448012</v>
      </c>
      <c r="AB187" s="173">
        <f t="shared" si="517"/>
        <v>1.9737545020640088</v>
      </c>
      <c r="AC187" s="173"/>
      <c r="AD187" s="173">
        <f t="shared" si="518"/>
        <v>0.8026712900532974</v>
      </c>
      <c r="AE187" s="545">
        <f t="shared" si="519"/>
        <v>2158.4177999999993</v>
      </c>
      <c r="AF187" s="528">
        <f t="shared" si="520"/>
        <v>0.7491598707164111</v>
      </c>
      <c r="AH187" s="173">
        <f t="shared" si="521"/>
        <v>3.0757112998459397</v>
      </c>
      <c r="AI187" s="173">
        <f t="shared" si="522"/>
        <v>4.2158859522489385</v>
      </c>
      <c r="AJ187" s="173">
        <f t="shared" si="523"/>
        <v>3.3352241621597072</v>
      </c>
      <c r="AL187" s="545">
        <f t="shared" si="524"/>
        <v>4620</v>
      </c>
      <c r="AM187" s="460">
        <f t="shared" si="525"/>
        <v>179.59530115111647</v>
      </c>
      <c r="AO187">
        <f t="shared" si="526"/>
        <v>4620</v>
      </c>
      <c r="AP187">
        <f t="shared" si="527"/>
        <v>179.59530115111647</v>
      </c>
      <c r="AR187" s="5">
        <f t="shared" si="443"/>
        <v>5.5680744072394868</v>
      </c>
      <c r="AS187" s="5">
        <f t="shared" si="604"/>
        <v>2.8300964452325652</v>
      </c>
      <c r="AT187" s="5">
        <f t="shared" si="605"/>
        <v>2.7379779620069216</v>
      </c>
      <c r="AU187" s="173">
        <f t="shared" si="606"/>
        <v>0.50827202336824673</v>
      </c>
      <c r="AW187" s="5">
        <f t="shared" si="477"/>
        <v>326.87613942436127</v>
      </c>
      <c r="AX187" s="5">
        <f t="shared" si="478"/>
        <v>1.2106523682383754</v>
      </c>
      <c r="AY187" s="5">
        <f t="shared" si="479"/>
        <v>2.3587494121751074</v>
      </c>
      <c r="AZ187" s="5"/>
      <c r="BA187" s="173">
        <f t="shared" si="480"/>
        <v>1.7353070425999131</v>
      </c>
      <c r="BB187" s="173">
        <f t="shared" si="481"/>
        <v>6.8273265694381893</v>
      </c>
      <c r="BC187" s="173">
        <f t="shared" si="482"/>
        <v>0.13008824949875469</v>
      </c>
      <c r="BD187" s="173"/>
      <c r="BE187" s="528">
        <f t="shared" si="483"/>
        <v>3.6737744491581646E-2</v>
      </c>
      <c r="BF187" s="528">
        <f t="shared" si="528"/>
        <v>0.53676555666802539</v>
      </c>
      <c r="BG187" s="528">
        <f t="shared" si="529"/>
        <v>8.0260866214121901E-2</v>
      </c>
      <c r="BH187" s="528">
        <f t="shared" si="484"/>
        <v>2.5674030841216354E-2</v>
      </c>
      <c r="BI187">
        <f t="shared" si="485"/>
        <v>8.0441725512550421E-3</v>
      </c>
      <c r="BJ187" s="460">
        <f t="shared" si="600"/>
        <v>88.305038765376949</v>
      </c>
      <c r="BK187">
        <f t="shared" si="530"/>
        <v>0.61446007625569643</v>
      </c>
      <c r="BL187" s="460">
        <f t="shared" si="601"/>
        <v>687.48237076620023</v>
      </c>
      <c r="BM187" s="173">
        <f t="shared" si="531"/>
        <v>2.8701749999999997</v>
      </c>
      <c r="BN187" s="173">
        <f t="shared" si="532"/>
        <v>4.7836250000000004E-2</v>
      </c>
      <c r="BO187" s="528"/>
      <c r="BQ187" s="460">
        <f t="shared" si="486"/>
        <v>2918.0112499999996</v>
      </c>
      <c r="BR187" s="528">
        <f t="shared" si="487"/>
        <v>9.03387159629057E-2</v>
      </c>
      <c r="BS187" s="528">
        <f t="shared" si="488"/>
        <v>1.3983716425726991</v>
      </c>
      <c r="BT187" s="528">
        <f t="shared" si="489"/>
        <v>8.4614763288251262E-5</v>
      </c>
      <c r="BU187" s="528">
        <f t="shared" si="490"/>
        <v>0.78873218591239258</v>
      </c>
      <c r="BV187" s="528"/>
      <c r="BW187" s="625">
        <f t="shared" si="533"/>
        <v>7.9801799789443253E-2</v>
      </c>
      <c r="BX187" s="460">
        <f t="shared" si="491"/>
        <v>2357.3289590007289</v>
      </c>
      <c r="BY187" s="173">
        <f t="shared" si="492"/>
        <v>5.9628225797669288</v>
      </c>
      <c r="BZ187" s="5">
        <f t="shared" si="493"/>
        <v>19.866</v>
      </c>
      <c r="CA187" s="173">
        <f t="shared" si="494"/>
        <v>0.76914075113753266</v>
      </c>
      <c r="CB187" s="5">
        <f t="shared" si="495"/>
        <v>76.91407511375327</v>
      </c>
      <c r="CC187">
        <f t="shared" si="496"/>
        <v>77</v>
      </c>
      <c r="CE187" s="562">
        <f t="shared" si="534"/>
        <v>-50</v>
      </c>
      <c r="CF187">
        <f t="shared" si="535"/>
        <v>-50</v>
      </c>
      <c r="CG187" s="173">
        <f t="shared" si="536"/>
        <v>0.48913043478260876</v>
      </c>
      <c r="CH187" s="173">
        <f t="shared" si="537"/>
        <v>0.13097870664369976</v>
      </c>
      <c r="CI187" s="170">
        <v>77</v>
      </c>
      <c r="CJ187" s="217">
        <f t="shared" si="602"/>
        <v>4.62</v>
      </c>
      <c r="CK187" s="217">
        <f t="shared" si="538"/>
        <v>7.7000000000000013E-2</v>
      </c>
      <c r="CL187" s="217">
        <f t="shared" si="539"/>
        <v>18.48</v>
      </c>
      <c r="CM187" s="217">
        <f t="shared" si="540"/>
        <v>1.3860000000000001</v>
      </c>
      <c r="CN187" s="541">
        <f t="shared" si="541"/>
        <v>18</v>
      </c>
      <c r="CO187" s="443">
        <f t="shared" si="542"/>
        <v>18.8</v>
      </c>
      <c r="CP187" s="443">
        <f t="shared" si="543"/>
        <v>36.799999999999997</v>
      </c>
      <c r="CQ187" s="443"/>
      <c r="CR187" s="217">
        <f t="shared" si="544"/>
        <v>0.51086956521739135</v>
      </c>
      <c r="CS187" s="172">
        <f t="shared" si="545"/>
        <v>28.513650151668358</v>
      </c>
      <c r="CT187" s="172">
        <f t="shared" si="546"/>
        <v>2.2989130434782612</v>
      </c>
      <c r="CU187" s="217">
        <f t="shared" si="547"/>
        <v>7.1284125379170895</v>
      </c>
      <c r="CV187" s="217">
        <f t="shared" si="548"/>
        <v>1.5840916750926866</v>
      </c>
      <c r="CW187" s="217">
        <f t="shared" si="549"/>
        <v>4</v>
      </c>
      <c r="CX187" s="217">
        <f t="shared" si="550"/>
        <v>4.3207375886524817</v>
      </c>
      <c r="CY187" s="217">
        <f t="shared" si="551"/>
        <v>2.8804917257683211</v>
      </c>
      <c r="CZ187" s="217">
        <f t="shared" si="552"/>
        <v>2.7579176097781799</v>
      </c>
      <c r="DA187" s="197">
        <f t="shared" si="553"/>
        <v>350</v>
      </c>
      <c r="DB187" s="443">
        <f t="shared" si="554"/>
        <v>177.35498444493038</v>
      </c>
      <c r="DD187" s="217">
        <f t="shared" si="555"/>
        <v>2.18944099378882</v>
      </c>
      <c r="DE187" s="173">
        <f t="shared" si="556"/>
        <v>1.3975155279503106</v>
      </c>
      <c r="DF187" s="173">
        <f t="shared" si="557"/>
        <v>1.9924134422749624</v>
      </c>
      <c r="DG187" s="173"/>
      <c r="DH187" s="173">
        <f t="shared" si="558"/>
        <v>0.85106382978723416</v>
      </c>
      <c r="DI187" s="545">
        <f t="shared" si="559"/>
        <v>2035.6874999999993</v>
      </c>
      <c r="DJ187" s="528">
        <f t="shared" si="560"/>
        <v>0.79432624113475192</v>
      </c>
      <c r="DL187" s="173">
        <f t="shared" si="561"/>
        <v>3.0757112998459397</v>
      </c>
      <c r="DM187" s="173">
        <f t="shared" si="562"/>
        <v>4.3207375886524817</v>
      </c>
      <c r="DN187" s="173">
        <f t="shared" si="563"/>
        <v>3.4128920409771464</v>
      </c>
      <c r="DP187" s="545">
        <f t="shared" si="564"/>
        <v>4620</v>
      </c>
      <c r="DQ187" s="460">
        <f t="shared" si="565"/>
        <v>177.35498444493038</v>
      </c>
      <c r="DS187">
        <f t="shared" si="566"/>
        <v>4620</v>
      </c>
      <c r="DT187">
        <f t="shared" si="567"/>
        <v>177.35498444493038</v>
      </c>
      <c r="DV187" s="5">
        <f t="shared" si="568"/>
        <v>5.6384093355465019</v>
      </c>
      <c r="DW187" s="5">
        <f t="shared" si="569"/>
        <v>2.8804917257683211</v>
      </c>
      <c r="DX187" s="5">
        <f t="shared" si="570"/>
        <v>2.7579176097781808</v>
      </c>
      <c r="DY187" s="173">
        <f t="shared" si="571"/>
        <v>0.51086956521739124</v>
      </c>
      <c r="EA187" s="5">
        <f t="shared" si="572"/>
        <v>332.6967943262411</v>
      </c>
      <c r="EB187" s="5">
        <f t="shared" si="573"/>
        <v>1.2322103493564487</v>
      </c>
      <c r="EC187" s="5">
        <f t="shared" si="574"/>
        <v>2.3595517328102207</v>
      </c>
      <c r="ED187" s="5"/>
      <c r="EE187" s="173">
        <f t="shared" si="575"/>
        <v>1.7830038422111256</v>
      </c>
      <c r="EF187" s="173">
        <f t="shared" si="576"/>
        <v>6.9786207638188049</v>
      </c>
      <c r="EG187" s="173">
        <f t="shared" si="577"/>
        <v>0.1329710172565475</v>
      </c>
      <c r="EH187" s="173"/>
      <c r="EI187" s="528">
        <f t="shared" si="578"/>
        <v>3.878505295634356E-2</v>
      </c>
      <c r="EJ187" s="528">
        <f t="shared" si="579"/>
        <v>0.56399999999999995</v>
      </c>
      <c r="EK187" s="528">
        <f t="shared" si="580"/>
        <v>2.2169373055616295E-2</v>
      </c>
      <c r="EL187" s="528">
        <f t="shared" si="581"/>
        <v>2.4018121413470251E-2</v>
      </c>
      <c r="EM187">
        <f t="shared" si="582"/>
        <v>8.0999999999999996E-3</v>
      </c>
      <c r="EN187" s="460">
        <f t="shared" si="583"/>
        <v>30.269373055616295</v>
      </c>
      <c r="EP187" s="460">
        <f t="shared" si="603"/>
        <v>657.07254742543012</v>
      </c>
      <c r="EQ187" s="173">
        <f t="shared" si="584"/>
        <v>3.234</v>
      </c>
      <c r="ER187" s="173">
        <f t="shared" si="585"/>
        <v>3.4168750000000005E-2</v>
      </c>
      <c r="ES187" s="528"/>
      <c r="EU187" s="460">
        <f t="shared" si="497"/>
        <v>3268.1687500000003</v>
      </c>
      <c r="EV187" s="528">
        <f t="shared" si="586"/>
        <v>9.5373081040189087E-2</v>
      </c>
      <c r="EW187" s="528">
        <f t="shared" si="587"/>
        <v>1.4610344329560887</v>
      </c>
      <c r="EX187" s="528">
        <f t="shared" si="588"/>
        <v>8.8406457151205271E-5</v>
      </c>
      <c r="EY187" s="528">
        <f t="shared" si="589"/>
        <v>0.81278041177063209</v>
      </c>
      <c r="EZ187" s="528"/>
      <c r="FA187" s="625">
        <f t="shared" si="590"/>
        <v>8.2774999999999987E-2</v>
      </c>
      <c r="FB187" s="460">
        <f t="shared" si="498"/>
        <v>2452.0513322240608</v>
      </c>
      <c r="FC187" s="173">
        <f t="shared" si="591"/>
        <v>6.3772926296494905</v>
      </c>
      <c r="FD187" s="5">
        <f t="shared" si="592"/>
        <v>19.866</v>
      </c>
      <c r="FE187" s="173">
        <f t="shared" si="593"/>
        <v>0.75699342610521103</v>
      </c>
      <c r="FF187" s="5">
        <f t="shared" si="594"/>
        <v>75.6993426105211</v>
      </c>
      <c r="FG187">
        <f t="shared" si="595"/>
        <v>77</v>
      </c>
      <c r="FI187" s="562">
        <f t="shared" si="596"/>
        <v>-50</v>
      </c>
      <c r="FJ187">
        <f t="shared" si="597"/>
        <v>-50</v>
      </c>
    </row>
    <row r="188" spans="5:166">
      <c r="E188" s="170">
        <v>78</v>
      </c>
      <c r="F188" s="217">
        <f t="shared" si="598"/>
        <v>4.68</v>
      </c>
      <c r="G188" s="217">
        <f t="shared" si="499"/>
        <v>7.8000000000000014E-2</v>
      </c>
      <c r="H188" s="217">
        <f t="shared" si="500"/>
        <v>18.72</v>
      </c>
      <c r="I188" s="217">
        <f t="shared" si="501"/>
        <v>1.4040000000000004</v>
      </c>
      <c r="J188" s="541">
        <f t="shared" si="502"/>
        <v>17.874327821007018</v>
      </c>
      <c r="K188" s="443">
        <f t="shared" si="503"/>
        <v>19.948160000000001</v>
      </c>
      <c r="L188" s="172">
        <f t="shared" si="504"/>
        <v>37.822487821007016</v>
      </c>
      <c r="M188" s="443"/>
      <c r="N188" s="217">
        <f t="shared" si="505"/>
        <v>0.52741533276191788</v>
      </c>
      <c r="O188" s="172">
        <f t="shared" si="506"/>
        <v>29.231611025153558</v>
      </c>
      <c r="P188" s="172">
        <f t="shared" si="507"/>
        <v>2.3567986389030056</v>
      </c>
      <c r="Q188" s="217">
        <f t="shared" si="508"/>
        <v>7.3079027562883896</v>
      </c>
      <c r="R188" s="217">
        <f t="shared" si="509"/>
        <v>1.6239783902863087</v>
      </c>
      <c r="S188" s="217">
        <f t="shared" si="510"/>
        <v>4</v>
      </c>
      <c r="T188" s="217">
        <f t="shared" si="511"/>
        <v>4.2693507344706605</v>
      </c>
      <c r="U188" s="217">
        <f t="shared" si="512"/>
        <v>2.8662453394995175</v>
      </c>
      <c r="V188" s="217">
        <f t="shared" si="513"/>
        <v>2.5682673897566453</v>
      </c>
      <c r="W188" s="197">
        <f t="shared" si="514"/>
        <v>350</v>
      </c>
      <c r="X188" s="443">
        <f t="shared" si="599"/>
        <v>177.47763614193033</v>
      </c>
      <c r="Z188" s="217">
        <f t="shared" si="515"/>
        <v>2.2445701322885765</v>
      </c>
      <c r="AA188" s="173">
        <f t="shared" si="516"/>
        <v>1.3502419063945204</v>
      </c>
      <c r="AB188" s="173">
        <f t="shared" si="517"/>
        <v>1.9734873098793211</v>
      </c>
      <c r="AC188" s="173"/>
      <c r="AD188" s="173">
        <f t="shared" si="518"/>
        <v>0.80207898873881112</v>
      </c>
      <c r="AE188" s="545">
        <f t="shared" si="519"/>
        <v>2188.0637999999994</v>
      </c>
      <c r="AF188" s="528">
        <f t="shared" si="520"/>
        <v>0.7486070561562238</v>
      </c>
      <c r="AH188" s="173">
        <f t="shared" si="521"/>
        <v>3.0956190241787089</v>
      </c>
      <c r="AI188" s="173">
        <f t="shared" si="522"/>
        <v>4.2693507344706605</v>
      </c>
      <c r="AJ188" s="173">
        <f t="shared" si="523"/>
        <v>3.3748277045461679</v>
      </c>
      <c r="AL188" s="545">
        <f t="shared" si="524"/>
        <v>4680</v>
      </c>
      <c r="AM188" s="460">
        <f t="shared" si="525"/>
        <v>177.47763614193033</v>
      </c>
      <c r="AO188">
        <f t="shared" si="526"/>
        <v>4680</v>
      </c>
      <c r="AP188">
        <f t="shared" si="527"/>
        <v>177.47763614193033</v>
      </c>
      <c r="AR188" s="5">
        <f t="shared" si="443"/>
        <v>5.634512729256163</v>
      </c>
      <c r="AS188" s="5">
        <f t="shared" si="604"/>
        <v>2.8662453394995175</v>
      </c>
      <c r="AT188" s="5">
        <f t="shared" si="605"/>
        <v>2.7682673897566454</v>
      </c>
      <c r="AU188" s="173">
        <f t="shared" si="606"/>
        <v>0.50869444745719894</v>
      </c>
      <c r="AW188" s="5">
        <f t="shared" si="477"/>
        <v>335.35070472144355</v>
      </c>
      <c r="AX188" s="5">
        <f t="shared" si="478"/>
        <v>1.2420396471164579</v>
      </c>
      <c r="AY188" s="5">
        <f t="shared" si="479"/>
        <v>2.4160333027712522</v>
      </c>
      <c r="AZ188" s="5"/>
      <c r="BA188" s="173">
        <f t="shared" si="480"/>
        <v>1.7580438592677463</v>
      </c>
      <c r="BB188" s="173">
        <f t="shared" si="481"/>
        <v>6.9109385992924102</v>
      </c>
      <c r="BC188" s="173">
        <f t="shared" si="482"/>
        <v>0.13168139763516618</v>
      </c>
      <c r="BD188" s="173"/>
      <c r="BE188" s="528">
        <f t="shared" si="483"/>
        <v>3.7706762175530179E-2</v>
      </c>
      <c r="BF188" s="528">
        <f t="shared" si="528"/>
        <v>0.53734948094873225</v>
      </c>
      <c r="BG188" s="528">
        <f t="shared" si="529"/>
        <v>7.9307336232456643E-2</v>
      </c>
      <c r="BH188" s="528">
        <f t="shared" si="484"/>
        <v>2.5388896142560964E-2</v>
      </c>
      <c r="BI188">
        <f t="shared" si="485"/>
        <v>8.043447519453158E-3</v>
      </c>
      <c r="BJ188" s="460">
        <f t="shared" si="600"/>
        <v>87.350783751909802</v>
      </c>
      <c r="BK188">
        <f t="shared" si="530"/>
        <v>0.61614609598952619</v>
      </c>
      <c r="BL188" s="460">
        <f t="shared" si="601"/>
        <v>687.79592301873322</v>
      </c>
      <c r="BM188" s="173">
        <f t="shared" si="531"/>
        <v>2.9074499999999999</v>
      </c>
      <c r="BN188" s="173">
        <f t="shared" si="532"/>
        <v>4.8457500000000008E-2</v>
      </c>
      <c r="BO188" s="528"/>
      <c r="BQ188" s="460">
        <f t="shared" si="486"/>
        <v>2955.9074999999998</v>
      </c>
      <c r="BR188" s="528">
        <f t="shared" si="487"/>
        <v>9.2721546333270941E-2</v>
      </c>
      <c r="BS188" s="528">
        <f t="shared" si="488"/>
        <v>1.432832169695692</v>
      </c>
      <c r="BT188" s="528">
        <f t="shared" si="489"/>
        <v>8.6699952415753744E-5</v>
      </c>
      <c r="BU188" s="528">
        <f t="shared" si="490"/>
        <v>0.79019391166641872</v>
      </c>
      <c r="BV188" s="528"/>
      <c r="BW188" s="625">
        <f t="shared" si="533"/>
        <v>8.0873700041899838E-2</v>
      </c>
      <c r="BX188" s="460">
        <f t="shared" si="491"/>
        <v>2396.7080276896977</v>
      </c>
      <c r="BY188" s="173">
        <f t="shared" si="492"/>
        <v>6.0404114507084303</v>
      </c>
      <c r="BZ188" s="5">
        <f t="shared" si="493"/>
        <v>20.123999999999999</v>
      </c>
      <c r="CA188" s="173">
        <f t="shared" si="494"/>
        <v>0.76913635293925642</v>
      </c>
      <c r="CB188" s="5">
        <f t="shared" si="495"/>
        <v>76.913635293925637</v>
      </c>
      <c r="CC188">
        <f t="shared" si="496"/>
        <v>77.999999999999986</v>
      </c>
      <c r="CE188" s="562">
        <f t="shared" si="534"/>
        <v>-50</v>
      </c>
      <c r="CF188">
        <f t="shared" si="535"/>
        <v>-50</v>
      </c>
      <c r="CG188" s="173">
        <f t="shared" si="536"/>
        <v>0.48913043478260876</v>
      </c>
      <c r="CH188" s="173">
        <f t="shared" si="537"/>
        <v>0.13097870664369979</v>
      </c>
      <c r="CI188" s="170">
        <v>78</v>
      </c>
      <c r="CJ188" s="217">
        <f t="shared" si="602"/>
        <v>4.68</v>
      </c>
      <c r="CK188" s="217">
        <f t="shared" si="538"/>
        <v>7.8000000000000014E-2</v>
      </c>
      <c r="CL188" s="217">
        <f t="shared" si="539"/>
        <v>18.72</v>
      </c>
      <c r="CM188" s="217">
        <f t="shared" si="540"/>
        <v>1.4040000000000004</v>
      </c>
      <c r="CN188" s="541">
        <f t="shared" si="541"/>
        <v>18</v>
      </c>
      <c r="CO188" s="443">
        <f t="shared" si="542"/>
        <v>18.8</v>
      </c>
      <c r="CP188" s="443">
        <f t="shared" si="543"/>
        <v>36.799999999999997</v>
      </c>
      <c r="CQ188" s="443"/>
      <c r="CR188" s="217">
        <f t="shared" si="544"/>
        <v>0.51086956521739135</v>
      </c>
      <c r="CS188" s="172">
        <f t="shared" si="545"/>
        <v>28.513650151668358</v>
      </c>
      <c r="CT188" s="172">
        <f t="shared" si="546"/>
        <v>2.2989130434782612</v>
      </c>
      <c r="CU188" s="217">
        <f t="shared" si="547"/>
        <v>7.1284125379170895</v>
      </c>
      <c r="CV188" s="217">
        <f t="shared" si="548"/>
        <v>1.5840916750926866</v>
      </c>
      <c r="CW188" s="217">
        <f t="shared" si="549"/>
        <v>4</v>
      </c>
      <c r="CX188" s="217">
        <f t="shared" si="550"/>
        <v>4.3768510638297862</v>
      </c>
      <c r="CY188" s="217">
        <f t="shared" si="551"/>
        <v>2.9179007092198574</v>
      </c>
      <c r="CZ188" s="217">
        <f t="shared" si="552"/>
        <v>2.7937347215934807</v>
      </c>
      <c r="DA188" s="197">
        <f t="shared" si="553"/>
        <v>350</v>
      </c>
      <c r="DB188" s="443">
        <f t="shared" si="554"/>
        <v>175.08120259307233</v>
      </c>
      <c r="DD188" s="217">
        <f t="shared" si="555"/>
        <v>2.18944099378882</v>
      </c>
      <c r="DE188" s="173">
        <f t="shared" si="556"/>
        <v>1.3975155279503106</v>
      </c>
      <c r="DF188" s="173">
        <f t="shared" si="557"/>
        <v>1.9924134422749624</v>
      </c>
      <c r="DG188" s="173"/>
      <c r="DH188" s="173">
        <f t="shared" si="558"/>
        <v>0.85106382978723416</v>
      </c>
      <c r="DI188" s="545">
        <f t="shared" si="559"/>
        <v>2062.1249999999991</v>
      </c>
      <c r="DJ188" s="528">
        <f t="shared" si="560"/>
        <v>0.79432624113475192</v>
      </c>
      <c r="DL188" s="173">
        <f t="shared" si="561"/>
        <v>3.0956190241787089</v>
      </c>
      <c r="DM188" s="173">
        <f t="shared" si="562"/>
        <v>4.3768510638297862</v>
      </c>
      <c r="DN188" s="173">
        <f t="shared" si="563"/>
        <v>3.4544575781455205</v>
      </c>
      <c r="DP188" s="545">
        <f t="shared" si="564"/>
        <v>4680</v>
      </c>
      <c r="DQ188" s="460">
        <f t="shared" si="565"/>
        <v>175.08120259307233</v>
      </c>
      <c r="DS188">
        <f t="shared" si="566"/>
        <v>4680</v>
      </c>
      <c r="DT188">
        <f t="shared" si="567"/>
        <v>175.08120259307233</v>
      </c>
      <c r="DV188" s="5">
        <f t="shared" si="568"/>
        <v>5.7116354308133381</v>
      </c>
      <c r="DW188" s="5">
        <f t="shared" si="569"/>
        <v>2.9179007092198574</v>
      </c>
      <c r="DX188" s="5">
        <f t="shared" si="570"/>
        <v>2.7937347215934807</v>
      </c>
      <c r="DY188" s="173">
        <f t="shared" si="571"/>
        <v>0.51086956521739124</v>
      </c>
      <c r="EA188" s="5">
        <f t="shared" si="572"/>
        <v>341.39438297872329</v>
      </c>
      <c r="EB188" s="5">
        <f t="shared" si="573"/>
        <v>1.2644236406619385</v>
      </c>
      <c r="EC188" s="5">
        <f t="shared" si="574"/>
        <v>2.42123675871435</v>
      </c>
      <c r="ED188" s="5"/>
      <c r="EE188" s="173">
        <f t="shared" si="575"/>
        <v>1.8061597362658153</v>
      </c>
      <c r="EF188" s="173">
        <f t="shared" si="576"/>
        <v>7.0692522023099569</v>
      </c>
      <c r="EG188" s="173">
        <f t="shared" si="577"/>
        <v>0.13469791358455457</v>
      </c>
      <c r="EH188" s="173"/>
      <c r="EI188" s="528">
        <f t="shared" si="578"/>
        <v>3.9798998513475146E-2</v>
      </c>
      <c r="EJ188" s="528">
        <f t="shared" si="579"/>
        <v>0.56399999999999995</v>
      </c>
      <c r="EK188" s="528">
        <f t="shared" si="580"/>
        <v>2.1885150324134042E-2</v>
      </c>
      <c r="EL188" s="528">
        <f t="shared" si="581"/>
        <v>2.3710196779964225E-2</v>
      </c>
      <c r="EM188">
        <f t="shared" si="582"/>
        <v>8.0999999999999996E-3</v>
      </c>
      <c r="EN188" s="460">
        <f t="shared" si="583"/>
        <v>29.98515032413404</v>
      </c>
      <c r="EP188" s="460">
        <f t="shared" si="603"/>
        <v>657.49434561757334</v>
      </c>
      <c r="EQ188" s="173">
        <f t="shared" si="584"/>
        <v>3.2759999999999998</v>
      </c>
      <c r="ER188" s="173">
        <f t="shared" si="585"/>
        <v>3.4612500000000004E-2</v>
      </c>
      <c r="ES188" s="528"/>
      <c r="EU188" s="460">
        <f t="shared" si="497"/>
        <v>3310.6125000000002</v>
      </c>
      <c r="EV188" s="528">
        <f t="shared" si="586"/>
        <v>9.7866389787233984E-2</v>
      </c>
      <c r="EW188" s="528">
        <f t="shared" si="587"/>
        <v>1.4992298009959253</v>
      </c>
      <c r="EX188" s="528">
        <f t="shared" si="588"/>
        <v>9.0717639620160661E-5</v>
      </c>
      <c r="EY188" s="528">
        <f t="shared" si="589"/>
        <v>0.81278041177063132</v>
      </c>
      <c r="EZ188" s="528"/>
      <c r="FA188" s="625">
        <f t="shared" si="590"/>
        <v>8.3849999999999994E-2</v>
      </c>
      <c r="FB188" s="460">
        <f t="shared" si="498"/>
        <v>2493.817320193411</v>
      </c>
      <c r="FC188" s="173">
        <f t="shared" si="591"/>
        <v>6.4619241658109834</v>
      </c>
      <c r="FD188" s="5">
        <f t="shared" si="592"/>
        <v>20.123999999999999</v>
      </c>
      <c r="FE188" s="173">
        <f t="shared" si="593"/>
        <v>0.75694190183086052</v>
      </c>
      <c r="FF188" s="5">
        <f t="shared" si="594"/>
        <v>75.69419018308605</v>
      </c>
      <c r="FG188">
        <f t="shared" si="595"/>
        <v>77.999999999999986</v>
      </c>
      <c r="FI188" s="562">
        <f t="shared" si="596"/>
        <v>-50</v>
      </c>
      <c r="FJ188">
        <f t="shared" si="597"/>
        <v>-50</v>
      </c>
    </row>
    <row r="189" spans="5:166">
      <c r="E189" s="170">
        <v>79</v>
      </c>
      <c r="F189" s="217">
        <f t="shared" si="598"/>
        <v>4.74</v>
      </c>
      <c r="G189" s="217">
        <f t="shared" si="499"/>
        <v>7.9000000000000015E-2</v>
      </c>
      <c r="H189" s="217">
        <f t="shared" si="500"/>
        <v>18.96</v>
      </c>
      <c r="I189" s="217">
        <f t="shared" si="501"/>
        <v>1.4220000000000002</v>
      </c>
      <c r="J189" s="541">
        <f t="shared" si="502"/>
        <v>17.872716639225057</v>
      </c>
      <c r="K189" s="443">
        <f t="shared" si="503"/>
        <v>19.962880000000002</v>
      </c>
      <c r="L189" s="172">
        <f t="shared" si="504"/>
        <v>37.835596639225059</v>
      </c>
      <c r="M189" s="443"/>
      <c r="N189" s="217">
        <f t="shared" si="505"/>
        <v>0.5276216519155934</v>
      </c>
      <c r="O189" s="172">
        <f t="shared" si="506"/>
        <v>29.240410162503064</v>
      </c>
      <c r="P189" s="172">
        <f t="shared" si="507"/>
        <v>2.3575080693518093</v>
      </c>
      <c r="Q189" s="217">
        <f t="shared" si="508"/>
        <v>7.310102540625766</v>
      </c>
      <c r="R189" s="217">
        <f t="shared" si="509"/>
        <v>1.6244672312501702</v>
      </c>
      <c r="S189" s="217">
        <f t="shared" si="510"/>
        <v>4</v>
      </c>
      <c r="T189" s="217">
        <f t="shared" si="511"/>
        <v>4.3227847796092549</v>
      </c>
      <c r="U189" s="217">
        <f t="shared" si="512"/>
        <v>2.902380113914246</v>
      </c>
      <c r="V189" s="217">
        <f t="shared" si="513"/>
        <v>2.5984936720208234</v>
      </c>
      <c r="W189" s="197">
        <f t="shared" si="514"/>
        <v>350</v>
      </c>
      <c r="X189" s="443">
        <f t="shared" si="599"/>
        <v>175.41170661717743</v>
      </c>
      <c r="Z189" s="217">
        <f t="shared" si="515"/>
        <v>2.2452457803350567</v>
      </c>
      <c r="AA189" s="173">
        <f t="shared" si="516"/>
        <v>1.3496524230983045</v>
      </c>
      <c r="AB189" s="173">
        <f t="shared" si="517"/>
        <v>1.973219521410527</v>
      </c>
      <c r="AC189" s="173"/>
      <c r="AD189" s="173">
        <f t="shared" si="518"/>
        <v>0.80148756091305462</v>
      </c>
      <c r="AE189" s="545">
        <f t="shared" si="519"/>
        <v>2217.7511999999997</v>
      </c>
      <c r="AF189" s="528">
        <f t="shared" si="520"/>
        <v>0.74805505685218454</v>
      </c>
      <c r="AH189" s="173">
        <f t="shared" si="521"/>
        <v>3.1153995386971292</v>
      </c>
      <c r="AI189" s="173">
        <f t="shared" si="522"/>
        <v>4.3227847796092549</v>
      </c>
      <c r="AJ189" s="173">
        <f t="shared" si="523"/>
        <v>3.4144084787229048</v>
      </c>
      <c r="AL189" s="545">
        <f t="shared" si="524"/>
        <v>4740</v>
      </c>
      <c r="AM189" s="460">
        <f t="shared" si="525"/>
        <v>175.41170661717743</v>
      </c>
      <c r="AO189">
        <f t="shared" si="526"/>
        <v>4740</v>
      </c>
      <c r="AP189">
        <f t="shared" si="527"/>
        <v>175.41170661717743</v>
      </c>
      <c r="AR189" s="5">
        <f t="shared" si="443"/>
        <v>5.7008737859350704</v>
      </c>
      <c r="AS189" s="5">
        <f t="shared" si="604"/>
        <v>2.902380113914246</v>
      </c>
      <c r="AT189" s="5">
        <f t="shared" si="605"/>
        <v>2.7984936720208244</v>
      </c>
      <c r="AU189" s="173">
        <f t="shared" si="606"/>
        <v>0.50911144903345562</v>
      </c>
      <c r="AW189" s="5">
        <f t="shared" si="477"/>
        <v>343.93204349883814</v>
      </c>
      <c r="AX189" s="5">
        <f t="shared" si="478"/>
        <v>1.2738223833290303</v>
      </c>
      <c r="AY189" s="5">
        <f t="shared" si="479"/>
        <v>2.4739495909026057</v>
      </c>
      <c r="AZ189" s="5"/>
      <c r="BA189" s="173">
        <f t="shared" si="480"/>
        <v>1.7807765093252028</v>
      </c>
      <c r="BB189" s="173">
        <f t="shared" si="481"/>
        <v>6.9944638383331226</v>
      </c>
      <c r="BC189" s="173">
        <f t="shared" si="482"/>
        <v>0.1332728920547257</v>
      </c>
      <c r="BD189" s="173"/>
      <c r="BE189" s="528">
        <f t="shared" si="483"/>
        <v>3.8688212709206339E-2</v>
      </c>
      <c r="BF189" s="528">
        <f t="shared" si="528"/>
        <v>0.53792787108462481</v>
      </c>
      <c r="BG189" s="528">
        <f t="shared" si="529"/>
        <v>7.8377093189292271E-2</v>
      </c>
      <c r="BH189" s="528">
        <f t="shared" si="484"/>
        <v>2.5110753663376107E-2</v>
      </c>
      <c r="BI189">
        <f t="shared" si="485"/>
        <v>8.0427224876512757E-3</v>
      </c>
      <c r="BJ189" s="460">
        <f t="shared" si="600"/>
        <v>86.419815676943543</v>
      </c>
      <c r="BK189">
        <f t="shared" si="530"/>
        <v>0.61785214914838948</v>
      </c>
      <c r="BL189" s="460">
        <f t="shared" si="601"/>
        <v>688.14665313415082</v>
      </c>
      <c r="BM189" s="173">
        <f t="shared" si="531"/>
        <v>2.944725</v>
      </c>
      <c r="BN189" s="173">
        <f t="shared" si="532"/>
        <v>4.9078750000000004E-2</v>
      </c>
      <c r="BO189" s="528"/>
      <c r="BQ189" s="460">
        <f t="shared" si="486"/>
        <v>2993.80375</v>
      </c>
      <c r="BR189" s="528">
        <f t="shared" si="487"/>
        <v>9.5134949284933629E-2</v>
      </c>
      <c r="BS189" s="528">
        <f t="shared" si="488"/>
        <v>1.4676757315724915</v>
      </c>
      <c r="BT189" s="528">
        <f t="shared" si="489"/>
        <v>8.8808318783152837E-5</v>
      </c>
      <c r="BU189" s="528">
        <f t="shared" si="490"/>
        <v>0.79163588619952174</v>
      </c>
      <c r="BV189" s="528"/>
      <c r="BW189" s="625">
        <f t="shared" si="533"/>
        <v>8.1945632163107268E-2</v>
      </c>
      <c r="BX189" s="460">
        <f t="shared" si="491"/>
        <v>2436.4810075388373</v>
      </c>
      <c r="BY189" s="173">
        <f t="shared" si="492"/>
        <v>6.1184314106729882</v>
      </c>
      <c r="BZ189" s="5">
        <f t="shared" si="493"/>
        <v>20.382000000000001</v>
      </c>
      <c r="CA189" s="173">
        <f t="shared" si="494"/>
        <v>0.76911955447605274</v>
      </c>
      <c r="CB189" s="5">
        <f t="shared" si="495"/>
        <v>76.91195544760528</v>
      </c>
      <c r="CC189">
        <f t="shared" si="496"/>
        <v>79</v>
      </c>
      <c r="CE189" s="562">
        <f t="shared" si="534"/>
        <v>-50</v>
      </c>
      <c r="CF189">
        <f t="shared" si="535"/>
        <v>-50</v>
      </c>
      <c r="CG189" s="173">
        <f t="shared" si="536"/>
        <v>0.48913043478260854</v>
      </c>
      <c r="CH189" s="173">
        <f t="shared" si="537"/>
        <v>0.13097870664369979</v>
      </c>
      <c r="CI189" s="170">
        <v>79</v>
      </c>
      <c r="CJ189" s="217">
        <f t="shared" si="602"/>
        <v>4.74</v>
      </c>
      <c r="CK189" s="217">
        <f t="shared" si="538"/>
        <v>7.9000000000000015E-2</v>
      </c>
      <c r="CL189" s="217">
        <f t="shared" si="539"/>
        <v>18.96</v>
      </c>
      <c r="CM189" s="217">
        <f t="shared" si="540"/>
        <v>1.4220000000000002</v>
      </c>
      <c r="CN189" s="541">
        <f t="shared" si="541"/>
        <v>18</v>
      </c>
      <c r="CO189" s="443">
        <f t="shared" si="542"/>
        <v>18.8</v>
      </c>
      <c r="CP189" s="443">
        <f t="shared" si="543"/>
        <v>36.799999999999997</v>
      </c>
      <c r="CQ189" s="443"/>
      <c r="CR189" s="217">
        <f t="shared" si="544"/>
        <v>0.51086956521739135</v>
      </c>
      <c r="CS189" s="172">
        <f t="shared" si="545"/>
        <v>28.513650151668358</v>
      </c>
      <c r="CT189" s="172">
        <f t="shared" si="546"/>
        <v>2.2989130434782612</v>
      </c>
      <c r="CU189" s="217">
        <f t="shared" si="547"/>
        <v>7.1284125379170895</v>
      </c>
      <c r="CV189" s="217">
        <f t="shared" si="548"/>
        <v>1.5840916750926866</v>
      </c>
      <c r="CW189" s="217">
        <f t="shared" si="549"/>
        <v>4</v>
      </c>
      <c r="CX189" s="217">
        <f t="shared" si="550"/>
        <v>4.4329645390070915</v>
      </c>
      <c r="CY189" s="217">
        <f t="shared" si="551"/>
        <v>2.9553096926713947</v>
      </c>
      <c r="CZ189" s="217">
        <f t="shared" si="552"/>
        <v>2.8295518334087819</v>
      </c>
      <c r="DA189" s="197">
        <f t="shared" si="553"/>
        <v>350</v>
      </c>
      <c r="DB189" s="443">
        <f t="shared" si="554"/>
        <v>172.86498483872964</v>
      </c>
      <c r="DD189" s="217">
        <f t="shared" si="555"/>
        <v>2.18944099378882</v>
      </c>
      <c r="DE189" s="173">
        <f t="shared" si="556"/>
        <v>1.3975155279503106</v>
      </c>
      <c r="DF189" s="173">
        <f t="shared" si="557"/>
        <v>1.9924134422749624</v>
      </c>
      <c r="DG189" s="173"/>
      <c r="DH189" s="173">
        <f t="shared" si="558"/>
        <v>0.85106382978723416</v>
      </c>
      <c r="DI189" s="545">
        <f t="shared" si="559"/>
        <v>2088.5624999999995</v>
      </c>
      <c r="DJ189" s="528">
        <f t="shared" si="560"/>
        <v>0.79432624113475192</v>
      </c>
      <c r="DL189" s="173">
        <f t="shared" si="561"/>
        <v>3.1153995386971292</v>
      </c>
      <c r="DM189" s="173">
        <f t="shared" si="562"/>
        <v>4.4329645390070915</v>
      </c>
      <c r="DN189" s="173">
        <f t="shared" si="563"/>
        <v>3.4960231153138945</v>
      </c>
      <c r="DP189" s="545">
        <f t="shared" si="564"/>
        <v>4740</v>
      </c>
      <c r="DQ189" s="460">
        <f t="shared" si="565"/>
        <v>172.86498483872964</v>
      </c>
      <c r="DS189">
        <f t="shared" si="566"/>
        <v>4740</v>
      </c>
      <c r="DT189">
        <f t="shared" si="567"/>
        <v>172.86498483872964</v>
      </c>
      <c r="DV189" s="5">
        <f t="shared" si="568"/>
        <v>5.7848615260801752</v>
      </c>
      <c r="DW189" s="5">
        <f t="shared" si="569"/>
        <v>2.9553096926713947</v>
      </c>
      <c r="DX189" s="5">
        <f t="shared" si="570"/>
        <v>2.8295518334087806</v>
      </c>
      <c r="DY189" s="173">
        <f t="shared" si="571"/>
        <v>0.51086956521739146</v>
      </c>
      <c r="EA189" s="5">
        <f t="shared" si="572"/>
        <v>350.20419858156026</v>
      </c>
      <c r="EB189" s="5">
        <f t="shared" si="573"/>
        <v>1.2970525873391123</v>
      </c>
      <c r="EC189" s="5">
        <f t="shared" si="574"/>
        <v>2.4837177204365961</v>
      </c>
      <c r="ED189" s="5"/>
      <c r="EE189" s="173">
        <f t="shared" si="575"/>
        <v>1.8293156303205058</v>
      </c>
      <c r="EF189" s="173">
        <f t="shared" si="576"/>
        <v>7.1598836408011088</v>
      </c>
      <c r="EG189" s="173">
        <f t="shared" si="577"/>
        <v>0.13642480991256167</v>
      </c>
      <c r="EH189" s="173"/>
      <c r="EI189" s="528">
        <f t="shared" si="578"/>
        <v>4.0826027239085891E-2</v>
      </c>
      <c r="EJ189" s="528">
        <f t="shared" si="579"/>
        <v>0.56400000000000006</v>
      </c>
      <c r="EK189" s="528">
        <f t="shared" si="580"/>
        <v>2.1608123104841205E-2</v>
      </c>
      <c r="EL189" s="528">
        <f t="shared" si="581"/>
        <v>2.3410067706800118E-2</v>
      </c>
      <c r="EM189">
        <f t="shared" si="582"/>
        <v>8.0999999999999996E-3</v>
      </c>
      <c r="EN189" s="460">
        <f t="shared" si="583"/>
        <v>29.708123104841203</v>
      </c>
      <c r="EP189" s="460">
        <f t="shared" si="603"/>
        <v>657.94421805072727</v>
      </c>
      <c r="EQ189" s="173">
        <f t="shared" si="584"/>
        <v>3.3180000000000001</v>
      </c>
      <c r="ER189" s="173">
        <f t="shared" si="585"/>
        <v>3.5056250000000004E-2</v>
      </c>
      <c r="ES189" s="528"/>
      <c r="EU189" s="460">
        <f t="shared" si="497"/>
        <v>3353.0562499999996</v>
      </c>
      <c r="EV189" s="528">
        <f t="shared" si="586"/>
        <v>0.10039187026004728</v>
      </c>
      <c r="EW189" s="528">
        <f t="shared" si="587"/>
        <v>1.5379180124943403</v>
      </c>
      <c r="EX189" s="528">
        <f t="shared" si="588"/>
        <v>9.3058643798392922E-5</v>
      </c>
      <c r="EY189" s="528">
        <f t="shared" si="589"/>
        <v>0.81278041177063065</v>
      </c>
      <c r="EZ189" s="528"/>
      <c r="FA189" s="625">
        <f t="shared" si="590"/>
        <v>8.4925E-2</v>
      </c>
      <c r="FB189" s="460">
        <f t="shared" si="498"/>
        <v>2536.1083531688168</v>
      </c>
      <c r="FC189" s="173">
        <f t="shared" si="591"/>
        <v>6.5471088212195445</v>
      </c>
      <c r="FD189" s="5">
        <f t="shared" si="592"/>
        <v>20.382000000000001</v>
      </c>
      <c r="FE189" s="173">
        <f t="shared" si="593"/>
        <v>0.75687614229325828</v>
      </c>
      <c r="FF189" s="5">
        <f t="shared" si="594"/>
        <v>75.687614229325831</v>
      </c>
      <c r="FG189">
        <f t="shared" si="595"/>
        <v>79</v>
      </c>
      <c r="FI189" s="562">
        <f t="shared" si="596"/>
        <v>-50</v>
      </c>
      <c r="FJ189">
        <f t="shared" si="597"/>
        <v>-50</v>
      </c>
    </row>
    <row r="190" spans="5:166">
      <c r="E190" s="170">
        <v>80</v>
      </c>
      <c r="F190" s="217">
        <f t="shared" si="598"/>
        <v>4.8000000000000007</v>
      </c>
      <c r="G190" s="217">
        <f t="shared" si="499"/>
        <v>8.0000000000000016E-2</v>
      </c>
      <c r="H190" s="217">
        <f t="shared" si="500"/>
        <v>19.200000000000003</v>
      </c>
      <c r="I190" s="217">
        <f t="shared" si="501"/>
        <v>1.4400000000000004</v>
      </c>
      <c r="J190" s="541">
        <f t="shared" si="502"/>
        <v>17.871105457443097</v>
      </c>
      <c r="K190" s="443">
        <f t="shared" si="503"/>
        <v>19.977600000000002</v>
      </c>
      <c r="L190" s="172">
        <f t="shared" si="504"/>
        <v>37.848705457443103</v>
      </c>
      <c r="M190" s="443"/>
      <c r="N190" s="217">
        <f t="shared" si="505"/>
        <v>0.52782782815287344</v>
      </c>
      <c r="O190" s="172">
        <f t="shared" si="506"/>
        <v>29.249199318738459</v>
      </c>
      <c r="P190" s="172">
        <f t="shared" si="507"/>
        <v>2.3582166950732883</v>
      </c>
      <c r="Q190" s="217">
        <f t="shared" si="508"/>
        <v>7.3122998296846147</v>
      </c>
      <c r="R190" s="217">
        <f t="shared" si="509"/>
        <v>1.6249555177076922</v>
      </c>
      <c r="S190" s="217">
        <f t="shared" si="510"/>
        <v>4</v>
      </c>
      <c r="T190" s="217">
        <f t="shared" si="511"/>
        <v>4.3761881686107218</v>
      </c>
      <c r="U190" s="217">
        <f t="shared" si="512"/>
        <v>2.9385008190110091</v>
      </c>
      <c r="V190" s="217">
        <f t="shared" si="513"/>
        <v>2.628656997003076</v>
      </c>
      <c r="W190" s="197">
        <f t="shared" si="514"/>
        <v>350</v>
      </c>
      <c r="X190" s="443">
        <f t="shared" si="599"/>
        <v>173.39563644733764</v>
      </c>
      <c r="Z190" s="217">
        <f t="shared" si="515"/>
        <v>2.2459206619745604</v>
      </c>
      <c r="AA190" s="173">
        <f t="shared" si="516"/>
        <v>1.3490633481346468</v>
      </c>
      <c r="AB190" s="173">
        <f t="shared" si="517"/>
        <v>1.9729511381597471</v>
      </c>
      <c r="AC190" s="173"/>
      <c r="AD190" s="173">
        <f t="shared" si="518"/>
        <v>0.80089700464520264</v>
      </c>
      <c r="AE190" s="545">
        <f t="shared" si="519"/>
        <v>2247.48</v>
      </c>
      <c r="AF190" s="528">
        <f t="shared" si="520"/>
        <v>0.74750387100218918</v>
      </c>
      <c r="AH190" s="173">
        <f t="shared" si="521"/>
        <v>3.1350552512789038</v>
      </c>
      <c r="AI190" s="173">
        <f t="shared" si="522"/>
        <v>4.3761881686107218</v>
      </c>
      <c r="AJ190" s="173">
        <f t="shared" si="523"/>
        <v>3.4539665446499175</v>
      </c>
      <c r="AL190" s="545">
        <f t="shared" si="524"/>
        <v>4800.0000000000009</v>
      </c>
      <c r="AM190" s="460">
        <f t="shared" si="525"/>
        <v>173.39563644733764</v>
      </c>
      <c r="AO190">
        <f t="shared" si="526"/>
        <v>4800.0000000000009</v>
      </c>
      <c r="AP190">
        <f t="shared" si="527"/>
        <v>173.39563644733764</v>
      </c>
      <c r="AR190" s="5">
        <f t="shared" si="443"/>
        <v>5.7671578160140848</v>
      </c>
      <c r="AS190" s="5">
        <f t="shared" si="604"/>
        <v>2.9385008190110091</v>
      </c>
      <c r="AT190" s="5">
        <f t="shared" si="605"/>
        <v>2.8286569970030757</v>
      </c>
      <c r="AU190" s="173">
        <f t="shared" si="606"/>
        <v>0.50952321971343684</v>
      </c>
      <c r="AW190" s="5">
        <f t="shared" si="477"/>
        <v>352.62009828132113</v>
      </c>
      <c r="AX190" s="5">
        <f t="shared" si="478"/>
        <v>1.3060003640048934</v>
      </c>
      <c r="AY190" s="5">
        <f t="shared" si="479"/>
        <v>2.5324964960799106</v>
      </c>
      <c r="AZ190" s="5"/>
      <c r="BA190" s="173">
        <f t="shared" si="480"/>
        <v>1.8035049988134246</v>
      </c>
      <c r="BB190" s="173">
        <f t="shared" si="481"/>
        <v>7.0779025310623132</v>
      </c>
      <c r="BC190" s="173">
        <f t="shared" si="482"/>
        <v>0.13486273741618732</v>
      </c>
      <c r="BD190" s="173"/>
      <c r="BE190" s="528">
        <f t="shared" si="483"/>
        <v>3.9682089425089127E-2</v>
      </c>
      <c r="BF190" s="528">
        <f t="shared" si="528"/>
        <v>0.53850092510095238</v>
      </c>
      <c r="BG190" s="528">
        <f t="shared" si="529"/>
        <v>7.7469292620270871E-2</v>
      </c>
      <c r="BH190" s="528">
        <f t="shared" si="484"/>
        <v>2.4839349823694588E-2</v>
      </c>
      <c r="BI190">
        <f t="shared" si="485"/>
        <v>8.0419974558493933E-3</v>
      </c>
      <c r="BJ190" s="460">
        <f t="shared" si="600"/>
        <v>85.511290076120261</v>
      </c>
      <c r="BK190">
        <f t="shared" si="530"/>
        <v>0.61957819952107951</v>
      </c>
      <c r="BL190" s="460">
        <f t="shared" si="601"/>
        <v>688.53365442585641</v>
      </c>
      <c r="BM190" s="173">
        <f t="shared" si="531"/>
        <v>2.9820000000000002</v>
      </c>
      <c r="BN190" s="173">
        <f t="shared" si="532"/>
        <v>4.9700000000000008E-2</v>
      </c>
      <c r="BO190" s="528"/>
      <c r="BQ190" s="460">
        <f t="shared" si="486"/>
        <v>3031.7000000000003</v>
      </c>
      <c r="BR190" s="528">
        <f t="shared" si="487"/>
        <v>9.7578908422350313E-2</v>
      </c>
      <c r="BS190" s="528">
        <f t="shared" si="488"/>
        <v>1.5029011271765489</v>
      </c>
      <c r="BT190" s="528">
        <f t="shared" si="489"/>
        <v>9.0939789716937451E-5</v>
      </c>
      <c r="BU190" s="528">
        <f t="shared" si="490"/>
        <v>0.79305879129887513</v>
      </c>
      <c r="BV190" s="528"/>
      <c r="BW190" s="625">
        <f t="shared" si="533"/>
        <v>8.3017595053105839E-2</v>
      </c>
      <c r="BX190" s="460">
        <f t="shared" si="491"/>
        <v>2476.6473617405968</v>
      </c>
      <c r="BY190" s="173">
        <f t="shared" si="492"/>
        <v>6.1968810161664534</v>
      </c>
      <c r="BZ190" s="5">
        <f t="shared" si="493"/>
        <v>20.640000000000004</v>
      </c>
      <c r="CA190" s="173">
        <f t="shared" si="494"/>
        <v>0.76909086370977797</v>
      </c>
      <c r="CB190" s="5">
        <f t="shared" si="495"/>
        <v>76.909086370977803</v>
      </c>
      <c r="CC190">
        <f t="shared" si="496"/>
        <v>80.000000000000014</v>
      </c>
      <c r="CE190" s="562">
        <f t="shared" si="534"/>
        <v>-50</v>
      </c>
      <c r="CF190">
        <f t="shared" si="535"/>
        <v>-50</v>
      </c>
      <c r="CG190" s="173">
        <f t="shared" si="536"/>
        <v>0.48913043478260854</v>
      </c>
      <c r="CH190" s="173">
        <f t="shared" si="537"/>
        <v>0.13097870664369976</v>
      </c>
      <c r="CI190" s="170">
        <v>80</v>
      </c>
      <c r="CJ190" s="217">
        <f t="shared" si="602"/>
        <v>4.8000000000000007</v>
      </c>
      <c r="CK190" s="217">
        <f t="shared" si="538"/>
        <v>8.0000000000000016E-2</v>
      </c>
      <c r="CL190" s="217">
        <f t="shared" si="539"/>
        <v>19.200000000000003</v>
      </c>
      <c r="CM190" s="217">
        <f t="shared" si="540"/>
        <v>1.4400000000000004</v>
      </c>
      <c r="CN190" s="541">
        <f t="shared" si="541"/>
        <v>18</v>
      </c>
      <c r="CO190" s="443">
        <f t="shared" si="542"/>
        <v>18.8</v>
      </c>
      <c r="CP190" s="443">
        <f t="shared" si="543"/>
        <v>36.799999999999997</v>
      </c>
      <c r="CQ190" s="443"/>
      <c r="CR190" s="217">
        <f t="shared" si="544"/>
        <v>0.51086956521739135</v>
      </c>
      <c r="CS190" s="172">
        <f t="shared" si="545"/>
        <v>28.513650151668358</v>
      </c>
      <c r="CT190" s="172">
        <f t="shared" si="546"/>
        <v>2.2989130434782612</v>
      </c>
      <c r="CU190" s="217">
        <f t="shared" si="547"/>
        <v>7.1284125379170895</v>
      </c>
      <c r="CV190" s="217">
        <f t="shared" si="548"/>
        <v>1.5840916750926866</v>
      </c>
      <c r="CW190" s="217">
        <f t="shared" si="549"/>
        <v>4</v>
      </c>
      <c r="CX190" s="217">
        <f t="shared" si="550"/>
        <v>4.4890780141843978</v>
      </c>
      <c r="CY190" s="217">
        <f t="shared" si="551"/>
        <v>2.9927186761229323</v>
      </c>
      <c r="CZ190" s="217">
        <f t="shared" si="552"/>
        <v>2.865368945224084</v>
      </c>
      <c r="DA190" s="197">
        <f t="shared" si="553"/>
        <v>350</v>
      </c>
      <c r="DB190" s="443">
        <f t="shared" si="554"/>
        <v>170.70417252824546</v>
      </c>
      <c r="DD190" s="217">
        <f t="shared" si="555"/>
        <v>2.18944099378882</v>
      </c>
      <c r="DE190" s="173">
        <f t="shared" si="556"/>
        <v>1.3975155279503106</v>
      </c>
      <c r="DF190" s="173">
        <f t="shared" si="557"/>
        <v>1.9924134422749624</v>
      </c>
      <c r="DG190" s="173"/>
      <c r="DH190" s="173">
        <f t="shared" si="558"/>
        <v>0.85106382978723416</v>
      </c>
      <c r="DI190" s="545">
        <f t="shared" si="559"/>
        <v>2115</v>
      </c>
      <c r="DJ190" s="528">
        <f t="shared" si="560"/>
        <v>0.79432624113475192</v>
      </c>
      <c r="DL190" s="173">
        <f t="shared" si="561"/>
        <v>3.1350552512789038</v>
      </c>
      <c r="DM190" s="173">
        <f t="shared" si="562"/>
        <v>4.4890780141843978</v>
      </c>
      <c r="DN190" s="173">
        <f t="shared" si="563"/>
        <v>3.5375886524822695</v>
      </c>
      <c r="DP190" s="545">
        <f t="shared" si="564"/>
        <v>4800.0000000000009</v>
      </c>
      <c r="DQ190" s="460">
        <f t="shared" si="565"/>
        <v>170.70417252824546</v>
      </c>
      <c r="DS190">
        <f t="shared" si="566"/>
        <v>4800.0000000000009</v>
      </c>
      <c r="DT190">
        <f t="shared" si="567"/>
        <v>170.70417252824546</v>
      </c>
      <c r="DV190" s="5">
        <f t="shared" si="568"/>
        <v>5.858087621347015</v>
      </c>
      <c r="DW190" s="5">
        <f t="shared" si="569"/>
        <v>2.9927186761229323</v>
      </c>
      <c r="DX190" s="5">
        <f t="shared" si="570"/>
        <v>2.8653689452240827</v>
      </c>
      <c r="DY190" s="173">
        <f t="shared" si="571"/>
        <v>0.51086956521739146</v>
      </c>
      <c r="EA190" s="5">
        <f t="shared" si="572"/>
        <v>359.12624113475187</v>
      </c>
      <c r="EB190" s="5">
        <f t="shared" si="573"/>
        <v>1.3300971893879701</v>
      </c>
      <c r="EC190" s="5">
        <f t="shared" si="574"/>
        <v>2.5469946179769622</v>
      </c>
      <c r="ED190" s="5"/>
      <c r="EE190" s="173">
        <f t="shared" si="575"/>
        <v>1.8524715243751964</v>
      </c>
      <c r="EF190" s="173">
        <f t="shared" si="576"/>
        <v>7.2505150792922644</v>
      </c>
      <c r="EG190" s="173">
        <f t="shared" si="577"/>
        <v>0.13815170624056883</v>
      </c>
      <c r="EH190" s="173"/>
      <c r="EI190" s="528">
        <f t="shared" si="578"/>
        <v>4.1866139133175752E-2</v>
      </c>
      <c r="EJ190" s="528">
        <f t="shared" si="579"/>
        <v>0.56399999999999995</v>
      </c>
      <c r="EK190" s="528">
        <f t="shared" si="580"/>
        <v>2.1338021566030679E-2</v>
      </c>
      <c r="EL190" s="528">
        <f t="shared" si="581"/>
        <v>2.3117441860465111E-2</v>
      </c>
      <c r="EM190">
        <f t="shared" si="582"/>
        <v>8.0999999999999996E-3</v>
      </c>
      <c r="EN190" s="460">
        <f t="shared" si="583"/>
        <v>29.438021566030677</v>
      </c>
      <c r="EP190" s="460">
        <f t="shared" si="603"/>
        <v>658.42160255967156</v>
      </c>
      <c r="EQ190" s="173">
        <f t="shared" si="584"/>
        <v>3.3600000000000003</v>
      </c>
      <c r="ER190" s="173">
        <f t="shared" si="585"/>
        <v>3.5500000000000004E-2</v>
      </c>
      <c r="ES190" s="528"/>
      <c r="EU190" s="460">
        <f t="shared" si="497"/>
        <v>3395.5</v>
      </c>
      <c r="EV190" s="528">
        <f t="shared" si="586"/>
        <v>0.10294952245862891</v>
      </c>
      <c r="EW190" s="528">
        <f t="shared" si="587"/>
        <v>1.5770990674513352</v>
      </c>
      <c r="EX190" s="528">
        <f t="shared" si="588"/>
        <v>9.5429469685902121E-5</v>
      </c>
      <c r="EY190" s="528">
        <f t="shared" si="589"/>
        <v>0.81278041177063243</v>
      </c>
      <c r="EZ190" s="528"/>
      <c r="FA190" s="625">
        <f t="shared" si="590"/>
        <v>8.6000000000000035E-2</v>
      </c>
      <c r="FB190" s="460">
        <f t="shared" si="498"/>
        <v>2578.9244311502825</v>
      </c>
      <c r="FC190" s="173">
        <f t="shared" si="591"/>
        <v>6.6328460337099546</v>
      </c>
      <c r="FD190" s="5">
        <f t="shared" si="592"/>
        <v>20.640000000000004</v>
      </c>
      <c r="FE190" s="173">
        <f t="shared" si="593"/>
        <v>0.75679670447625513</v>
      </c>
      <c r="FF190" s="5">
        <f t="shared" si="594"/>
        <v>75.679670447625512</v>
      </c>
      <c r="FG190">
        <f t="shared" si="595"/>
        <v>80.000000000000014</v>
      </c>
      <c r="FI190" s="562">
        <f t="shared" si="596"/>
        <v>-50</v>
      </c>
      <c r="FJ190">
        <f t="shared" si="597"/>
        <v>-50</v>
      </c>
    </row>
    <row r="191" spans="5:166">
      <c r="E191" s="170">
        <v>81</v>
      </c>
      <c r="F191" s="217">
        <f t="shared" si="598"/>
        <v>4.8600000000000003</v>
      </c>
      <c r="G191" s="217">
        <f t="shared" si="499"/>
        <v>8.1000000000000016E-2</v>
      </c>
      <c r="H191" s="217">
        <f t="shared" si="500"/>
        <v>19.440000000000001</v>
      </c>
      <c r="I191" s="217">
        <f t="shared" si="501"/>
        <v>1.4580000000000002</v>
      </c>
      <c r="J191" s="541">
        <f t="shared" si="502"/>
        <v>17.869494275661136</v>
      </c>
      <c r="K191" s="443">
        <f t="shared" si="503"/>
        <v>19.992319999999999</v>
      </c>
      <c r="L191" s="172">
        <f t="shared" si="504"/>
        <v>37.861814275661132</v>
      </c>
      <c r="M191" s="443"/>
      <c r="N191" s="217">
        <f t="shared" si="505"/>
        <v>0.528033861622203</v>
      </c>
      <c r="O191" s="172">
        <f t="shared" si="506"/>
        <v>29.25797850422698</v>
      </c>
      <c r="P191" s="172">
        <f t="shared" si="507"/>
        <v>2.3589245169033002</v>
      </c>
      <c r="Q191" s="217">
        <f t="shared" si="508"/>
        <v>7.3144946260567449</v>
      </c>
      <c r="R191" s="217">
        <f t="shared" si="509"/>
        <v>1.6254432502348322</v>
      </c>
      <c r="S191" s="217">
        <f t="shared" si="510"/>
        <v>4</v>
      </c>
      <c r="T191" s="217">
        <f t="shared" si="511"/>
        <v>4.4295609821873496</v>
      </c>
      <c r="U191" s="217">
        <f t="shared" si="512"/>
        <v>2.9746075051853458</v>
      </c>
      <c r="V191" s="217">
        <f t="shared" si="513"/>
        <v>2.6587575522124598</v>
      </c>
      <c r="W191" s="197">
        <f t="shared" si="514"/>
        <v>350</v>
      </c>
      <c r="X191" s="443">
        <f t="shared" si="599"/>
        <v>171.42763913460408</v>
      </c>
      <c r="Z191" s="217">
        <f t="shared" si="515"/>
        <v>2.2465947780031428</v>
      </c>
      <c r="AA191" s="173">
        <f t="shared" si="516"/>
        <v>1.3484746810794201</v>
      </c>
      <c r="AB191" s="173">
        <f t="shared" si="517"/>
        <v>1.9726821616258001</v>
      </c>
      <c r="AC191" s="173"/>
      <c r="AD191" s="173">
        <f t="shared" si="518"/>
        <v>0.80030731801011612</v>
      </c>
      <c r="AE191" s="545">
        <f t="shared" si="519"/>
        <v>2277.250199999999</v>
      </c>
      <c r="AF191" s="528">
        <f t="shared" si="520"/>
        <v>0.7469534968094419</v>
      </c>
      <c r="AH191" s="173">
        <f t="shared" si="521"/>
        <v>3.1545884947847909</v>
      </c>
      <c r="AI191" s="173">
        <f t="shared" si="522"/>
        <v>4.4295609821873496</v>
      </c>
      <c r="AJ191" s="173">
        <f t="shared" si="523"/>
        <v>3.4935019621140864</v>
      </c>
      <c r="AL191" s="545">
        <f t="shared" si="524"/>
        <v>4860</v>
      </c>
      <c r="AM191" s="460">
        <f t="shared" si="525"/>
        <v>171.42763913460408</v>
      </c>
      <c r="AO191">
        <f t="shared" si="526"/>
        <v>4860</v>
      </c>
      <c r="AP191">
        <f t="shared" si="527"/>
        <v>171.42763913460408</v>
      </c>
      <c r="AR191" s="5">
        <f t="shared" si="443"/>
        <v>5.8333650573978053</v>
      </c>
      <c r="AS191" s="5">
        <f t="shared" si="604"/>
        <v>2.9746075051853458</v>
      </c>
      <c r="AT191" s="5">
        <f t="shared" si="605"/>
        <v>2.8587575522124595</v>
      </c>
      <c r="AU191" s="173">
        <f t="shared" si="606"/>
        <v>0.50992994196599839</v>
      </c>
      <c r="AW191" s="5">
        <f t="shared" si="477"/>
        <v>361.4148118800195</v>
      </c>
      <c r="AX191" s="5">
        <f t="shared" si="478"/>
        <v>1.3385733773334059</v>
      </c>
      <c r="AY191" s="5">
        <f t="shared" si="479"/>
        <v>2.591672244967794</v>
      </c>
      <c r="AZ191" s="5"/>
      <c r="BA191" s="173">
        <f t="shared" si="480"/>
        <v>1.8262293341734719</v>
      </c>
      <c r="BB191" s="173">
        <f t="shared" si="481"/>
        <v>7.1612549186780621</v>
      </c>
      <c r="BC191" s="173">
        <f t="shared" si="482"/>
        <v>0.13645093831535227</v>
      </c>
      <c r="BD191" s="173"/>
      <c r="BE191" s="528">
        <f t="shared" si="483"/>
        <v>4.0688385688147324E-2</v>
      </c>
      <c r="BF191" s="528">
        <f t="shared" si="528"/>
        <v>0.53906883156233443</v>
      </c>
      <c r="BG191" s="528">
        <f t="shared" si="529"/>
        <v>7.6583130405147762E-2</v>
      </c>
      <c r="BH191" s="528">
        <f t="shared" si="484"/>
        <v>2.4574443158270846E-2</v>
      </c>
      <c r="BI191">
        <f t="shared" si="485"/>
        <v>8.041272424047511E-3</v>
      </c>
      <c r="BJ191" s="460">
        <f t="shared" si="600"/>
        <v>84.624402829195276</v>
      </c>
      <c r="BK191">
        <f t="shared" si="530"/>
        <v>0.62132421393529902</v>
      </c>
      <c r="BL191" s="460">
        <f t="shared" si="601"/>
        <v>688.95606323794789</v>
      </c>
      <c r="BM191" s="173">
        <f t="shared" si="531"/>
        <v>3.0192749999999999</v>
      </c>
      <c r="BN191" s="173">
        <f t="shared" si="532"/>
        <v>5.0321250000000005E-2</v>
      </c>
      <c r="BO191" s="528"/>
      <c r="BQ191" s="460">
        <f t="shared" si="486"/>
        <v>3069.5962500000001</v>
      </c>
      <c r="BR191" s="528">
        <f t="shared" si="487"/>
        <v>0.10005340742987047</v>
      </c>
      <c r="BS191" s="528">
        <f t="shared" si="488"/>
        <v>1.5385071603087221</v>
      </c>
      <c r="BT191" s="528">
        <f t="shared" si="489"/>
        <v>9.309429283570035E-5</v>
      </c>
      <c r="BU191" s="528">
        <f t="shared" si="490"/>
        <v>0.79446327703112773</v>
      </c>
      <c r="BV191" s="528"/>
      <c r="BW191" s="625">
        <f t="shared" si="533"/>
        <v>8.4089587664470875E-2</v>
      </c>
      <c r="BX191" s="460">
        <f t="shared" si="491"/>
        <v>2517.2065267270268</v>
      </c>
      <c r="BY191" s="173">
        <f t="shared" si="492"/>
        <v>6.2757588399649737</v>
      </c>
      <c r="BZ191" s="5">
        <f t="shared" si="493"/>
        <v>20.898000000000003</v>
      </c>
      <c r="CA191" s="173">
        <f t="shared" si="494"/>
        <v>0.76905076412413398</v>
      </c>
      <c r="CB191" s="5">
        <f t="shared" si="495"/>
        <v>76.905076412413393</v>
      </c>
      <c r="CC191">
        <f t="shared" si="496"/>
        <v>81</v>
      </c>
      <c r="CE191" s="562">
        <f t="shared" si="534"/>
        <v>-50</v>
      </c>
      <c r="CF191">
        <f t="shared" si="535"/>
        <v>-50</v>
      </c>
      <c r="CG191" s="173">
        <f t="shared" si="536"/>
        <v>0.48913043478260854</v>
      </c>
      <c r="CH191" s="173">
        <f t="shared" si="537"/>
        <v>0.13097870664369976</v>
      </c>
      <c r="CI191" s="170">
        <v>81</v>
      </c>
      <c r="CJ191" s="217">
        <f t="shared" si="602"/>
        <v>4.8600000000000003</v>
      </c>
      <c r="CK191" s="217">
        <f t="shared" si="538"/>
        <v>8.1000000000000016E-2</v>
      </c>
      <c r="CL191" s="217">
        <f t="shared" si="539"/>
        <v>19.440000000000001</v>
      </c>
      <c r="CM191" s="217">
        <f t="shared" si="540"/>
        <v>1.4580000000000002</v>
      </c>
      <c r="CN191" s="541">
        <f t="shared" si="541"/>
        <v>18</v>
      </c>
      <c r="CO191" s="443">
        <f t="shared" si="542"/>
        <v>18.8</v>
      </c>
      <c r="CP191" s="443">
        <f t="shared" si="543"/>
        <v>36.799999999999997</v>
      </c>
      <c r="CQ191" s="443"/>
      <c r="CR191" s="217">
        <f t="shared" si="544"/>
        <v>0.51086956521739135</v>
      </c>
      <c r="CS191" s="172">
        <f t="shared" si="545"/>
        <v>28.513650151668358</v>
      </c>
      <c r="CT191" s="172">
        <f t="shared" si="546"/>
        <v>2.2989130434782612</v>
      </c>
      <c r="CU191" s="217">
        <f t="shared" si="547"/>
        <v>7.1284125379170895</v>
      </c>
      <c r="CV191" s="217">
        <f t="shared" si="548"/>
        <v>1.5840916750926866</v>
      </c>
      <c r="CW191" s="217">
        <f t="shared" si="549"/>
        <v>4</v>
      </c>
      <c r="CX191" s="217">
        <f t="shared" si="550"/>
        <v>4.5451914893617023</v>
      </c>
      <c r="CY191" s="217">
        <f t="shared" si="551"/>
        <v>3.0301276595744686</v>
      </c>
      <c r="CZ191" s="217">
        <f t="shared" si="552"/>
        <v>2.9011860570393844</v>
      </c>
      <c r="DA191" s="197">
        <f t="shared" si="553"/>
        <v>350</v>
      </c>
      <c r="DB191" s="443">
        <f t="shared" si="554"/>
        <v>168.59671360814369</v>
      </c>
      <c r="DD191" s="217">
        <f t="shared" si="555"/>
        <v>2.18944099378882</v>
      </c>
      <c r="DE191" s="173">
        <f t="shared" si="556"/>
        <v>1.3975155279503106</v>
      </c>
      <c r="DF191" s="173">
        <f t="shared" si="557"/>
        <v>1.9924134422749624</v>
      </c>
      <c r="DG191" s="173"/>
      <c r="DH191" s="173">
        <f t="shared" si="558"/>
        <v>0.85106382978723416</v>
      </c>
      <c r="DI191" s="545">
        <f t="shared" si="559"/>
        <v>2141.4374999999995</v>
      </c>
      <c r="DJ191" s="528">
        <f t="shared" si="560"/>
        <v>0.79432624113475192</v>
      </c>
      <c r="DL191" s="173">
        <f t="shared" si="561"/>
        <v>3.1545884947847909</v>
      </c>
      <c r="DM191" s="173">
        <f t="shared" si="562"/>
        <v>4.5451914893617023</v>
      </c>
      <c r="DN191" s="173">
        <f t="shared" si="563"/>
        <v>3.5791541896506436</v>
      </c>
      <c r="DP191" s="545">
        <f t="shared" si="564"/>
        <v>4860</v>
      </c>
      <c r="DQ191" s="460">
        <f t="shared" si="565"/>
        <v>168.59671360814369</v>
      </c>
      <c r="DS191">
        <f t="shared" si="566"/>
        <v>4860</v>
      </c>
      <c r="DT191">
        <f t="shared" si="567"/>
        <v>168.59671360814369</v>
      </c>
      <c r="DV191" s="5">
        <f t="shared" si="568"/>
        <v>5.9313137166138521</v>
      </c>
      <c r="DW191" s="5">
        <f t="shared" si="569"/>
        <v>3.0301276595744686</v>
      </c>
      <c r="DX191" s="5">
        <f t="shared" si="570"/>
        <v>2.9011860570393835</v>
      </c>
      <c r="DY191" s="173">
        <f t="shared" si="571"/>
        <v>0.51086956521739146</v>
      </c>
      <c r="EA191" s="5">
        <f t="shared" si="572"/>
        <v>368.16051063829798</v>
      </c>
      <c r="EB191" s="5">
        <f t="shared" si="573"/>
        <v>1.3635574468085112</v>
      </c>
      <c r="EC191" s="5">
        <f t="shared" si="574"/>
        <v>2.6110674513354448</v>
      </c>
      <c r="ED191" s="5"/>
      <c r="EE191" s="173">
        <f t="shared" si="575"/>
        <v>1.8756274184298862</v>
      </c>
      <c r="EF191" s="173">
        <f t="shared" si="576"/>
        <v>7.3411465177834172</v>
      </c>
      <c r="EG191" s="173">
        <f t="shared" si="577"/>
        <v>0.13987860256857593</v>
      </c>
      <c r="EH191" s="173"/>
      <c r="EI191" s="528">
        <f t="shared" si="578"/>
        <v>4.2919334195744702E-2</v>
      </c>
      <c r="EJ191" s="528">
        <f t="shared" si="579"/>
        <v>0.56400000000000006</v>
      </c>
      <c r="EK191" s="528">
        <f t="shared" si="580"/>
        <v>2.107458920101796E-2</v>
      </c>
      <c r="EL191" s="528">
        <f t="shared" si="581"/>
        <v>2.283204134366925E-2</v>
      </c>
      <c r="EM191">
        <f t="shared" si="582"/>
        <v>8.0999999999999996E-3</v>
      </c>
      <c r="EN191" s="460">
        <f t="shared" si="583"/>
        <v>29.174589201017959</v>
      </c>
      <c r="EP191" s="460">
        <f t="shared" si="603"/>
        <v>658.92596474043194</v>
      </c>
      <c r="EQ191" s="173">
        <f t="shared" si="584"/>
        <v>3.4020000000000001</v>
      </c>
      <c r="ER191" s="173">
        <f t="shared" si="585"/>
        <v>3.5943750000000003E-2</v>
      </c>
      <c r="ES191" s="528"/>
      <c r="EU191" s="460">
        <f t="shared" si="497"/>
        <v>3437.9437499999999</v>
      </c>
      <c r="EV191" s="528">
        <f t="shared" si="586"/>
        <v>0.10553934638297878</v>
      </c>
      <c r="EW191" s="528">
        <f t="shared" si="587"/>
        <v>1.6167729658669077</v>
      </c>
      <c r="EX191" s="528">
        <f t="shared" si="588"/>
        <v>9.7830117282688081E-5</v>
      </c>
      <c r="EY191" s="528">
        <f t="shared" si="589"/>
        <v>0.8127804117706332</v>
      </c>
      <c r="EZ191" s="528"/>
      <c r="FA191" s="625">
        <f t="shared" si="590"/>
        <v>8.7075000000000014E-2</v>
      </c>
      <c r="FB191" s="460">
        <f t="shared" si="498"/>
        <v>2622.2655541378022</v>
      </c>
      <c r="FC191" s="173">
        <f t="shared" si="591"/>
        <v>6.7191352688782349</v>
      </c>
      <c r="FD191" s="5">
        <f t="shared" si="592"/>
        <v>20.898000000000003</v>
      </c>
      <c r="FE191" s="173">
        <f t="shared" si="593"/>
        <v>0.75670411853143837</v>
      </c>
      <c r="FF191" s="5">
        <f t="shared" si="594"/>
        <v>75.670411853143833</v>
      </c>
      <c r="FG191">
        <f t="shared" si="595"/>
        <v>81</v>
      </c>
      <c r="FI191" s="562">
        <f t="shared" si="596"/>
        <v>-50</v>
      </c>
      <c r="FJ191">
        <f t="shared" si="597"/>
        <v>-50</v>
      </c>
    </row>
    <row r="192" spans="5:166">
      <c r="E192" s="170">
        <v>82</v>
      </c>
      <c r="F192" s="217">
        <f t="shared" si="598"/>
        <v>4.92</v>
      </c>
      <c r="G192" s="217">
        <f t="shared" si="499"/>
        <v>8.2000000000000003E-2</v>
      </c>
      <c r="H192" s="217">
        <f t="shared" si="500"/>
        <v>19.68</v>
      </c>
      <c r="I192" s="217">
        <f t="shared" si="501"/>
        <v>1.476</v>
      </c>
      <c r="J192" s="541">
        <f t="shared" si="502"/>
        <v>17.867883093879176</v>
      </c>
      <c r="K192" s="443">
        <f t="shared" si="503"/>
        <v>20.00704</v>
      </c>
      <c r="L192" s="172">
        <f t="shared" si="504"/>
        <v>37.874923093879175</v>
      </c>
      <c r="M192" s="443"/>
      <c r="N192" s="217">
        <f t="shared" si="505"/>
        <v>0.5282397524718212</v>
      </c>
      <c r="O192" s="172">
        <f t="shared" si="506"/>
        <v>29.266747729321473</v>
      </c>
      <c r="P192" s="172">
        <f t="shared" si="507"/>
        <v>2.3596315356765438</v>
      </c>
      <c r="Q192" s="217">
        <f t="shared" si="508"/>
        <v>7.3166869323303683</v>
      </c>
      <c r="R192" s="217">
        <f t="shared" si="509"/>
        <v>1.6259304294067485</v>
      </c>
      <c r="S192" s="217">
        <f t="shared" si="510"/>
        <v>4</v>
      </c>
      <c r="T192" s="217">
        <f t="shared" si="511"/>
        <v>4.4829033008185828</v>
      </c>
      <c r="U192" s="217">
        <f t="shared" si="512"/>
        <v>3.0107002226945934</v>
      </c>
      <c r="V192" s="217">
        <f t="shared" si="513"/>
        <v>2.6887955244665376</v>
      </c>
      <c r="W192" s="197">
        <f t="shared" si="514"/>
        <v>350</v>
      </c>
      <c r="X192" s="443">
        <f t="shared" si="599"/>
        <v>169.50601252339325</v>
      </c>
      <c r="Z192" s="217">
        <f t="shared" si="515"/>
        <v>2.2472681292157555</v>
      </c>
      <c r="AA192" s="173">
        <f t="shared" si="516"/>
        <v>1.347886421509082</v>
      </c>
      <c r="AB192" s="173">
        <f t="shared" si="517"/>
        <v>1.9724125933042078</v>
      </c>
      <c r="AC192" s="173"/>
      <c r="AD192" s="173">
        <f t="shared" si="518"/>
        <v>0.79971849908832104</v>
      </c>
      <c r="AE192" s="545">
        <f t="shared" si="519"/>
        <v>2307.0617999999995</v>
      </c>
      <c r="AF192" s="528">
        <f t="shared" si="520"/>
        <v>0.74640393248243309</v>
      </c>
      <c r="AH192" s="173">
        <f t="shared" si="521"/>
        <v>3.1740015302903863</v>
      </c>
      <c r="AI192" s="173">
        <f t="shared" si="522"/>
        <v>4.4829033008185828</v>
      </c>
      <c r="AJ192" s="173">
        <f t="shared" si="523"/>
        <v>3.5330147907298137</v>
      </c>
      <c r="AL192" s="545">
        <f t="shared" si="524"/>
        <v>4920</v>
      </c>
      <c r="AM192" s="460">
        <f t="shared" si="525"/>
        <v>169.50601252339325</v>
      </c>
      <c r="AO192">
        <f t="shared" si="526"/>
        <v>4920</v>
      </c>
      <c r="AP192">
        <f t="shared" si="527"/>
        <v>169.50601252339325</v>
      </c>
      <c r="AR192" s="5">
        <f t="shared" si="443"/>
        <v>5.899495747161132</v>
      </c>
      <c r="AS192" s="5">
        <f t="shared" si="604"/>
        <v>3.0107002226945934</v>
      </c>
      <c r="AT192" s="5">
        <f t="shared" si="605"/>
        <v>2.8887955244665386</v>
      </c>
      <c r="AU192" s="173">
        <f t="shared" si="606"/>
        <v>0.51033178965225257</v>
      </c>
      <c r="AW192" s="5">
        <f t="shared" si="477"/>
        <v>370.31612739143492</v>
      </c>
      <c r="AX192" s="5">
        <f t="shared" si="478"/>
        <v>1.3715412125608704</v>
      </c>
      <c r="AY192" s="5">
        <f t="shared" si="479"/>
        <v>2.6514750713519302</v>
      </c>
      <c r="AZ192" s="5"/>
      <c r="BA192" s="173">
        <f t="shared" si="480"/>
        <v>1.8489495222205108</v>
      </c>
      <c r="BB192" s="173">
        <f t="shared" si="481"/>
        <v>7.2445212392379315</v>
      </c>
      <c r="BC192" s="173">
        <f t="shared" si="482"/>
        <v>0.13803749928818224</v>
      </c>
      <c r="BD192" s="173"/>
      <c r="BE192" s="528">
        <f t="shared" si="483"/>
        <v>4.1707094895777348E-2</v>
      </c>
      <c r="BF192" s="528">
        <f t="shared" si="528"/>
        <v>0.53963177013106767</v>
      </c>
      <c r="BG192" s="528">
        <f t="shared" si="529"/>
        <v>7.5717840386940252E-2</v>
      </c>
      <c r="BH192" s="528">
        <f t="shared" si="484"/>
        <v>2.4315803601647746E-2</v>
      </c>
      <c r="BI192">
        <f t="shared" si="485"/>
        <v>8.0405473922456287E-3</v>
      </c>
      <c r="BJ192" s="460">
        <f t="shared" si="600"/>
        <v>83.758387779185881</v>
      </c>
      <c r="BK192">
        <f t="shared" si="530"/>
        <v>0.62309016210176293</v>
      </c>
      <c r="BL192" s="460">
        <f t="shared" si="601"/>
        <v>689.41305640767871</v>
      </c>
      <c r="BM192" s="173">
        <f t="shared" si="531"/>
        <v>3.0565499999999997</v>
      </c>
      <c r="BN192" s="173">
        <f t="shared" si="532"/>
        <v>5.0942499999999995E-2</v>
      </c>
      <c r="BO192" s="528"/>
      <c r="BQ192" s="460">
        <f t="shared" si="486"/>
        <v>3107.4924999999998</v>
      </c>
      <c r="BR192" s="528">
        <f t="shared" si="487"/>
        <v>0.10255843007158365</v>
      </c>
      <c r="BS192" s="528">
        <f t="shared" si="488"/>
        <v>1.5744926395730847</v>
      </c>
      <c r="BT192" s="528">
        <f t="shared" si="489"/>
        <v>9.5271756048674556E-5</v>
      </c>
      <c r="BU192" s="528">
        <f t="shared" si="490"/>
        <v>0.79584996356455895</v>
      </c>
      <c r="BV192" s="528"/>
      <c r="BW192" s="625">
        <f t="shared" si="533"/>
        <v>8.5161608999212574E-2</v>
      </c>
      <c r="BX192" s="460">
        <f t="shared" si="491"/>
        <v>2558.1579139644887</v>
      </c>
      <c r="BY192" s="173">
        <f t="shared" si="492"/>
        <v>6.3550634703721673</v>
      </c>
      <c r="BZ192" s="5">
        <f t="shared" si="493"/>
        <v>21.155999999999999</v>
      </c>
      <c r="CA192" s="173">
        <f t="shared" si="494"/>
        <v>0.76899971616087459</v>
      </c>
      <c r="CB192" s="5">
        <f t="shared" si="495"/>
        <v>76.899971616087456</v>
      </c>
      <c r="CC192">
        <f t="shared" si="496"/>
        <v>82</v>
      </c>
      <c r="CE192" s="562">
        <f t="shared" si="534"/>
        <v>-50</v>
      </c>
      <c r="CF192">
        <f t="shared" si="535"/>
        <v>-50</v>
      </c>
      <c r="CG192" s="173">
        <f t="shared" si="536"/>
        <v>0.48913043478260876</v>
      </c>
      <c r="CH192" s="173">
        <f t="shared" si="537"/>
        <v>0.13097870664369976</v>
      </c>
      <c r="CI192" s="170">
        <v>82</v>
      </c>
      <c r="CJ192" s="217">
        <f t="shared" si="602"/>
        <v>4.92</v>
      </c>
      <c r="CK192" s="217">
        <f t="shared" si="538"/>
        <v>8.2000000000000003E-2</v>
      </c>
      <c r="CL192" s="217">
        <f t="shared" si="539"/>
        <v>19.68</v>
      </c>
      <c r="CM192" s="217">
        <f t="shared" si="540"/>
        <v>1.476</v>
      </c>
      <c r="CN192" s="541">
        <f t="shared" si="541"/>
        <v>18</v>
      </c>
      <c r="CO192" s="443">
        <f t="shared" si="542"/>
        <v>18.8</v>
      </c>
      <c r="CP192" s="443">
        <f t="shared" si="543"/>
        <v>36.799999999999997</v>
      </c>
      <c r="CQ192" s="443"/>
      <c r="CR192" s="217">
        <f t="shared" si="544"/>
        <v>0.51086956521739135</v>
      </c>
      <c r="CS192" s="172">
        <f t="shared" si="545"/>
        <v>28.513650151668358</v>
      </c>
      <c r="CT192" s="172">
        <f t="shared" si="546"/>
        <v>2.2989130434782612</v>
      </c>
      <c r="CU192" s="217">
        <f t="shared" si="547"/>
        <v>7.1284125379170895</v>
      </c>
      <c r="CV192" s="217">
        <f t="shared" si="548"/>
        <v>1.5840916750926866</v>
      </c>
      <c r="CW192" s="217">
        <f t="shared" si="549"/>
        <v>4</v>
      </c>
      <c r="CX192" s="217">
        <f t="shared" si="550"/>
        <v>4.6013049645390058</v>
      </c>
      <c r="CY192" s="217">
        <f t="shared" si="551"/>
        <v>3.067536643026004</v>
      </c>
      <c r="CZ192" s="217">
        <f t="shared" si="552"/>
        <v>2.9370031688546847</v>
      </c>
      <c r="DA192" s="197">
        <f t="shared" si="553"/>
        <v>350</v>
      </c>
      <c r="DB192" s="443">
        <f t="shared" si="554"/>
        <v>166.54065612511758</v>
      </c>
      <c r="DD192" s="217">
        <f t="shared" si="555"/>
        <v>2.18944099378882</v>
      </c>
      <c r="DE192" s="173">
        <f t="shared" si="556"/>
        <v>1.3975155279503106</v>
      </c>
      <c r="DF192" s="173">
        <f t="shared" si="557"/>
        <v>1.9924134422749624</v>
      </c>
      <c r="DG192" s="173"/>
      <c r="DH192" s="173">
        <f t="shared" si="558"/>
        <v>0.85106382978723416</v>
      </c>
      <c r="DI192" s="545">
        <f t="shared" si="559"/>
        <v>2167.8749999999995</v>
      </c>
      <c r="DJ192" s="528">
        <f t="shared" si="560"/>
        <v>0.79432624113475192</v>
      </c>
      <c r="DL192" s="173">
        <f t="shared" si="561"/>
        <v>3.1740015302903863</v>
      </c>
      <c r="DM192" s="173">
        <f t="shared" si="562"/>
        <v>4.6013049645390058</v>
      </c>
      <c r="DN192" s="173">
        <f t="shared" si="563"/>
        <v>3.6207197268190168</v>
      </c>
      <c r="DP192" s="545">
        <f t="shared" si="564"/>
        <v>4920</v>
      </c>
      <c r="DQ192" s="460">
        <f t="shared" si="565"/>
        <v>166.54065612511758</v>
      </c>
      <c r="DS192">
        <f t="shared" si="566"/>
        <v>4920</v>
      </c>
      <c r="DT192">
        <f t="shared" si="567"/>
        <v>166.54065612511758</v>
      </c>
      <c r="DV192" s="5">
        <f t="shared" si="568"/>
        <v>6.0045398118806892</v>
      </c>
      <c r="DW192" s="5">
        <f t="shared" si="569"/>
        <v>3.067536643026004</v>
      </c>
      <c r="DX192" s="5">
        <f t="shared" si="570"/>
        <v>2.9370031688546852</v>
      </c>
      <c r="DY192" s="173">
        <f t="shared" si="571"/>
        <v>0.51086956521739124</v>
      </c>
      <c r="EA192" s="5">
        <f t="shared" si="572"/>
        <v>377.30700709219849</v>
      </c>
      <c r="EB192" s="5">
        <f t="shared" si="573"/>
        <v>1.3974333596007356</v>
      </c>
      <c r="EC192" s="5">
        <f t="shared" si="574"/>
        <v>2.675936220512046</v>
      </c>
      <c r="ED192" s="5"/>
      <c r="EE192" s="173">
        <f t="shared" si="575"/>
        <v>1.898783312484575</v>
      </c>
      <c r="EF192" s="173">
        <f t="shared" si="576"/>
        <v>7.4317779562745701</v>
      </c>
      <c r="EG192" s="173">
        <f t="shared" si="577"/>
        <v>0.14160549889658303</v>
      </c>
      <c r="EH192" s="173"/>
      <c r="EI192" s="528">
        <f t="shared" si="578"/>
        <v>4.3985612426792713E-2</v>
      </c>
      <c r="EJ192" s="528">
        <f t="shared" si="579"/>
        <v>0.56399999999999995</v>
      </c>
      <c r="EK192" s="528">
        <f t="shared" si="580"/>
        <v>2.0817582015639696E-2</v>
      </c>
      <c r="EL192" s="528">
        <f t="shared" si="581"/>
        <v>2.255360181508792E-2</v>
      </c>
      <c r="EM192">
        <f t="shared" si="582"/>
        <v>8.0999999999999996E-3</v>
      </c>
      <c r="EN192" s="460">
        <f t="shared" si="583"/>
        <v>28.917582015639695</v>
      </c>
      <c r="EP192" s="460">
        <f t="shared" si="603"/>
        <v>659.45679625752018</v>
      </c>
      <c r="EQ192" s="173">
        <f t="shared" si="584"/>
        <v>3.444</v>
      </c>
      <c r="ER192" s="173">
        <f t="shared" si="585"/>
        <v>3.6387500000000003E-2</v>
      </c>
      <c r="ES192" s="528"/>
      <c r="EU192" s="460">
        <f t="shared" si="497"/>
        <v>3480.3874999999998</v>
      </c>
      <c r="EV192" s="528">
        <f t="shared" si="586"/>
        <v>0.10816134203309685</v>
      </c>
      <c r="EW192" s="528">
        <f t="shared" si="587"/>
        <v>1.6569397077410588</v>
      </c>
      <c r="EX192" s="528">
        <f t="shared" si="588"/>
        <v>1.002605865887509E-4</v>
      </c>
      <c r="EY192" s="528">
        <f t="shared" si="589"/>
        <v>0.81278041177063176</v>
      </c>
      <c r="EZ192" s="528"/>
      <c r="FA192" s="625">
        <f t="shared" si="590"/>
        <v>8.8149999999999992E-2</v>
      </c>
      <c r="FB192" s="460">
        <f t="shared" si="498"/>
        <v>2666.1317221313766</v>
      </c>
      <c r="FC192" s="173">
        <f t="shared" si="591"/>
        <v>6.805976018388896</v>
      </c>
      <c r="FD192" s="5">
        <f t="shared" si="592"/>
        <v>21.155999999999999</v>
      </c>
      <c r="FE192" s="173">
        <f t="shared" si="593"/>
        <v>0.75659888936629449</v>
      </c>
      <c r="FF192" s="5">
        <f t="shared" si="594"/>
        <v>75.659888936629443</v>
      </c>
      <c r="FG192">
        <f t="shared" si="595"/>
        <v>82</v>
      </c>
      <c r="FI192" s="562">
        <f t="shared" si="596"/>
        <v>-50</v>
      </c>
      <c r="FJ192">
        <f t="shared" si="597"/>
        <v>-50</v>
      </c>
    </row>
    <row r="193" spans="5:166">
      <c r="E193" s="170">
        <v>83</v>
      </c>
      <c r="F193" s="217">
        <f t="shared" si="598"/>
        <v>4.9799999999999995</v>
      </c>
      <c r="G193" s="217">
        <f t="shared" si="499"/>
        <v>8.3000000000000004E-2</v>
      </c>
      <c r="H193" s="217">
        <f t="shared" si="500"/>
        <v>19.919999999999998</v>
      </c>
      <c r="I193" s="217">
        <f t="shared" si="501"/>
        <v>1.494</v>
      </c>
      <c r="J193" s="541">
        <f t="shared" si="502"/>
        <v>17.866271912097215</v>
      </c>
      <c r="K193" s="443">
        <f t="shared" si="503"/>
        <v>20.02176</v>
      </c>
      <c r="L193" s="172">
        <f t="shared" si="504"/>
        <v>37.888031912097219</v>
      </c>
      <c r="M193" s="443"/>
      <c r="N193" s="217">
        <f t="shared" si="505"/>
        <v>0.5284455008497625</v>
      </c>
      <c r="O193" s="172">
        <f t="shared" si="506"/>
        <v>29.275507004360481</v>
      </c>
      <c r="P193" s="172">
        <f t="shared" si="507"/>
        <v>2.3603377522265641</v>
      </c>
      <c r="Q193" s="217">
        <f t="shared" si="508"/>
        <v>7.3188767510901203</v>
      </c>
      <c r="R193" s="217">
        <f t="shared" si="509"/>
        <v>1.6264170557978046</v>
      </c>
      <c r="S193" s="217">
        <f t="shared" si="510"/>
        <v>4</v>
      </c>
      <c r="T193" s="217">
        <f t="shared" si="511"/>
        <v>4.5362152047518727</v>
      </c>
      <c r="U193" s="217">
        <f t="shared" si="512"/>
        <v>3.0467790216583985</v>
      </c>
      <c r="V193" s="217">
        <f t="shared" si="513"/>
        <v>2.7187710998944383</v>
      </c>
      <c r="W193" s="197">
        <f t="shared" si="514"/>
        <v>350</v>
      </c>
      <c r="X193" s="443">
        <f t="shared" si="599"/>
        <v>167.62913388106767</v>
      </c>
      <c r="Z193" s="217">
        <f t="shared" si="515"/>
        <v>2.2479407164062519</v>
      </c>
      <c r="AA193" s="173">
        <f t="shared" si="516"/>
        <v>1.3472985690006785</v>
      </c>
      <c r="AB193" s="173">
        <f t="shared" si="517"/>
        <v>1.9721424346872112</v>
      </c>
      <c r="AC193" s="173"/>
      <c r="AD193" s="173">
        <f t="shared" si="518"/>
        <v>0.79913054596598909</v>
      </c>
      <c r="AE193" s="545">
        <f t="shared" si="519"/>
        <v>2336.9147999999996</v>
      </c>
      <c r="AF193" s="528">
        <f t="shared" si="520"/>
        <v>0.74585517623492326</v>
      </c>
      <c r="AH193" s="173">
        <f t="shared" si="521"/>
        <v>3.1932965501410693</v>
      </c>
      <c r="AI193" s="173">
        <f t="shared" si="522"/>
        <v>4.5362152047518727</v>
      </c>
      <c r="AJ193" s="173">
        <f t="shared" si="523"/>
        <v>3.5725050899396589</v>
      </c>
      <c r="AL193" s="545">
        <f t="shared" si="524"/>
        <v>4979.9999999999991</v>
      </c>
      <c r="AM193" s="460">
        <f t="shared" si="525"/>
        <v>167.62913388106767</v>
      </c>
      <c r="AO193">
        <f t="shared" si="526"/>
        <v>4979.9999999999991</v>
      </c>
      <c r="AP193">
        <f t="shared" si="527"/>
        <v>167.62913388106767</v>
      </c>
      <c r="AR193" s="5">
        <f t="shared" si="443"/>
        <v>5.9655501215528366</v>
      </c>
      <c r="AS193" s="5">
        <f t="shared" si="604"/>
        <v>3.0467790216583985</v>
      </c>
      <c r="AT193" s="5">
        <f t="shared" si="605"/>
        <v>2.9187710998944381</v>
      </c>
      <c r="AU193" s="173">
        <f t="shared" si="606"/>
        <v>0.5107289285276041</v>
      </c>
      <c r="AW193" s="5">
        <f t="shared" si="477"/>
        <v>379.32398819647062</v>
      </c>
      <c r="AX193" s="5">
        <f t="shared" si="478"/>
        <v>1.4049036599869282</v>
      </c>
      <c r="AY193" s="5">
        <f t="shared" si="479"/>
        <v>2.7119032161063878</v>
      </c>
      <c r="AZ193" s="5"/>
      <c r="BA193" s="173">
        <f t="shared" si="480"/>
        <v>1.871665570119817</v>
      </c>
      <c r="BB193" s="173">
        <f t="shared" si="481"/>
        <v>7.3277017278111627</v>
      </c>
      <c r="BC193" s="173">
        <f t="shared" si="482"/>
        <v>0.13962242481369919</v>
      </c>
      <c r="BD193" s="173"/>
      <c r="BE193" s="528">
        <f t="shared" si="483"/>
        <v>4.2738210477737661E-2</v>
      </c>
      <c r="BF193" s="528">
        <f t="shared" si="528"/>
        <v>0.54018991208635414</v>
      </c>
      <c r="BG193" s="528">
        <f t="shared" si="529"/>
        <v>7.487269215771257E-2</v>
      </c>
      <c r="BH193" s="528">
        <f t="shared" si="484"/>
        <v>2.4063211823261575E-2</v>
      </c>
      <c r="BI193">
        <f t="shared" si="485"/>
        <v>8.0398223604437463E-3</v>
      </c>
      <c r="BJ193" s="460">
        <f t="shared" si="600"/>
        <v>82.912514518156314</v>
      </c>
      <c r="BK193">
        <f t="shared" si="530"/>
        <v>0.62487601646927304</v>
      </c>
      <c r="BL193" s="460">
        <f t="shared" si="601"/>
        <v>689.90384890550956</v>
      </c>
      <c r="BM193" s="173">
        <f t="shared" si="531"/>
        <v>3.0938249999999994</v>
      </c>
      <c r="BN193" s="173">
        <f t="shared" si="532"/>
        <v>5.1563749999999998E-2</v>
      </c>
      <c r="BO193" s="528"/>
      <c r="BQ193" s="460">
        <f t="shared" si="486"/>
        <v>3145.3887499999996</v>
      </c>
      <c r="BR193" s="528">
        <f t="shared" si="487"/>
        <v>0.10509396019115819</v>
      </c>
      <c r="BS193" s="528">
        <f t="shared" si="488"/>
        <v>1.610856378353001</v>
      </c>
      <c r="BT193" s="528">
        <f t="shared" si="489"/>
        <v>9.7472107554285415E-5</v>
      </c>
      <c r="BU193" s="528">
        <f t="shared" si="490"/>
        <v>0.79721944286712909</v>
      </c>
      <c r="BV193" s="528"/>
      <c r="BW193" s="625">
        <f t="shared" si="533"/>
        <v>8.6233658105892341E-2</v>
      </c>
      <c r="BX193" s="460">
        <f t="shared" ref="BX193:BX210" si="607">SUM(BR193:BW193)*1000</f>
        <v>2599.5009116247347</v>
      </c>
      <c r="BY193" s="173">
        <f t="shared" ref="BY193:BY210" si="608">SUM(BE193:BI193,BM193:BP193,BR193:BW193)</f>
        <v>6.4347935105302438</v>
      </c>
      <c r="BZ193" s="5">
        <f t="shared" ref="BZ193:BZ210" si="609">MIN(H193+I193,O193+P193)</f>
        <v>21.413999999999998</v>
      </c>
      <c r="CA193" s="173">
        <f t="shared" ref="CA193:CA210" si="610">BZ193/(BZ193+BY193)</f>
        <v>0.7689381585562366</v>
      </c>
      <c r="CB193" s="5">
        <f t="shared" ref="CB193:CB210" si="611">CA193*100</f>
        <v>76.893815855623657</v>
      </c>
      <c r="CC193">
        <f t="shared" ref="CC193:CC210" si="612">F193/Iout*100</f>
        <v>83</v>
      </c>
      <c r="CE193" s="562">
        <f t="shared" si="534"/>
        <v>-50</v>
      </c>
      <c r="CF193">
        <f t="shared" si="535"/>
        <v>-50</v>
      </c>
      <c r="CG193" s="173">
        <f t="shared" si="536"/>
        <v>0.48913043478260876</v>
      </c>
      <c r="CH193" s="173">
        <f t="shared" si="537"/>
        <v>0.13097870664369976</v>
      </c>
      <c r="CI193" s="170">
        <v>83</v>
      </c>
      <c r="CJ193" s="217">
        <f t="shared" si="602"/>
        <v>4.9799999999999995</v>
      </c>
      <c r="CK193" s="217">
        <f t="shared" si="538"/>
        <v>8.3000000000000004E-2</v>
      </c>
      <c r="CL193" s="217">
        <f t="shared" si="539"/>
        <v>19.919999999999998</v>
      </c>
      <c r="CM193" s="217">
        <f t="shared" si="540"/>
        <v>1.494</v>
      </c>
      <c r="CN193" s="541">
        <f t="shared" si="541"/>
        <v>18</v>
      </c>
      <c r="CO193" s="443">
        <f t="shared" si="542"/>
        <v>18.8</v>
      </c>
      <c r="CP193" s="443">
        <f t="shared" si="543"/>
        <v>36.799999999999997</v>
      </c>
      <c r="CQ193" s="443"/>
      <c r="CR193" s="217">
        <f t="shared" si="544"/>
        <v>0.51086956521739135</v>
      </c>
      <c r="CS193" s="172">
        <f t="shared" si="545"/>
        <v>28.513650151668358</v>
      </c>
      <c r="CT193" s="172">
        <f t="shared" si="546"/>
        <v>2.2989130434782612</v>
      </c>
      <c r="CU193" s="217">
        <f t="shared" si="547"/>
        <v>7.1284125379170895</v>
      </c>
      <c r="CV193" s="217">
        <f t="shared" si="548"/>
        <v>1.5840916750926866</v>
      </c>
      <c r="CW193" s="217">
        <f t="shared" si="549"/>
        <v>4</v>
      </c>
      <c r="CX193" s="217">
        <f t="shared" si="550"/>
        <v>4.6574184397163112</v>
      </c>
      <c r="CY193" s="217">
        <f t="shared" si="551"/>
        <v>3.1049456264775408</v>
      </c>
      <c r="CZ193" s="217">
        <f t="shared" si="552"/>
        <v>2.9728202806699859</v>
      </c>
      <c r="DA193" s="197">
        <f t="shared" si="553"/>
        <v>350</v>
      </c>
      <c r="DB193" s="443">
        <f t="shared" si="554"/>
        <v>164.53414219589928</v>
      </c>
      <c r="DD193" s="217">
        <f t="shared" si="555"/>
        <v>2.18944099378882</v>
      </c>
      <c r="DE193" s="173">
        <f t="shared" si="556"/>
        <v>1.3975155279503106</v>
      </c>
      <c r="DF193" s="173">
        <f t="shared" si="557"/>
        <v>1.9924134422749624</v>
      </c>
      <c r="DG193" s="173"/>
      <c r="DH193" s="173">
        <f t="shared" si="558"/>
        <v>0.85106382978723416</v>
      </c>
      <c r="DI193" s="545">
        <f t="shared" si="559"/>
        <v>2194.3124999999991</v>
      </c>
      <c r="DJ193" s="528">
        <f t="shared" si="560"/>
        <v>0.79432624113475192</v>
      </c>
      <c r="DL193" s="173">
        <f t="shared" si="561"/>
        <v>3.1932965501410693</v>
      </c>
      <c r="DM193" s="173">
        <f t="shared" si="562"/>
        <v>4.6574184397163112</v>
      </c>
      <c r="DN193" s="173">
        <f t="shared" si="563"/>
        <v>3.6622852639873908</v>
      </c>
      <c r="DP193" s="545">
        <f t="shared" si="564"/>
        <v>4979.9999999999991</v>
      </c>
      <c r="DQ193" s="460">
        <f t="shared" si="565"/>
        <v>164.53414219589928</v>
      </c>
      <c r="DS193">
        <f>IF(CL193&gt;CS193, "",DP193)</f>
        <v>4979.9999999999991</v>
      </c>
      <c r="DT193">
        <f t="shared" si="567"/>
        <v>164.53414219589928</v>
      </c>
      <c r="DV193" s="5">
        <f t="shared" si="568"/>
        <v>6.0777659071475272</v>
      </c>
      <c r="DW193" s="5">
        <f t="shared" si="569"/>
        <v>3.1049456264775408</v>
      </c>
      <c r="DX193" s="5">
        <f t="shared" si="570"/>
        <v>2.9728202806699864</v>
      </c>
      <c r="DY193" s="173">
        <f t="shared" si="571"/>
        <v>0.51086956521739124</v>
      </c>
      <c r="EA193" s="5">
        <f t="shared" si="572"/>
        <v>386.56573049645374</v>
      </c>
      <c r="EB193" s="5">
        <f t="shared" si="573"/>
        <v>1.4317249277646438</v>
      </c>
      <c r="EC193" s="5">
        <f t="shared" si="574"/>
        <v>2.7416009255067646</v>
      </c>
      <c r="ED193" s="5"/>
      <c r="EE193" s="173">
        <f t="shared" si="575"/>
        <v>1.9219392065392651</v>
      </c>
      <c r="EF193" s="173">
        <f t="shared" si="576"/>
        <v>7.5224093947657238</v>
      </c>
      <c r="EG193" s="173">
        <f t="shared" si="577"/>
        <v>0.14333239522459015</v>
      </c>
      <c r="EH193" s="173"/>
      <c r="EI193" s="528">
        <f t="shared" si="578"/>
        <v>4.506497382631991E-2</v>
      </c>
      <c r="EJ193" s="528">
        <f t="shared" si="579"/>
        <v>0.56399999999999995</v>
      </c>
      <c r="EK193" s="528">
        <f t="shared" si="580"/>
        <v>2.0566767774487408E-2</v>
      </c>
      <c r="EL193" s="528">
        <f t="shared" si="581"/>
        <v>2.2281871672737461E-2</v>
      </c>
      <c r="EM193">
        <f t="shared" si="582"/>
        <v>8.0999999999999996E-3</v>
      </c>
      <c r="EN193" s="460">
        <f t="shared" si="583"/>
        <v>28.666767774487408</v>
      </c>
      <c r="EP193" s="460">
        <f t="shared" si="603"/>
        <v>660.01361327354471</v>
      </c>
      <c r="EQ193" s="173">
        <f t="shared" si="584"/>
        <v>3.4859999999999993</v>
      </c>
      <c r="ER193" s="173">
        <f t="shared" si="585"/>
        <v>3.6831250000000003E-2</v>
      </c>
      <c r="ES193" s="528"/>
      <c r="EU193" s="460">
        <f t="shared" si="497"/>
        <v>3522.8312499999993</v>
      </c>
      <c r="EV193" s="528">
        <f t="shared" si="586"/>
        <v>0.1108155094089834</v>
      </c>
      <c r="EW193" s="528">
        <f t="shared" si="587"/>
        <v>1.6975992930737887</v>
      </c>
      <c r="EX193" s="528">
        <f t="shared" si="588"/>
        <v>1.0272087760409057E-4</v>
      </c>
      <c r="EY193" s="528">
        <f t="shared" si="589"/>
        <v>0.81278041177063243</v>
      </c>
      <c r="EZ193" s="528"/>
      <c r="FA193" s="625">
        <f t="shared" si="590"/>
        <v>8.9224999999999985E-2</v>
      </c>
      <c r="FB193" s="460">
        <f t="shared" ref="FB193:FB210" si="613">SUM(EV193:FA193)*1000</f>
        <v>2710.5229351310081</v>
      </c>
      <c r="FC193" s="173">
        <f t="shared" si="591"/>
        <v>6.8933677984045518</v>
      </c>
      <c r="FD193" s="5">
        <f t="shared" si="592"/>
        <v>21.413999999999998</v>
      </c>
      <c r="FE193" s="173">
        <f t="shared" si="593"/>
        <v>0.75648149812102727</v>
      </c>
      <c r="FF193" s="5">
        <f t="shared" si="594"/>
        <v>75.64814981210273</v>
      </c>
      <c r="FG193">
        <f t="shared" si="595"/>
        <v>83</v>
      </c>
      <c r="FI193" s="562">
        <f t="shared" si="596"/>
        <v>-50</v>
      </c>
      <c r="FJ193">
        <f t="shared" si="597"/>
        <v>-50</v>
      </c>
    </row>
    <row r="194" spans="5:166">
      <c r="E194" s="170">
        <v>84</v>
      </c>
      <c r="F194" s="217">
        <f t="shared" si="598"/>
        <v>5.04</v>
      </c>
      <c r="G194" s="217">
        <f t="shared" si="499"/>
        <v>8.4000000000000005E-2</v>
      </c>
      <c r="H194" s="217">
        <f t="shared" si="500"/>
        <v>20.16</v>
      </c>
      <c r="I194" s="217">
        <f t="shared" si="501"/>
        <v>1.512</v>
      </c>
      <c r="J194" s="541">
        <f t="shared" si="502"/>
        <v>17.864660730315251</v>
      </c>
      <c r="K194" s="443">
        <f t="shared" si="503"/>
        <v>20.036480000000001</v>
      </c>
      <c r="L194" s="172">
        <f t="shared" si="504"/>
        <v>37.901140730315248</v>
      </c>
      <c r="M194" s="443"/>
      <c r="N194" s="217">
        <f t="shared" si="505"/>
        <v>0.52865110690385664</v>
      </c>
      <c r="O194" s="172">
        <f t="shared" si="506"/>
        <v>29.284256339668268</v>
      </c>
      <c r="P194" s="172">
        <f t="shared" si="507"/>
        <v>2.3610431673857541</v>
      </c>
      <c r="Q194" s="217">
        <f t="shared" si="508"/>
        <v>7.3210640849170669</v>
      </c>
      <c r="R194" s="217">
        <f t="shared" si="509"/>
        <v>1.6269031299815704</v>
      </c>
      <c r="S194" s="217">
        <f t="shared" si="510"/>
        <v>4</v>
      </c>
      <c r="T194" s="217">
        <f t="shared" si="511"/>
        <v>4.589496774003532</v>
      </c>
      <c r="U194" s="217">
        <f t="shared" si="512"/>
        <v>3.0828439520592292</v>
      </c>
      <c r="V194" s="217">
        <f t="shared" si="513"/>
        <v>2.7486844639398931</v>
      </c>
      <c r="W194" s="197">
        <f t="shared" si="514"/>
        <v>350</v>
      </c>
      <c r="X194" s="443">
        <f t="shared" si="599"/>
        <v>165.79545531898984</v>
      </c>
      <c r="Z194" s="217">
        <f t="shared" si="515"/>
        <v>2.2486125403673847</v>
      </c>
      <c r="AA194" s="173">
        <f t="shared" si="516"/>
        <v>1.3467111231318383</v>
      </c>
      <c r="AB194" s="173">
        <f t="shared" si="517"/>
        <v>1.9718716872637654</v>
      </c>
      <c r="AC194" s="173"/>
      <c r="AD194" s="173">
        <f t="shared" si="518"/>
        <v>0.79854345673491556</v>
      </c>
      <c r="AE194" s="545">
        <f t="shared" si="519"/>
        <v>2366.8091999999997</v>
      </c>
      <c r="AF194" s="528">
        <f t="shared" si="520"/>
        <v>0.74530722628592128</v>
      </c>
      <c r="AH194" s="173">
        <f t="shared" si="521"/>
        <v>3.212475680841802</v>
      </c>
      <c r="AI194" s="173">
        <f t="shared" si="522"/>
        <v>4.589496774003532</v>
      </c>
      <c r="AJ194" s="173">
        <f t="shared" si="523"/>
        <v>3.6119729190149616</v>
      </c>
      <c r="AL194" s="545">
        <f t="shared" si="524"/>
        <v>5040</v>
      </c>
      <c r="AM194" s="460">
        <f t="shared" si="525"/>
        <v>165.79545531898984</v>
      </c>
      <c r="AO194">
        <f t="shared" si="526"/>
        <v>5040</v>
      </c>
      <c r="AP194">
        <f t="shared" si="527"/>
        <v>165.79545531898984</v>
      </c>
      <c r="AR194" s="5">
        <f t="shared" si="443"/>
        <v>6.031528415999122</v>
      </c>
      <c r="AS194" s="5">
        <f t="shared" si="604"/>
        <v>3.0828439520592292</v>
      </c>
      <c r="AT194" s="5">
        <f t="shared" si="605"/>
        <v>2.9486844639398928</v>
      </c>
      <c r="AU194" s="173">
        <f t="shared" si="606"/>
        <v>0.51112151670905404</v>
      </c>
      <c r="AW194" s="5">
        <f t="shared" si="477"/>
        <v>388.43833795946284</v>
      </c>
      <c r="AX194" s="5">
        <f t="shared" si="478"/>
        <v>1.4386605109609738</v>
      </c>
      <c r="AY194" s="5">
        <f t="shared" si="479"/>
        <v>2.7729549271611615</v>
      </c>
      <c r="AZ194" s="5"/>
      <c r="BA194" s="173">
        <f t="shared" si="480"/>
        <v>1.8943774853644593</v>
      </c>
      <c r="BB194" s="173">
        <f t="shared" si="481"/>
        <v>7.4107966166205594</v>
      </c>
      <c r="BC194" s="173">
        <f t="shared" si="482"/>
        <v>0.14120571931668904</v>
      </c>
      <c r="BD194" s="173"/>
      <c r="BE194" s="528">
        <f t="shared" si="483"/>
        <v>4.3781725896080412E-2</v>
      </c>
      <c r="BF194" s="528">
        <f t="shared" si="528"/>
        <v>0.54074342080760984</v>
      </c>
      <c r="BG194" s="528">
        <f t="shared" si="529"/>
        <v>7.4046988997547358E-2</v>
      </c>
      <c r="BH194" s="528">
        <f t="shared" si="484"/>
        <v>2.381645860854667E-2</v>
      </c>
      <c r="BI194">
        <f t="shared" si="485"/>
        <v>8.0390973286418622E-3</v>
      </c>
      <c r="BJ194" s="460">
        <f t="shared" si="600"/>
        <v>82.086086326189218</v>
      </c>
      <c r="BK194">
        <f t="shared" si="530"/>
        <v>0.62668175208989074</v>
      </c>
      <c r="BL194" s="460">
        <f t="shared" si="601"/>
        <v>690.42769163842615</v>
      </c>
      <c r="BM194" s="173">
        <f t="shared" si="531"/>
        <v>3.1310999999999996</v>
      </c>
      <c r="BN194" s="173">
        <f t="shared" si="532"/>
        <v>5.2184999999999995E-2</v>
      </c>
      <c r="BO194" s="528"/>
      <c r="BQ194" s="460">
        <f t="shared" si="486"/>
        <v>3183.2849999999999</v>
      </c>
      <c r="BR194" s="528">
        <f t="shared" si="487"/>
        <v>0.10765998171167315</v>
      </c>
      <c r="BS194" s="528">
        <f t="shared" si="488"/>
        <v>1.6475971947874419</v>
      </c>
      <c r="BT194" s="528">
        <f t="shared" si="489"/>
        <v>9.9695275838717847E-5</v>
      </c>
      <c r="BU194" s="528">
        <f t="shared" si="490"/>
        <v>0.79857228029015237</v>
      </c>
      <c r="BV194" s="528"/>
      <c r="BW194" s="625">
        <f t="shared" si="533"/>
        <v>8.7305734076939048E-2</v>
      </c>
      <c r="BX194" s="460">
        <f t="shared" si="607"/>
        <v>2641.2348861420455</v>
      </c>
      <c r="BY194" s="173">
        <f t="shared" si="608"/>
        <v>6.5149475777804708</v>
      </c>
      <c r="BZ194" s="5">
        <f t="shared" si="609"/>
        <v>21.672000000000001</v>
      </c>
      <c r="CA194" s="173">
        <f t="shared" si="610"/>
        <v>0.76886650958558744</v>
      </c>
      <c r="CB194" s="5">
        <f t="shared" si="611"/>
        <v>76.886650958558747</v>
      </c>
      <c r="CC194">
        <f t="shared" si="612"/>
        <v>84</v>
      </c>
      <c r="CE194" s="562">
        <f t="shared" si="534"/>
        <v>-50</v>
      </c>
      <c r="CF194">
        <f t="shared" si="535"/>
        <v>-50</v>
      </c>
      <c r="CG194" s="173">
        <f t="shared" si="536"/>
        <v>0.48913043478260876</v>
      </c>
      <c r="CH194" s="173">
        <f t="shared" si="537"/>
        <v>0.13097870664369976</v>
      </c>
      <c r="CI194" s="170">
        <v>84</v>
      </c>
      <c r="CJ194" s="217">
        <f t="shared" si="602"/>
        <v>5.04</v>
      </c>
      <c r="CK194" s="217">
        <f t="shared" si="538"/>
        <v>8.4000000000000005E-2</v>
      </c>
      <c r="CL194" s="217">
        <f t="shared" si="539"/>
        <v>20.16</v>
      </c>
      <c r="CM194" s="217">
        <f t="shared" si="540"/>
        <v>1.512</v>
      </c>
      <c r="CN194" s="541">
        <f t="shared" si="541"/>
        <v>18</v>
      </c>
      <c r="CO194" s="443">
        <f t="shared" si="542"/>
        <v>18.8</v>
      </c>
      <c r="CP194" s="443">
        <f t="shared" si="543"/>
        <v>36.799999999999997</v>
      </c>
      <c r="CQ194" s="443"/>
      <c r="CR194" s="217">
        <f t="shared" si="544"/>
        <v>0.51086956521739135</v>
      </c>
      <c r="CS194" s="172">
        <f t="shared" si="545"/>
        <v>28.513650151668358</v>
      </c>
      <c r="CT194" s="172">
        <f t="shared" si="546"/>
        <v>2.2989130434782612</v>
      </c>
      <c r="CU194" s="217">
        <f t="shared" si="547"/>
        <v>7.1284125379170895</v>
      </c>
      <c r="CV194" s="217">
        <f t="shared" si="548"/>
        <v>1.5840916750926866</v>
      </c>
      <c r="CW194" s="217">
        <f t="shared" si="549"/>
        <v>4</v>
      </c>
      <c r="CX194" s="217">
        <f t="shared" si="550"/>
        <v>4.7135319148936166</v>
      </c>
      <c r="CY194" s="217">
        <f t="shared" si="551"/>
        <v>3.1423546099290776</v>
      </c>
      <c r="CZ194" s="217">
        <f t="shared" si="552"/>
        <v>3.0086373924852872</v>
      </c>
      <c r="DA194" s="197">
        <f t="shared" si="553"/>
        <v>350</v>
      </c>
      <c r="DB194" s="443">
        <f t="shared" si="554"/>
        <v>162.57540240785286</v>
      </c>
      <c r="DD194" s="217">
        <f t="shared" si="555"/>
        <v>2.18944099378882</v>
      </c>
      <c r="DE194" s="173">
        <f t="shared" si="556"/>
        <v>1.3975155279503106</v>
      </c>
      <c r="DF194" s="173">
        <f t="shared" si="557"/>
        <v>1.9924134422749624</v>
      </c>
      <c r="DG194" s="173"/>
      <c r="DH194" s="173">
        <f t="shared" si="558"/>
        <v>0.85106382978723416</v>
      </c>
      <c r="DI194" s="545">
        <f t="shared" si="559"/>
        <v>2220.7499999999995</v>
      </c>
      <c r="DJ194" s="528">
        <f t="shared" si="560"/>
        <v>0.79432624113475192</v>
      </c>
      <c r="DL194" s="173">
        <f t="shared" si="561"/>
        <v>3.212475680841802</v>
      </c>
      <c r="DM194" s="173">
        <f t="shared" si="562"/>
        <v>4.7135319148936166</v>
      </c>
      <c r="DN194" s="173">
        <f t="shared" si="563"/>
        <v>3.7038508011557649</v>
      </c>
      <c r="DP194" s="545">
        <f t="shared" si="564"/>
        <v>5040</v>
      </c>
      <c r="DQ194" s="460">
        <f t="shared" si="565"/>
        <v>162.57540240785286</v>
      </c>
      <c r="DS194">
        <f t="shared" ref="DS194:DS210" si="614">IF(CL194&gt;CS194, "",DP194)</f>
        <v>5040</v>
      </c>
      <c r="DT194">
        <f t="shared" ref="DT194:DT210" si="615">IF(CL194&gt;CS194, "",DQ194)</f>
        <v>162.57540240785286</v>
      </c>
      <c r="DV194" s="5">
        <f t="shared" si="568"/>
        <v>6.1509920024143652</v>
      </c>
      <c r="DW194" s="5">
        <f t="shared" si="569"/>
        <v>3.1423546099290776</v>
      </c>
      <c r="DX194" s="5">
        <f t="shared" si="570"/>
        <v>3.0086373924852876</v>
      </c>
      <c r="DY194" s="173">
        <f t="shared" si="571"/>
        <v>0.51086956521739124</v>
      </c>
      <c r="EA194" s="5">
        <f t="shared" si="572"/>
        <v>395.93668085106378</v>
      </c>
      <c r="EB194" s="5">
        <f t="shared" si="573"/>
        <v>1.4664321513002361</v>
      </c>
      <c r="EC194" s="5">
        <f t="shared" si="574"/>
        <v>2.8080615663196018</v>
      </c>
      <c r="ED194" s="5"/>
      <c r="EE194" s="173">
        <f t="shared" si="575"/>
        <v>1.9450951005939552</v>
      </c>
      <c r="EF194" s="173">
        <f t="shared" si="576"/>
        <v>7.6130408332568784</v>
      </c>
      <c r="EG194" s="173">
        <f t="shared" si="577"/>
        <v>0.14505929155259725</v>
      </c>
      <c r="EH194" s="173"/>
      <c r="EI194" s="528">
        <f t="shared" si="578"/>
        <v>4.6157418394326223E-2</v>
      </c>
      <c r="EJ194" s="528">
        <f t="shared" si="579"/>
        <v>0.56399999999999995</v>
      </c>
      <c r="EK194" s="528">
        <f t="shared" si="580"/>
        <v>2.0321925300981605E-2</v>
      </c>
      <c r="EL194" s="528">
        <f t="shared" si="581"/>
        <v>2.2016611295681065E-2</v>
      </c>
      <c r="EM194">
        <f t="shared" si="582"/>
        <v>8.0999999999999996E-3</v>
      </c>
      <c r="EN194" s="460">
        <f t="shared" si="583"/>
        <v>28.421925300981606</v>
      </c>
      <c r="EP194" s="460">
        <f t="shared" si="603"/>
        <v>660.59595499098884</v>
      </c>
      <c r="EQ194" s="173">
        <f t="shared" si="584"/>
        <v>3.5279999999999996</v>
      </c>
      <c r="ER194" s="173">
        <f t="shared" si="585"/>
        <v>3.7275000000000003E-2</v>
      </c>
      <c r="ES194" s="528"/>
      <c r="EU194" s="460">
        <f t="shared" si="497"/>
        <v>3565.2749999999996</v>
      </c>
      <c r="EV194" s="528">
        <f t="shared" si="586"/>
        <v>0.11350184851063826</v>
      </c>
      <c r="EW194" s="528">
        <f t="shared" si="587"/>
        <v>1.7387517218650974</v>
      </c>
      <c r="EX194" s="528">
        <f t="shared" si="588"/>
        <v>1.0521099032870706E-4</v>
      </c>
      <c r="EY194" s="528">
        <f t="shared" si="589"/>
        <v>0.81278041177063143</v>
      </c>
      <c r="EZ194" s="528"/>
      <c r="FA194" s="625">
        <f t="shared" si="590"/>
        <v>9.0299999999999991E-2</v>
      </c>
      <c r="FB194" s="460">
        <f t="shared" si="613"/>
        <v>2755.4391931366958</v>
      </c>
      <c r="FC194" s="173">
        <f t="shared" si="591"/>
        <v>6.981310148127684</v>
      </c>
      <c r="FD194" s="5">
        <f t="shared" si="592"/>
        <v>21.672000000000001</v>
      </c>
      <c r="FE194" s="173">
        <f t="shared" si="593"/>
        <v>0.75635240354302069</v>
      </c>
      <c r="FF194" s="5">
        <f t="shared" si="594"/>
        <v>75.63524035430207</v>
      </c>
      <c r="FG194">
        <f t="shared" si="595"/>
        <v>84</v>
      </c>
      <c r="FI194" s="562">
        <f t="shared" si="596"/>
        <v>-50</v>
      </c>
      <c r="FJ194">
        <f t="shared" si="597"/>
        <v>-50</v>
      </c>
    </row>
    <row r="195" spans="5:166">
      <c r="E195" s="170">
        <v>85</v>
      </c>
      <c r="F195" s="217">
        <f t="shared" si="598"/>
        <v>5.0999999999999996</v>
      </c>
      <c r="G195" s="217">
        <f t="shared" si="499"/>
        <v>8.5000000000000006E-2</v>
      </c>
      <c r="H195" s="217">
        <f t="shared" si="500"/>
        <v>20.399999999999999</v>
      </c>
      <c r="I195" s="217">
        <f t="shared" si="501"/>
        <v>1.53</v>
      </c>
      <c r="J195" s="541">
        <f t="shared" si="502"/>
        <v>17.86304954853329</v>
      </c>
      <c r="K195" s="443">
        <f t="shared" si="503"/>
        <v>20.051200000000001</v>
      </c>
      <c r="L195" s="172">
        <f t="shared" si="504"/>
        <v>37.914249548533292</v>
      </c>
      <c r="M195" s="443"/>
      <c r="N195" s="217">
        <f t="shared" si="505"/>
        <v>0.52885657078172821</v>
      </c>
      <c r="O195" s="172">
        <f t="shared" si="506"/>
        <v>29.292995745554773</v>
      </c>
      <c r="P195" s="172">
        <f t="shared" si="507"/>
        <v>2.3617477819853536</v>
      </c>
      <c r="Q195" s="217">
        <f t="shared" si="508"/>
        <v>7.3232489363886932</v>
      </c>
      <c r="R195" s="217">
        <f t="shared" si="509"/>
        <v>1.6273886525308208</v>
      </c>
      <c r="S195" s="217">
        <f t="shared" si="510"/>
        <v>4</v>
      </c>
      <c r="T195" s="217">
        <f t="shared" si="511"/>
        <v>4.6427480883595891</v>
      </c>
      <c r="U195" s="217">
        <f t="shared" si="512"/>
        <v>3.1188950637428863</v>
      </c>
      <c r="V195" s="217">
        <f t="shared" si="513"/>
        <v>2.7785358013642609</v>
      </c>
      <c r="W195" s="197">
        <f t="shared" si="514"/>
        <v>350</v>
      </c>
      <c r="X195" s="443">
        <f t="shared" si="599"/>
        <v>164.00349952675151</v>
      </c>
      <c r="Z195" s="217">
        <f t="shared" si="515"/>
        <v>2.2492836018908124</v>
      </c>
      <c r="AA195" s="173">
        <f t="shared" si="516"/>
        <v>1.3461240834807766</v>
      </c>
      <c r="AB195" s="173">
        <f t="shared" si="517"/>
        <v>1.97160035251956</v>
      </c>
      <c r="AC195" s="173"/>
      <c r="AD195" s="173">
        <f t="shared" si="518"/>
        <v>0.79795722949249925</v>
      </c>
      <c r="AE195" s="545">
        <f t="shared" si="519"/>
        <v>2396.7449999999994</v>
      </c>
      <c r="AF195" s="528">
        <f t="shared" si="520"/>
        <v>0.74476008085966605</v>
      </c>
      <c r="AH195" s="173">
        <f t="shared" si="521"/>
        <v>3.231540985792559</v>
      </c>
      <c r="AI195" s="173">
        <f t="shared" si="522"/>
        <v>4.6427480883595891</v>
      </c>
      <c r="AJ195" s="173">
        <f t="shared" si="523"/>
        <v>3.6514183370564854</v>
      </c>
      <c r="AL195" s="545">
        <f t="shared" si="524"/>
        <v>5100</v>
      </c>
      <c r="AM195" s="460">
        <f t="shared" si="525"/>
        <v>164.00349952675151</v>
      </c>
      <c r="AO195">
        <f t="shared" si="526"/>
        <v>5100</v>
      </c>
      <c r="AP195">
        <f t="shared" si="527"/>
        <v>164.00349952675151</v>
      </c>
      <c r="AR195" s="5">
        <f t="shared" si="443"/>
        <v>6.0974308651071469</v>
      </c>
      <c r="AS195" s="5">
        <f t="shared" si="604"/>
        <v>3.1188950637428863</v>
      </c>
      <c r="AT195" s="5">
        <f t="shared" si="605"/>
        <v>2.9785358013642607</v>
      </c>
      <c r="AU195" s="173">
        <f t="shared" si="606"/>
        <v>0.51150970511054406</v>
      </c>
      <c r="AW195" s="5">
        <f t="shared" si="477"/>
        <v>397.65912062721799</v>
      </c>
      <c r="AX195" s="5">
        <f t="shared" si="478"/>
        <v>1.4728115578785854</v>
      </c>
      <c r="AY195" s="5">
        <f t="shared" si="479"/>
        <v>2.8346284594698443</v>
      </c>
      <c r="AZ195" s="5"/>
      <c r="BA195" s="173">
        <f t="shared" si="480"/>
        <v>1.9170852757545276</v>
      </c>
      <c r="BB195" s="173">
        <f t="shared" si="481"/>
        <v>7.4938061351748981</v>
      </c>
      <c r="BC195" s="173">
        <f t="shared" si="482"/>
        <v>0.14278738717022441</v>
      </c>
      <c r="BD195" s="173"/>
      <c r="BE195" s="528">
        <f t="shared" si="483"/>
        <v>4.4837634645080719E-2</v>
      </c>
      <c r="BF195" s="528">
        <f t="shared" si="528"/>
        <v>0.541292452224717</v>
      </c>
      <c r="BG195" s="528">
        <f t="shared" si="529"/>
        <v>7.324006595448046E-2</v>
      </c>
      <c r="BH195" s="528">
        <f t="shared" si="484"/>
        <v>2.3575344282369268E-2</v>
      </c>
      <c r="BI195">
        <f t="shared" si="485"/>
        <v>8.0383722968399799E-3</v>
      </c>
      <c r="BJ195" s="460">
        <f t="shared" si="600"/>
        <v>81.278438251320452</v>
      </c>
      <c r="BK195">
        <f t="shared" si="530"/>
        <v>0.62850734649339846</v>
      </c>
      <c r="BL195" s="460">
        <f t="shared" si="601"/>
        <v>690.98386940348746</v>
      </c>
      <c r="BM195" s="173">
        <f t="shared" si="531"/>
        <v>3.1683749999999993</v>
      </c>
      <c r="BN195" s="173">
        <f t="shared" si="532"/>
        <v>5.2806249999999992E-2</v>
      </c>
      <c r="BO195" s="528"/>
      <c r="BQ195" s="460">
        <f t="shared" si="486"/>
        <v>3221.1812499999996</v>
      </c>
      <c r="BR195" s="528">
        <f t="shared" si="487"/>
        <v>0.11025647863544438</v>
      </c>
      <c r="BS195" s="528">
        <f t="shared" si="488"/>
        <v>1.6847139117475483</v>
      </c>
      <c r="BT195" s="528">
        <f t="shared" si="489"/>
        <v>1.0194118967449782E-4</v>
      </c>
      <c r="BU195" s="528">
        <f t="shared" si="490"/>
        <v>0.79990901604653064</v>
      </c>
      <c r="BV195" s="528"/>
      <c r="BW195" s="625">
        <f t="shared" si="533"/>
        <v>8.8377836046148628E-2</v>
      </c>
      <c r="BX195" s="460">
        <f t="shared" si="607"/>
        <v>2683.3591836653463</v>
      </c>
      <c r="BY195" s="173">
        <f t="shared" si="608"/>
        <v>6.5955243030688333</v>
      </c>
      <c r="BZ195" s="5">
        <f t="shared" si="609"/>
        <v>21.93</v>
      </c>
      <c r="CA195" s="173">
        <f t="shared" si="610"/>
        <v>0.76878516822355913</v>
      </c>
      <c r="CB195" s="5">
        <f t="shared" si="611"/>
        <v>76.87851682235592</v>
      </c>
      <c r="CC195">
        <f t="shared" si="612"/>
        <v>85</v>
      </c>
      <c r="CE195" s="562">
        <f t="shared" si="534"/>
        <v>-50</v>
      </c>
      <c r="CF195">
        <f t="shared" si="535"/>
        <v>-50</v>
      </c>
      <c r="CG195" s="173">
        <f t="shared" si="536"/>
        <v>0.48913043478260876</v>
      </c>
      <c r="CH195" s="173">
        <f t="shared" si="537"/>
        <v>0.13097870664369976</v>
      </c>
      <c r="CI195" s="170">
        <v>85</v>
      </c>
      <c r="CJ195" s="217">
        <f t="shared" si="602"/>
        <v>5.0999999999999996</v>
      </c>
      <c r="CK195" s="217">
        <f t="shared" si="538"/>
        <v>8.5000000000000006E-2</v>
      </c>
      <c r="CL195" s="217">
        <f t="shared" si="539"/>
        <v>20.399999999999999</v>
      </c>
      <c r="CM195" s="217">
        <f t="shared" si="540"/>
        <v>1.53</v>
      </c>
      <c r="CN195" s="541">
        <f t="shared" si="541"/>
        <v>18</v>
      </c>
      <c r="CO195" s="443">
        <f t="shared" si="542"/>
        <v>18.8</v>
      </c>
      <c r="CP195" s="443">
        <f t="shared" si="543"/>
        <v>36.799999999999997</v>
      </c>
      <c r="CQ195" s="443"/>
      <c r="CR195" s="217">
        <f t="shared" si="544"/>
        <v>0.51086956521739135</v>
      </c>
      <c r="CS195" s="172">
        <f t="shared" si="545"/>
        <v>28.513650151668358</v>
      </c>
      <c r="CT195" s="172">
        <f t="shared" si="546"/>
        <v>2.2989130434782612</v>
      </c>
      <c r="CU195" s="217">
        <f t="shared" si="547"/>
        <v>7.1284125379170895</v>
      </c>
      <c r="CV195" s="217">
        <f t="shared" si="548"/>
        <v>1.5840916750926866</v>
      </c>
      <c r="CW195" s="217">
        <f t="shared" si="549"/>
        <v>4</v>
      </c>
      <c r="CX195" s="217">
        <f t="shared" si="550"/>
        <v>4.769645390070921</v>
      </c>
      <c r="CY195" s="217">
        <f t="shared" si="551"/>
        <v>3.1797635933806139</v>
      </c>
      <c r="CZ195" s="217">
        <f t="shared" si="552"/>
        <v>3.0444545043005879</v>
      </c>
      <c r="DA195" s="197">
        <f t="shared" si="553"/>
        <v>350</v>
      </c>
      <c r="DB195" s="443">
        <f t="shared" si="554"/>
        <v>160.66275061481929</v>
      </c>
      <c r="DD195" s="217">
        <f t="shared" si="555"/>
        <v>2.18944099378882</v>
      </c>
      <c r="DE195" s="173">
        <f t="shared" si="556"/>
        <v>1.3975155279503106</v>
      </c>
      <c r="DF195" s="173">
        <f t="shared" si="557"/>
        <v>1.9924134422749624</v>
      </c>
      <c r="DG195" s="173"/>
      <c r="DH195" s="173">
        <f t="shared" si="558"/>
        <v>0.85106382978723416</v>
      </c>
      <c r="DI195" s="545">
        <f t="shared" si="559"/>
        <v>2247.1874999999995</v>
      </c>
      <c r="DJ195" s="528">
        <f t="shared" si="560"/>
        <v>0.79432624113475192</v>
      </c>
      <c r="DL195" s="173">
        <f t="shared" si="561"/>
        <v>3.231540985792559</v>
      </c>
      <c r="DM195" s="173">
        <f t="shared" si="562"/>
        <v>4.769645390070921</v>
      </c>
      <c r="DN195" s="173">
        <f t="shared" si="563"/>
        <v>3.745416338324139</v>
      </c>
      <c r="DP195" s="545">
        <f t="shared" si="564"/>
        <v>5100</v>
      </c>
      <c r="DQ195" s="460">
        <f t="shared" si="565"/>
        <v>160.66275061481929</v>
      </c>
      <c r="DS195">
        <f t="shared" si="614"/>
        <v>5100</v>
      </c>
      <c r="DT195">
        <f t="shared" si="615"/>
        <v>160.66275061481929</v>
      </c>
      <c r="DV195" s="5">
        <f t="shared" si="568"/>
        <v>6.2242180976812023</v>
      </c>
      <c r="DW195" s="5">
        <f t="shared" si="569"/>
        <v>3.1797635933806139</v>
      </c>
      <c r="DX195" s="5">
        <f t="shared" si="570"/>
        <v>3.0444545043005884</v>
      </c>
      <c r="DY195" s="173">
        <f t="shared" si="571"/>
        <v>0.51086956521739124</v>
      </c>
      <c r="EA195" s="5">
        <f t="shared" si="572"/>
        <v>405.41985815602823</v>
      </c>
      <c r="EB195" s="5">
        <f t="shared" si="573"/>
        <v>1.5015550302075122</v>
      </c>
      <c r="EC195" s="5">
        <f t="shared" si="574"/>
        <v>2.875318142950555</v>
      </c>
      <c r="ED195" s="5"/>
      <c r="EE195" s="173">
        <f t="shared" si="575"/>
        <v>1.9682509946486451</v>
      </c>
      <c r="EF195" s="173">
        <f t="shared" si="576"/>
        <v>7.7036722717480304</v>
      </c>
      <c r="EG195" s="173">
        <f t="shared" si="577"/>
        <v>0.14678618788060438</v>
      </c>
      <c r="EH195" s="173"/>
      <c r="EI195" s="528">
        <f t="shared" si="578"/>
        <v>4.7262946130811639E-2</v>
      </c>
      <c r="EJ195" s="528">
        <f t="shared" si="579"/>
        <v>0.56399999999999995</v>
      </c>
      <c r="EK195" s="528">
        <f t="shared" si="580"/>
        <v>2.0082843826852409E-2</v>
      </c>
      <c r="EL195" s="528">
        <f t="shared" si="581"/>
        <v>2.1757592339261285E-2</v>
      </c>
      <c r="EM195">
        <f t="shared" si="582"/>
        <v>8.0999999999999996E-3</v>
      </c>
      <c r="EN195" s="460">
        <f t="shared" si="583"/>
        <v>28.182843826852409</v>
      </c>
      <c r="EP195" s="460">
        <f t="shared" si="603"/>
        <v>661.20338229692527</v>
      </c>
      <c r="EQ195" s="173">
        <f t="shared" si="584"/>
        <v>3.5699999999999994</v>
      </c>
      <c r="ER195" s="173">
        <f t="shared" si="585"/>
        <v>3.7718750000000002E-2</v>
      </c>
      <c r="ES195" s="528"/>
      <c r="EU195" s="460">
        <f t="shared" si="497"/>
        <v>3607.7187499999991</v>
      </c>
      <c r="EV195" s="528">
        <f t="shared" si="586"/>
        <v>0.11622035933806141</v>
      </c>
      <c r="EW195" s="528">
        <f t="shared" si="587"/>
        <v>1.7803969941149838</v>
      </c>
      <c r="EX195" s="528">
        <f t="shared" si="588"/>
        <v>1.0773092476260044E-4</v>
      </c>
      <c r="EY195" s="528">
        <f t="shared" si="589"/>
        <v>0.81278041177063287</v>
      </c>
      <c r="EZ195" s="528"/>
      <c r="FA195" s="625">
        <f t="shared" si="590"/>
        <v>9.1374999999999984E-2</v>
      </c>
      <c r="FB195" s="460">
        <f t="shared" si="613"/>
        <v>2800.8804961484407</v>
      </c>
      <c r="FC195" s="173">
        <f t="shared" si="591"/>
        <v>7.0698026284453652</v>
      </c>
      <c r="FD195" s="5">
        <f t="shared" si="592"/>
        <v>21.93</v>
      </c>
      <c r="FE195" s="173">
        <f t="shared" si="593"/>
        <v>0.75621204326712455</v>
      </c>
      <c r="FF195" s="5">
        <f t="shared" si="594"/>
        <v>75.621204326712459</v>
      </c>
      <c r="FG195">
        <f t="shared" si="595"/>
        <v>85</v>
      </c>
      <c r="FI195" s="562">
        <f t="shared" si="596"/>
        <v>-50</v>
      </c>
      <c r="FJ195">
        <f t="shared" si="597"/>
        <v>-50</v>
      </c>
    </row>
    <row r="196" spans="5:166">
      <c r="E196" s="170">
        <v>86</v>
      </c>
      <c r="F196" s="217">
        <f t="shared" si="598"/>
        <v>5.16</v>
      </c>
      <c r="G196" s="217">
        <f t="shared" si="499"/>
        <v>8.6000000000000007E-2</v>
      </c>
      <c r="H196" s="217">
        <f t="shared" si="500"/>
        <v>20.64</v>
      </c>
      <c r="I196" s="217">
        <f t="shared" si="501"/>
        <v>1.548</v>
      </c>
      <c r="J196" s="541">
        <f t="shared" si="502"/>
        <v>17.861438366751329</v>
      </c>
      <c r="K196" s="443">
        <f t="shared" si="503"/>
        <v>20.065920000000002</v>
      </c>
      <c r="L196" s="172">
        <f t="shared" si="504"/>
        <v>37.927358366751335</v>
      </c>
      <c r="M196" s="443"/>
      <c r="N196" s="217">
        <f t="shared" si="505"/>
        <v>0.52906189263079828</v>
      </c>
      <c r="O196" s="172">
        <f t="shared" si="506"/>
        <v>29.3017252323157</v>
      </c>
      <c r="P196" s="172">
        <f t="shared" si="507"/>
        <v>2.3624515968554531</v>
      </c>
      <c r="Q196" s="217">
        <f t="shared" si="508"/>
        <v>7.3254313080789251</v>
      </c>
      <c r="R196" s="217">
        <f t="shared" si="509"/>
        <v>1.6278736240175389</v>
      </c>
      <c r="S196" s="217">
        <f t="shared" si="510"/>
        <v>4</v>
      </c>
      <c r="T196" s="217">
        <f t="shared" si="511"/>
        <v>4.6959692273766356</v>
      </c>
      <c r="U196" s="217">
        <f t="shared" si="512"/>
        <v>3.1549324064190114</v>
      </c>
      <c r="V196" s="217">
        <f t="shared" si="513"/>
        <v>2.8083252962495422</v>
      </c>
      <c r="W196" s="197">
        <f t="shared" si="514"/>
        <v>350</v>
      </c>
      <c r="X196" s="443">
        <f t="shared" si="599"/>
        <v>162.25185579487004</v>
      </c>
      <c r="Z196" s="217">
        <f t="shared" si="515"/>
        <v>2.249953901767098</v>
      </c>
      <c r="AA196" s="173">
        <f t="shared" si="516"/>
        <v>1.3455374496262904</v>
      </c>
      <c r="AB196" s="173">
        <f t="shared" si="517"/>
        <v>1.9713284319370188</v>
      </c>
      <c r="AC196" s="173"/>
      <c r="AD196" s="173">
        <f t="shared" si="518"/>
        <v>0.79737186234172175</v>
      </c>
      <c r="AE196" s="545">
        <f t="shared" si="519"/>
        <v>2426.7221999999992</v>
      </c>
      <c r="AF196" s="528">
        <f t="shared" si="520"/>
        <v>0.7442137381856071</v>
      </c>
      <c r="AH196" s="173">
        <f t="shared" si="521"/>
        <v>3.2504944678793541</v>
      </c>
      <c r="AI196" s="173">
        <f t="shared" si="522"/>
        <v>4.6959692273766356</v>
      </c>
      <c r="AJ196" s="173">
        <f t="shared" si="523"/>
        <v>3.6908414029950389</v>
      </c>
      <c r="AL196" s="545">
        <f t="shared" si="524"/>
        <v>5160</v>
      </c>
      <c r="AM196" s="460">
        <f t="shared" si="525"/>
        <v>162.25185579487004</v>
      </c>
      <c r="AO196">
        <f t="shared" si="526"/>
        <v>5160</v>
      </c>
      <c r="AP196">
        <f t="shared" si="527"/>
        <v>162.25185579487004</v>
      </c>
      <c r="AR196" s="5">
        <f t="shared" si="443"/>
        <v>6.1632577026685524</v>
      </c>
      <c r="AS196" s="5">
        <f t="shared" si="604"/>
        <v>3.1549324064190114</v>
      </c>
      <c r="AT196" s="5">
        <f t="shared" si="605"/>
        <v>3.008325296249541</v>
      </c>
      <c r="AU196" s="173">
        <f t="shared" si="606"/>
        <v>0.51189363784885977</v>
      </c>
      <c r="AW196" s="5">
        <f t="shared" si="477"/>
        <v>406.98628042805245</v>
      </c>
      <c r="AX196" s="5">
        <f t="shared" si="478"/>
        <v>1.5073565941779723</v>
      </c>
      <c r="AY196" s="5">
        <f t="shared" si="479"/>
        <v>2.896922074977506</v>
      </c>
      <c r="AZ196" s="5"/>
      <c r="BA196" s="173">
        <f t="shared" si="480"/>
        <v>1.9397889493777833</v>
      </c>
      <c r="BB196" s="173">
        <f t="shared" si="481"/>
        <v>7.5767305103925748</v>
      </c>
      <c r="BC196" s="173">
        <f t="shared" si="482"/>
        <v>0.14436743269802069</v>
      </c>
      <c r="BD196" s="173"/>
      <c r="BE196" s="528">
        <f t="shared" si="483"/>
        <v>4.5905930251163608E-2</v>
      </c>
      <c r="BF196" s="528">
        <f t="shared" si="528"/>
        <v>0.54183715523782849</v>
      </c>
      <c r="BG196" s="528">
        <f t="shared" si="529"/>
        <v>7.2451288054277391E-2</v>
      </c>
      <c r="BH196" s="528">
        <f t="shared" si="484"/>
        <v>2.3339678171450644E-2</v>
      </c>
      <c r="BI196">
        <f t="shared" si="485"/>
        <v>8.0376472650380976E-3</v>
      </c>
      <c r="BJ196" s="460">
        <f t="shared" si="600"/>
        <v>80.488935319315488</v>
      </c>
      <c r="BK196">
        <f t="shared" si="530"/>
        <v>0.63035277957031854</v>
      </c>
      <c r="BL196" s="460">
        <f t="shared" si="601"/>
        <v>691.57169897975825</v>
      </c>
      <c r="BM196" s="173">
        <f t="shared" si="531"/>
        <v>3.2056499999999994</v>
      </c>
      <c r="BN196" s="173">
        <f t="shared" si="532"/>
        <v>5.3427500000000003E-2</v>
      </c>
      <c r="BO196" s="528"/>
      <c r="BQ196" s="460">
        <f t="shared" si="486"/>
        <v>3259.0774999999994</v>
      </c>
      <c r="BR196" s="528">
        <f t="shared" si="487"/>
        <v>0.11288343504384493</v>
      </c>
      <c r="BS196" s="528">
        <f t="shared" si="488"/>
        <v>1.7222053568134117</v>
      </c>
      <c r="BT196" s="528">
        <f t="shared" si="489"/>
        <v>1.0420977811908765E-4</v>
      </c>
      <c r="BU196" s="528">
        <f t="shared" si="490"/>
        <v>0.80123016659156177</v>
      </c>
      <c r="BV196" s="528"/>
      <c r="BW196" s="625">
        <f t="shared" si="533"/>
        <v>8.9449963186352885E-2</v>
      </c>
      <c r="BX196" s="460">
        <f t="shared" si="607"/>
        <v>2725.8731314132906</v>
      </c>
      <c r="BY196" s="173">
        <f t="shared" si="608"/>
        <v>6.6765223303930474</v>
      </c>
      <c r="BZ196" s="5">
        <f t="shared" si="609"/>
        <v>22.188000000000002</v>
      </c>
      <c r="CA196" s="173">
        <f t="shared" si="610"/>
        <v>0.76869451522629328</v>
      </c>
      <c r="CB196" s="5">
        <f t="shared" si="611"/>
        <v>76.869451522629333</v>
      </c>
      <c r="CC196">
        <f t="shared" si="612"/>
        <v>86</v>
      </c>
      <c r="CE196" s="562">
        <f t="shared" si="534"/>
        <v>-50</v>
      </c>
      <c r="CF196">
        <f t="shared" si="535"/>
        <v>-50</v>
      </c>
      <c r="CG196" s="173">
        <f t="shared" si="536"/>
        <v>0.48913043478260865</v>
      </c>
      <c r="CH196" s="173">
        <f t="shared" si="537"/>
        <v>0.13097870664369973</v>
      </c>
      <c r="CI196" s="170">
        <v>86</v>
      </c>
      <c r="CJ196" s="217">
        <f t="shared" si="602"/>
        <v>5.16</v>
      </c>
      <c r="CK196" s="217">
        <f t="shared" si="538"/>
        <v>8.6000000000000007E-2</v>
      </c>
      <c r="CL196" s="217">
        <f t="shared" si="539"/>
        <v>20.64</v>
      </c>
      <c r="CM196" s="217">
        <f t="shared" si="540"/>
        <v>1.548</v>
      </c>
      <c r="CN196" s="541">
        <f t="shared" si="541"/>
        <v>18</v>
      </c>
      <c r="CO196" s="443">
        <f t="shared" si="542"/>
        <v>18.8</v>
      </c>
      <c r="CP196" s="443">
        <f t="shared" si="543"/>
        <v>36.799999999999997</v>
      </c>
      <c r="CQ196" s="443"/>
      <c r="CR196" s="217">
        <f t="shared" si="544"/>
        <v>0.51086956521739135</v>
      </c>
      <c r="CS196" s="172">
        <f t="shared" si="545"/>
        <v>28.513650151668358</v>
      </c>
      <c r="CT196" s="172">
        <f t="shared" si="546"/>
        <v>2.2989130434782612</v>
      </c>
      <c r="CU196" s="217">
        <f t="shared" si="547"/>
        <v>7.1284125379170895</v>
      </c>
      <c r="CV196" s="217">
        <f t="shared" si="548"/>
        <v>1.5840916750926866</v>
      </c>
      <c r="CW196" s="217">
        <f t="shared" si="549"/>
        <v>4</v>
      </c>
      <c r="CX196" s="217">
        <f t="shared" si="550"/>
        <v>4.8257588652482264</v>
      </c>
      <c r="CY196" s="217">
        <f t="shared" si="551"/>
        <v>3.2171725768321511</v>
      </c>
      <c r="CZ196" s="217">
        <f t="shared" si="552"/>
        <v>3.0802716161158892</v>
      </c>
      <c r="DA196" s="197">
        <f t="shared" si="553"/>
        <v>350</v>
      </c>
      <c r="DB196" s="443">
        <f t="shared" si="554"/>
        <v>158.79457909604233</v>
      </c>
      <c r="DD196" s="217">
        <f t="shared" si="555"/>
        <v>2.18944099378882</v>
      </c>
      <c r="DE196" s="173">
        <f t="shared" si="556"/>
        <v>1.3975155279503106</v>
      </c>
      <c r="DF196" s="173">
        <f t="shared" si="557"/>
        <v>1.9924134422749624</v>
      </c>
      <c r="DG196" s="173"/>
      <c r="DH196" s="173">
        <f t="shared" si="558"/>
        <v>0.85106382978723416</v>
      </c>
      <c r="DI196" s="545">
        <f t="shared" si="559"/>
        <v>2273.6249999999995</v>
      </c>
      <c r="DJ196" s="528">
        <f t="shared" si="560"/>
        <v>0.79432624113475192</v>
      </c>
      <c r="DL196" s="173">
        <f t="shared" si="561"/>
        <v>3.2504944678793541</v>
      </c>
      <c r="DM196" s="173">
        <f t="shared" si="562"/>
        <v>4.8257588652482264</v>
      </c>
      <c r="DN196" s="173">
        <f t="shared" si="563"/>
        <v>3.7869818754925131</v>
      </c>
      <c r="DP196" s="545">
        <f t="shared" si="564"/>
        <v>5160</v>
      </c>
      <c r="DQ196" s="460">
        <f t="shared" si="565"/>
        <v>158.79457909604233</v>
      </c>
      <c r="DS196">
        <f t="shared" si="614"/>
        <v>5160</v>
      </c>
      <c r="DT196">
        <f t="shared" si="615"/>
        <v>158.79457909604233</v>
      </c>
      <c r="DV196" s="5">
        <f t="shared" si="568"/>
        <v>6.2974441929480403</v>
      </c>
      <c r="DW196" s="5">
        <f t="shared" si="569"/>
        <v>3.2171725768321511</v>
      </c>
      <c r="DX196" s="5">
        <f t="shared" si="570"/>
        <v>3.0802716161158892</v>
      </c>
      <c r="DY196" s="173">
        <f t="shared" si="571"/>
        <v>0.51086956521739135</v>
      </c>
      <c r="EA196" s="5">
        <f t="shared" si="572"/>
        <v>415.01526241134752</v>
      </c>
      <c r="EB196" s="5">
        <f t="shared" si="573"/>
        <v>1.5370935644864723</v>
      </c>
      <c r="EC196" s="5">
        <f t="shared" si="574"/>
        <v>2.9433706553996273</v>
      </c>
      <c r="ED196" s="5"/>
      <c r="EE196" s="173">
        <f t="shared" si="575"/>
        <v>1.9914068887033354</v>
      </c>
      <c r="EF196" s="173">
        <f t="shared" si="576"/>
        <v>7.7943037102391832</v>
      </c>
      <c r="EG196" s="173">
        <f t="shared" si="577"/>
        <v>0.14851308420861145</v>
      </c>
      <c r="EH196" s="173"/>
      <c r="EI196" s="528">
        <f t="shared" si="578"/>
        <v>4.8381557035776193E-2</v>
      </c>
      <c r="EJ196" s="528">
        <f t="shared" si="579"/>
        <v>0.56399999999999995</v>
      </c>
      <c r="EK196" s="528">
        <f t="shared" si="580"/>
        <v>1.9849322387005292E-2</v>
      </c>
      <c r="EL196" s="528">
        <f t="shared" si="581"/>
        <v>2.1504597079502433E-2</v>
      </c>
      <c r="EM196">
        <f t="shared" si="582"/>
        <v>8.0999999999999996E-3</v>
      </c>
      <c r="EN196" s="460">
        <f t="shared" si="583"/>
        <v>27.949322387005292</v>
      </c>
      <c r="EP196" s="460">
        <f t="shared" si="603"/>
        <v>661.83547650228388</v>
      </c>
      <c r="EQ196" s="173">
        <f t="shared" si="584"/>
        <v>3.6119999999999997</v>
      </c>
      <c r="ER196" s="173">
        <f t="shared" si="585"/>
        <v>3.8162500000000002E-2</v>
      </c>
      <c r="ES196" s="528"/>
      <c r="EU196" s="460">
        <f t="shared" si="497"/>
        <v>3650.1624999999995</v>
      </c>
      <c r="EV196" s="528">
        <f t="shared" si="586"/>
        <v>0.11897104189125295</v>
      </c>
      <c r="EW196" s="528">
        <f t="shared" si="587"/>
        <v>1.822535109823449</v>
      </c>
      <c r="EX196" s="528">
        <f t="shared" si="588"/>
        <v>1.1028068090577059E-4</v>
      </c>
      <c r="EY196" s="528">
        <f t="shared" si="589"/>
        <v>0.81278041177063098</v>
      </c>
      <c r="EZ196" s="528"/>
      <c r="FA196" s="625">
        <f t="shared" si="590"/>
        <v>9.2450000000000004E-2</v>
      </c>
      <c r="FB196" s="460">
        <f t="shared" si="613"/>
        <v>2846.8468441662385</v>
      </c>
      <c r="FC196" s="173">
        <f t="shared" si="591"/>
        <v>7.1588448206685236</v>
      </c>
      <c r="FD196" s="5">
        <f t="shared" si="592"/>
        <v>22.188000000000002</v>
      </c>
      <c r="FE196" s="173">
        <f t="shared" si="593"/>
        <v>0.75606083500919796</v>
      </c>
      <c r="FF196" s="5">
        <f t="shared" si="594"/>
        <v>75.606083500919794</v>
      </c>
      <c r="FG196">
        <f t="shared" si="595"/>
        <v>86</v>
      </c>
      <c r="FI196" s="562">
        <f t="shared" si="596"/>
        <v>-50</v>
      </c>
      <c r="FJ196">
        <f t="shared" si="597"/>
        <v>-50</v>
      </c>
    </row>
    <row r="197" spans="5:166">
      <c r="E197" s="170">
        <v>87</v>
      </c>
      <c r="F197" s="217">
        <f t="shared" si="598"/>
        <v>5.22</v>
      </c>
      <c r="G197" s="217">
        <f t="shared" si="499"/>
        <v>8.7000000000000008E-2</v>
      </c>
      <c r="H197" s="217">
        <f t="shared" si="500"/>
        <v>20.88</v>
      </c>
      <c r="I197" s="217">
        <f t="shared" si="501"/>
        <v>1.5660000000000001</v>
      </c>
      <c r="J197" s="541">
        <f t="shared" si="502"/>
        <v>17.859827184969369</v>
      </c>
      <c r="K197" s="443">
        <f t="shared" si="503"/>
        <v>20.080640000000002</v>
      </c>
      <c r="L197" s="172">
        <f t="shared" si="504"/>
        <v>37.940467184969371</v>
      </c>
      <c r="M197" s="443"/>
      <c r="N197" s="217">
        <f t="shared" si="505"/>
        <v>0.52926707259828421</v>
      </c>
      <c r="O197" s="172">
        <f t="shared" si="506"/>
        <v>29.310444810232536</v>
      </c>
      <c r="P197" s="172">
        <f t="shared" si="507"/>
        <v>2.3631546128249981</v>
      </c>
      <c r="Q197" s="217">
        <f t="shared" si="508"/>
        <v>7.3276112025581339</v>
      </c>
      <c r="R197" s="217">
        <f t="shared" si="509"/>
        <v>1.6283580450129187</v>
      </c>
      <c r="S197" s="217">
        <f t="shared" si="510"/>
        <v>4</v>
      </c>
      <c r="T197" s="217">
        <f t="shared" si="511"/>
        <v>4.7491602703826601</v>
      </c>
      <c r="U197" s="217">
        <f t="shared" si="512"/>
        <v>3.190956029661586</v>
      </c>
      <c r="V197" s="217">
        <f t="shared" si="513"/>
        <v>2.8380531320013662</v>
      </c>
      <c r="W197" s="197">
        <f t="shared" si="514"/>
        <v>350</v>
      </c>
      <c r="X197" s="443">
        <f t="shared" si="599"/>
        <v>160.53917630344776</v>
      </c>
      <c r="Z197" s="217">
        <f t="shared" si="515"/>
        <v>2.2506234407857124</v>
      </c>
      <c r="AA197" s="173">
        <f t="shared" si="516"/>
        <v>1.3449512211477597</v>
      </c>
      <c r="AB197" s="173">
        <f t="shared" si="517"/>
        <v>1.9710559269953132</v>
      </c>
      <c r="AC197" s="173"/>
      <c r="AD197" s="173">
        <f t="shared" si="518"/>
        <v>0.79678735339112705</v>
      </c>
      <c r="AE197" s="545">
        <f t="shared" si="519"/>
        <v>2456.7407999999991</v>
      </c>
      <c r="AF197" s="528">
        <f t="shared" si="520"/>
        <v>0.74366819649838534</v>
      </c>
      <c r="AH197" s="173">
        <f t="shared" si="521"/>
        <v>3.2693380719300698</v>
      </c>
      <c r="AI197" s="173">
        <f t="shared" si="522"/>
        <v>4.7491602703826601</v>
      </c>
      <c r="AJ197" s="173">
        <f t="shared" si="523"/>
        <v>3.7302421755920934</v>
      </c>
      <c r="AL197" s="545">
        <f t="shared" si="524"/>
        <v>5220</v>
      </c>
      <c r="AM197" s="460">
        <f t="shared" si="525"/>
        <v>160.53917630344776</v>
      </c>
      <c r="AO197">
        <f t="shared" si="526"/>
        <v>5220</v>
      </c>
      <c r="AP197">
        <f t="shared" si="527"/>
        <v>160.53917630344776</v>
      </c>
      <c r="AR197" s="5">
        <f t="shared" si="443"/>
        <v>6.2290091616629519</v>
      </c>
      <c r="AS197" s="5">
        <f t="shared" si="604"/>
        <v>3.190956029661586</v>
      </c>
      <c r="AT197" s="5">
        <f t="shared" si="605"/>
        <v>3.038053132001366</v>
      </c>
      <c r="AU197" s="173">
        <f t="shared" si="606"/>
        <v>0.5122734526223911</v>
      </c>
      <c r="AW197" s="5">
        <f t="shared" si="477"/>
        <v>416.41976187083696</v>
      </c>
      <c r="AX197" s="5">
        <f t="shared" si="478"/>
        <v>1.5422954143364334</v>
      </c>
      <c r="AY197" s="5">
        <f t="shared" si="479"/>
        <v>2.9598340425887173</v>
      </c>
      <c r="AZ197" s="5"/>
      <c r="BA197" s="173">
        <f t="shared" si="480"/>
        <v>1.9624885145916073</v>
      </c>
      <c r="BB197" s="173">
        <f t="shared" si="481"/>
        <v>7.6595699667171679</v>
      </c>
      <c r="BC197" s="173">
        <f t="shared" si="482"/>
        <v>0.14594586017663794</v>
      </c>
      <c r="BD197" s="173"/>
      <c r="BE197" s="528">
        <f t="shared" si="483"/>
        <v>4.6986606272828468E-2</v>
      </c>
      <c r="BF197" s="528">
        <f t="shared" si="528"/>
        <v>0.54237767210909948</v>
      </c>
      <c r="BG197" s="528">
        <f t="shared" si="529"/>
        <v>7.1680048629922652E-2</v>
      </c>
      <c r="BH197" s="528">
        <f t="shared" si="484"/>
        <v>2.310927810273828E-2</v>
      </c>
      <c r="BI197">
        <f t="shared" si="485"/>
        <v>8.0369222332362152E-3</v>
      </c>
      <c r="BJ197" s="460">
        <f t="shared" si="600"/>
        <v>79.716970863158863</v>
      </c>
      <c r="BK197">
        <f t="shared" si="530"/>
        <v>0.63221803346282535</v>
      </c>
      <c r="BL197" s="460">
        <f t="shared" si="601"/>
        <v>692.1905273478252</v>
      </c>
      <c r="BM197" s="173">
        <f t="shared" si="531"/>
        <v>3.2429249999999992</v>
      </c>
      <c r="BN197" s="173">
        <f t="shared" si="532"/>
        <v>5.404875E-2</v>
      </c>
      <c r="BO197" s="528"/>
      <c r="BQ197" s="460">
        <f t="shared" si="486"/>
        <v>3296.9737499999992</v>
      </c>
      <c r="BR197" s="528">
        <f t="shared" si="487"/>
        <v>0.1155408350971192</v>
      </c>
      <c r="BS197" s="528">
        <f t="shared" si="488"/>
        <v>1.7600703622510692</v>
      </c>
      <c r="BT197" s="528">
        <f t="shared" si="489"/>
        <v>1.0650097051349375E-4</v>
      </c>
      <c r="BU197" s="528">
        <f t="shared" si="490"/>
        <v>0.8025362259138118</v>
      </c>
      <c r="BV197" s="528"/>
      <c r="BW197" s="625">
        <f t="shared" si="533"/>
        <v>9.0522114707244E-2</v>
      </c>
      <c r="BX197" s="460">
        <f t="shared" si="607"/>
        <v>2768.7760389397577</v>
      </c>
      <c r="BY197" s="173">
        <f t="shared" si="608"/>
        <v>6.7579403162875815</v>
      </c>
      <c r="BZ197" s="5">
        <f t="shared" si="609"/>
        <v>22.445999999999998</v>
      </c>
      <c r="CA197" s="173">
        <f t="shared" si="610"/>
        <v>0.76859491414182379</v>
      </c>
      <c r="CB197" s="5">
        <f t="shared" si="611"/>
        <v>76.859491414182372</v>
      </c>
      <c r="CC197">
        <f t="shared" si="612"/>
        <v>87</v>
      </c>
      <c r="CE197" s="562">
        <f t="shared" si="534"/>
        <v>-50</v>
      </c>
      <c r="CF197">
        <f t="shared" si="535"/>
        <v>-50</v>
      </c>
      <c r="CG197" s="173">
        <f t="shared" si="536"/>
        <v>0.48913043478260865</v>
      </c>
      <c r="CH197" s="173">
        <f t="shared" si="537"/>
        <v>0.13097870664369976</v>
      </c>
      <c r="CI197" s="170">
        <v>87</v>
      </c>
      <c r="CJ197" s="217">
        <f t="shared" si="602"/>
        <v>5.22</v>
      </c>
      <c r="CK197" s="217">
        <f t="shared" si="538"/>
        <v>8.7000000000000008E-2</v>
      </c>
      <c r="CL197" s="217">
        <f t="shared" si="539"/>
        <v>20.88</v>
      </c>
      <c r="CM197" s="217">
        <f t="shared" si="540"/>
        <v>1.5660000000000001</v>
      </c>
      <c r="CN197" s="541">
        <f t="shared" si="541"/>
        <v>18</v>
      </c>
      <c r="CO197" s="443">
        <f t="shared" si="542"/>
        <v>18.8</v>
      </c>
      <c r="CP197" s="443">
        <f t="shared" si="543"/>
        <v>36.799999999999997</v>
      </c>
      <c r="CQ197" s="443"/>
      <c r="CR197" s="217">
        <f t="shared" si="544"/>
        <v>0.51086956521739135</v>
      </c>
      <c r="CS197" s="172">
        <f t="shared" si="545"/>
        <v>28.513650151668358</v>
      </c>
      <c r="CT197" s="172">
        <f t="shared" si="546"/>
        <v>2.2989130434782612</v>
      </c>
      <c r="CU197" s="217">
        <f t="shared" si="547"/>
        <v>7.1284125379170895</v>
      </c>
      <c r="CV197" s="217">
        <f t="shared" si="548"/>
        <v>1.5840916750926866</v>
      </c>
      <c r="CW197" s="217">
        <f t="shared" si="549"/>
        <v>4</v>
      </c>
      <c r="CX197" s="217">
        <f t="shared" si="550"/>
        <v>4.8818723404255309</v>
      </c>
      <c r="CY197" s="217">
        <f t="shared" si="551"/>
        <v>3.2545815602836874</v>
      </c>
      <c r="CZ197" s="217">
        <f t="shared" si="552"/>
        <v>3.11608872793119</v>
      </c>
      <c r="DA197" s="197">
        <f t="shared" si="553"/>
        <v>350</v>
      </c>
      <c r="DB197" s="443">
        <f t="shared" si="554"/>
        <v>156.96935404896141</v>
      </c>
      <c r="DD197" s="217">
        <f t="shared" si="555"/>
        <v>2.18944099378882</v>
      </c>
      <c r="DE197" s="173">
        <f t="shared" si="556"/>
        <v>1.3975155279503106</v>
      </c>
      <c r="DF197" s="173">
        <f t="shared" si="557"/>
        <v>1.9924134422749624</v>
      </c>
      <c r="DG197" s="173"/>
      <c r="DH197" s="173">
        <f t="shared" si="558"/>
        <v>0.85106382978723416</v>
      </c>
      <c r="DI197" s="545">
        <f t="shared" si="559"/>
        <v>2300.0624999999995</v>
      </c>
      <c r="DJ197" s="528">
        <f t="shared" si="560"/>
        <v>0.79432624113475192</v>
      </c>
      <c r="DL197" s="173">
        <f t="shared" si="561"/>
        <v>3.2693380719300698</v>
      </c>
      <c r="DM197" s="173">
        <f t="shared" si="562"/>
        <v>4.8818723404255309</v>
      </c>
      <c r="DN197" s="173">
        <f t="shared" si="563"/>
        <v>3.8285474126608872</v>
      </c>
      <c r="DP197" s="545">
        <f t="shared" si="564"/>
        <v>5220</v>
      </c>
      <c r="DQ197" s="460">
        <f t="shared" si="565"/>
        <v>156.96935404896141</v>
      </c>
      <c r="DS197">
        <f t="shared" si="614"/>
        <v>5220</v>
      </c>
      <c r="DT197">
        <f t="shared" si="615"/>
        <v>156.96935404896141</v>
      </c>
      <c r="DV197" s="5">
        <f t="shared" si="568"/>
        <v>6.3706702882148765</v>
      </c>
      <c r="DW197" s="5">
        <f t="shared" si="569"/>
        <v>3.2545815602836874</v>
      </c>
      <c r="DX197" s="5">
        <f t="shared" si="570"/>
        <v>3.1160887279311891</v>
      </c>
      <c r="DY197" s="173">
        <f t="shared" si="571"/>
        <v>0.51086956521739135</v>
      </c>
      <c r="EA197" s="5">
        <f t="shared" si="572"/>
        <v>424.72289361702121</v>
      </c>
      <c r="EB197" s="5">
        <f t="shared" si="573"/>
        <v>1.5730477541371157</v>
      </c>
      <c r="EC197" s="5">
        <f t="shared" si="574"/>
        <v>3.0122191036668156</v>
      </c>
      <c r="ED197" s="5"/>
      <c r="EE197" s="173">
        <f t="shared" si="575"/>
        <v>2.0145627827580253</v>
      </c>
      <c r="EF197" s="173">
        <f t="shared" si="576"/>
        <v>7.8849351487303361</v>
      </c>
      <c r="EG197" s="173">
        <f t="shared" si="577"/>
        <v>0.15023998053661861</v>
      </c>
      <c r="EH197" s="173"/>
      <c r="EI197" s="528">
        <f t="shared" si="578"/>
        <v>4.951325110921985E-2</v>
      </c>
      <c r="EJ197" s="528">
        <f t="shared" si="579"/>
        <v>0.56400000000000006</v>
      </c>
      <c r="EK197" s="528">
        <f t="shared" si="580"/>
        <v>1.9621169256120174E-2</v>
      </c>
      <c r="EL197" s="528">
        <f t="shared" si="581"/>
        <v>2.1257417802726549E-2</v>
      </c>
      <c r="EM197">
        <f t="shared" si="582"/>
        <v>8.0999999999999996E-3</v>
      </c>
      <c r="EN197" s="460">
        <f t="shared" si="583"/>
        <v>27.721169256120174</v>
      </c>
      <c r="EP197" s="460">
        <f t="shared" si="603"/>
        <v>662.49183816806669</v>
      </c>
      <c r="EQ197" s="173">
        <f t="shared" si="584"/>
        <v>3.6539999999999995</v>
      </c>
      <c r="ER197" s="173">
        <f t="shared" si="585"/>
        <v>3.8606250000000002E-2</v>
      </c>
      <c r="ES197" s="528"/>
      <c r="EU197" s="460">
        <f t="shared" si="497"/>
        <v>3692.6062499999994</v>
      </c>
      <c r="EV197" s="528">
        <f t="shared" si="586"/>
        <v>0.12175389617021276</v>
      </c>
      <c r="EW197" s="528">
        <f t="shared" si="587"/>
        <v>1.8651660689904925</v>
      </c>
      <c r="EX197" s="528">
        <f t="shared" si="588"/>
        <v>1.1286025875821769E-4</v>
      </c>
      <c r="EY197" s="528">
        <f t="shared" si="589"/>
        <v>0.81278041177063176</v>
      </c>
      <c r="EZ197" s="528"/>
      <c r="FA197" s="625">
        <f t="shared" si="590"/>
        <v>9.3524999999999983E-2</v>
      </c>
      <c r="FB197" s="460">
        <f t="shared" si="613"/>
        <v>2893.3382371900952</v>
      </c>
      <c r="FC197" s="173">
        <f t="shared" si="591"/>
        <v>7.2484363253581607</v>
      </c>
      <c r="FD197" s="5">
        <f t="shared" si="592"/>
        <v>22.445999999999998</v>
      </c>
      <c r="FE197" s="173">
        <f t="shared" si="593"/>
        <v>0.75589917767968495</v>
      </c>
      <c r="FF197" s="5">
        <f t="shared" si="594"/>
        <v>75.589917767968501</v>
      </c>
      <c r="FG197">
        <f t="shared" si="595"/>
        <v>87</v>
      </c>
      <c r="FI197" s="562">
        <f t="shared" si="596"/>
        <v>-50</v>
      </c>
      <c r="FJ197">
        <f t="shared" si="597"/>
        <v>-50</v>
      </c>
    </row>
    <row r="198" spans="5:166">
      <c r="E198" s="170">
        <v>88</v>
      </c>
      <c r="F198" s="217">
        <f t="shared" si="598"/>
        <v>5.28</v>
      </c>
      <c r="G198" s="217">
        <f t="shared" si="499"/>
        <v>8.8000000000000009E-2</v>
      </c>
      <c r="H198" s="217">
        <f t="shared" si="500"/>
        <v>21.12</v>
      </c>
      <c r="I198" s="217">
        <f t="shared" si="501"/>
        <v>1.5840000000000001</v>
      </c>
      <c r="J198" s="541">
        <f t="shared" si="502"/>
        <v>17.858216003187408</v>
      </c>
      <c r="K198" s="443">
        <f t="shared" si="503"/>
        <v>20.095359999999999</v>
      </c>
      <c r="L198" s="172">
        <f t="shared" si="504"/>
        <v>37.953576003187408</v>
      </c>
      <c r="M198" s="443"/>
      <c r="N198" s="217">
        <f t="shared" si="505"/>
        <v>0.5294721108311996</v>
      </c>
      <c r="O198" s="172">
        <f t="shared" si="506"/>
        <v>29.319154489572547</v>
      </c>
      <c r="P198" s="172">
        <f t="shared" si="507"/>
        <v>2.3638568307217867</v>
      </c>
      <c r="Q198" s="217">
        <f t="shared" si="508"/>
        <v>7.3297886223931368</v>
      </c>
      <c r="R198" s="217">
        <f t="shared" si="509"/>
        <v>1.6288419160873637</v>
      </c>
      <c r="S198" s="217">
        <f t="shared" si="510"/>
        <v>4</v>
      </c>
      <c r="T198" s="217">
        <f t="shared" si="511"/>
        <v>4.8023212964779045</v>
      </c>
      <c r="U198" s="217">
        <f t="shared" si="512"/>
        <v>3.2269659829094461</v>
      </c>
      <c r="V198" s="217">
        <f t="shared" si="513"/>
        <v>2.8677194913519766</v>
      </c>
      <c r="W198" s="197">
        <f t="shared" si="514"/>
        <v>350</v>
      </c>
      <c r="X198" s="443">
        <f t="shared" si="599"/>
        <v>158.86417265627293</v>
      </c>
      <c r="Z198" s="217">
        <f t="shared" si="515"/>
        <v>2.2512922197350345</v>
      </c>
      <c r="AA198" s="173">
        <f t="shared" si="516"/>
        <v>1.3443653976251442</v>
      </c>
      <c r="AB198" s="173">
        <f t="shared" si="517"/>
        <v>1.9707828391703608</v>
      </c>
      <c r="AC198" s="173"/>
      <c r="AD198" s="173">
        <f t="shared" si="518"/>
        <v>0.79620370075480129</v>
      </c>
      <c r="AE198" s="545">
        <f t="shared" si="519"/>
        <v>2486.8007999999995</v>
      </c>
      <c r="AF198" s="528">
        <f t="shared" si="520"/>
        <v>0.74312345403781466</v>
      </c>
      <c r="AH198" s="173">
        <f t="shared" si="521"/>
        <v>3.2880736870436116</v>
      </c>
      <c r="AI198" s="173">
        <f t="shared" si="522"/>
        <v>4.8023212964779045</v>
      </c>
      <c r="AJ198" s="173">
        <f t="shared" si="523"/>
        <v>3.7696207134404229</v>
      </c>
      <c r="AL198" s="545">
        <f t="shared" si="524"/>
        <v>5280</v>
      </c>
      <c r="AM198" s="460">
        <f t="shared" si="525"/>
        <v>158.86417265627293</v>
      </c>
      <c r="AO198">
        <f t="shared" si="526"/>
        <v>5280</v>
      </c>
      <c r="AP198">
        <f t="shared" si="527"/>
        <v>158.86417265627293</v>
      </c>
      <c r="AR198" s="5">
        <f t="shared" ref="AR198:AR262" si="616">1/AM198*1000</f>
        <v>6.2946854742614233</v>
      </c>
      <c r="AS198" s="5">
        <f t="shared" si="604"/>
        <v>3.2269659829094461</v>
      </c>
      <c r="AT198" s="5">
        <f t="shared" si="605"/>
        <v>3.0677194913519772</v>
      </c>
      <c r="AU198" s="173">
        <f t="shared" si="606"/>
        <v>0.51264928106484575</v>
      </c>
      <c r="AW198" s="5">
        <f t="shared" si="477"/>
        <v>425.9595097440469</v>
      </c>
      <c r="AX198" s="5">
        <f t="shared" si="478"/>
        <v>1.5776278138668405</v>
      </c>
      <c r="AY198" s="5">
        <f t="shared" si="479"/>
        <v>3.0233626381357519</v>
      </c>
      <c r="AZ198" s="5"/>
      <c r="BA198" s="173">
        <f t="shared" si="480"/>
        <v>1.9851839800061746</v>
      </c>
      <c r="BB198" s="173">
        <f t="shared" si="481"/>
        <v>7.742324726225581</v>
      </c>
      <c r="BC198" s="173">
        <f t="shared" si="482"/>
        <v>0.1475226738375415</v>
      </c>
      <c r="BD198" s="173"/>
      <c r="BE198" s="528">
        <f t="shared" si="483"/>
        <v>4.8079656300572496E-2</v>
      </c>
      <c r="BF198" s="528">
        <f t="shared" si="528"/>
        <v>0.54291413882851336</v>
      </c>
      <c r="BG198" s="528">
        <f t="shared" si="529"/>
        <v>7.0925767761584504E-2</v>
      </c>
      <c r="BH198" s="528">
        <f t="shared" si="484"/>
        <v>2.288396993495118E-2</v>
      </c>
      <c r="BI198">
        <f t="shared" si="485"/>
        <v>8.0361972014343329E-3</v>
      </c>
      <c r="BJ198" s="460">
        <f t="shared" si="600"/>
        <v>78.961964963018843</v>
      </c>
      <c r="BK198">
        <f t="shared" si="530"/>
        <v>0.63410309246294394</v>
      </c>
      <c r="BL198" s="460">
        <f t="shared" si="601"/>
        <v>692.83973002705602</v>
      </c>
      <c r="BM198" s="173">
        <f t="shared" si="531"/>
        <v>3.2801999999999998</v>
      </c>
      <c r="BN198" s="173">
        <f t="shared" si="532"/>
        <v>5.4669999999999996E-2</v>
      </c>
      <c r="BO198" s="528"/>
      <c r="BQ198" s="460">
        <f t="shared" si="486"/>
        <v>3334.8699999999994</v>
      </c>
      <c r="BR198" s="528">
        <f t="shared" si="487"/>
        <v>0.11822866303419467</v>
      </c>
      <c r="BS198" s="528">
        <f t="shared" si="488"/>
        <v>1.7983077649897203</v>
      </c>
      <c r="BT198" s="528">
        <f t="shared" si="489"/>
        <v>1.0881469648088825E-4</v>
      </c>
      <c r="BU198" s="528">
        <f t="shared" si="490"/>
        <v>0.80382766674274853</v>
      </c>
      <c r="BV198" s="528"/>
      <c r="BW198" s="625">
        <f t="shared" si="533"/>
        <v>9.1594289853343308E-2</v>
      </c>
      <c r="BX198" s="460">
        <f t="shared" si="607"/>
        <v>2812.0671993164879</v>
      </c>
      <c r="BY198" s="173">
        <f t="shared" si="608"/>
        <v>6.839776929343544</v>
      </c>
      <c r="BZ198" s="5">
        <f t="shared" si="609"/>
        <v>22.704000000000001</v>
      </c>
      <c r="CA198" s="173">
        <f t="shared" si="610"/>
        <v>0.76848671225410847</v>
      </c>
      <c r="CB198" s="5">
        <f t="shared" si="611"/>
        <v>76.848671225410854</v>
      </c>
      <c r="CC198">
        <f t="shared" si="612"/>
        <v>88</v>
      </c>
      <c r="CE198" s="562">
        <f t="shared" si="534"/>
        <v>-50</v>
      </c>
      <c r="CF198">
        <f t="shared" si="535"/>
        <v>-50</v>
      </c>
      <c r="CG198" s="173">
        <f t="shared" si="536"/>
        <v>0.48913043478260865</v>
      </c>
      <c r="CH198" s="173">
        <f t="shared" si="537"/>
        <v>0.13097870664369976</v>
      </c>
      <c r="CI198" s="170">
        <v>88</v>
      </c>
      <c r="CJ198" s="217">
        <f t="shared" si="602"/>
        <v>5.28</v>
      </c>
      <c r="CK198" s="217">
        <f t="shared" si="538"/>
        <v>8.8000000000000009E-2</v>
      </c>
      <c r="CL198" s="217">
        <f t="shared" si="539"/>
        <v>21.12</v>
      </c>
      <c r="CM198" s="217">
        <f t="shared" si="540"/>
        <v>1.5840000000000001</v>
      </c>
      <c r="CN198" s="541">
        <f t="shared" si="541"/>
        <v>18</v>
      </c>
      <c r="CO198" s="443">
        <f t="shared" si="542"/>
        <v>18.8</v>
      </c>
      <c r="CP198" s="443">
        <f t="shared" si="543"/>
        <v>36.799999999999997</v>
      </c>
      <c r="CQ198" s="443"/>
      <c r="CR198" s="217">
        <f t="shared" si="544"/>
        <v>0.51086956521739135</v>
      </c>
      <c r="CS198" s="172">
        <f t="shared" si="545"/>
        <v>28.513650151668358</v>
      </c>
      <c r="CT198" s="172">
        <f t="shared" si="546"/>
        <v>2.2989130434782612</v>
      </c>
      <c r="CU198" s="217">
        <f t="shared" si="547"/>
        <v>7.1284125379170895</v>
      </c>
      <c r="CV198" s="217">
        <f t="shared" si="548"/>
        <v>1.5840916750926866</v>
      </c>
      <c r="CW198" s="217">
        <f t="shared" si="549"/>
        <v>4</v>
      </c>
      <c r="CX198" s="217">
        <f t="shared" si="550"/>
        <v>4.9379858156028362</v>
      </c>
      <c r="CY198" s="217">
        <f t="shared" si="551"/>
        <v>3.2919905437352242</v>
      </c>
      <c r="CZ198" s="217">
        <f t="shared" si="552"/>
        <v>3.1519058397464912</v>
      </c>
      <c r="DA198" s="197">
        <f t="shared" si="553"/>
        <v>350</v>
      </c>
      <c r="DB198" s="443">
        <f t="shared" si="554"/>
        <v>155.18561138931412</v>
      </c>
      <c r="DD198" s="217">
        <f t="shared" si="555"/>
        <v>2.18944099378882</v>
      </c>
      <c r="DE198" s="173">
        <f t="shared" si="556"/>
        <v>1.3975155279503106</v>
      </c>
      <c r="DF198" s="173">
        <f t="shared" si="557"/>
        <v>1.9924134422749624</v>
      </c>
      <c r="DG198" s="173"/>
      <c r="DH198" s="173">
        <f t="shared" si="558"/>
        <v>0.85106382978723416</v>
      </c>
      <c r="DI198" s="545">
        <f t="shared" si="559"/>
        <v>2326.4999999999995</v>
      </c>
      <c r="DJ198" s="528">
        <f t="shared" si="560"/>
        <v>0.79432624113475192</v>
      </c>
      <c r="DL198" s="173">
        <f t="shared" si="561"/>
        <v>3.2880736870436116</v>
      </c>
      <c r="DM198" s="173">
        <f t="shared" si="562"/>
        <v>4.9379858156028362</v>
      </c>
      <c r="DN198" s="173">
        <f t="shared" si="563"/>
        <v>3.8701129498292612</v>
      </c>
      <c r="DP198" s="545">
        <f t="shared" si="564"/>
        <v>5280</v>
      </c>
      <c r="DQ198" s="460">
        <f t="shared" si="565"/>
        <v>155.18561138931412</v>
      </c>
      <c r="DS198">
        <f t="shared" si="614"/>
        <v>5280</v>
      </c>
      <c r="DT198">
        <f t="shared" si="615"/>
        <v>155.18561138931412</v>
      </c>
      <c r="DV198" s="5">
        <f t="shared" si="568"/>
        <v>6.4438963834817145</v>
      </c>
      <c r="DW198" s="5">
        <f t="shared" si="569"/>
        <v>3.2919905437352242</v>
      </c>
      <c r="DX198" s="5">
        <f t="shared" si="570"/>
        <v>3.1519058397464903</v>
      </c>
      <c r="DY198" s="173">
        <f t="shared" si="571"/>
        <v>0.51086956521739135</v>
      </c>
      <c r="EA198" s="5">
        <f t="shared" si="572"/>
        <v>434.54275177304959</v>
      </c>
      <c r="EB198" s="5">
        <f t="shared" si="573"/>
        <v>1.609417599159443</v>
      </c>
      <c r="EC198" s="5">
        <f t="shared" si="574"/>
        <v>3.0818634877521234</v>
      </c>
      <c r="ED198" s="5"/>
      <c r="EE198" s="173">
        <f t="shared" si="575"/>
        <v>2.0377186768127151</v>
      </c>
      <c r="EF198" s="173">
        <f t="shared" si="576"/>
        <v>7.9755665872214898</v>
      </c>
      <c r="EG198" s="173">
        <f t="shared" si="577"/>
        <v>0.15196687686462571</v>
      </c>
      <c r="EH198" s="173"/>
      <c r="EI198" s="528">
        <f t="shared" si="578"/>
        <v>5.0658028351142616E-2</v>
      </c>
      <c r="EJ198" s="528">
        <f t="shared" si="579"/>
        <v>0.56400000000000006</v>
      </c>
      <c r="EK198" s="528">
        <f t="shared" si="580"/>
        <v>1.9398201423664264E-2</v>
      </c>
      <c r="EL198" s="528">
        <f t="shared" si="581"/>
        <v>2.1015856236786472E-2</v>
      </c>
      <c r="EM198">
        <f t="shared" si="582"/>
        <v>8.0999999999999996E-3</v>
      </c>
      <c r="EN198" s="460">
        <f t="shared" si="583"/>
        <v>27.498201423664263</v>
      </c>
      <c r="EP198" s="460">
        <f t="shared" si="603"/>
        <v>663.17208601159336</v>
      </c>
      <c r="EQ198" s="173">
        <f t="shared" si="584"/>
        <v>3.6959999999999997</v>
      </c>
      <c r="ER198" s="173">
        <f t="shared" si="585"/>
        <v>3.9050000000000001E-2</v>
      </c>
      <c r="ES198" s="528"/>
      <c r="EU198" s="460">
        <f t="shared" si="497"/>
        <v>3735.0499999999997</v>
      </c>
      <c r="EV198" s="528">
        <f t="shared" si="586"/>
        <v>0.12456892217494087</v>
      </c>
      <c r="EW198" s="528">
        <f t="shared" si="587"/>
        <v>1.9082898716161152</v>
      </c>
      <c r="EX198" s="528">
        <f t="shared" si="588"/>
        <v>1.1546965831994156E-4</v>
      </c>
      <c r="EY198" s="528">
        <f t="shared" si="589"/>
        <v>0.81278041177063176</v>
      </c>
      <c r="EZ198" s="528"/>
      <c r="FA198" s="625">
        <f t="shared" si="590"/>
        <v>9.4600000000000004E-2</v>
      </c>
      <c r="FB198" s="460">
        <f t="shared" si="613"/>
        <v>2940.3546752200077</v>
      </c>
      <c r="FC198" s="173">
        <f t="shared" si="591"/>
        <v>7.3385767612316011</v>
      </c>
      <c r="FD198" s="5">
        <f t="shared" si="592"/>
        <v>22.704000000000001</v>
      </c>
      <c r="FE198" s="173">
        <f t="shared" si="593"/>
        <v>0.75572745242340011</v>
      </c>
      <c r="FF198" s="5">
        <f t="shared" si="594"/>
        <v>75.572745242340005</v>
      </c>
      <c r="FG198">
        <f t="shared" si="595"/>
        <v>88</v>
      </c>
      <c r="FI198" s="562">
        <f t="shared" si="596"/>
        <v>-50</v>
      </c>
      <c r="FJ198">
        <f t="shared" si="597"/>
        <v>-50</v>
      </c>
    </row>
    <row r="199" spans="5:166">
      <c r="E199" s="170">
        <v>89</v>
      </c>
      <c r="F199" s="217">
        <f t="shared" si="598"/>
        <v>5.34</v>
      </c>
      <c r="G199" s="217">
        <f t="shared" si="499"/>
        <v>8.900000000000001E-2</v>
      </c>
      <c r="H199" s="217">
        <f t="shared" si="500"/>
        <v>21.36</v>
      </c>
      <c r="I199" s="217">
        <f t="shared" si="501"/>
        <v>1.6020000000000001</v>
      </c>
      <c r="J199" s="541">
        <f t="shared" si="502"/>
        <v>17.856604821405444</v>
      </c>
      <c r="K199" s="443">
        <f t="shared" si="503"/>
        <v>20.11008</v>
      </c>
      <c r="L199" s="172">
        <f t="shared" si="504"/>
        <v>37.966684821405444</v>
      </c>
      <c r="M199" s="443"/>
      <c r="N199" s="217">
        <f t="shared" si="505"/>
        <v>0.52967700747635538</v>
      </c>
      <c r="O199" s="172">
        <f t="shared" si="506"/>
        <v>29.32785428058882</v>
      </c>
      <c r="P199" s="172">
        <f t="shared" si="507"/>
        <v>2.3645582513724737</v>
      </c>
      <c r="Q199" s="217">
        <f t="shared" si="508"/>
        <v>7.331963570147205</v>
      </c>
      <c r="R199" s="217">
        <f t="shared" si="509"/>
        <v>1.6293252378104901</v>
      </c>
      <c r="S199" s="217">
        <f t="shared" si="510"/>
        <v>4</v>
      </c>
      <c r="T199" s="217">
        <f t="shared" si="511"/>
        <v>4.8554523845356821</v>
      </c>
      <c r="U199" s="217">
        <f t="shared" si="512"/>
        <v>3.2629623154667695</v>
      </c>
      <c r="V199" s="217">
        <f t="shared" si="513"/>
        <v>2.8973245563631864</v>
      </c>
      <c r="W199" s="197">
        <f t="shared" si="514"/>
        <v>350</v>
      </c>
      <c r="X199" s="443">
        <f t="shared" si="599"/>
        <v>157.22561264163295</v>
      </c>
      <c r="Z199" s="217">
        <f t="shared" si="515"/>
        <v>2.2519602394023557</v>
      </c>
      <c r="AA199" s="173">
        <f t="shared" si="516"/>
        <v>1.3437799786389844</v>
      </c>
      <c r="AB199" s="173">
        <f t="shared" si="517"/>
        <v>1.9705091699348445</v>
      </c>
      <c r="AC199" s="173"/>
      <c r="AD199" s="173">
        <f t="shared" si="518"/>
        <v>0.79562090255235196</v>
      </c>
      <c r="AE199" s="545">
        <f t="shared" si="519"/>
        <v>2516.9021999999991</v>
      </c>
      <c r="AF199" s="528">
        <f t="shared" si="520"/>
        <v>0.74257950904886194</v>
      </c>
      <c r="AH199" s="173">
        <f t="shared" si="521"/>
        <v>3.3067031488002843</v>
      </c>
      <c r="AI199" s="173">
        <f t="shared" si="522"/>
        <v>4.8554523845356821</v>
      </c>
      <c r="AJ199" s="173">
        <f t="shared" si="523"/>
        <v>3.8089770749647025</v>
      </c>
      <c r="AL199" s="545">
        <f t="shared" si="524"/>
        <v>5340</v>
      </c>
      <c r="AM199" s="460">
        <f t="shared" si="525"/>
        <v>157.22561264163295</v>
      </c>
      <c r="AO199">
        <f t="shared" si="526"/>
        <v>5340</v>
      </c>
      <c r="AP199">
        <f t="shared" si="527"/>
        <v>157.22561264163295</v>
      </c>
      <c r="AR199" s="5">
        <f t="shared" si="616"/>
        <v>6.3602868718299561</v>
      </c>
      <c r="AS199" s="5">
        <f t="shared" si="604"/>
        <v>3.2629623154667695</v>
      </c>
      <c r="AT199" s="5">
        <f t="shared" si="605"/>
        <v>3.0973245563631866</v>
      </c>
      <c r="AU199" s="173">
        <f t="shared" si="606"/>
        <v>0.51302124907582403</v>
      </c>
      <c r="AW199" s="5">
        <f t="shared" si="477"/>
        <v>435.60546911481373</v>
      </c>
      <c r="AX199" s="5">
        <f t="shared" si="478"/>
        <v>1.6133535893141251</v>
      </c>
      <c r="AY199" s="5">
        <f t="shared" si="479"/>
        <v>3.0875061443469516</v>
      </c>
      <c r="AZ199" s="5"/>
      <c r="BA199" s="173">
        <f t="shared" si="480"/>
        <v>2.0078753544687222</v>
      </c>
      <c r="BB199" s="173">
        <f t="shared" si="481"/>
        <v>7.8249950087292452</v>
      </c>
      <c r="BC199" s="173">
        <f t="shared" si="482"/>
        <v>0.1490978778690302</v>
      </c>
      <c r="BD199" s="173"/>
      <c r="BE199" s="528">
        <f t="shared" si="483"/>
        <v>4.9185073956811341E-2</v>
      </c>
      <c r="BF199" s="528">
        <f t="shared" si="528"/>
        <v>0.54344668545577912</v>
      </c>
      <c r="BG199" s="528">
        <f t="shared" si="529"/>
        <v>7.0187890818625184E-2</v>
      </c>
      <c r="BH199" s="528">
        <f t="shared" si="484"/>
        <v>2.2663587120767787E-2</v>
      </c>
      <c r="BI199">
        <f t="shared" si="485"/>
        <v>8.0354721696324488E-3</v>
      </c>
      <c r="BJ199" s="460">
        <f t="shared" si="600"/>
        <v>78.223362988257634</v>
      </c>
      <c r="BK199">
        <f t="shared" si="530"/>
        <v>0.6360079429174782</v>
      </c>
      <c r="BL199" s="460">
        <f t="shared" si="601"/>
        <v>693.51870952161585</v>
      </c>
      <c r="BM199" s="173">
        <f t="shared" si="531"/>
        <v>3.3174749999999995</v>
      </c>
      <c r="BN199" s="173">
        <f t="shared" si="532"/>
        <v>5.529125E-2</v>
      </c>
      <c r="BO199" s="528"/>
      <c r="BQ199" s="460">
        <f t="shared" si="486"/>
        <v>3372.7662499999992</v>
      </c>
      <c r="BR199" s="528">
        <f t="shared" si="487"/>
        <v>0.12094690317248692</v>
      </c>
      <c r="BS199" s="528">
        <f t="shared" si="488"/>
        <v>1.8369164065991279</v>
      </c>
      <c r="BT199" s="528">
        <f t="shared" si="489"/>
        <v>1.1115088592524123E-4</v>
      </c>
      <c r="BU199" s="528">
        <f t="shared" si="490"/>
        <v>0.80510494167935764</v>
      </c>
      <c r="BV199" s="528"/>
      <c r="BW199" s="625">
        <f t="shared" si="533"/>
        <v>9.2666487902102357E-2</v>
      </c>
      <c r="BX199" s="460">
        <f t="shared" si="607"/>
        <v>2855.7458902389999</v>
      </c>
      <c r="BY199" s="173">
        <f t="shared" si="608"/>
        <v>6.922030849760616</v>
      </c>
      <c r="BZ199" s="5">
        <f t="shared" si="609"/>
        <v>22.962</v>
      </c>
      <c r="CA199" s="173">
        <f t="shared" si="610"/>
        <v>0.76837024146573374</v>
      </c>
      <c r="CB199" s="5">
        <f t="shared" si="611"/>
        <v>76.83702414657337</v>
      </c>
      <c r="CC199">
        <f t="shared" si="612"/>
        <v>89</v>
      </c>
      <c r="CE199" s="562">
        <f t="shared" si="534"/>
        <v>-50</v>
      </c>
      <c r="CF199">
        <f t="shared" si="535"/>
        <v>-50</v>
      </c>
      <c r="CG199" s="173">
        <f t="shared" si="536"/>
        <v>0.48913043478260865</v>
      </c>
      <c r="CH199" s="173">
        <f t="shared" si="537"/>
        <v>0.13097870664369979</v>
      </c>
      <c r="CI199" s="170">
        <v>89</v>
      </c>
      <c r="CJ199" s="217">
        <f t="shared" si="602"/>
        <v>5.34</v>
      </c>
      <c r="CK199" s="217">
        <f t="shared" si="538"/>
        <v>8.900000000000001E-2</v>
      </c>
      <c r="CL199" s="217">
        <f t="shared" si="539"/>
        <v>21.36</v>
      </c>
      <c r="CM199" s="217">
        <f t="shared" si="540"/>
        <v>1.6020000000000001</v>
      </c>
      <c r="CN199" s="541">
        <f t="shared" si="541"/>
        <v>18</v>
      </c>
      <c r="CO199" s="443">
        <f t="shared" si="542"/>
        <v>18.8</v>
      </c>
      <c r="CP199" s="443">
        <f t="shared" si="543"/>
        <v>36.799999999999997</v>
      </c>
      <c r="CQ199" s="443"/>
      <c r="CR199" s="217">
        <f t="shared" si="544"/>
        <v>0.51086956521739135</v>
      </c>
      <c r="CS199" s="172">
        <f t="shared" si="545"/>
        <v>28.513650151668358</v>
      </c>
      <c r="CT199" s="172">
        <f t="shared" si="546"/>
        <v>2.2989130434782612</v>
      </c>
      <c r="CU199" s="217">
        <f t="shared" si="547"/>
        <v>7.1284125379170895</v>
      </c>
      <c r="CV199" s="217">
        <f t="shared" si="548"/>
        <v>1.5840916750926866</v>
      </c>
      <c r="CW199" s="217">
        <f t="shared" si="549"/>
        <v>4</v>
      </c>
      <c r="CX199" s="217">
        <f t="shared" si="550"/>
        <v>4.9940992907801407</v>
      </c>
      <c r="CY199" s="217">
        <f t="shared" si="551"/>
        <v>3.3293995271867605</v>
      </c>
      <c r="CZ199" s="217">
        <f t="shared" si="552"/>
        <v>3.187722951561792</v>
      </c>
      <c r="DA199" s="197">
        <f t="shared" si="553"/>
        <v>350</v>
      </c>
      <c r="DB199" s="443">
        <f t="shared" si="554"/>
        <v>153.44195283437801</v>
      </c>
      <c r="DD199" s="217">
        <f t="shared" si="555"/>
        <v>2.18944099378882</v>
      </c>
      <c r="DE199" s="173">
        <f t="shared" si="556"/>
        <v>1.3975155279503106</v>
      </c>
      <c r="DF199" s="173">
        <f t="shared" si="557"/>
        <v>1.9924134422749624</v>
      </c>
      <c r="DG199" s="173"/>
      <c r="DH199" s="173">
        <f t="shared" si="558"/>
        <v>0.85106382978723416</v>
      </c>
      <c r="DI199" s="545">
        <f t="shared" si="559"/>
        <v>2352.9374999999995</v>
      </c>
      <c r="DJ199" s="528">
        <f t="shared" si="560"/>
        <v>0.79432624113475192</v>
      </c>
      <c r="DL199" s="173">
        <f t="shared" si="561"/>
        <v>3.3067031488002843</v>
      </c>
      <c r="DM199" s="173">
        <f t="shared" si="562"/>
        <v>4.9940992907801407</v>
      </c>
      <c r="DN199" s="173">
        <f t="shared" si="563"/>
        <v>3.9116784869976353</v>
      </c>
      <c r="DP199" s="545">
        <f t="shared" si="564"/>
        <v>5340</v>
      </c>
      <c r="DQ199" s="460">
        <f t="shared" si="565"/>
        <v>153.44195283437801</v>
      </c>
      <c r="DS199">
        <f t="shared" si="614"/>
        <v>5340</v>
      </c>
      <c r="DT199">
        <f t="shared" si="615"/>
        <v>153.44195283437801</v>
      </c>
      <c r="DV199" s="5">
        <f t="shared" si="568"/>
        <v>6.5171224787485516</v>
      </c>
      <c r="DW199" s="5">
        <f t="shared" si="569"/>
        <v>3.3293995271867605</v>
      </c>
      <c r="DX199" s="5">
        <f t="shared" si="570"/>
        <v>3.1877229515617911</v>
      </c>
      <c r="DY199" s="173">
        <f t="shared" si="571"/>
        <v>0.51086956521739135</v>
      </c>
      <c r="EA199" s="5">
        <f t="shared" si="572"/>
        <v>444.47483687943259</v>
      </c>
      <c r="EB199" s="5">
        <f t="shared" si="573"/>
        <v>1.6462030995534538</v>
      </c>
      <c r="EC199" s="5">
        <f t="shared" si="574"/>
        <v>3.1523038076555481</v>
      </c>
      <c r="ED199" s="5"/>
      <c r="EE199" s="173">
        <f t="shared" si="575"/>
        <v>2.060874570867405</v>
      </c>
      <c r="EF199" s="173">
        <f t="shared" si="576"/>
        <v>8.0661980257126427</v>
      </c>
      <c r="EG199" s="173">
        <f t="shared" si="577"/>
        <v>0.15369377319263275</v>
      </c>
      <c r="EH199" s="173"/>
      <c r="EI199" s="528">
        <f t="shared" si="578"/>
        <v>5.1815888761544505E-2</v>
      </c>
      <c r="EJ199" s="528">
        <f t="shared" si="579"/>
        <v>0.56400000000000006</v>
      </c>
      <c r="EK199" s="528">
        <f t="shared" si="580"/>
        <v>1.918024410429725E-2</v>
      </c>
      <c r="EL199" s="528">
        <f t="shared" si="581"/>
        <v>2.0779723020642807E-2</v>
      </c>
      <c r="EM199">
        <f t="shared" si="582"/>
        <v>8.0999999999999996E-3</v>
      </c>
      <c r="EN199" s="460">
        <f t="shared" si="583"/>
        <v>27.28024410429725</v>
      </c>
      <c r="EP199" s="460">
        <f t="shared" si="603"/>
        <v>663.8758558864846</v>
      </c>
      <c r="EQ199" s="173">
        <f t="shared" si="584"/>
        <v>3.7379999999999995</v>
      </c>
      <c r="ER199" s="173">
        <f t="shared" si="585"/>
        <v>3.9493750000000001E-2</v>
      </c>
      <c r="ES199" s="528"/>
      <c r="EU199" s="460">
        <f t="shared" si="497"/>
        <v>3777.4937499999996</v>
      </c>
      <c r="EV199" s="528">
        <f t="shared" si="586"/>
        <v>0.12741611990543733</v>
      </c>
      <c r="EW199" s="528">
        <f t="shared" si="587"/>
        <v>1.9519065177003161</v>
      </c>
      <c r="EX199" s="528">
        <f t="shared" si="588"/>
        <v>1.1810887959094218E-4</v>
      </c>
      <c r="EY199" s="528">
        <f t="shared" si="589"/>
        <v>0.81278041177063109</v>
      </c>
      <c r="EZ199" s="528"/>
      <c r="FA199" s="625">
        <f t="shared" si="590"/>
        <v>9.567500000000001E-2</v>
      </c>
      <c r="FB199" s="460">
        <f t="shared" si="613"/>
        <v>2987.896158255975</v>
      </c>
      <c r="FC199" s="173">
        <f t="shared" si="591"/>
        <v>7.4292657641424587</v>
      </c>
      <c r="FD199" s="5">
        <f t="shared" si="592"/>
        <v>22.962</v>
      </c>
      <c r="FE199" s="173">
        <f t="shared" si="593"/>
        <v>0.75554602359116019</v>
      </c>
      <c r="FF199" s="5">
        <f t="shared" si="594"/>
        <v>75.554602359116018</v>
      </c>
      <c r="FG199">
        <f t="shared" si="595"/>
        <v>89</v>
      </c>
      <c r="FI199" s="562">
        <f t="shared" si="596"/>
        <v>-50</v>
      </c>
      <c r="FJ199">
        <f t="shared" si="597"/>
        <v>-50</v>
      </c>
    </row>
    <row r="200" spans="5:166">
      <c r="E200" s="170">
        <v>90</v>
      </c>
      <c r="F200" s="217">
        <f t="shared" si="598"/>
        <v>5.4</v>
      </c>
      <c r="G200" s="217">
        <f t="shared" si="499"/>
        <v>9.0000000000000011E-2</v>
      </c>
      <c r="H200" s="217">
        <f t="shared" si="500"/>
        <v>21.6</v>
      </c>
      <c r="I200" s="217">
        <f t="shared" si="501"/>
        <v>1.62</v>
      </c>
      <c r="J200" s="541">
        <f t="shared" si="502"/>
        <v>17.854993639623483</v>
      </c>
      <c r="K200" s="443">
        <f t="shared" si="503"/>
        <v>20.1248</v>
      </c>
      <c r="L200" s="172">
        <f t="shared" si="504"/>
        <v>37.97979363962348</v>
      </c>
      <c r="M200" s="443"/>
      <c r="N200" s="217">
        <f t="shared" si="505"/>
        <v>0.52988176268035958</v>
      </c>
      <c r="O200" s="172">
        <f t="shared" si="506"/>
        <v>29.336544193520311</v>
      </c>
      <c r="P200" s="172">
        <f t="shared" si="507"/>
        <v>2.3652588756025752</v>
      </c>
      <c r="Q200" s="217">
        <f t="shared" si="508"/>
        <v>7.3341360483800777</v>
      </c>
      <c r="R200" s="217">
        <f t="shared" si="509"/>
        <v>1.6298080107511284</v>
      </c>
      <c r="S200" s="217">
        <f t="shared" si="510"/>
        <v>4</v>
      </c>
      <c r="T200" s="217">
        <f t="shared" si="511"/>
        <v>4.9085536132032184</v>
      </c>
      <c r="U200" s="217">
        <f t="shared" si="512"/>
        <v>3.2989450765035797</v>
      </c>
      <c r="V200" s="217">
        <f t="shared" si="513"/>
        <v>2.9268685084293318</v>
      </c>
      <c r="W200" s="197">
        <f t="shared" si="514"/>
        <v>350</v>
      </c>
      <c r="X200" s="443">
        <f t="shared" si="599"/>
        <v>155.62231720272359</v>
      </c>
      <c r="Z200" s="217">
        <f t="shared" si="515"/>
        <v>2.2526275005738805</v>
      </c>
      <c r="AA200" s="173">
        <f t="shared" si="516"/>
        <v>1.343194963770401</v>
      </c>
      <c r="AB200" s="173">
        <f t="shared" si="517"/>
        <v>1.9702349207582135</v>
      </c>
      <c r="AC200" s="173"/>
      <c r="AD200" s="173">
        <f t="shared" si="518"/>
        <v>0.79503895690888871</v>
      </c>
      <c r="AE200" s="545">
        <f t="shared" si="519"/>
        <v>2547.0449999999992</v>
      </c>
      <c r="AF200" s="528">
        <f t="shared" si="520"/>
        <v>0.74203635978162952</v>
      </c>
      <c r="AH200" s="173">
        <f t="shared" si="521"/>
        <v>3.3252282413607124</v>
      </c>
      <c r="AI200" s="173">
        <f t="shared" si="522"/>
        <v>4.9085536132032184</v>
      </c>
      <c r="AJ200" s="173">
        <f t="shared" si="523"/>
        <v>3.8483113184221365</v>
      </c>
      <c r="AL200" s="545">
        <f t="shared" si="524"/>
        <v>5400</v>
      </c>
      <c r="AM200" s="460">
        <f t="shared" si="525"/>
        <v>155.62231720272359</v>
      </c>
      <c r="AO200">
        <f t="shared" si="526"/>
        <v>5400</v>
      </c>
      <c r="AP200">
        <f t="shared" si="527"/>
        <v>155.62231720272359</v>
      </c>
      <c r="AR200" s="5">
        <f t="shared" si="616"/>
        <v>6.4258135849329117</v>
      </c>
      <c r="AS200" s="5">
        <f t="shared" si="604"/>
        <v>3.2989450765035797</v>
      </c>
      <c r="AT200" s="5">
        <f t="shared" si="605"/>
        <v>3.1268685084293319</v>
      </c>
      <c r="AU200" s="173">
        <f t="shared" si="606"/>
        <v>0.51338947713000327</v>
      </c>
      <c r="AW200" s="5">
        <f t="shared" si="477"/>
        <v>445.35758532798332</v>
      </c>
      <c r="AX200" s="5">
        <f t="shared" si="478"/>
        <v>1.6494725382517901</v>
      </c>
      <c r="AY200" s="5">
        <f t="shared" si="479"/>
        <v>3.1522628508152666</v>
      </c>
      <c r="AZ200" s="5"/>
      <c r="BA200" s="173">
        <f t="shared" si="480"/>
        <v>2.0305626470488609</v>
      </c>
      <c r="BB200" s="173">
        <f t="shared" si="481"/>
        <v>7.9075810318689799</v>
      </c>
      <c r="BC200" s="173">
        <f t="shared" si="482"/>
        <v>0.15067147641804407</v>
      </c>
      <c r="BD200" s="173"/>
      <c r="BE200" s="528">
        <f t="shared" si="483"/>
        <v>5.0302852895798937E-2</v>
      </c>
      <c r="BF200" s="528">
        <f t="shared" si="528"/>
        <v>0.5439754364401026</v>
      </c>
      <c r="BG200" s="528">
        <f t="shared" si="529"/>
        <v>6.9465887095952444E-2</v>
      </c>
      <c r="BH200" s="528">
        <f t="shared" si="484"/>
        <v>2.24479702973432E-2</v>
      </c>
      <c r="BI200">
        <f t="shared" si="485"/>
        <v>8.0347471378305665E-3</v>
      </c>
      <c r="BJ200" s="460">
        <f t="shared" si="600"/>
        <v>77.500634233783003</v>
      </c>
      <c r="BK200">
        <f t="shared" si="530"/>
        <v>0.63793257313916263</v>
      </c>
      <c r="BL200" s="460">
        <f t="shared" si="601"/>
        <v>694.2268938670278</v>
      </c>
      <c r="BM200" s="173">
        <f t="shared" si="531"/>
        <v>3.3547499999999997</v>
      </c>
      <c r="BN200" s="173">
        <f t="shared" si="532"/>
        <v>5.5912499999999997E-2</v>
      </c>
      <c r="BO200" s="528"/>
      <c r="BQ200" s="460">
        <f t="shared" si="486"/>
        <v>3410.6624999999995</v>
      </c>
      <c r="BR200" s="528">
        <f t="shared" si="487"/>
        <v>0.12369553990770231</v>
      </c>
      <c r="BS200" s="528">
        <f t="shared" si="488"/>
        <v>1.8758951332672222</v>
      </c>
      <c r="BT200" s="528">
        <f t="shared" si="489"/>
        <v>1.1350946902996606E-4</v>
      </c>
      <c r="BU200" s="528">
        <f t="shared" si="490"/>
        <v>0.80636848425539587</v>
      </c>
      <c r="BV200" s="528"/>
      <c r="BW200" s="625">
        <f t="shared" si="533"/>
        <v>9.3738708162127315E-2</v>
      </c>
      <c r="BX200" s="460">
        <f t="shared" si="607"/>
        <v>2899.8113750614775</v>
      </c>
      <c r="BY200" s="173">
        <f t="shared" si="608"/>
        <v>7.0047007689285046</v>
      </c>
      <c r="BZ200" s="5">
        <f t="shared" si="609"/>
        <v>23.220000000000002</v>
      </c>
      <c r="CA200" s="173">
        <f t="shared" si="610"/>
        <v>0.76824581912389178</v>
      </c>
      <c r="CB200" s="5">
        <f t="shared" si="611"/>
        <v>76.824581912389178</v>
      </c>
      <c r="CC200">
        <f t="shared" si="612"/>
        <v>90</v>
      </c>
      <c r="CE200" s="562">
        <f t="shared" si="534"/>
        <v>-50</v>
      </c>
      <c r="CF200">
        <f t="shared" si="535"/>
        <v>-50</v>
      </c>
      <c r="CG200" s="173">
        <f t="shared" si="536"/>
        <v>0.48913043478260876</v>
      </c>
      <c r="CH200" s="173">
        <f t="shared" si="537"/>
        <v>0.13097870664369973</v>
      </c>
      <c r="CI200" s="170">
        <v>90</v>
      </c>
      <c r="CJ200" s="217">
        <f t="shared" si="602"/>
        <v>5.4</v>
      </c>
      <c r="CK200" s="217">
        <f t="shared" si="538"/>
        <v>9.0000000000000011E-2</v>
      </c>
      <c r="CL200" s="217">
        <f t="shared" si="539"/>
        <v>21.6</v>
      </c>
      <c r="CM200" s="217">
        <f t="shared" si="540"/>
        <v>1.62</v>
      </c>
      <c r="CN200" s="541">
        <f t="shared" si="541"/>
        <v>18</v>
      </c>
      <c r="CO200" s="443">
        <f t="shared" si="542"/>
        <v>18.8</v>
      </c>
      <c r="CP200" s="443">
        <f t="shared" si="543"/>
        <v>36.799999999999997</v>
      </c>
      <c r="CQ200" s="443"/>
      <c r="CR200" s="217">
        <f t="shared" si="544"/>
        <v>0.51086956521739135</v>
      </c>
      <c r="CS200" s="172">
        <f t="shared" si="545"/>
        <v>28.513650151668358</v>
      </c>
      <c r="CT200" s="172">
        <f t="shared" si="546"/>
        <v>2.2989130434782612</v>
      </c>
      <c r="CU200" s="217">
        <f t="shared" si="547"/>
        <v>7.1284125379170895</v>
      </c>
      <c r="CV200" s="217">
        <f t="shared" si="548"/>
        <v>1.5840916750926866</v>
      </c>
      <c r="CW200" s="217">
        <f t="shared" si="549"/>
        <v>4</v>
      </c>
      <c r="CX200" s="217">
        <f t="shared" si="550"/>
        <v>5.0502127659574469</v>
      </c>
      <c r="CY200" s="217">
        <f t="shared" si="551"/>
        <v>3.3668085106382981</v>
      </c>
      <c r="CZ200" s="217">
        <f t="shared" si="552"/>
        <v>3.2235400633770941</v>
      </c>
      <c r="DA200" s="197">
        <f t="shared" si="553"/>
        <v>350</v>
      </c>
      <c r="DB200" s="443">
        <f t="shared" si="554"/>
        <v>151.7370422473293</v>
      </c>
      <c r="DD200" s="217">
        <f t="shared" si="555"/>
        <v>2.18944099378882</v>
      </c>
      <c r="DE200" s="173">
        <f t="shared" si="556"/>
        <v>1.3975155279503106</v>
      </c>
      <c r="DF200" s="173">
        <f t="shared" si="557"/>
        <v>1.9924134422749624</v>
      </c>
      <c r="DG200" s="173"/>
      <c r="DH200" s="173">
        <f t="shared" si="558"/>
        <v>0.85106382978723416</v>
      </c>
      <c r="DI200" s="545">
        <f t="shared" si="559"/>
        <v>2379.3749999999995</v>
      </c>
      <c r="DJ200" s="528">
        <f t="shared" si="560"/>
        <v>0.79432624113475192</v>
      </c>
      <c r="DL200" s="173">
        <f t="shared" si="561"/>
        <v>3.3252282413607124</v>
      </c>
      <c r="DM200" s="173">
        <f t="shared" si="562"/>
        <v>5.0502127659574469</v>
      </c>
      <c r="DN200" s="173">
        <f t="shared" si="563"/>
        <v>3.9532440241660103</v>
      </c>
      <c r="DP200" s="545">
        <f t="shared" si="564"/>
        <v>5400</v>
      </c>
      <c r="DQ200" s="460">
        <f t="shared" si="565"/>
        <v>151.7370422473293</v>
      </c>
      <c r="DS200">
        <f t="shared" si="614"/>
        <v>5400</v>
      </c>
      <c r="DT200">
        <f t="shared" si="615"/>
        <v>151.7370422473293</v>
      </c>
      <c r="DV200" s="5">
        <f t="shared" si="568"/>
        <v>6.5903485740153931</v>
      </c>
      <c r="DW200" s="5">
        <f t="shared" si="569"/>
        <v>3.3668085106382981</v>
      </c>
      <c r="DX200" s="5">
        <f t="shared" si="570"/>
        <v>3.223540063377095</v>
      </c>
      <c r="DY200" s="173">
        <f t="shared" si="571"/>
        <v>0.51086956521739124</v>
      </c>
      <c r="EA200" s="5">
        <f t="shared" si="572"/>
        <v>454.51914893617027</v>
      </c>
      <c r="EB200" s="5">
        <f t="shared" si="573"/>
        <v>1.6834042553191493</v>
      </c>
      <c r="EC200" s="5">
        <f t="shared" si="574"/>
        <v>3.223540063377095</v>
      </c>
      <c r="ED200" s="5"/>
      <c r="EE200" s="173">
        <f t="shared" si="575"/>
        <v>2.0840304649220953</v>
      </c>
      <c r="EF200" s="173">
        <f t="shared" si="576"/>
        <v>8.1568294642037991</v>
      </c>
      <c r="EG200" s="173">
        <f t="shared" si="577"/>
        <v>0.15542066952063996</v>
      </c>
      <c r="EH200" s="173"/>
      <c r="EI200" s="528">
        <f t="shared" si="578"/>
        <v>5.298683234042554E-2</v>
      </c>
      <c r="EJ200" s="528">
        <f t="shared" si="579"/>
        <v>0.56399999999999983</v>
      </c>
      <c r="EK200" s="528">
        <f t="shared" si="580"/>
        <v>1.8967130280916161E-2</v>
      </c>
      <c r="EL200" s="528">
        <f t="shared" si="581"/>
        <v>2.0548837209302319E-2</v>
      </c>
      <c r="EM200">
        <f t="shared" si="582"/>
        <v>8.0999999999999996E-3</v>
      </c>
      <c r="EN200" s="460">
        <f t="shared" si="583"/>
        <v>27.06713028091616</v>
      </c>
      <c r="EP200" s="460">
        <f t="shared" si="603"/>
        <v>664.6027998306439</v>
      </c>
      <c r="EQ200" s="173">
        <f t="shared" si="584"/>
        <v>3.78</v>
      </c>
      <c r="ER200" s="173">
        <f t="shared" si="585"/>
        <v>3.9937500000000001E-2</v>
      </c>
      <c r="ES200" s="528"/>
      <c r="EU200" s="460">
        <f t="shared" si="497"/>
        <v>3819.9375</v>
      </c>
      <c r="EV200" s="528">
        <f t="shared" si="586"/>
        <v>0.13029548936170215</v>
      </c>
      <c r="EW200" s="528">
        <f t="shared" si="587"/>
        <v>1.996016007243097</v>
      </c>
      <c r="EX200" s="528">
        <f t="shared" si="588"/>
        <v>1.2077792257121991E-4</v>
      </c>
      <c r="EY200" s="528">
        <f t="shared" si="589"/>
        <v>0.81278041177063187</v>
      </c>
      <c r="EZ200" s="528"/>
      <c r="FA200" s="625">
        <f t="shared" si="590"/>
        <v>9.6750000000000003E-2</v>
      </c>
      <c r="FB200" s="460">
        <f t="shared" si="613"/>
        <v>3035.9626862980026</v>
      </c>
      <c r="FC200" s="173">
        <f t="shared" si="591"/>
        <v>7.5205029861286468</v>
      </c>
      <c r="FD200" s="5">
        <f t="shared" si="592"/>
        <v>23.220000000000002</v>
      </c>
      <c r="FE200" s="173">
        <f t="shared" si="593"/>
        <v>0.75535523964841433</v>
      </c>
      <c r="FF200" s="5">
        <f t="shared" si="594"/>
        <v>75.535523964841431</v>
      </c>
      <c r="FG200">
        <f t="shared" si="595"/>
        <v>90</v>
      </c>
      <c r="FI200" s="562">
        <f t="shared" si="596"/>
        <v>-50</v>
      </c>
      <c r="FJ200">
        <f t="shared" si="597"/>
        <v>-50</v>
      </c>
    </row>
    <row r="201" spans="5:166">
      <c r="E201" s="170">
        <v>91</v>
      </c>
      <c r="F201" s="217">
        <f t="shared" si="598"/>
        <v>5.46</v>
      </c>
      <c r="G201" s="217">
        <f t="shared" si="499"/>
        <v>9.1000000000000011E-2</v>
      </c>
      <c r="H201" s="217">
        <f t="shared" si="500"/>
        <v>21.84</v>
      </c>
      <c r="I201" s="217">
        <f t="shared" si="501"/>
        <v>1.6380000000000001</v>
      </c>
      <c r="J201" s="541">
        <f t="shared" si="502"/>
        <v>17.853382457841523</v>
      </c>
      <c r="K201" s="443">
        <f t="shared" si="503"/>
        <v>20.139520000000001</v>
      </c>
      <c r="L201" s="172">
        <f t="shared" si="504"/>
        <v>37.992902457841524</v>
      </c>
      <c r="M201" s="443"/>
      <c r="N201" s="217">
        <f t="shared" si="505"/>
        <v>0.53008637658961788</v>
      </c>
      <c r="O201" s="172">
        <f t="shared" si="506"/>
        <v>29.345224238591811</v>
      </c>
      <c r="P201" s="172">
        <f t="shared" si="507"/>
        <v>2.3659587042364647</v>
      </c>
      <c r="Q201" s="217">
        <f t="shared" si="508"/>
        <v>7.3363060596479528</v>
      </c>
      <c r="R201" s="217">
        <f t="shared" si="509"/>
        <v>1.6302902354773228</v>
      </c>
      <c r="S201" s="217">
        <f t="shared" si="510"/>
        <v>4</v>
      </c>
      <c r="T201" s="217">
        <f t="shared" si="511"/>
        <v>4.9616250609024792</v>
      </c>
      <c r="U201" s="217">
        <f t="shared" si="512"/>
        <v>3.3349143150562455</v>
      </c>
      <c r="V201" s="217">
        <f t="shared" si="513"/>
        <v>2.9563515282802051</v>
      </c>
      <c r="W201" s="197">
        <f t="shared" si="514"/>
        <v>350</v>
      </c>
      <c r="X201" s="443">
        <f t="shared" si="599"/>
        <v>154.05315760200159</v>
      </c>
      <c r="Z201" s="217">
        <f t="shared" si="515"/>
        <v>2.2532940040347285</v>
      </c>
      <c r="AA201" s="173">
        <f t="shared" si="516"/>
        <v>1.3426103526010917</v>
      </c>
      <c r="AB201" s="173">
        <f t="shared" si="517"/>
        <v>1.969960093106693</v>
      </c>
      <c r="AC201" s="173"/>
      <c r="AD201" s="173">
        <f t="shared" si="518"/>
        <v>0.79445786195500201</v>
      </c>
      <c r="AE201" s="545">
        <f t="shared" si="519"/>
        <v>2577.2291999999993</v>
      </c>
      <c r="AF201" s="528">
        <f t="shared" si="520"/>
        <v>0.7414940044913354</v>
      </c>
      <c r="AH201" s="173">
        <f t="shared" si="521"/>
        <v>3.3436506994600976</v>
      </c>
      <c r="AI201" s="173">
        <f t="shared" si="522"/>
        <v>4.9616250609024792</v>
      </c>
      <c r="AJ201" s="173">
        <f t="shared" si="523"/>
        <v>3.8876235019030707</v>
      </c>
      <c r="AL201" s="545">
        <f t="shared" si="524"/>
        <v>5460</v>
      </c>
      <c r="AM201" s="460">
        <f t="shared" si="525"/>
        <v>154.05315760200159</v>
      </c>
      <c r="AO201">
        <f t="shared" si="526"/>
        <v>5460</v>
      </c>
      <c r="AP201">
        <f t="shared" si="527"/>
        <v>154.05315760200159</v>
      </c>
      <c r="AR201" s="5">
        <f t="shared" si="616"/>
        <v>6.4912658433364507</v>
      </c>
      <c r="AS201" s="5">
        <f t="shared" si="604"/>
        <v>3.3349143150562455</v>
      </c>
      <c r="AT201" s="5">
        <f t="shared" si="605"/>
        <v>3.1563515282802053</v>
      </c>
      <c r="AU201" s="173">
        <f t="shared" si="606"/>
        <v>0.51375408056653094</v>
      </c>
      <c r="AW201" s="5">
        <f t="shared" si="477"/>
        <v>455.21580400517746</v>
      </c>
      <c r="AX201" s="5">
        <f t="shared" si="478"/>
        <v>1.6859844592784354</v>
      </c>
      <c r="AY201" s="5">
        <f t="shared" si="479"/>
        <v>3.217631053966953</v>
      </c>
      <c r="AZ201" s="5"/>
      <c r="BA201" s="173">
        <f t="shared" si="480"/>
        <v>2.0532458670248368</v>
      </c>
      <c r="BB201" s="173">
        <f t="shared" si="481"/>
        <v>7.9900830112039296</v>
      </c>
      <c r="BC201" s="173">
        <f t="shared" si="482"/>
        <v>0.15224347359185866</v>
      </c>
      <c r="BD201" s="173"/>
      <c r="BE201" s="528">
        <f t="shared" si="483"/>
        <v>5.1432986803545792E-2</v>
      </c>
      <c r="BF201" s="528">
        <f t="shared" si="528"/>
        <v>0.5445005109194907</v>
      </c>
      <c r="BG201" s="528">
        <f t="shared" si="529"/>
        <v>6.8759248537666767E-2</v>
      </c>
      <c r="BH201" s="528">
        <f t="shared" si="484"/>
        <v>2.2236966903039897E-2</v>
      </c>
      <c r="BI201">
        <f t="shared" si="485"/>
        <v>8.0340221060286859E-3</v>
      </c>
      <c r="BJ201" s="460">
        <f t="shared" si="600"/>
        <v>76.79327064369545</v>
      </c>
      <c r="BK201">
        <f t="shared" si="530"/>
        <v>0.63987697332357674</v>
      </c>
      <c r="BL201" s="460">
        <f t="shared" si="601"/>
        <v>694.96373526977186</v>
      </c>
      <c r="BM201" s="173">
        <f t="shared" si="531"/>
        <v>3.3920249999999994</v>
      </c>
      <c r="BN201" s="173">
        <f t="shared" si="532"/>
        <v>5.6533750000000001E-2</v>
      </c>
      <c r="BO201" s="528"/>
      <c r="BQ201" s="460">
        <f t="shared" si="486"/>
        <v>3448.5587499999992</v>
      </c>
      <c r="BR201" s="528">
        <f t="shared" si="487"/>
        <v>0.12647455771363722</v>
      </c>
      <c r="BS201" s="528">
        <f t="shared" si="488"/>
        <v>1.9152427957778897</v>
      </c>
      <c r="BT201" s="528">
        <f t="shared" si="489"/>
        <v>1.1589037625657482E-4</v>
      </c>
      <c r="BU201" s="528">
        <f t="shared" si="490"/>
        <v>0.80761870992648221</v>
      </c>
      <c r="BV201" s="528"/>
      <c r="BW201" s="625">
        <f t="shared" si="533"/>
        <v>9.4810949971516845E-2</v>
      </c>
      <c r="BX201" s="460">
        <f t="shared" si="607"/>
        <v>2944.2629037657825</v>
      </c>
      <c r="BY201" s="173">
        <f t="shared" si="608"/>
        <v>7.0877853890355542</v>
      </c>
      <c r="BZ201" s="5">
        <f t="shared" si="609"/>
        <v>23.478000000000002</v>
      </c>
      <c r="CA201" s="173">
        <f t="shared" si="610"/>
        <v>0.76811374879383743</v>
      </c>
      <c r="CB201" s="5">
        <f t="shared" si="611"/>
        <v>76.811374879383749</v>
      </c>
      <c r="CC201">
        <f t="shared" si="612"/>
        <v>91</v>
      </c>
      <c r="CE201" s="562">
        <f t="shared" si="534"/>
        <v>-50</v>
      </c>
      <c r="CF201">
        <f t="shared" si="535"/>
        <v>-50</v>
      </c>
      <c r="CG201" s="173">
        <f t="shared" si="536"/>
        <v>0.48913043478260854</v>
      </c>
      <c r="CH201" s="173">
        <f t="shared" si="537"/>
        <v>0.13097870664369979</v>
      </c>
      <c r="CI201" s="170">
        <v>91</v>
      </c>
      <c r="CJ201" s="217">
        <f t="shared" si="602"/>
        <v>5.46</v>
      </c>
      <c r="CK201" s="217">
        <f t="shared" si="538"/>
        <v>9.1000000000000011E-2</v>
      </c>
      <c r="CL201" s="217">
        <f t="shared" si="539"/>
        <v>21.84</v>
      </c>
      <c r="CM201" s="217">
        <f t="shared" si="540"/>
        <v>1.6380000000000001</v>
      </c>
      <c r="CN201" s="541">
        <f t="shared" si="541"/>
        <v>18</v>
      </c>
      <c r="CO201" s="443">
        <f t="shared" si="542"/>
        <v>18.8</v>
      </c>
      <c r="CP201" s="443">
        <f t="shared" si="543"/>
        <v>36.799999999999997</v>
      </c>
      <c r="CQ201" s="443"/>
      <c r="CR201" s="217">
        <f t="shared" si="544"/>
        <v>0.51086956521739135</v>
      </c>
      <c r="CS201" s="172">
        <f t="shared" si="545"/>
        <v>28.513650151668358</v>
      </c>
      <c r="CT201" s="172">
        <f t="shared" si="546"/>
        <v>2.2989130434782612</v>
      </c>
      <c r="CU201" s="217">
        <f t="shared" si="547"/>
        <v>7.1284125379170895</v>
      </c>
      <c r="CV201" s="217">
        <f t="shared" si="548"/>
        <v>1.5840916750926866</v>
      </c>
      <c r="CW201" s="217">
        <f t="shared" si="549"/>
        <v>4</v>
      </c>
      <c r="CX201" s="217">
        <f t="shared" si="550"/>
        <v>5.1063262411347514</v>
      </c>
      <c r="CY201" s="217">
        <f t="shared" si="551"/>
        <v>3.4042174940898344</v>
      </c>
      <c r="CZ201" s="217">
        <f t="shared" si="552"/>
        <v>3.259357175192394</v>
      </c>
      <c r="DA201" s="197">
        <f t="shared" si="553"/>
        <v>350</v>
      </c>
      <c r="DB201" s="443">
        <f t="shared" si="554"/>
        <v>150.06960222263342</v>
      </c>
      <c r="DD201" s="217">
        <f t="shared" si="555"/>
        <v>2.18944099378882</v>
      </c>
      <c r="DE201" s="173">
        <f t="shared" si="556"/>
        <v>1.3975155279503106</v>
      </c>
      <c r="DF201" s="173">
        <f t="shared" si="557"/>
        <v>1.9924134422749624</v>
      </c>
      <c r="DG201" s="173"/>
      <c r="DH201" s="173">
        <f t="shared" si="558"/>
        <v>0.85106382978723416</v>
      </c>
      <c r="DI201" s="545">
        <f t="shared" si="559"/>
        <v>2405.8124999999995</v>
      </c>
      <c r="DJ201" s="528">
        <f t="shared" si="560"/>
        <v>0.79432624113475192</v>
      </c>
      <c r="DL201" s="173">
        <f t="shared" si="561"/>
        <v>3.3436506994600976</v>
      </c>
      <c r="DM201" s="173">
        <f t="shared" si="562"/>
        <v>5.1063262411347514</v>
      </c>
      <c r="DN201" s="173">
        <f t="shared" si="563"/>
        <v>3.9948095613343835</v>
      </c>
      <c r="DP201" s="545">
        <f t="shared" si="564"/>
        <v>5460</v>
      </c>
      <c r="DQ201" s="460">
        <f t="shared" si="565"/>
        <v>150.06960222263342</v>
      </c>
      <c r="DS201">
        <f t="shared" si="614"/>
        <v>5460</v>
      </c>
      <c r="DT201">
        <f t="shared" si="615"/>
        <v>150.06960222263342</v>
      </c>
      <c r="DV201" s="5">
        <f t="shared" si="568"/>
        <v>6.6635746692822275</v>
      </c>
      <c r="DW201" s="5">
        <f t="shared" si="569"/>
        <v>3.4042174940898344</v>
      </c>
      <c r="DX201" s="5">
        <f t="shared" si="570"/>
        <v>3.2593571751923931</v>
      </c>
      <c r="DY201" s="173">
        <f t="shared" si="571"/>
        <v>0.51086956521739146</v>
      </c>
      <c r="EA201" s="5">
        <f t="shared" si="572"/>
        <v>464.6756879432624</v>
      </c>
      <c r="EB201" s="5">
        <f t="shared" si="573"/>
        <v>1.7210210664565277</v>
      </c>
      <c r="EC201" s="5">
        <f t="shared" si="574"/>
        <v>3.2955722549167525</v>
      </c>
      <c r="ED201" s="5"/>
      <c r="EE201" s="173">
        <f t="shared" si="575"/>
        <v>2.1071863589767856</v>
      </c>
      <c r="EF201" s="173">
        <f t="shared" si="576"/>
        <v>8.2474609026949484</v>
      </c>
      <c r="EG201" s="173">
        <f t="shared" si="577"/>
        <v>0.157147565848647</v>
      </c>
      <c r="EH201" s="173"/>
      <c r="EI201" s="528">
        <f t="shared" si="578"/>
        <v>5.4170859087785676E-2</v>
      </c>
      <c r="EJ201" s="528">
        <f t="shared" si="579"/>
        <v>0.56400000000000006</v>
      </c>
      <c r="EK201" s="528">
        <f t="shared" si="580"/>
        <v>1.8758700277829176E-2</v>
      </c>
      <c r="EL201" s="528">
        <f t="shared" si="581"/>
        <v>2.0323025811397905E-2</v>
      </c>
      <c r="EM201">
        <f t="shared" si="582"/>
        <v>8.0999999999999996E-3</v>
      </c>
      <c r="EN201" s="460">
        <f t="shared" si="583"/>
        <v>26.858700277829175</v>
      </c>
      <c r="EP201" s="460">
        <f t="shared" si="603"/>
        <v>665.35258517701277</v>
      </c>
      <c r="EQ201" s="173">
        <f t="shared" si="584"/>
        <v>3.8219999999999996</v>
      </c>
      <c r="ER201" s="173">
        <f t="shared" si="585"/>
        <v>4.038125E-2</v>
      </c>
      <c r="ES201" s="528"/>
      <c r="EU201" s="460">
        <f t="shared" si="497"/>
        <v>3862.3812499999995</v>
      </c>
      <c r="EV201" s="528">
        <f t="shared" si="586"/>
        <v>0.13320703054373528</v>
      </c>
      <c r="EW201" s="528">
        <f t="shared" si="587"/>
        <v>2.0406183402444529</v>
      </c>
      <c r="EX201" s="528">
        <f t="shared" si="588"/>
        <v>1.2347678726077423E-4</v>
      </c>
      <c r="EY201" s="528">
        <f t="shared" si="589"/>
        <v>0.81278041177063109</v>
      </c>
      <c r="EZ201" s="528"/>
      <c r="FA201" s="625">
        <f t="shared" si="590"/>
        <v>9.7825000000000009E-2</v>
      </c>
      <c r="FB201" s="460">
        <f t="shared" si="613"/>
        <v>3084.5542593460796</v>
      </c>
      <c r="FC201" s="173">
        <f t="shared" si="591"/>
        <v>7.612288094523092</v>
      </c>
      <c r="FD201" s="5">
        <f t="shared" si="592"/>
        <v>23.478000000000002</v>
      </c>
      <c r="FE201" s="173">
        <f t="shared" si="593"/>
        <v>0.75515543402558294</v>
      </c>
      <c r="FF201" s="5">
        <f t="shared" si="594"/>
        <v>75.515543402558293</v>
      </c>
      <c r="FG201">
        <f t="shared" si="595"/>
        <v>91</v>
      </c>
      <c r="FI201" s="562">
        <f t="shared" si="596"/>
        <v>-50</v>
      </c>
      <c r="FJ201">
        <f t="shared" si="597"/>
        <v>-50</v>
      </c>
    </row>
    <row r="202" spans="5:166">
      <c r="E202" s="170">
        <v>92</v>
      </c>
      <c r="F202" s="217">
        <f t="shared" si="598"/>
        <v>5.5200000000000005</v>
      </c>
      <c r="G202" s="217">
        <f t="shared" si="499"/>
        <v>9.2000000000000012E-2</v>
      </c>
      <c r="H202" s="217">
        <f t="shared" si="500"/>
        <v>22.080000000000002</v>
      </c>
      <c r="I202" s="217">
        <f t="shared" si="501"/>
        <v>1.6560000000000001</v>
      </c>
      <c r="J202" s="541">
        <f t="shared" si="502"/>
        <v>17.851771276059562</v>
      </c>
      <c r="K202" s="443">
        <f t="shared" si="503"/>
        <v>20.154240000000001</v>
      </c>
      <c r="L202" s="172">
        <f t="shared" si="504"/>
        <v>38.006011276059567</v>
      </c>
      <c r="M202" s="443"/>
      <c r="N202" s="217">
        <f t="shared" si="505"/>
        <v>0.5302908493503341</v>
      </c>
      <c r="O202" s="172">
        <f t="shared" si="506"/>
        <v>29.353894426014023</v>
      </c>
      <c r="P202" s="172">
        <f t="shared" si="507"/>
        <v>2.3666577380973806</v>
      </c>
      <c r="Q202" s="217">
        <f t="shared" si="508"/>
        <v>7.3384736065035057</v>
      </c>
      <c r="R202" s="217">
        <f t="shared" si="509"/>
        <v>1.6307719125563347</v>
      </c>
      <c r="S202" s="217">
        <f t="shared" si="510"/>
        <v>4</v>
      </c>
      <c r="T202" s="217">
        <f t="shared" si="511"/>
        <v>5.0146668058309958</v>
      </c>
      <c r="U202" s="217">
        <f t="shared" si="512"/>
        <v>3.3708700800279723</v>
      </c>
      <c r="V202" s="217">
        <f t="shared" si="513"/>
        <v>2.9857737959839685</v>
      </c>
      <c r="W202" s="197">
        <f t="shared" si="514"/>
        <v>350</v>
      </c>
      <c r="X202" s="443">
        <f t="shared" si="599"/>
        <v>152.51705276514835</v>
      </c>
      <c r="Z202" s="217">
        <f t="shared" si="515"/>
        <v>2.2539597505689337</v>
      </c>
      <c r="AA202" s="173">
        <f t="shared" si="516"/>
        <v>1.3420261447133308</v>
      </c>
      <c r="AB202" s="173">
        <f t="shared" si="517"/>
        <v>1.9696846884432864</v>
      </c>
      <c r="AC202" s="173"/>
      <c r="AD202" s="173">
        <f t="shared" si="518"/>
        <v>0.79387761582674421</v>
      </c>
      <c r="AE202" s="545">
        <f t="shared" si="519"/>
        <v>2607.4548</v>
      </c>
      <c r="AF202" s="528">
        <f t="shared" si="520"/>
        <v>0.74095244143829464</v>
      </c>
      <c r="AH202" s="173">
        <f t="shared" si="521"/>
        <v>3.3619722103041161</v>
      </c>
      <c r="AI202" s="173">
        <f t="shared" si="522"/>
        <v>5.0146668058309958</v>
      </c>
      <c r="AJ202" s="173">
        <f t="shared" si="523"/>
        <v>3.9269136833316018</v>
      </c>
      <c r="AL202" s="545">
        <f t="shared" si="524"/>
        <v>5520.0000000000009</v>
      </c>
      <c r="AM202" s="460">
        <f t="shared" si="525"/>
        <v>152.51705276514835</v>
      </c>
      <c r="AO202">
        <f t="shared" si="526"/>
        <v>5520.0000000000009</v>
      </c>
      <c r="AP202">
        <f t="shared" si="527"/>
        <v>152.51705276514835</v>
      </c>
      <c r="AR202" s="5">
        <f t="shared" si="616"/>
        <v>6.5566438760119405</v>
      </c>
      <c r="AS202" s="5">
        <f t="shared" si="604"/>
        <v>3.3708700800279723</v>
      </c>
      <c r="AT202" s="5">
        <f t="shared" si="605"/>
        <v>3.1857737959839683</v>
      </c>
      <c r="AU202" s="173">
        <f t="shared" si="606"/>
        <v>0.5141151698600861</v>
      </c>
      <c r="AW202" s="5">
        <f t="shared" si="477"/>
        <v>465.18007104386015</v>
      </c>
      <c r="AX202" s="5">
        <f t="shared" si="478"/>
        <v>1.7228891520142973</v>
      </c>
      <c r="AY202" s="5">
        <f t="shared" si="479"/>
        <v>3.2836090570304388</v>
      </c>
      <c r="AZ202" s="5"/>
      <c r="BA202" s="173">
        <f t="shared" si="480"/>
        <v>2.0759250238706728</v>
      </c>
      <c r="BB202" s="173">
        <f t="shared" si="481"/>
        <v>8.0725011602950367</v>
      </c>
      <c r="BC202" s="173">
        <f t="shared" si="482"/>
        <v>0.1538138734596757</v>
      </c>
      <c r="BD202" s="173"/>
      <c r="BE202" s="528">
        <f t="shared" si="483"/>
        <v>5.257546939773592E-2</v>
      </c>
      <c r="BF202" s="528">
        <f t="shared" si="528"/>
        <v>0.54502202300109537</v>
      </c>
      <c r="BG202" s="528">
        <f t="shared" si="529"/>
        <v>6.8067488541553395E-2</v>
      </c>
      <c r="BH202" s="528">
        <f t="shared" si="484"/>
        <v>2.2030430818435018E-2</v>
      </c>
      <c r="BI202">
        <f t="shared" si="485"/>
        <v>8.0332970742268035E-3</v>
      </c>
      <c r="BJ202" s="460">
        <f t="shared" si="600"/>
        <v>76.100785615780197</v>
      </c>
      <c r="BK202">
        <f t="shared" si="530"/>
        <v>0.64184113547139643</v>
      </c>
      <c r="BL202" s="460">
        <f t="shared" si="601"/>
        <v>695.72870883304665</v>
      </c>
      <c r="BM202" s="173">
        <f t="shared" si="531"/>
        <v>3.4292999999999996</v>
      </c>
      <c r="BN202" s="173">
        <f t="shared" si="532"/>
        <v>5.7154999999999997E-2</v>
      </c>
      <c r="BO202" s="528"/>
      <c r="BQ202" s="460">
        <f t="shared" si="486"/>
        <v>3486.4549999999995</v>
      </c>
      <c r="BR202" s="528">
        <f t="shared" si="487"/>
        <v>0.12928394114197359</v>
      </c>
      <c r="BS202" s="528">
        <f t="shared" si="488"/>
        <v>1.9549582494889415</v>
      </c>
      <c r="BT202" s="528">
        <f t="shared" si="489"/>
        <v>1.1829353834334566E-4</v>
      </c>
      <c r="BU202" s="528">
        <f t="shared" si="490"/>
        <v>0.80885601700381438</v>
      </c>
      <c r="BV202" s="528"/>
      <c r="BW202" s="625">
        <f t="shared" si="533"/>
        <v>9.5883212696305384E-2</v>
      </c>
      <c r="BX202" s="460">
        <f t="shared" si="607"/>
        <v>2989.0997138693783</v>
      </c>
      <c r="BY202" s="173">
        <f t="shared" si="608"/>
        <v>7.1712834227024249</v>
      </c>
      <c r="BZ202" s="5">
        <f t="shared" si="609"/>
        <v>23.736000000000001</v>
      </c>
      <c r="CA202" s="173">
        <f t="shared" si="610"/>
        <v>0.76797432098367857</v>
      </c>
      <c r="CB202" s="5">
        <f t="shared" si="611"/>
        <v>76.797432098367864</v>
      </c>
      <c r="CC202">
        <f t="shared" si="612"/>
        <v>92</v>
      </c>
      <c r="CE202" s="562">
        <f t="shared" si="534"/>
        <v>-50</v>
      </c>
      <c r="CF202">
        <f t="shared" si="535"/>
        <v>-50</v>
      </c>
      <c r="CG202" s="173">
        <f t="shared" si="536"/>
        <v>0.48913043478260854</v>
      </c>
      <c r="CH202" s="173">
        <f t="shared" si="537"/>
        <v>0.13097870664369979</v>
      </c>
      <c r="CI202" s="170">
        <v>92</v>
      </c>
      <c r="CJ202" s="217">
        <f t="shared" si="602"/>
        <v>5.5200000000000005</v>
      </c>
      <c r="CK202" s="217">
        <f t="shared" si="538"/>
        <v>9.2000000000000012E-2</v>
      </c>
      <c r="CL202" s="217">
        <f t="shared" si="539"/>
        <v>22.080000000000002</v>
      </c>
      <c r="CM202" s="217">
        <f t="shared" si="540"/>
        <v>1.6560000000000001</v>
      </c>
      <c r="CN202" s="541">
        <f t="shared" si="541"/>
        <v>18</v>
      </c>
      <c r="CO202" s="443">
        <f t="shared" si="542"/>
        <v>18.8</v>
      </c>
      <c r="CP202" s="443">
        <f t="shared" si="543"/>
        <v>36.799999999999997</v>
      </c>
      <c r="CQ202" s="443"/>
      <c r="CR202" s="217">
        <f t="shared" si="544"/>
        <v>0.51086956521739135</v>
      </c>
      <c r="CS202" s="172">
        <f t="shared" si="545"/>
        <v>28.513650151668358</v>
      </c>
      <c r="CT202" s="172">
        <f t="shared" si="546"/>
        <v>2.2989130434782612</v>
      </c>
      <c r="CU202" s="217">
        <f t="shared" si="547"/>
        <v>7.1284125379170895</v>
      </c>
      <c r="CV202" s="217">
        <f t="shared" si="548"/>
        <v>1.5840916750926866</v>
      </c>
      <c r="CW202" s="217">
        <f t="shared" si="549"/>
        <v>4</v>
      </c>
      <c r="CX202" s="217">
        <f t="shared" si="550"/>
        <v>5.1624397163120559</v>
      </c>
      <c r="CY202" s="217">
        <f t="shared" si="551"/>
        <v>3.4416264775413707</v>
      </c>
      <c r="CZ202" s="217">
        <f t="shared" si="552"/>
        <v>3.2951742870076948</v>
      </c>
      <c r="DA202" s="197">
        <f t="shared" si="553"/>
        <v>350</v>
      </c>
      <c r="DB202" s="443">
        <f t="shared" si="554"/>
        <v>148.43841089412655</v>
      </c>
      <c r="DD202" s="217">
        <f t="shared" si="555"/>
        <v>2.18944099378882</v>
      </c>
      <c r="DE202" s="173">
        <f t="shared" si="556"/>
        <v>1.3975155279503106</v>
      </c>
      <c r="DF202" s="173">
        <f t="shared" si="557"/>
        <v>1.9924134422749624</v>
      </c>
      <c r="DG202" s="173"/>
      <c r="DH202" s="173">
        <f t="shared" si="558"/>
        <v>0.85106382978723416</v>
      </c>
      <c r="DI202" s="545">
        <f t="shared" si="559"/>
        <v>2432.2499999999995</v>
      </c>
      <c r="DJ202" s="528">
        <f t="shared" si="560"/>
        <v>0.79432624113475192</v>
      </c>
      <c r="DL202" s="173">
        <f t="shared" si="561"/>
        <v>3.3619722103041161</v>
      </c>
      <c r="DM202" s="173">
        <f t="shared" si="562"/>
        <v>5.1624397163120559</v>
      </c>
      <c r="DN202" s="173">
        <f t="shared" si="563"/>
        <v>4.0363750985027576</v>
      </c>
      <c r="DP202" s="545">
        <f t="shared" si="564"/>
        <v>5520.0000000000009</v>
      </c>
      <c r="DQ202" s="460">
        <f t="shared" si="565"/>
        <v>148.43841089412655</v>
      </c>
      <c r="DS202">
        <f t="shared" si="614"/>
        <v>5520.0000000000009</v>
      </c>
      <c r="DT202">
        <f t="shared" si="615"/>
        <v>148.43841089412655</v>
      </c>
      <c r="DV202" s="5">
        <f t="shared" si="568"/>
        <v>6.7368007645490646</v>
      </c>
      <c r="DW202" s="5">
        <f t="shared" si="569"/>
        <v>3.4416264775413707</v>
      </c>
      <c r="DX202" s="5">
        <f t="shared" si="570"/>
        <v>3.2951742870076939</v>
      </c>
      <c r="DY202" s="173">
        <f t="shared" si="571"/>
        <v>0.51086956521739146</v>
      </c>
      <c r="EA202" s="5">
        <f t="shared" si="572"/>
        <v>474.94445390070916</v>
      </c>
      <c r="EB202" s="5">
        <f t="shared" si="573"/>
        <v>1.7590535329655899</v>
      </c>
      <c r="EC202" s="5">
        <f t="shared" si="574"/>
        <v>3.368400382274531</v>
      </c>
      <c r="ED202" s="5"/>
      <c r="EE202" s="173">
        <f t="shared" si="575"/>
        <v>2.1303422530314751</v>
      </c>
      <c r="EF202" s="173">
        <f t="shared" si="576"/>
        <v>8.3380923411861012</v>
      </c>
      <c r="EG202" s="173">
        <f t="shared" si="577"/>
        <v>0.1588744621766541</v>
      </c>
      <c r="EH202" s="173"/>
      <c r="EI202" s="528">
        <f t="shared" si="578"/>
        <v>5.5367969003624902E-2</v>
      </c>
      <c r="EJ202" s="528">
        <f t="shared" si="579"/>
        <v>0.56400000000000006</v>
      </c>
      <c r="EK202" s="528">
        <f t="shared" si="580"/>
        <v>1.8554801361765818E-2</v>
      </c>
      <c r="EL202" s="528">
        <f t="shared" si="581"/>
        <v>2.010212335692619E-2</v>
      </c>
      <c r="EM202">
        <f t="shared" si="582"/>
        <v>8.0999999999999996E-3</v>
      </c>
      <c r="EN202" s="460">
        <f t="shared" si="583"/>
        <v>26.654801361765816</v>
      </c>
      <c r="EP202" s="460">
        <f t="shared" si="603"/>
        <v>666.12489372231698</v>
      </c>
      <c r="EQ202" s="173">
        <f t="shared" si="584"/>
        <v>3.8639999999999999</v>
      </c>
      <c r="ER202" s="173">
        <f t="shared" si="585"/>
        <v>4.0825E-2</v>
      </c>
      <c r="ES202" s="528"/>
      <c r="EU202" s="460">
        <f t="shared" si="497"/>
        <v>3904.8249999999998</v>
      </c>
      <c r="EV202" s="528">
        <f t="shared" si="586"/>
        <v>0.13615074345153663</v>
      </c>
      <c r="EW202" s="528">
        <f t="shared" si="587"/>
        <v>2.0857135167043896</v>
      </c>
      <c r="EX202" s="528">
        <f t="shared" si="588"/>
        <v>1.2620547365960549E-4</v>
      </c>
      <c r="EY202" s="528">
        <f t="shared" si="589"/>
        <v>0.81278041177063187</v>
      </c>
      <c r="EZ202" s="528"/>
      <c r="FA202" s="625">
        <f t="shared" si="590"/>
        <v>9.8900000000000002E-2</v>
      </c>
      <c r="FB202" s="460">
        <f t="shared" si="613"/>
        <v>3133.6708774002177</v>
      </c>
      <c r="FC202" s="173">
        <f t="shared" si="591"/>
        <v>7.7046207711225341</v>
      </c>
      <c r="FD202" s="5">
        <f t="shared" si="592"/>
        <v>23.736000000000001</v>
      </c>
      <c r="FE202" s="173">
        <f t="shared" si="593"/>
        <v>0.75494692591441936</v>
      </c>
      <c r="FF202" s="5">
        <f t="shared" si="594"/>
        <v>75.494692591441932</v>
      </c>
      <c r="FG202">
        <f t="shared" si="595"/>
        <v>92</v>
      </c>
      <c r="FI202" s="562">
        <f t="shared" si="596"/>
        <v>-50</v>
      </c>
      <c r="FJ202">
        <f t="shared" si="597"/>
        <v>-50</v>
      </c>
    </row>
    <row r="203" spans="5:166">
      <c r="E203" s="170">
        <v>93</v>
      </c>
      <c r="F203" s="217">
        <f t="shared" si="598"/>
        <v>5.58</v>
      </c>
      <c r="G203" s="217">
        <f t="shared" si="499"/>
        <v>9.3000000000000013E-2</v>
      </c>
      <c r="H203" s="217">
        <f t="shared" si="500"/>
        <v>22.32</v>
      </c>
      <c r="I203" s="217">
        <f t="shared" si="501"/>
        <v>1.6740000000000002</v>
      </c>
      <c r="J203" s="541">
        <f t="shared" si="502"/>
        <v>17.850160094277602</v>
      </c>
      <c r="K203" s="443">
        <f t="shared" si="503"/>
        <v>20.168960000000002</v>
      </c>
      <c r="L203" s="172">
        <f t="shared" si="504"/>
        <v>38.019120094277604</v>
      </c>
      <c r="M203" s="443"/>
      <c r="N203" s="217">
        <f t="shared" si="505"/>
        <v>0.53049518110851035</v>
      </c>
      <c r="O203" s="172">
        <f t="shared" si="506"/>
        <v>29.362554765983564</v>
      </c>
      <c r="P203" s="172">
        <f t="shared" si="507"/>
        <v>2.3673559780074251</v>
      </c>
      <c r="Q203" s="217">
        <f t="shared" si="508"/>
        <v>7.340638691495891</v>
      </c>
      <c r="R203" s="217">
        <f t="shared" si="509"/>
        <v>1.6312530425546425</v>
      </c>
      <c r="S203" s="217">
        <f t="shared" si="510"/>
        <v>4</v>
      </c>
      <c r="T203" s="217">
        <f t="shared" si="511"/>
        <v>5.0676789259626807</v>
      </c>
      <c r="U203" s="217">
        <f t="shared" si="512"/>
        <v>3.4068124201892904</v>
      </c>
      <c r="V203" s="217">
        <f t="shared" si="513"/>
        <v>3.0151354909500623</v>
      </c>
      <c r="W203" s="197">
        <f t="shared" si="514"/>
        <v>350</v>
      </c>
      <c r="X203" s="443">
        <f t="shared" si="599"/>
        <v>151.01296679151056</v>
      </c>
      <c r="Z203" s="217">
        <f t="shared" si="515"/>
        <v>2.2546247409594522</v>
      </c>
      <c r="AA203" s="173">
        <f t="shared" si="516"/>
        <v>1.3414423396899704</v>
      </c>
      <c r="AB203" s="173">
        <f t="shared" si="517"/>
        <v>1.9694087082277942</v>
      </c>
      <c r="AC203" s="173"/>
      <c r="AD203" s="173">
        <f t="shared" si="518"/>
        <v>0.79329821666560896</v>
      </c>
      <c r="AE203" s="545">
        <f t="shared" si="519"/>
        <v>2637.7217999999993</v>
      </c>
      <c r="AF203" s="528">
        <f t="shared" si="520"/>
        <v>0.74041166888790189</v>
      </c>
      <c r="AH203" s="173">
        <f t="shared" si="521"/>
        <v>3.3801944153723298</v>
      </c>
      <c r="AI203" s="173">
        <f t="shared" si="522"/>
        <v>5.0676789259626807</v>
      </c>
      <c r="AJ203" s="173">
        <f t="shared" si="523"/>
        <v>3.966181920466183</v>
      </c>
      <c r="AL203" s="545">
        <f t="shared" si="524"/>
        <v>5580</v>
      </c>
      <c r="AM203" s="460">
        <f t="shared" si="525"/>
        <v>151.01296679151056</v>
      </c>
      <c r="AO203">
        <f t="shared" si="526"/>
        <v>5580</v>
      </c>
      <c r="AP203">
        <f t="shared" si="527"/>
        <v>151.01296679151056</v>
      </c>
      <c r="AR203" s="5">
        <f t="shared" si="616"/>
        <v>6.6219479111393538</v>
      </c>
      <c r="AS203" s="5">
        <f t="shared" si="604"/>
        <v>3.4068124201892904</v>
      </c>
      <c r="AT203" s="5">
        <f t="shared" si="605"/>
        <v>3.2151354909500633</v>
      </c>
      <c r="AU203" s="173">
        <f t="shared" si="606"/>
        <v>0.51447285087495109</v>
      </c>
      <c r="AW203" s="5">
        <f t="shared" si="477"/>
        <v>475.25033261640601</v>
      </c>
      <c r="AX203" s="5">
        <f t="shared" si="478"/>
        <v>1.7601864170978005</v>
      </c>
      <c r="AY203" s="5">
        <f t="shared" si="479"/>
        <v>3.3501951700053563</v>
      </c>
      <c r="AZ203" s="5"/>
      <c r="BA203" s="173">
        <f t="shared" si="480"/>
        <v>2.0986001272441261</v>
      </c>
      <c r="BB203" s="173">
        <f t="shared" si="481"/>
        <v>8.1548356907834219</v>
      </c>
      <c r="BC203" s="173">
        <f t="shared" si="482"/>
        <v>0.15538268005411657</v>
      </c>
      <c r="BD203" s="173"/>
      <c r="BE203" s="528">
        <f t="shared" si="483"/>
        <v>5.3730294427642551E-2</v>
      </c>
      <c r="BF203" s="528">
        <f t="shared" si="528"/>
        <v>0.54554008202398652</v>
      </c>
      <c r="BG203" s="528">
        <f t="shared" si="529"/>
        <v>6.7390140838507251E-2</v>
      </c>
      <c r="BH203" s="528">
        <f t="shared" si="484"/>
        <v>2.1828222029828714E-2</v>
      </c>
      <c r="BI203">
        <f t="shared" si="485"/>
        <v>8.0325720424249212E-3</v>
      </c>
      <c r="BJ203" s="460">
        <f t="shared" si="600"/>
        <v>75.422712880932181</v>
      </c>
      <c r="BK203">
        <f t="shared" si="530"/>
        <v>0.64382505331559192</v>
      </c>
      <c r="BL203" s="460">
        <f t="shared" si="601"/>
        <v>696.52131136238995</v>
      </c>
      <c r="BM203" s="173">
        <f t="shared" si="531"/>
        <v>3.4665749999999997</v>
      </c>
      <c r="BN203" s="173">
        <f t="shared" si="532"/>
        <v>5.7776250000000001E-2</v>
      </c>
      <c r="BO203" s="528"/>
      <c r="BQ203" s="460">
        <f t="shared" si="486"/>
        <v>3524.3512499999997</v>
      </c>
      <c r="BR203" s="528">
        <f t="shared" si="487"/>
        <v>0.13212367482207185</v>
      </c>
      <c r="BS203" s="528">
        <f t="shared" si="488"/>
        <v>1.9950403543102537</v>
      </c>
      <c r="BT203" s="528">
        <f t="shared" si="489"/>
        <v>1.2071888630399979E-4</v>
      </c>
      <c r="BU203" s="528">
        <f t="shared" si="490"/>
        <v>0.81008078752884849</v>
      </c>
      <c r="BV203" s="528"/>
      <c r="BW203" s="625">
        <f t="shared" si="533"/>
        <v>9.6955495729003721E-2</v>
      </c>
      <c r="BX203" s="460">
        <f t="shared" si="607"/>
        <v>3034.3210312764818</v>
      </c>
      <c r="BY203" s="173">
        <f t="shared" si="608"/>
        <v>7.2551935926388715</v>
      </c>
      <c r="BZ203" s="5">
        <f t="shared" si="609"/>
        <v>23.994</v>
      </c>
      <c r="CA203" s="173">
        <f t="shared" si="610"/>
        <v>0.76782781382403675</v>
      </c>
      <c r="CB203" s="5">
        <f t="shared" si="611"/>
        <v>76.78278138240367</v>
      </c>
      <c r="CC203">
        <f t="shared" si="612"/>
        <v>93</v>
      </c>
      <c r="CE203" s="562">
        <f t="shared" si="534"/>
        <v>-50</v>
      </c>
      <c r="CF203">
        <f t="shared" si="535"/>
        <v>-50</v>
      </c>
      <c r="CG203" s="173">
        <f t="shared" si="536"/>
        <v>0.48913043478260865</v>
      </c>
      <c r="CH203" s="173">
        <f t="shared" si="537"/>
        <v>0.13097870664369979</v>
      </c>
      <c r="CI203" s="170">
        <v>93</v>
      </c>
      <c r="CJ203" s="217">
        <f t="shared" si="602"/>
        <v>5.58</v>
      </c>
      <c r="CK203" s="217">
        <f t="shared" si="538"/>
        <v>9.3000000000000013E-2</v>
      </c>
      <c r="CL203" s="217">
        <f t="shared" si="539"/>
        <v>22.32</v>
      </c>
      <c r="CM203" s="217">
        <f t="shared" si="540"/>
        <v>1.6740000000000002</v>
      </c>
      <c r="CN203" s="541">
        <f t="shared" si="541"/>
        <v>18</v>
      </c>
      <c r="CO203" s="443">
        <f t="shared" si="542"/>
        <v>18.8</v>
      </c>
      <c r="CP203" s="443">
        <f t="shared" si="543"/>
        <v>36.799999999999997</v>
      </c>
      <c r="CQ203" s="443"/>
      <c r="CR203" s="217">
        <f t="shared" si="544"/>
        <v>0.51086956521739135</v>
      </c>
      <c r="CS203" s="172">
        <f t="shared" si="545"/>
        <v>28.513650151668358</v>
      </c>
      <c r="CT203" s="172">
        <f t="shared" si="546"/>
        <v>2.2989130434782612</v>
      </c>
      <c r="CU203" s="217">
        <f t="shared" si="547"/>
        <v>7.1284125379170895</v>
      </c>
      <c r="CV203" s="217">
        <f t="shared" si="548"/>
        <v>1.5840916750926866</v>
      </c>
      <c r="CW203" s="217">
        <f t="shared" si="549"/>
        <v>4</v>
      </c>
      <c r="CX203" s="217">
        <f t="shared" si="550"/>
        <v>5.2185531914893613</v>
      </c>
      <c r="CY203" s="217">
        <f t="shared" si="551"/>
        <v>3.4790354609929071</v>
      </c>
      <c r="CZ203" s="217">
        <f t="shared" si="552"/>
        <v>3.330991398822996</v>
      </c>
      <c r="DA203" s="197">
        <f t="shared" si="553"/>
        <v>350</v>
      </c>
      <c r="DB203" s="443">
        <f t="shared" si="554"/>
        <v>146.84229894902842</v>
      </c>
      <c r="DD203" s="217">
        <f t="shared" si="555"/>
        <v>2.18944099378882</v>
      </c>
      <c r="DE203" s="173">
        <f t="shared" si="556"/>
        <v>1.3975155279503106</v>
      </c>
      <c r="DF203" s="173">
        <f t="shared" si="557"/>
        <v>1.9924134422749624</v>
      </c>
      <c r="DG203" s="173"/>
      <c r="DH203" s="173">
        <f t="shared" si="558"/>
        <v>0.85106382978723416</v>
      </c>
      <c r="DI203" s="545">
        <f t="shared" si="559"/>
        <v>2458.6874999999995</v>
      </c>
      <c r="DJ203" s="528">
        <f t="shared" si="560"/>
        <v>0.79432624113475192</v>
      </c>
      <c r="DL203" s="173">
        <f t="shared" si="561"/>
        <v>3.3801944153723298</v>
      </c>
      <c r="DM203" s="173">
        <f t="shared" si="562"/>
        <v>5.2185531914893613</v>
      </c>
      <c r="DN203" s="173">
        <f t="shared" si="563"/>
        <v>4.0779406356711316</v>
      </c>
      <c r="DP203" s="545">
        <f t="shared" si="564"/>
        <v>5580</v>
      </c>
      <c r="DQ203" s="460">
        <f t="shared" si="565"/>
        <v>146.84229894902842</v>
      </c>
      <c r="DS203">
        <f t="shared" si="614"/>
        <v>5580</v>
      </c>
      <c r="DT203">
        <f t="shared" si="615"/>
        <v>146.84229894902842</v>
      </c>
      <c r="DV203" s="5">
        <f t="shared" si="568"/>
        <v>6.8100268598159026</v>
      </c>
      <c r="DW203" s="5">
        <f t="shared" si="569"/>
        <v>3.4790354609929071</v>
      </c>
      <c r="DX203" s="5">
        <f t="shared" si="570"/>
        <v>3.3309913988229956</v>
      </c>
      <c r="DY203" s="173">
        <f t="shared" si="571"/>
        <v>0.51086956521739135</v>
      </c>
      <c r="EA203" s="5">
        <f t="shared" si="572"/>
        <v>485.32544680851055</v>
      </c>
      <c r="EB203" s="5">
        <f t="shared" si="573"/>
        <v>1.7975016548463356</v>
      </c>
      <c r="EC203" s="5">
        <f t="shared" si="574"/>
        <v>3.4420244454504285</v>
      </c>
      <c r="ED203" s="5"/>
      <c r="EE203" s="173">
        <f t="shared" si="575"/>
        <v>2.1534981470861649</v>
      </c>
      <c r="EF203" s="173">
        <f t="shared" si="576"/>
        <v>8.4287237796772576</v>
      </c>
      <c r="EG203" s="173">
        <f t="shared" si="577"/>
        <v>0.16060135850466126</v>
      </c>
      <c r="EH203" s="173"/>
      <c r="EI203" s="528">
        <f t="shared" si="578"/>
        <v>5.6578162087943251E-2</v>
      </c>
      <c r="EJ203" s="528">
        <f t="shared" si="579"/>
        <v>0.56400000000000006</v>
      </c>
      <c r="EK203" s="528">
        <f t="shared" si="580"/>
        <v>1.8355287368628549E-2</v>
      </c>
      <c r="EL203" s="528">
        <f t="shared" si="581"/>
        <v>1.988597149287322E-2</v>
      </c>
      <c r="EM203">
        <f t="shared" si="582"/>
        <v>8.0999999999999996E-3</v>
      </c>
      <c r="EN203" s="460">
        <f t="shared" si="583"/>
        <v>26.45528736862855</v>
      </c>
      <c r="EP203" s="460">
        <f t="shared" si="603"/>
        <v>666.91942094944511</v>
      </c>
      <c r="EQ203" s="173">
        <f t="shared" si="584"/>
        <v>3.9059999999999997</v>
      </c>
      <c r="ER203" s="173">
        <f t="shared" si="585"/>
        <v>4.1268750000000007E-2</v>
      </c>
      <c r="ES203" s="528"/>
      <c r="EU203" s="460">
        <f t="shared" si="497"/>
        <v>3947.2687499999997</v>
      </c>
      <c r="EV203" s="528">
        <f t="shared" si="586"/>
        <v>0.13912662808510637</v>
      </c>
      <c r="EW203" s="528">
        <f t="shared" si="587"/>
        <v>2.1313015366229062</v>
      </c>
      <c r="EX203" s="528">
        <f t="shared" si="588"/>
        <v>1.2896398176771365E-4</v>
      </c>
      <c r="EY203" s="528">
        <f t="shared" si="589"/>
        <v>0.81278041177063176</v>
      </c>
      <c r="EZ203" s="528"/>
      <c r="FA203" s="625">
        <f t="shared" si="590"/>
        <v>9.9975000000000022E-2</v>
      </c>
      <c r="FB203" s="460">
        <f t="shared" si="613"/>
        <v>3183.3125404604125</v>
      </c>
      <c r="FC203" s="173">
        <f t="shared" si="591"/>
        <v>7.7975007114098576</v>
      </c>
      <c r="FD203" s="5">
        <f t="shared" si="592"/>
        <v>23.994</v>
      </c>
      <c r="FE203" s="173">
        <f t="shared" si="593"/>
        <v>0.75473002101434739</v>
      </c>
      <c r="FF203" s="5">
        <f t="shared" si="594"/>
        <v>75.473002101434744</v>
      </c>
      <c r="FG203">
        <f t="shared" si="595"/>
        <v>93</v>
      </c>
      <c r="FI203" s="562">
        <f t="shared" si="596"/>
        <v>-50</v>
      </c>
      <c r="FJ203">
        <f t="shared" si="597"/>
        <v>-50</v>
      </c>
    </row>
    <row r="204" spans="5:166">
      <c r="E204" s="170">
        <v>94</v>
      </c>
      <c r="F204" s="217">
        <f t="shared" si="598"/>
        <v>5.64</v>
      </c>
      <c r="G204" s="217">
        <f t="shared" si="499"/>
        <v>9.4E-2</v>
      </c>
      <c r="H204" s="217">
        <f t="shared" si="500"/>
        <v>22.56</v>
      </c>
      <c r="I204" s="217">
        <f t="shared" si="501"/>
        <v>1.6919999999999999</v>
      </c>
      <c r="J204" s="541">
        <f t="shared" si="502"/>
        <v>17.848548912495637</v>
      </c>
      <c r="K204" s="443">
        <f t="shared" si="503"/>
        <v>20.183679999999999</v>
      </c>
      <c r="L204" s="172">
        <f t="shared" si="504"/>
        <v>38.03222891249564</v>
      </c>
      <c r="M204" s="443"/>
      <c r="N204" s="217">
        <f t="shared" si="505"/>
        <v>0.53069937200994732</v>
      </c>
      <c r="O204" s="172">
        <f t="shared" si="506"/>
        <v>29.371205268682989</v>
      </c>
      <c r="P204" s="172">
        <f t="shared" si="507"/>
        <v>2.3680534247875658</v>
      </c>
      <c r="Q204" s="217">
        <f t="shared" si="508"/>
        <v>7.3428013171707471</v>
      </c>
      <c r="R204" s="217">
        <f t="shared" si="509"/>
        <v>1.6317336260379438</v>
      </c>
      <c r="S204" s="217">
        <f t="shared" si="510"/>
        <v>4</v>
      </c>
      <c r="T204" s="217">
        <f t="shared" si="511"/>
        <v>5.1206614990486559</v>
      </c>
      <c r="U204" s="217">
        <f t="shared" si="512"/>
        <v>3.442741384178555</v>
      </c>
      <c r="V204" s="217">
        <f t="shared" si="513"/>
        <v>3.0444367919320894</v>
      </c>
      <c r="W204" s="197">
        <f t="shared" si="514"/>
        <v>350</v>
      </c>
      <c r="X204" s="443">
        <f t="shared" si="599"/>
        <v>149.53990661897001</v>
      </c>
      <c r="Z204" s="217">
        <f t="shared" si="515"/>
        <v>2.255288975988158</v>
      </c>
      <c r="AA204" s="173">
        <f t="shared" si="516"/>
        <v>1.3408589371144357</v>
      </c>
      <c r="AB204" s="173">
        <f t="shared" si="517"/>
        <v>1.969132153916809</v>
      </c>
      <c r="AC204" s="173"/>
      <c r="AD204" s="173">
        <f t="shared" si="518"/>
        <v>0.79271966261851168</v>
      </c>
      <c r="AE204" s="545">
        <f t="shared" si="519"/>
        <v>2668.0301999999992</v>
      </c>
      <c r="AF204" s="528">
        <f t="shared" si="520"/>
        <v>0.73987168511061097</v>
      </c>
      <c r="AH204" s="173">
        <f t="shared" si="521"/>
        <v>3.3983189121345614</v>
      </c>
      <c r="AI204" s="173">
        <f t="shared" si="522"/>
        <v>5.1206614990486559</v>
      </c>
      <c r="AJ204" s="173">
        <f t="shared" si="523"/>
        <v>4.0054282709002385</v>
      </c>
      <c r="AL204" s="545">
        <f t="shared" si="524"/>
        <v>5640</v>
      </c>
      <c r="AM204" s="460">
        <f t="shared" si="525"/>
        <v>149.53990661897001</v>
      </c>
      <c r="AO204">
        <f t="shared" si="526"/>
        <v>5640</v>
      </c>
      <c r="AP204">
        <f t="shared" si="527"/>
        <v>149.53990661897001</v>
      </c>
      <c r="AR204" s="5">
        <f t="shared" si="616"/>
        <v>6.6871781761106446</v>
      </c>
      <c r="AS204" s="5">
        <f t="shared" si="604"/>
        <v>3.442741384178555</v>
      </c>
      <c r="AT204" s="5">
        <f t="shared" si="605"/>
        <v>3.2444367919320896</v>
      </c>
      <c r="AU204" s="173">
        <f t="shared" si="606"/>
        <v>0.51482722510332468</v>
      </c>
      <c r="AW204" s="5">
        <f t="shared" si="477"/>
        <v>485.4265351691763</v>
      </c>
      <c r="AX204" s="5">
        <f t="shared" si="478"/>
        <v>1.7978760561821343</v>
      </c>
      <c r="AY204" s="5">
        <f t="shared" si="479"/>
        <v>3.4173877096317247</v>
      </c>
      <c r="AZ204" s="5"/>
      <c r="BA204" s="173">
        <f t="shared" si="480"/>
        <v>2.12127118697541</v>
      </c>
      <c r="BB204" s="173">
        <f t="shared" si="481"/>
        <v>8.2370868124640726</v>
      </c>
      <c r="BC204" s="173">
        <f t="shared" si="482"/>
        <v>0.15694989737262624</v>
      </c>
      <c r="BD204" s="173"/>
      <c r="BE204" s="528">
        <f t="shared" si="483"/>
        <v>5.4897455674043187E-2</v>
      </c>
      <c r="BF204" s="528">
        <f t="shared" si="528"/>
        <v>0.5460547928056263</v>
      </c>
      <c r="BG204" s="528">
        <f t="shared" si="529"/>
        <v>6.6726758441467901E-2</v>
      </c>
      <c r="BH204" s="528">
        <f t="shared" si="484"/>
        <v>2.1630206313625468E-2</v>
      </c>
      <c r="BI204">
        <f t="shared" si="485"/>
        <v>8.0318470106230371E-3</v>
      </c>
      <c r="BJ204" s="460">
        <f t="shared" si="600"/>
        <v>74.758605452090933</v>
      </c>
      <c r="BK204">
        <f t="shared" si="530"/>
        <v>0.64582872225322041</v>
      </c>
      <c r="BL204" s="460">
        <f t="shared" si="601"/>
        <v>697.34106024538573</v>
      </c>
      <c r="BM204" s="173">
        <f t="shared" si="531"/>
        <v>3.5038499999999995</v>
      </c>
      <c r="BN204" s="173">
        <f t="shared" si="532"/>
        <v>5.8397499999999998E-2</v>
      </c>
      <c r="BO204" s="528"/>
      <c r="BQ204" s="460">
        <f t="shared" si="486"/>
        <v>3562.2474999999995</v>
      </c>
      <c r="BR204" s="528">
        <f t="shared" si="487"/>
        <v>0.13499374346076196</v>
      </c>
      <c r="BS204" s="528">
        <f t="shared" si="488"/>
        <v>2.035487974682086</v>
      </c>
      <c r="BT204" s="528">
        <f t="shared" si="489"/>
        <v>1.2316635142638953E-4</v>
      </c>
      <c r="BU204" s="528">
        <f t="shared" si="490"/>
        <v>0.81129338809501383</v>
      </c>
      <c r="BV204" s="528"/>
      <c r="BW204" s="625">
        <f t="shared" si="533"/>
        <v>9.8027798487230644E-2</v>
      </c>
      <c r="BX204" s="460">
        <f t="shared" si="607"/>
        <v>3079.9260710765188</v>
      </c>
      <c r="BY204" s="173">
        <f t="shared" si="608"/>
        <v>7.3395146313219044</v>
      </c>
      <c r="BZ204" s="5">
        <f t="shared" si="609"/>
        <v>24.251999999999999</v>
      </c>
      <c r="CA204" s="173">
        <f t="shared" si="610"/>
        <v>0.76767449370581853</v>
      </c>
      <c r="CB204" s="5">
        <f t="shared" si="611"/>
        <v>76.767449370581858</v>
      </c>
      <c r="CC204">
        <f t="shared" si="612"/>
        <v>94</v>
      </c>
      <c r="CE204" s="562">
        <f t="shared" si="534"/>
        <v>-50</v>
      </c>
      <c r="CF204">
        <f t="shared" si="535"/>
        <v>-50</v>
      </c>
      <c r="CG204" s="173">
        <f t="shared" si="536"/>
        <v>0.48913043478260876</v>
      </c>
      <c r="CH204" s="173">
        <f t="shared" si="537"/>
        <v>0.13097870664369976</v>
      </c>
      <c r="CI204" s="170">
        <v>94</v>
      </c>
      <c r="CJ204" s="217">
        <f t="shared" si="602"/>
        <v>5.64</v>
      </c>
      <c r="CK204" s="217">
        <f t="shared" si="538"/>
        <v>9.4E-2</v>
      </c>
      <c r="CL204" s="217">
        <f t="shared" si="539"/>
        <v>22.56</v>
      </c>
      <c r="CM204" s="217">
        <f t="shared" si="540"/>
        <v>1.6919999999999999</v>
      </c>
      <c r="CN204" s="541">
        <f t="shared" si="541"/>
        <v>18</v>
      </c>
      <c r="CO204" s="443">
        <f t="shared" si="542"/>
        <v>18.8</v>
      </c>
      <c r="CP204" s="443">
        <f t="shared" si="543"/>
        <v>36.799999999999997</v>
      </c>
      <c r="CQ204" s="443"/>
      <c r="CR204" s="217">
        <f t="shared" si="544"/>
        <v>0.51086956521739135</v>
      </c>
      <c r="CS204" s="172">
        <f t="shared" si="545"/>
        <v>28.513650151668358</v>
      </c>
      <c r="CT204" s="172">
        <f t="shared" si="546"/>
        <v>2.2989130434782612</v>
      </c>
      <c r="CU204" s="217">
        <f t="shared" si="547"/>
        <v>7.1284125379170895</v>
      </c>
      <c r="CV204" s="217">
        <f t="shared" si="548"/>
        <v>1.5840916750926866</v>
      </c>
      <c r="CW204" s="217">
        <f t="shared" si="549"/>
        <v>4</v>
      </c>
      <c r="CX204" s="217">
        <f t="shared" si="550"/>
        <v>5.2746666666666657</v>
      </c>
      <c r="CY204" s="217">
        <f t="shared" si="551"/>
        <v>3.5164444444444434</v>
      </c>
      <c r="CZ204" s="217">
        <f t="shared" si="552"/>
        <v>3.3668085106382968</v>
      </c>
      <c r="DA204" s="197">
        <f t="shared" si="553"/>
        <v>350</v>
      </c>
      <c r="DB204" s="443">
        <f t="shared" si="554"/>
        <v>145.28014683254938</v>
      </c>
      <c r="DD204" s="217">
        <f t="shared" si="555"/>
        <v>2.18944099378882</v>
      </c>
      <c r="DE204" s="173">
        <f t="shared" si="556"/>
        <v>1.3975155279503106</v>
      </c>
      <c r="DF204" s="173">
        <f t="shared" si="557"/>
        <v>1.9924134422749624</v>
      </c>
      <c r="DG204" s="173"/>
      <c r="DH204" s="173">
        <f t="shared" si="558"/>
        <v>0.85106382978723416</v>
      </c>
      <c r="DI204" s="545">
        <f t="shared" si="559"/>
        <v>2485.1249999999991</v>
      </c>
      <c r="DJ204" s="528">
        <f t="shared" si="560"/>
        <v>0.79432624113475192</v>
      </c>
      <c r="DL204" s="173">
        <f t="shared" si="561"/>
        <v>3.3983189121345614</v>
      </c>
      <c r="DM204" s="173">
        <f t="shared" si="562"/>
        <v>5.2746666666666657</v>
      </c>
      <c r="DN204" s="173">
        <f t="shared" si="563"/>
        <v>4.1195061728395048</v>
      </c>
      <c r="DP204" s="545">
        <f t="shared" si="564"/>
        <v>5640</v>
      </c>
      <c r="DQ204" s="460">
        <f t="shared" si="565"/>
        <v>145.28014683254938</v>
      </c>
      <c r="DS204">
        <f t="shared" si="614"/>
        <v>5640</v>
      </c>
      <c r="DT204">
        <f t="shared" si="615"/>
        <v>145.28014683254938</v>
      </c>
      <c r="DV204" s="5">
        <f t="shared" si="568"/>
        <v>6.8832529550827406</v>
      </c>
      <c r="DW204" s="5">
        <f t="shared" si="569"/>
        <v>3.5164444444444434</v>
      </c>
      <c r="DX204" s="5">
        <f t="shared" si="570"/>
        <v>3.3668085106382972</v>
      </c>
      <c r="DY204" s="173">
        <f t="shared" si="571"/>
        <v>0.51086956521739124</v>
      </c>
      <c r="EA204" s="5">
        <f t="shared" si="572"/>
        <v>495.81866666666645</v>
      </c>
      <c r="EB204" s="5">
        <f t="shared" si="573"/>
        <v>1.8363654320987648</v>
      </c>
      <c r="EC204" s="5">
        <f t="shared" si="574"/>
        <v>3.5164444444444429</v>
      </c>
      <c r="ED204" s="5"/>
      <c r="EE204" s="173">
        <f t="shared" si="575"/>
        <v>2.1766540411408544</v>
      </c>
      <c r="EF204" s="173">
        <f t="shared" si="576"/>
        <v>8.5193552181684105</v>
      </c>
      <c r="EG204" s="173">
        <f t="shared" si="577"/>
        <v>0.16232825483266836</v>
      </c>
      <c r="EH204" s="173"/>
      <c r="EI204" s="528">
        <f t="shared" si="578"/>
        <v>5.780143834074071E-2</v>
      </c>
      <c r="EJ204" s="528">
        <f t="shared" si="579"/>
        <v>0.56399999999999995</v>
      </c>
      <c r="EK204" s="528">
        <f t="shared" si="580"/>
        <v>1.816001835406867E-2</v>
      </c>
      <c r="EL204" s="528">
        <f t="shared" si="581"/>
        <v>1.9674418604651165E-2</v>
      </c>
      <c r="EM204">
        <f t="shared" si="582"/>
        <v>8.0999999999999996E-3</v>
      </c>
      <c r="EN204" s="460">
        <f t="shared" si="583"/>
        <v>26.26001835406867</v>
      </c>
      <c r="EP204" s="460">
        <f t="shared" si="603"/>
        <v>667.73587529946042</v>
      </c>
      <c r="EQ204" s="173">
        <f t="shared" si="584"/>
        <v>3.9479999999999995</v>
      </c>
      <c r="ER204" s="173">
        <f t="shared" si="585"/>
        <v>4.17125E-2</v>
      </c>
      <c r="ES204" s="528"/>
      <c r="EU204" s="460">
        <f t="shared" si="497"/>
        <v>3989.7124999999996</v>
      </c>
      <c r="EV204" s="528">
        <f t="shared" si="586"/>
        <v>0.14213468444444438</v>
      </c>
      <c r="EW204" s="528">
        <f t="shared" si="587"/>
        <v>2.1773823999999995</v>
      </c>
      <c r="EX204" s="528">
        <f t="shared" si="588"/>
        <v>1.3175231158509858E-4</v>
      </c>
      <c r="EY204" s="528">
        <f t="shared" si="589"/>
        <v>0.81278041177063098</v>
      </c>
      <c r="EZ204" s="528"/>
      <c r="FA204" s="625">
        <f t="shared" si="590"/>
        <v>0.10105</v>
      </c>
      <c r="FB204" s="460">
        <f t="shared" si="613"/>
        <v>3233.4792485266598</v>
      </c>
      <c r="FC204" s="173">
        <f t="shared" si="591"/>
        <v>7.890927623826121</v>
      </c>
      <c r="FD204" s="5">
        <f t="shared" si="592"/>
        <v>24.251999999999999</v>
      </c>
      <c r="FE204" s="173">
        <f t="shared" si="593"/>
        <v>0.75450501223239774</v>
      </c>
      <c r="FF204" s="5">
        <f t="shared" si="594"/>
        <v>75.450501223239769</v>
      </c>
      <c r="FG204">
        <f t="shared" si="595"/>
        <v>94</v>
      </c>
      <c r="FI204" s="562">
        <f t="shared" si="596"/>
        <v>-50</v>
      </c>
      <c r="FJ204">
        <f t="shared" si="597"/>
        <v>-50</v>
      </c>
    </row>
    <row r="205" spans="5:166">
      <c r="E205" s="170">
        <v>95</v>
      </c>
      <c r="F205" s="217">
        <f t="shared" si="598"/>
        <v>5.6999999999999993</v>
      </c>
      <c r="G205" s="217">
        <f t="shared" si="499"/>
        <v>9.5000000000000001E-2</v>
      </c>
      <c r="H205" s="217">
        <f t="shared" si="500"/>
        <v>22.799999999999997</v>
      </c>
      <c r="I205" s="217">
        <f t="shared" si="501"/>
        <v>1.71</v>
      </c>
      <c r="J205" s="541">
        <f t="shared" si="502"/>
        <v>17.846937730713677</v>
      </c>
      <c r="K205" s="443">
        <f t="shared" si="503"/>
        <v>20.198399999999999</v>
      </c>
      <c r="L205" s="172">
        <f t="shared" si="504"/>
        <v>38.045337730713676</v>
      </c>
      <c r="M205" s="443"/>
      <c r="N205" s="217">
        <f t="shared" si="505"/>
        <v>0.53090342220024511</v>
      </c>
      <c r="O205" s="172">
        <f t="shared" si="506"/>
        <v>29.379845944280824</v>
      </c>
      <c r="P205" s="172">
        <f t="shared" si="507"/>
        <v>2.3687500792576417</v>
      </c>
      <c r="Q205" s="217">
        <f t="shared" si="508"/>
        <v>7.3449614860702059</v>
      </c>
      <c r="R205" s="217">
        <f t="shared" si="509"/>
        <v>1.6322136635711568</v>
      </c>
      <c r="S205" s="217">
        <f t="shared" si="510"/>
        <v>4</v>
      </c>
      <c r="T205" s="217">
        <f t="shared" si="511"/>
        <v>5.1736146026180503</v>
      </c>
      <c r="U205" s="217">
        <f t="shared" si="512"/>
        <v>3.4786570205024163</v>
      </c>
      <c r="V205" s="217">
        <f t="shared" si="513"/>
        <v>3.0736778770306854</v>
      </c>
      <c r="W205" s="197">
        <f t="shared" si="514"/>
        <v>350</v>
      </c>
      <c r="X205" s="443">
        <f t="shared" si="599"/>
        <v>148.0969198321813</v>
      </c>
      <c r="Z205" s="217">
        <f t="shared" si="515"/>
        <v>2.2559524564358497</v>
      </c>
      <c r="AA205" s="173">
        <f t="shared" si="516"/>
        <v>1.3402759365707284</v>
      </c>
      <c r="AB205" s="173">
        <f t="shared" si="517"/>
        <v>1.9688550269637355</v>
      </c>
      <c r="AC205" s="173"/>
      <c r="AD205" s="173">
        <f t="shared" si="518"/>
        <v>0.79214195183776948</v>
      </c>
      <c r="AE205" s="545">
        <f t="shared" si="519"/>
        <v>2698.3799999999987</v>
      </c>
      <c r="AF205" s="528">
        <f t="shared" si="520"/>
        <v>0.73933248838191834</v>
      </c>
      <c r="AH205" s="173">
        <f t="shared" si="521"/>
        <v>3.4163472556853134</v>
      </c>
      <c r="AI205" s="173">
        <f t="shared" si="522"/>
        <v>5.1736146026180503</v>
      </c>
      <c r="AJ205" s="173">
        <f t="shared" si="523"/>
        <v>4.0446527920627533</v>
      </c>
      <c r="AL205" s="545">
        <f t="shared" si="524"/>
        <v>5699.9999999999991</v>
      </c>
      <c r="AM205" s="460">
        <f t="shared" si="525"/>
        <v>148.0969198321813</v>
      </c>
      <c r="AO205">
        <f t="shared" si="526"/>
        <v>5699.9999999999991</v>
      </c>
      <c r="AP205">
        <f t="shared" si="527"/>
        <v>148.0969198321813</v>
      </c>
      <c r="AR205" s="5">
        <f t="shared" si="616"/>
        <v>6.7523348975331023</v>
      </c>
      <c r="AS205" s="5">
        <f t="shared" si="604"/>
        <v>3.4786570205024163</v>
      </c>
      <c r="AT205" s="5">
        <f t="shared" si="605"/>
        <v>3.273677877030686</v>
      </c>
      <c r="AU205" s="173">
        <f t="shared" si="606"/>
        <v>0.515178389889001</v>
      </c>
      <c r="AW205" s="5">
        <f t="shared" si="477"/>
        <v>495.70862542159426</v>
      </c>
      <c r="AX205" s="5">
        <f t="shared" si="478"/>
        <v>1.8359578719318308</v>
      </c>
      <c r="AY205" s="5">
        <f t="shared" si="479"/>
        <v>3.4851849993593116</v>
      </c>
      <c r="AZ205" s="5"/>
      <c r="BA205" s="173">
        <f t="shared" si="480"/>
        <v>2.1439382130566056</v>
      </c>
      <c r="BB205" s="173">
        <f t="shared" si="481"/>
        <v>8.3192547333551197</v>
      </c>
      <c r="BC205" s="173">
        <f t="shared" si="482"/>
        <v>0.15851552937879348</v>
      </c>
      <c r="BD205" s="173"/>
      <c r="BE205" s="528">
        <f t="shared" si="483"/>
        <v>5.607694694913308E-2</v>
      </c>
      <c r="BF205" s="528">
        <f t="shared" si="528"/>
        <v>0.54656625587320817</v>
      </c>
      <c r="BG205" s="528">
        <f t="shared" si="529"/>
        <v>6.6076912658885878E-2</v>
      </c>
      <c r="BH205" s="528">
        <f t="shared" si="484"/>
        <v>2.1436254940093036E-2</v>
      </c>
      <c r="BI205">
        <f t="shared" si="485"/>
        <v>8.0311219788211548E-3</v>
      </c>
      <c r="BJ205" s="460">
        <f t="shared" si="600"/>
        <v>74.108034637707036</v>
      </c>
      <c r="BK205">
        <f t="shared" si="530"/>
        <v>0.64785213928148011</v>
      </c>
      <c r="BL205" s="460">
        <f t="shared" si="601"/>
        <v>698.18749240014142</v>
      </c>
      <c r="BM205" s="173">
        <f t="shared" si="531"/>
        <v>3.5411249999999992</v>
      </c>
      <c r="BN205" s="173">
        <f t="shared" si="532"/>
        <v>5.9018749999999988E-2</v>
      </c>
      <c r="BO205" s="528"/>
      <c r="BQ205" s="460">
        <f t="shared" si="486"/>
        <v>3600.1437499999993</v>
      </c>
      <c r="BR205" s="528">
        <f t="shared" si="487"/>
        <v>0.13789413184213054</v>
      </c>
      <c r="BS205" s="528">
        <f t="shared" si="488"/>
        <v>2.0762999795535468</v>
      </c>
      <c r="BT205" s="528">
        <f t="shared" si="489"/>
        <v>1.256358652711957E-4</v>
      </c>
      <c r="BU205" s="528">
        <f t="shared" si="490"/>
        <v>0.81249417062014484</v>
      </c>
      <c r="BV205" s="528"/>
      <c r="BW205" s="625">
        <f t="shared" si="533"/>
        <v>9.9100120412427717E-2</v>
      </c>
      <c r="BX205" s="460">
        <f t="shared" si="607"/>
        <v>3125.9140382935211</v>
      </c>
      <c r="BY205" s="173">
        <f t="shared" si="608"/>
        <v>7.4242452806936612</v>
      </c>
      <c r="BZ205" s="5">
        <f t="shared" si="609"/>
        <v>24.509999999999998</v>
      </c>
      <c r="CA205" s="173">
        <f t="shared" si="610"/>
        <v>0.76751461587908254</v>
      </c>
      <c r="CB205" s="5">
        <f t="shared" si="611"/>
        <v>76.751461587908253</v>
      </c>
      <c r="CC205">
        <f t="shared" si="612"/>
        <v>94.999999999999986</v>
      </c>
      <c r="CE205" s="562">
        <f t="shared" si="534"/>
        <v>-50</v>
      </c>
      <c r="CF205">
        <f t="shared" si="535"/>
        <v>-50</v>
      </c>
      <c r="CG205" s="173">
        <f t="shared" si="536"/>
        <v>0.48913043478260876</v>
      </c>
      <c r="CH205" s="173">
        <f t="shared" si="537"/>
        <v>0.13097870664369976</v>
      </c>
      <c r="CI205" s="170">
        <v>95</v>
      </c>
      <c r="CJ205" s="217">
        <f t="shared" si="602"/>
        <v>5.6999999999999993</v>
      </c>
      <c r="CK205" s="217">
        <f t="shared" si="538"/>
        <v>9.5000000000000001E-2</v>
      </c>
      <c r="CL205" s="217">
        <f t="shared" si="539"/>
        <v>22.799999999999997</v>
      </c>
      <c r="CM205" s="217">
        <f t="shared" si="540"/>
        <v>1.71</v>
      </c>
      <c r="CN205" s="541">
        <f t="shared" si="541"/>
        <v>18</v>
      </c>
      <c r="CO205" s="443">
        <f t="shared" si="542"/>
        <v>18.8</v>
      </c>
      <c r="CP205" s="443">
        <f t="shared" si="543"/>
        <v>36.799999999999997</v>
      </c>
      <c r="CQ205" s="443"/>
      <c r="CR205" s="217">
        <f t="shared" si="544"/>
        <v>0.51086956521739135</v>
      </c>
      <c r="CS205" s="172">
        <f t="shared" si="545"/>
        <v>28.513650151668358</v>
      </c>
      <c r="CT205" s="172">
        <f t="shared" si="546"/>
        <v>2.2989130434782612</v>
      </c>
      <c r="CU205" s="217">
        <f t="shared" si="547"/>
        <v>7.1284125379170895</v>
      </c>
      <c r="CV205" s="217">
        <f t="shared" si="548"/>
        <v>1.5840916750926866</v>
      </c>
      <c r="CW205" s="217">
        <f t="shared" si="549"/>
        <v>4</v>
      </c>
      <c r="CX205" s="217">
        <f t="shared" si="550"/>
        <v>5.3307801418439702</v>
      </c>
      <c r="CY205" s="217">
        <f t="shared" si="551"/>
        <v>3.5538534278959797</v>
      </c>
      <c r="CZ205" s="217">
        <f t="shared" si="552"/>
        <v>3.402625622453598</v>
      </c>
      <c r="DA205" s="197">
        <f t="shared" si="553"/>
        <v>350</v>
      </c>
      <c r="DB205" s="443">
        <f t="shared" si="554"/>
        <v>143.75088212904888</v>
      </c>
      <c r="DD205" s="217">
        <f t="shared" si="555"/>
        <v>2.18944099378882</v>
      </c>
      <c r="DE205" s="173">
        <f t="shared" si="556"/>
        <v>1.3975155279503106</v>
      </c>
      <c r="DF205" s="173">
        <f t="shared" si="557"/>
        <v>1.9924134422749624</v>
      </c>
      <c r="DG205" s="173"/>
      <c r="DH205" s="173">
        <f t="shared" si="558"/>
        <v>0.85106382978723416</v>
      </c>
      <c r="DI205" s="545">
        <f t="shared" si="559"/>
        <v>2511.5624999999991</v>
      </c>
      <c r="DJ205" s="528">
        <f t="shared" si="560"/>
        <v>0.79432624113475192</v>
      </c>
      <c r="DL205" s="173">
        <f t="shared" si="561"/>
        <v>3.4163472556853134</v>
      </c>
      <c r="DM205" s="173">
        <f t="shared" si="562"/>
        <v>5.3307801418439702</v>
      </c>
      <c r="DN205" s="173">
        <f t="shared" si="563"/>
        <v>4.1610717100078789</v>
      </c>
      <c r="DP205" s="545">
        <f t="shared" si="564"/>
        <v>5699.9999999999991</v>
      </c>
      <c r="DQ205" s="460">
        <f t="shared" si="565"/>
        <v>143.75088212904888</v>
      </c>
      <c r="DS205">
        <f t="shared" si="614"/>
        <v>5699.9999999999991</v>
      </c>
      <c r="DT205">
        <f t="shared" si="615"/>
        <v>143.75088212904888</v>
      </c>
      <c r="DV205" s="5">
        <f t="shared" si="568"/>
        <v>6.9564790503495777</v>
      </c>
      <c r="DW205" s="5">
        <f t="shared" si="569"/>
        <v>3.5538534278959797</v>
      </c>
      <c r="DX205" s="5">
        <f t="shared" si="570"/>
        <v>3.402625622453598</v>
      </c>
      <c r="DY205" s="173">
        <f t="shared" si="571"/>
        <v>0.51086956521739124</v>
      </c>
      <c r="EA205" s="5">
        <f t="shared" si="572"/>
        <v>506.42411347517702</v>
      </c>
      <c r="EB205" s="5">
        <f t="shared" si="573"/>
        <v>1.8756448647228783</v>
      </c>
      <c r="EC205" s="5">
        <f t="shared" si="574"/>
        <v>3.5916603792565747</v>
      </c>
      <c r="ED205" s="5"/>
      <c r="EE205" s="173">
        <f t="shared" si="575"/>
        <v>2.1998099351955442</v>
      </c>
      <c r="EF205" s="173">
        <f t="shared" si="576"/>
        <v>8.6099866566595633</v>
      </c>
      <c r="EG205" s="173">
        <f t="shared" si="577"/>
        <v>0.16405515116067546</v>
      </c>
      <c r="EH205" s="173"/>
      <c r="EI205" s="528">
        <f t="shared" si="578"/>
        <v>5.9037797762017293E-2</v>
      </c>
      <c r="EJ205" s="528">
        <f t="shared" si="579"/>
        <v>0.56400000000000006</v>
      </c>
      <c r="EK205" s="528">
        <f t="shared" si="580"/>
        <v>1.796886026613111E-2</v>
      </c>
      <c r="EL205" s="528">
        <f t="shared" si="581"/>
        <v>1.9467319461444314E-2</v>
      </c>
      <c r="EM205">
        <f t="shared" si="582"/>
        <v>8.0999999999999996E-3</v>
      </c>
      <c r="EN205" s="460">
        <f t="shared" si="583"/>
        <v>26.068860266131111</v>
      </c>
      <c r="EP205" s="460">
        <f t="shared" si="603"/>
        <v>668.57397748959283</v>
      </c>
      <c r="EQ205" s="173">
        <f t="shared" si="584"/>
        <v>3.9899999999999993</v>
      </c>
      <c r="ER205" s="173">
        <f t="shared" si="585"/>
        <v>4.2156249999999999E-2</v>
      </c>
      <c r="ES205" s="528"/>
      <c r="EU205" s="460">
        <f t="shared" si="497"/>
        <v>4032.1562499999991</v>
      </c>
      <c r="EV205" s="528">
        <f t="shared" si="586"/>
        <v>0.14517491252955073</v>
      </c>
      <c r="EW205" s="528">
        <f t="shared" si="587"/>
        <v>2.2239561068356717</v>
      </c>
      <c r="EX205" s="528">
        <f t="shared" si="588"/>
        <v>1.3457046311176037E-4</v>
      </c>
      <c r="EY205" s="528">
        <f t="shared" si="589"/>
        <v>0.81278041177063109</v>
      </c>
      <c r="EZ205" s="528"/>
      <c r="FA205" s="625">
        <f t="shared" si="590"/>
        <v>0.10212499999999999</v>
      </c>
      <c r="FB205" s="460">
        <f t="shared" si="613"/>
        <v>3284.1710015989656</v>
      </c>
      <c r="FC205" s="173">
        <f t="shared" si="591"/>
        <v>7.9849012290885559</v>
      </c>
      <c r="FD205" s="5">
        <f t="shared" si="592"/>
        <v>24.509999999999998</v>
      </c>
      <c r="FE205" s="173">
        <f t="shared" si="593"/>
        <v>0.7542721803400747</v>
      </c>
      <c r="FF205" s="5">
        <f t="shared" si="594"/>
        <v>75.427218034007467</v>
      </c>
      <c r="FG205">
        <f t="shared" si="595"/>
        <v>94.999999999999986</v>
      </c>
      <c r="FI205" s="562">
        <f t="shared" si="596"/>
        <v>-50</v>
      </c>
      <c r="FJ205">
        <f t="shared" si="597"/>
        <v>-50</v>
      </c>
    </row>
    <row r="206" spans="5:166">
      <c r="E206" s="170">
        <v>96</v>
      </c>
      <c r="F206" s="217">
        <f t="shared" si="598"/>
        <v>5.76</v>
      </c>
      <c r="G206" s="217">
        <f t="shared" si="499"/>
        <v>9.6000000000000002E-2</v>
      </c>
      <c r="H206" s="217">
        <f t="shared" si="500"/>
        <v>23.04</v>
      </c>
      <c r="I206" s="217">
        <f t="shared" si="501"/>
        <v>1.728</v>
      </c>
      <c r="J206" s="541">
        <f t="shared" si="502"/>
        <v>17.845326548931716</v>
      </c>
      <c r="K206" s="443">
        <f t="shared" si="503"/>
        <v>20.21312</v>
      </c>
      <c r="L206" s="172">
        <f t="shared" si="504"/>
        <v>38.058446548931713</v>
      </c>
      <c r="M206" s="443"/>
      <c r="N206" s="217">
        <f t="shared" si="505"/>
        <v>0.53110733182480285</v>
      </c>
      <c r="O206" s="172">
        <f>N206*J206*Isw_max*0.5*Efficiency*Pout/(Pout+Pout2)</f>
        <v>29.388476802931599</v>
      </c>
      <c r="P206" s="172">
        <f t="shared" si="507"/>
        <v>2.3694459422363603</v>
      </c>
      <c r="Q206" s="217">
        <f t="shared" si="508"/>
        <v>7.3471192007328998</v>
      </c>
      <c r="R206" s="217">
        <f t="shared" si="509"/>
        <v>1.6326931557184221</v>
      </c>
      <c r="S206" s="217">
        <f t="shared" si="510"/>
        <v>4</v>
      </c>
      <c r="T206" s="217">
        <f t="shared" si="511"/>
        <v>5.2265383139788275</v>
      </c>
      <c r="U206" s="217">
        <f t="shared" si="512"/>
        <v>3.5145593775363264</v>
      </c>
      <c r="V206" s="217">
        <f t="shared" si="513"/>
        <v>3.1028589236963877</v>
      </c>
      <c r="W206" s="197">
        <f t="shared" si="514"/>
        <v>350</v>
      </c>
      <c r="X206" s="443">
        <f t="shared" si="599"/>
        <v>146.68309260401136</v>
      </c>
      <c r="Z206" s="217">
        <f t="shared" si="515"/>
        <v>2.2566151830822476</v>
      </c>
      <c r="AA206" s="173">
        <f t="shared" si="516"/>
        <v>1.3396933376434204</v>
      </c>
      <c r="AB206" s="173">
        <f>0.5*AA206*Z206*Nps*W206/1000*(Pout/(Pout+Pout2))</f>
        <v>1.9685773288187833</v>
      </c>
      <c r="AC206" s="173"/>
      <c r="AD206" s="173">
        <f t="shared" si="518"/>
        <v>0.79156508248108171</v>
      </c>
      <c r="AE206" s="545">
        <f>MAX(10, F206/(0.5*AD206/1000000*Isw_min*Nps)/1000*Pout_total/Pout)</f>
        <v>2728.7711999999992</v>
      </c>
      <c r="AF206" s="528">
        <f t="shared" si="520"/>
        <v>0.73879407698234301</v>
      </c>
      <c r="AH206" s="173">
        <f t="shared" si="521"/>
        <v>3.4342809603009643</v>
      </c>
      <c r="AI206" s="173">
        <f>MAX(IF(F206&gt;AB206,T206,AH206),Isw_min)</f>
        <v>5.2265383139788275</v>
      </c>
      <c r="AJ206" s="173">
        <f>IF(F206&gt;AF206, (AI206-Isw_min)/1.08*0.8+1.2, AE206*0.2/350+1)</f>
        <v>4.0838555412188846</v>
      </c>
      <c r="AL206" s="545">
        <f t="shared" si="524"/>
        <v>5760</v>
      </c>
      <c r="AM206" s="460">
        <f t="shared" si="525"/>
        <v>146.68309260401136</v>
      </c>
      <c r="AO206">
        <f t="shared" si="526"/>
        <v>5760</v>
      </c>
      <c r="AP206">
        <f t="shared" si="527"/>
        <v>146.68309260401136</v>
      </c>
      <c r="AR206" s="5">
        <f t="shared" si="616"/>
        <v>6.8174183012327134</v>
      </c>
      <c r="AS206" s="5">
        <f t="shared" si="604"/>
        <v>3.5145593775363264</v>
      </c>
      <c r="AT206" s="5">
        <f t="shared" si="605"/>
        <v>3.302858923696387</v>
      </c>
      <c r="AU206" s="173">
        <f t="shared" si="606"/>
        <v>0.51552643863745751</v>
      </c>
      <c r="AW206" s="5">
        <f t="shared" si="477"/>
        <v>506.09655036523094</v>
      </c>
      <c r="AX206" s="5">
        <f t="shared" si="478"/>
        <v>1.8744316680193742</v>
      </c>
      <c r="AY206" s="5">
        <f t="shared" si="479"/>
        <v>3.553585369317148</v>
      </c>
      <c r="AZ206" s="5"/>
      <c r="BA206" s="173">
        <f t="shared" si="480"/>
        <v>2.1666012156317453</v>
      </c>
      <c r="BB206" s="173">
        <f t="shared" si="481"/>
        <v>8.4013396597630852</v>
      </c>
      <c r="BC206" s="173">
        <f t="shared" si="482"/>
        <v>0.16007958000359393</v>
      </c>
      <c r="BD206" s="173"/>
      <c r="BE206" s="528">
        <f t="shared" si="483"/>
        <v>5.7268762096438865E-2</v>
      </c>
      <c r="BF206" s="528">
        <f t="shared" si="528"/>
        <v>0.54707456768093832</v>
      </c>
      <c r="BG206" s="528">
        <f t="shared" si="529"/>
        <v>6.544019216814434E-2</v>
      </c>
      <c r="BH206" s="528">
        <f t="shared" si="484"/>
        <v>2.1246244395125159E-2</v>
      </c>
      <c r="BI206">
        <f t="shared" si="485"/>
        <v>8.0303969470192724E-3</v>
      </c>
      <c r="BJ206" s="460">
        <f t="shared" si="600"/>
        <v>73.470589115163619</v>
      </c>
      <c r="BK206">
        <f t="shared" si="530"/>
        <v>0.64989530293772924</v>
      </c>
      <c r="BL206" s="460">
        <f t="shared" si="601"/>
        <v>699.06016328766589</v>
      </c>
      <c r="BM206" s="173">
        <f t="shared" si="531"/>
        <v>3.5783999999999998</v>
      </c>
      <c r="BN206" s="173">
        <f t="shared" si="532"/>
        <v>5.9639999999999992E-2</v>
      </c>
      <c r="BO206" s="528"/>
      <c r="BQ206" s="460">
        <f t="shared" si="486"/>
        <v>3638.0399999999995</v>
      </c>
      <c r="BR206" s="528">
        <f t="shared" si="487"/>
        <v>0.14082482482730868</v>
      </c>
      <c r="BS206" s="528">
        <f t="shared" si="488"/>
        <v>2.1174752423612433</v>
      </c>
      <c r="BT206" s="528">
        <f t="shared" si="489"/>
        <v>1.2812735967063514E-4</v>
      </c>
      <c r="BU206" s="528">
        <f t="shared" si="490"/>
        <v>0.81368347307303512</v>
      </c>
      <c r="BV206" s="528"/>
      <c r="BW206" s="625">
        <f t="shared" si="533"/>
        <v>0.10017246096865323</v>
      </c>
      <c r="BX206" s="460">
        <f t="shared" si="607"/>
        <v>3172.2841285899108</v>
      </c>
      <c r="BY206" s="173">
        <f t="shared" si="608"/>
        <v>7.5093842918775762</v>
      </c>
      <c r="BZ206" s="5">
        <f t="shared" si="609"/>
        <v>24.768000000000001</v>
      </c>
      <c r="CA206" s="173">
        <f t="shared" si="610"/>
        <v>0.76734842501573874</v>
      </c>
      <c r="CB206" s="5">
        <f t="shared" si="611"/>
        <v>76.73484250157388</v>
      </c>
      <c r="CC206">
        <f t="shared" si="612"/>
        <v>96</v>
      </c>
      <c r="CE206" s="562">
        <f t="shared" si="534"/>
        <v>-50</v>
      </c>
      <c r="CF206">
        <f t="shared" si="535"/>
        <v>-50</v>
      </c>
      <c r="CG206" s="173">
        <f t="shared" si="536"/>
        <v>0.48913043478260865</v>
      </c>
      <c r="CH206" s="173">
        <f t="shared" si="537"/>
        <v>0.13097870664369976</v>
      </c>
      <c r="CI206" s="170">
        <v>96</v>
      </c>
      <c r="CJ206" s="217">
        <f t="shared" si="602"/>
        <v>5.76</v>
      </c>
      <c r="CK206" s="217">
        <f t="shared" si="538"/>
        <v>9.6000000000000002E-2</v>
      </c>
      <c r="CL206" s="217">
        <f t="shared" si="539"/>
        <v>23.04</v>
      </c>
      <c r="CM206" s="217">
        <f t="shared" si="540"/>
        <v>1.728</v>
      </c>
      <c r="CN206" s="541">
        <f t="shared" si="541"/>
        <v>18</v>
      </c>
      <c r="CO206" s="443">
        <f t="shared" si="542"/>
        <v>18.8</v>
      </c>
      <c r="CP206" s="443">
        <f t="shared" si="543"/>
        <v>36.799999999999997</v>
      </c>
      <c r="CQ206" s="443"/>
      <c r="CR206" s="217">
        <f t="shared" si="544"/>
        <v>0.51086956521739135</v>
      </c>
      <c r="CS206" s="172">
        <f t="shared" si="545"/>
        <v>28.513650151668358</v>
      </c>
      <c r="CT206" s="172">
        <f t="shared" si="546"/>
        <v>2.2989130434782612</v>
      </c>
      <c r="CU206" s="217">
        <f t="shared" si="547"/>
        <v>7.1284125379170895</v>
      </c>
      <c r="CV206" s="217">
        <f t="shared" si="548"/>
        <v>1.5840916750926866</v>
      </c>
      <c r="CW206" s="217">
        <f t="shared" si="549"/>
        <v>4</v>
      </c>
      <c r="CX206" s="217">
        <f t="shared" si="550"/>
        <v>5.3868936170212756</v>
      </c>
      <c r="CY206" s="217">
        <f t="shared" si="551"/>
        <v>3.5912624113475169</v>
      </c>
      <c r="CZ206" s="217">
        <f t="shared" si="552"/>
        <v>3.4384427342688988</v>
      </c>
      <c r="DA206" s="197">
        <f t="shared" si="553"/>
        <v>350</v>
      </c>
      <c r="DB206" s="443">
        <f t="shared" si="554"/>
        <v>142.25347710687129</v>
      </c>
      <c r="DD206" s="217">
        <f t="shared" si="555"/>
        <v>2.18944099378882</v>
      </c>
      <c r="DE206" s="173">
        <f t="shared" si="556"/>
        <v>1.3975155279503106</v>
      </c>
      <c r="DF206" s="173">
        <f t="shared" si="557"/>
        <v>1.9924134422749624</v>
      </c>
      <c r="DG206" s="173"/>
      <c r="DH206" s="173">
        <f t="shared" si="558"/>
        <v>0.85106382978723416</v>
      </c>
      <c r="DI206" s="545">
        <f t="shared" si="559"/>
        <v>2537.9999999999995</v>
      </c>
      <c r="DJ206" s="528">
        <f t="shared" si="560"/>
        <v>0.79432624113475192</v>
      </c>
      <c r="DL206" s="173">
        <f t="shared" si="561"/>
        <v>3.4342809603009643</v>
      </c>
      <c r="DM206" s="173">
        <f t="shared" si="562"/>
        <v>5.3868936170212756</v>
      </c>
      <c r="DN206" s="173">
        <f t="shared" si="563"/>
        <v>4.202637247176253</v>
      </c>
      <c r="DP206" s="545">
        <f t="shared" si="564"/>
        <v>5760</v>
      </c>
      <c r="DQ206" s="460">
        <f t="shared" si="565"/>
        <v>142.25347710687129</v>
      </c>
      <c r="DS206">
        <f t="shared" si="614"/>
        <v>5760</v>
      </c>
      <c r="DT206">
        <f t="shared" si="615"/>
        <v>142.25347710687129</v>
      </c>
      <c r="DV206" s="5">
        <f t="shared" si="568"/>
        <v>7.0297051456164157</v>
      </c>
      <c r="DW206" s="5">
        <f t="shared" si="569"/>
        <v>3.5912624113475169</v>
      </c>
      <c r="DX206" s="5">
        <f t="shared" si="570"/>
        <v>3.4384427342688988</v>
      </c>
      <c r="DY206" s="173">
        <f t="shared" si="571"/>
        <v>0.51086956521739135</v>
      </c>
      <c r="EA206" s="5">
        <f t="shared" si="572"/>
        <v>517.14178723404234</v>
      </c>
      <c r="EB206" s="5">
        <f t="shared" si="573"/>
        <v>1.9153399527186756</v>
      </c>
      <c r="EC206" s="5">
        <f t="shared" si="574"/>
        <v>3.6676722498868251</v>
      </c>
      <c r="ED206" s="5"/>
      <c r="EE206" s="173">
        <f t="shared" si="575"/>
        <v>2.2229658292502346</v>
      </c>
      <c r="EF206" s="173">
        <f t="shared" si="576"/>
        <v>8.7006180951507162</v>
      </c>
      <c r="EG206" s="173">
        <f t="shared" si="577"/>
        <v>0.16578204748868255</v>
      </c>
      <c r="EH206" s="173"/>
      <c r="EI206" s="528">
        <f t="shared" si="578"/>
        <v>6.0287240351773033E-2</v>
      </c>
      <c r="EJ206" s="528">
        <f t="shared" si="579"/>
        <v>0.56400000000000006</v>
      </c>
      <c r="EK206" s="528">
        <f t="shared" si="580"/>
        <v>1.778168463835891E-2</v>
      </c>
      <c r="EL206" s="528">
        <f t="shared" si="581"/>
        <v>1.9264534883720933E-2</v>
      </c>
      <c r="EM206">
        <f t="shared" si="582"/>
        <v>8.0999999999999996E-3</v>
      </c>
      <c r="EN206" s="460">
        <f t="shared" si="583"/>
        <v>25.881684638358909</v>
      </c>
      <c r="EP206" s="460">
        <f t="shared" si="603"/>
        <v>669.43345987385294</v>
      </c>
      <c r="EQ206" s="173">
        <f t="shared" si="584"/>
        <v>4.032</v>
      </c>
      <c r="ER206" s="173">
        <f t="shared" si="585"/>
        <v>4.2599999999999999E-2</v>
      </c>
      <c r="ES206" s="528"/>
      <c r="EU206" s="460">
        <f t="shared" si="497"/>
        <v>4074.6000000000004</v>
      </c>
      <c r="EV206" s="528">
        <f t="shared" si="586"/>
        <v>0.14824731234042549</v>
      </c>
      <c r="EW206" s="528">
        <f t="shared" si="587"/>
        <v>2.2710226571299224</v>
      </c>
      <c r="EX206" s="528">
        <f t="shared" si="588"/>
        <v>1.3741843634769899E-4</v>
      </c>
      <c r="EY206" s="528">
        <f t="shared" si="589"/>
        <v>0.81278041177063109</v>
      </c>
      <c r="EZ206" s="528"/>
      <c r="FA206" s="625">
        <f t="shared" si="590"/>
        <v>0.10320000000000001</v>
      </c>
      <c r="FB206" s="460">
        <f t="shared" si="613"/>
        <v>3335.3877996773267</v>
      </c>
      <c r="FC206" s="173">
        <f t="shared" si="591"/>
        <v>8.0794212595511787</v>
      </c>
      <c r="FD206" s="5">
        <f t="shared" si="592"/>
        <v>24.768000000000001</v>
      </c>
      <c r="FE206" s="173">
        <f t="shared" si="593"/>
        <v>0.75403179459021019</v>
      </c>
      <c r="FF206" s="5">
        <f t="shared" si="594"/>
        <v>75.403179459021018</v>
      </c>
      <c r="FG206">
        <f t="shared" si="595"/>
        <v>96</v>
      </c>
      <c r="FI206" s="562">
        <f t="shared" si="596"/>
        <v>-50</v>
      </c>
      <c r="FJ206">
        <f t="shared" si="597"/>
        <v>-50</v>
      </c>
    </row>
    <row r="207" spans="5:166">
      <c r="E207" s="170">
        <v>97</v>
      </c>
      <c r="F207" s="217">
        <f>IF(PLOT_TYPE=1, E207/100*Iout_max, min_I*EXP(O207*rr/100))</f>
        <v>5.82</v>
      </c>
      <c r="G207" s="217">
        <f t="shared" si="499"/>
        <v>9.7000000000000003E-2</v>
      </c>
      <c r="H207" s="217">
        <f t="shared" si="500"/>
        <v>23.28</v>
      </c>
      <c r="I207" s="217">
        <f t="shared" si="501"/>
        <v>1.746</v>
      </c>
      <c r="J207" s="541">
        <f t="shared" si="502"/>
        <v>17.843715367149755</v>
      </c>
      <c r="K207" s="443">
        <f t="shared" si="503"/>
        <v>20.22784</v>
      </c>
      <c r="L207" s="172">
        <f t="shared" si="504"/>
        <v>38.071555367149756</v>
      </c>
      <c r="M207" s="443"/>
      <c r="N207" s="217">
        <f t="shared" si="505"/>
        <v>0.53131110102881951</v>
      </c>
      <c r="O207" s="172">
        <f>N207*J207*Isw_max*0.5*Efficiency*Pout/(Pout+Pout2)</f>
        <v>29.397097854775826</v>
      </c>
      <c r="P207" s="172">
        <f t="shared" si="507"/>
        <v>2.3701410145413009</v>
      </c>
      <c r="Q207" s="217">
        <f t="shared" si="508"/>
        <v>7.3492744636939564</v>
      </c>
      <c r="R207" s="217">
        <f t="shared" si="509"/>
        <v>1.6331721030431015</v>
      </c>
      <c r="S207" s="217">
        <f t="shared" si="510"/>
        <v>4</v>
      </c>
      <c r="T207" s="217">
        <f t="shared" si="511"/>
        <v>5.2794327102185825</v>
      </c>
      <c r="U207" s="217">
        <f t="shared" si="512"/>
        <v>3.5504485035250055</v>
      </c>
      <c r="V207" s="217">
        <f t="shared" si="513"/>
        <v>3.1319801087324692</v>
      </c>
      <c r="W207" s="197">
        <f t="shared" si="514"/>
        <v>350</v>
      </c>
      <c r="X207" s="443">
        <f t="shared" si="599"/>
        <v>145.29754776083243</v>
      </c>
      <c r="Z207" s="217">
        <f t="shared" si="515"/>
        <v>2.2572771567060008</v>
      </c>
      <c r="AA207" s="173">
        <f t="shared" si="516"/>
        <v>1.3391111399176587</v>
      </c>
      <c r="AB207" s="173">
        <f>0.5*AA207*Z207*Nps*W207/1000*(Pout/(Pout+Pout2))</f>
        <v>1.9682990609289905</v>
      </c>
      <c r="AC207" s="173"/>
      <c r="AD207" s="173">
        <f t="shared" si="518"/>
        <v>0.79098905271151054</v>
      </c>
      <c r="AE207" s="545">
        <f>MAX(10, F207/(0.5*AD207/1000000*Isw_min*Nps)/1000*Pout_total/Pout)</f>
        <v>2759.2037999999998</v>
      </c>
      <c r="AF207" s="528">
        <f t="shared" si="520"/>
        <v>0.73825644919740996</v>
      </c>
      <c r="AH207" s="173">
        <f t="shared" si="521"/>
        <v>3.4521215009241573</v>
      </c>
      <c r="AI207" s="173">
        <f>MAX(IF(F207&gt;AB207,T207,AH207),Isw_min)</f>
        <v>5.2794327102185825</v>
      </c>
      <c r="AJ207" s="173">
        <f>IF(F207&gt;AF207, (AI207-Isw_min)/1.08*0.8+1.2, AE207*0.2/350+1)</f>
        <v>4.1230365754705547</v>
      </c>
      <c r="AL207" s="545">
        <f t="shared" si="524"/>
        <v>5820</v>
      </c>
      <c r="AM207" s="460">
        <f t="shared" si="525"/>
        <v>145.29754776083243</v>
      </c>
      <c r="AO207">
        <f t="shared" si="526"/>
        <v>5820</v>
      </c>
      <c r="AP207">
        <f t="shared" si="527"/>
        <v>145.29754776083243</v>
      </c>
      <c r="AR207" s="5">
        <f t="shared" si="616"/>
        <v>6.882428612257474</v>
      </c>
      <c r="AS207" s="5">
        <f t="shared" si="604"/>
        <v>3.5504485035250055</v>
      </c>
      <c r="AT207" s="5">
        <f t="shared" si="605"/>
        <v>3.3319801087324685</v>
      </c>
      <c r="AU207" s="173">
        <f t="shared" si="606"/>
        <v>0.5158714610133005</v>
      </c>
      <c r="AW207" s="5">
        <f t="shared" si="477"/>
        <v>516.59025726288837</v>
      </c>
      <c r="AX207" s="5">
        <f t="shared" si="478"/>
        <v>1.9132972491218088</v>
      </c>
      <c r="AY207" s="5">
        <f t="shared" si="479"/>
        <v>3.6225871562832008</v>
      </c>
      <c r="AZ207" s="5"/>
      <c r="BA207" s="173">
        <f t="shared" si="480"/>
        <v>2.189260204987483</v>
      </c>
      <c r="BB207" s="173">
        <f t="shared" si="481"/>
        <v>8.4833417963443072</v>
      </c>
      <c r="BC207" s="173">
        <f t="shared" si="482"/>
        <v>0.16164205314656044</v>
      </c>
      <c r="BD207" s="173"/>
      <c r="BE207" s="528">
        <f t="shared" si="483"/>
        <v>5.8472894990730391E-2</v>
      </c>
      <c r="BF207" s="528">
        <f t="shared" si="528"/>
        <v>0.54757982081424483</v>
      </c>
      <c r="BG207" s="528">
        <f t="shared" si="529"/>
        <v>6.4816202144728524E-2</v>
      </c>
      <c r="BH207" s="528">
        <f t="shared" si="484"/>
        <v>2.1060056118744459E-2</v>
      </c>
      <c r="BI207">
        <f t="shared" si="485"/>
        <v>8.0296719152173901E-3</v>
      </c>
      <c r="BJ207" s="460">
        <f t="shared" si="600"/>
        <v>72.845874059945913</v>
      </c>
      <c r="BK207">
        <f t="shared" si="530"/>
        <v>0.65195821324319303</v>
      </c>
      <c r="BL207" s="460">
        <f t="shared" si="601"/>
        <v>699.95864598366563</v>
      </c>
      <c r="BM207" s="173">
        <f t="shared" si="531"/>
        <v>3.6156749999999995</v>
      </c>
      <c r="BN207" s="173">
        <f t="shared" si="532"/>
        <v>6.0261249999999995E-2</v>
      </c>
      <c r="BO207" s="528"/>
      <c r="BQ207" s="460">
        <f t="shared" si="486"/>
        <v>3675.9362499999993</v>
      </c>
      <c r="BR207" s="528">
        <f t="shared" si="487"/>
        <v>0.14378580735425506</v>
      </c>
      <c r="BS207" s="528">
        <f t="shared" si="488"/>
        <v>2.1590126410080677</v>
      </c>
      <c r="BT207" s="528">
        <f t="shared" si="489"/>
        <v>1.3064076672717736E-4</v>
      </c>
      <c r="BU207" s="528">
        <f t="shared" si="490"/>
        <v>0.8148616201572918</v>
      </c>
      <c r="BV207" s="528"/>
      <c r="BW207" s="625">
        <f t="shared" si="533"/>
        <v>0.10124481964144787</v>
      </c>
      <c r="BX207" s="460">
        <f t="shared" si="607"/>
        <v>3219.0355289277895</v>
      </c>
      <c r="BY207" s="173">
        <f t="shared" si="608"/>
        <v>7.5949304249114533</v>
      </c>
      <c r="BZ207" s="5">
        <f t="shared" si="609"/>
        <v>25.026</v>
      </c>
      <c r="CA207" s="173">
        <f t="shared" si="610"/>
        <v>0.76717615573860298</v>
      </c>
      <c r="CB207" s="5">
        <f t="shared" si="611"/>
        <v>76.7176155738603</v>
      </c>
      <c r="CC207">
        <f t="shared" si="612"/>
        <v>97.000000000000014</v>
      </c>
      <c r="CE207" s="562">
        <f t="shared" si="534"/>
        <v>-50</v>
      </c>
      <c r="CF207">
        <f t="shared" si="535"/>
        <v>-50</v>
      </c>
      <c r="CG207" s="173">
        <f t="shared" si="536"/>
        <v>0.48913043478260876</v>
      </c>
      <c r="CH207" s="173">
        <f t="shared" si="537"/>
        <v>0.13097870664369976</v>
      </c>
      <c r="CI207" s="170">
        <v>97</v>
      </c>
      <c r="CJ207" s="217">
        <f t="shared" si="602"/>
        <v>5.82</v>
      </c>
      <c r="CK207" s="217">
        <f t="shared" si="538"/>
        <v>9.7000000000000003E-2</v>
      </c>
      <c r="CL207" s="217">
        <f t="shared" si="539"/>
        <v>23.28</v>
      </c>
      <c r="CM207" s="217">
        <f t="shared" si="540"/>
        <v>1.746</v>
      </c>
      <c r="CN207" s="541">
        <f t="shared" si="541"/>
        <v>18</v>
      </c>
      <c r="CO207" s="443">
        <f t="shared" si="542"/>
        <v>18.8</v>
      </c>
      <c r="CP207" s="443">
        <f t="shared" si="543"/>
        <v>36.799999999999997</v>
      </c>
      <c r="CQ207" s="443"/>
      <c r="CR207" s="217">
        <f t="shared" si="544"/>
        <v>0.51086956521739135</v>
      </c>
      <c r="CS207" s="172">
        <f t="shared" si="545"/>
        <v>28.513650151668358</v>
      </c>
      <c r="CT207" s="172">
        <f t="shared" si="546"/>
        <v>2.2989130434782612</v>
      </c>
      <c r="CU207" s="217">
        <f t="shared" si="547"/>
        <v>7.1284125379170895</v>
      </c>
      <c r="CV207" s="217">
        <f t="shared" si="548"/>
        <v>1.5840916750926866</v>
      </c>
      <c r="CW207" s="217">
        <f t="shared" si="549"/>
        <v>4</v>
      </c>
      <c r="CX207" s="217">
        <f t="shared" si="550"/>
        <v>5.4430070921985809</v>
      </c>
      <c r="CY207" s="217">
        <f t="shared" si="551"/>
        <v>3.6286713947990541</v>
      </c>
      <c r="CZ207" s="217">
        <f t="shared" si="552"/>
        <v>3.4742598460842005</v>
      </c>
      <c r="DA207" s="197">
        <f t="shared" si="553"/>
        <v>350</v>
      </c>
      <c r="DB207" s="443">
        <f t="shared" si="554"/>
        <v>140.78694641504782</v>
      </c>
      <c r="DD207" s="217">
        <f t="shared" si="555"/>
        <v>2.18944099378882</v>
      </c>
      <c r="DE207" s="173">
        <f t="shared" si="556"/>
        <v>1.3975155279503106</v>
      </c>
      <c r="DF207" s="173">
        <f t="shared" si="557"/>
        <v>1.9924134422749624</v>
      </c>
      <c r="DG207" s="173"/>
      <c r="DH207" s="173">
        <f t="shared" si="558"/>
        <v>0.85106382978723416</v>
      </c>
      <c r="DI207" s="545">
        <f t="shared" si="559"/>
        <v>2564.4374999999995</v>
      </c>
      <c r="DJ207" s="528">
        <f t="shared" si="560"/>
        <v>0.79432624113475192</v>
      </c>
      <c r="DL207" s="173">
        <f t="shared" si="561"/>
        <v>3.4521215009241573</v>
      </c>
      <c r="DM207" s="173">
        <f t="shared" si="562"/>
        <v>5.4430070921985809</v>
      </c>
      <c r="DN207" s="173">
        <f t="shared" si="563"/>
        <v>4.2442027843446271</v>
      </c>
      <c r="DP207" s="545">
        <f t="shared" si="564"/>
        <v>5820</v>
      </c>
      <c r="DQ207" s="460">
        <f t="shared" si="565"/>
        <v>140.78694641504782</v>
      </c>
      <c r="DS207">
        <f t="shared" si="614"/>
        <v>5820</v>
      </c>
      <c r="DT207">
        <f t="shared" si="615"/>
        <v>140.78694641504782</v>
      </c>
      <c r="DV207" s="5">
        <f t="shared" si="568"/>
        <v>7.1029312408832554</v>
      </c>
      <c r="DW207" s="5">
        <f t="shared" si="569"/>
        <v>3.6286713947990541</v>
      </c>
      <c r="DX207" s="5">
        <f t="shared" si="570"/>
        <v>3.4742598460842014</v>
      </c>
      <c r="DY207" s="173">
        <f t="shared" si="571"/>
        <v>0.51086956521739124</v>
      </c>
      <c r="EA207" s="5">
        <f t="shared" si="572"/>
        <v>527.9716879432624</v>
      </c>
      <c r="EB207" s="5">
        <f t="shared" si="573"/>
        <v>1.9554506960861566</v>
      </c>
      <c r="EC207" s="5">
        <f t="shared" si="574"/>
        <v>3.744480056335195</v>
      </c>
      <c r="ED207" s="5"/>
      <c r="EE207" s="173">
        <f t="shared" si="575"/>
        <v>2.2461217233049244</v>
      </c>
      <c r="EF207" s="173">
        <f t="shared" si="576"/>
        <v>8.7912495336418708</v>
      </c>
      <c r="EG207" s="173">
        <f t="shared" si="577"/>
        <v>0.16750894381668968</v>
      </c>
      <c r="EH207" s="173"/>
      <c r="EI207" s="528">
        <f t="shared" si="578"/>
        <v>6.1549766110007849E-2</v>
      </c>
      <c r="EJ207" s="528">
        <f t="shared" si="579"/>
        <v>0.56399999999999995</v>
      </c>
      <c r="EK207" s="528">
        <f t="shared" si="580"/>
        <v>1.7598368301880978E-2</v>
      </c>
      <c r="EL207" s="528">
        <f t="shared" si="581"/>
        <v>1.9065931431311436E-2</v>
      </c>
      <c r="EM207">
        <f t="shared" si="582"/>
        <v>8.0999999999999996E-3</v>
      </c>
      <c r="EN207" s="460">
        <f t="shared" si="583"/>
        <v>25.698368301880979</v>
      </c>
      <c r="EP207" s="460">
        <f t="shared" si="603"/>
        <v>670.31406584320018</v>
      </c>
      <c r="EQ207" s="173">
        <f t="shared" si="584"/>
        <v>4.0739999999999998</v>
      </c>
      <c r="ER207" s="173">
        <f t="shared" si="585"/>
        <v>4.3043749999999999E-2</v>
      </c>
      <c r="ES207" s="528"/>
      <c r="EU207" s="460">
        <f t="shared" si="497"/>
        <v>4117.0437499999998</v>
      </c>
      <c r="EV207" s="528">
        <f t="shared" si="586"/>
        <v>0.15135188387706849</v>
      </c>
      <c r="EW207" s="528">
        <f t="shared" si="587"/>
        <v>2.3185820508827524</v>
      </c>
      <c r="EX207" s="528">
        <f t="shared" si="588"/>
        <v>1.4029623129291452E-4</v>
      </c>
      <c r="EY207" s="528">
        <f t="shared" si="589"/>
        <v>0.81278041177063109</v>
      </c>
      <c r="EZ207" s="528"/>
      <c r="FA207" s="625">
        <f t="shared" si="590"/>
        <v>0.10427499999999999</v>
      </c>
      <c r="FB207" s="460">
        <f t="shared" si="613"/>
        <v>3387.1296427617444</v>
      </c>
      <c r="FC207" s="173">
        <f t="shared" si="591"/>
        <v>8.1744874586049452</v>
      </c>
      <c r="FD207" s="5">
        <f t="shared" si="592"/>
        <v>25.026</v>
      </c>
      <c r="FE207" s="173">
        <f t="shared" si="593"/>
        <v>0.75378411329661754</v>
      </c>
      <c r="FF207" s="5">
        <f t="shared" si="594"/>
        <v>75.378411329661759</v>
      </c>
      <c r="FG207">
        <f t="shared" si="595"/>
        <v>97.000000000000014</v>
      </c>
      <c r="FI207" s="562">
        <f t="shared" si="596"/>
        <v>-50</v>
      </c>
      <c r="FJ207">
        <f t="shared" si="597"/>
        <v>-50</v>
      </c>
    </row>
    <row r="208" spans="5:166">
      <c r="E208" s="170">
        <v>98</v>
      </c>
      <c r="F208" s="217">
        <f>IF(PLOT_TYPE=1, E208/100*Iout_max, min_I*EXP(O208*rr/100))</f>
        <v>5.88</v>
      </c>
      <c r="G208" s="217">
        <f t="shared" si="499"/>
        <v>9.8000000000000004E-2</v>
      </c>
      <c r="H208" s="217">
        <f t="shared" si="500"/>
        <v>23.52</v>
      </c>
      <c r="I208" s="217">
        <f t="shared" si="501"/>
        <v>1.764</v>
      </c>
      <c r="J208" s="541">
        <f t="shared" si="502"/>
        <v>17.842104185367795</v>
      </c>
      <c r="K208" s="443">
        <f t="shared" si="503"/>
        <v>20.242560000000001</v>
      </c>
      <c r="L208" s="172">
        <f t="shared" si="504"/>
        <v>38.084664185367799</v>
      </c>
      <c r="M208" s="443"/>
      <c r="N208" s="217">
        <f t="shared" si="505"/>
        <v>0.53151472995729421</v>
      </c>
      <c r="O208" s="172">
        <f>N208*J208*Isw_max*0.5*Efficiency*Pout/(Pout+Pout2)</f>
        <v>29.405709109940069</v>
      </c>
      <c r="P208" s="172">
        <f t="shared" si="507"/>
        <v>2.3708352969889179</v>
      </c>
      <c r="Q208" s="217">
        <f t="shared" si="508"/>
        <v>7.3514272774850173</v>
      </c>
      <c r="R208" s="217">
        <f t="shared" si="509"/>
        <v>1.6336505061077817</v>
      </c>
      <c r="S208" s="217">
        <f t="shared" si="510"/>
        <v>4</v>
      </c>
      <c r="T208" s="217">
        <f t="shared" si="511"/>
        <v>5.3322978682053481</v>
      </c>
      <c r="U208" s="217">
        <f t="shared" si="512"/>
        <v>3.5863244465829327</v>
      </c>
      <c r="V208" s="217">
        <f t="shared" si="513"/>
        <v>3.161041608297773</v>
      </c>
      <c r="W208" s="197">
        <f t="shared" si="514"/>
        <v>350</v>
      </c>
      <c r="X208" s="443">
        <f t="shared" si="599"/>
        <v>143.93944296305992</v>
      </c>
      <c r="Z208" s="217">
        <f t="shared" si="515"/>
        <v>2.2579383780846842</v>
      </c>
      <c r="AA208" s="173">
        <f t="shared" si="516"/>
        <v>1.3385293429791592</v>
      </c>
      <c r="AB208" s="173">
        <f>0.5*AA208*Z208*Nps*W208/1000*(Pout/(Pout+Pout2))</f>
        <v>1.9680202247382179</v>
      </c>
      <c r="AC208" s="173"/>
      <c r="AD208" s="173">
        <f t="shared" si="518"/>
        <v>0.79041386069746133</v>
      </c>
      <c r="AE208" s="545">
        <f>MAX(10, F208/(0.5*AD208/1000000*Isw_min*Nps)/1000*Pout_total/Pout)</f>
        <v>2789.677799999999</v>
      </c>
      <c r="AF208" s="528">
        <f t="shared" si="520"/>
        <v>0.73771960331763076</v>
      </c>
      <c r="AH208" s="173">
        <f t="shared" si="521"/>
        <v>3.4698703145794942</v>
      </c>
      <c r="AI208" s="173">
        <f>MAX(IF(F208&gt;AB208,T208,AH208),Isw_min)</f>
        <v>5.3322978682053481</v>
      </c>
      <c r="AJ208" s="173">
        <f>IF(F208&gt;AF208, (AI208-Isw_min)/1.08*0.8+1.2, AE208*0.2/350+1)</f>
        <v>4.1621959517570479</v>
      </c>
      <c r="AL208" s="545">
        <f t="shared" si="524"/>
        <v>5880</v>
      </c>
      <c r="AM208" s="460">
        <f t="shared" si="525"/>
        <v>143.93944296305992</v>
      </c>
      <c r="AO208">
        <f t="shared" si="526"/>
        <v>5880</v>
      </c>
      <c r="AP208">
        <f t="shared" si="527"/>
        <v>143.93944296305992</v>
      </c>
      <c r="AR208" s="5">
        <f t="shared" si="616"/>
        <v>6.9473660548807059</v>
      </c>
      <c r="AS208" s="5">
        <f t="shared" si="604"/>
        <v>3.5863244465829327</v>
      </c>
      <c r="AT208" s="5">
        <f t="shared" si="605"/>
        <v>3.3610416082977732</v>
      </c>
      <c r="AU208" s="173">
        <f t="shared" si="606"/>
        <v>0.51621354312595147</v>
      </c>
      <c r="AW208" s="5">
        <f t="shared" si="477"/>
        <v>527.18969364769112</v>
      </c>
      <c r="AX208" s="5">
        <f t="shared" si="478"/>
        <v>1.9525544209173746</v>
      </c>
      <c r="AY208" s="5">
        <f t="shared" si="479"/>
        <v>3.6921887036542023</v>
      </c>
      <c r="AZ208" s="5"/>
      <c r="BA208" s="173">
        <f t="shared" si="480"/>
        <v>2.211915191544342</v>
      </c>
      <c r="BB208" s="173">
        <f t="shared" si="481"/>
        <v>8.5652613461628437</v>
      </c>
      <c r="BC208" s="173">
        <f t="shared" si="482"/>
        <v>0.16320295267688659</v>
      </c>
      <c r="BD208" s="173"/>
      <c r="BE208" s="528">
        <f t="shared" si="483"/>
        <v>5.9689339537932644E-2</v>
      </c>
      <c r="BF208" s="528">
        <f t="shared" si="528"/>
        <v>0.54808210418182102</v>
      </c>
      <c r="BG208" s="528">
        <f t="shared" si="529"/>
        <v>6.4204563443268012E-2</v>
      </c>
      <c r="BH208" s="528">
        <f t="shared" si="484"/>
        <v>2.0877576259181903E-2</v>
      </c>
      <c r="BI208">
        <f t="shared" si="485"/>
        <v>8.0289468834155078E-3</v>
      </c>
      <c r="BJ208" s="460">
        <f t="shared" si="600"/>
        <v>72.233510326683515</v>
      </c>
      <c r="BK208">
        <f t="shared" si="530"/>
        <v>0.65404087165010028</v>
      </c>
      <c r="BL208" s="460">
        <f t="shared" si="601"/>
        <v>700.88253030561896</v>
      </c>
      <c r="BM208" s="173">
        <f t="shared" si="531"/>
        <v>3.6529499999999997</v>
      </c>
      <c r="BN208" s="173">
        <f t="shared" si="532"/>
        <v>6.0882499999999992E-2</v>
      </c>
      <c r="BO208" s="528"/>
      <c r="BQ208" s="460">
        <f t="shared" si="486"/>
        <v>3713.8324999999995</v>
      </c>
      <c r="BR208" s="528">
        <f t="shared" si="487"/>
        <v>0.1467770644375393</v>
      </c>
      <c r="BS208" s="528">
        <f t="shared" si="488"/>
        <v>2.20091105784214</v>
      </c>
      <c r="BT208" s="528">
        <f t="shared" si="489"/>
        <v>1.3317601881227041E-4</v>
      </c>
      <c r="BU208" s="528">
        <f t="shared" si="490"/>
        <v>0.81602892395534166</v>
      </c>
      <c r="BV208" s="528"/>
      <c r="BW208" s="625">
        <f t="shared" si="533"/>
        <v>0.10231719593676836</v>
      </c>
      <c r="BX208" s="460">
        <f t="shared" si="607"/>
        <v>3266.1674181906019</v>
      </c>
      <c r="BY208" s="173">
        <f t="shared" si="608"/>
        <v>7.6808824484962201</v>
      </c>
      <c r="BZ208" s="5">
        <f t="shared" si="609"/>
        <v>25.283999999999999</v>
      </c>
      <c r="CA208" s="173">
        <f t="shared" si="610"/>
        <v>0.76699803311913206</v>
      </c>
      <c r="CB208" s="5">
        <f t="shared" si="611"/>
        <v>76.6998033119132</v>
      </c>
      <c r="CC208">
        <f t="shared" si="612"/>
        <v>98</v>
      </c>
      <c r="CE208" s="562">
        <f t="shared" si="534"/>
        <v>-50</v>
      </c>
      <c r="CF208">
        <f t="shared" si="535"/>
        <v>-50</v>
      </c>
      <c r="CG208" s="173">
        <f t="shared" si="536"/>
        <v>0.48913043478260854</v>
      </c>
      <c r="CH208" s="173">
        <f t="shared" si="537"/>
        <v>0.13097870664369979</v>
      </c>
      <c r="CI208" s="170">
        <v>98</v>
      </c>
      <c r="CJ208" s="217">
        <f t="shared" si="602"/>
        <v>5.88</v>
      </c>
      <c r="CK208" s="217">
        <f t="shared" si="538"/>
        <v>9.8000000000000004E-2</v>
      </c>
      <c r="CL208" s="217">
        <f t="shared" si="539"/>
        <v>23.52</v>
      </c>
      <c r="CM208" s="217">
        <f t="shared" si="540"/>
        <v>1.764</v>
      </c>
      <c r="CN208" s="541">
        <f t="shared" si="541"/>
        <v>18</v>
      </c>
      <c r="CO208" s="443">
        <f t="shared" si="542"/>
        <v>18.8</v>
      </c>
      <c r="CP208" s="443">
        <f t="shared" si="543"/>
        <v>36.799999999999997</v>
      </c>
      <c r="CQ208" s="443"/>
      <c r="CR208" s="217">
        <f t="shared" si="544"/>
        <v>0.51086956521739135</v>
      </c>
      <c r="CS208" s="172">
        <f t="shared" si="545"/>
        <v>28.513650151668358</v>
      </c>
      <c r="CT208" s="172">
        <f t="shared" si="546"/>
        <v>2.2989130434782612</v>
      </c>
      <c r="CU208" s="217">
        <f t="shared" si="547"/>
        <v>7.1284125379170895</v>
      </c>
      <c r="CV208" s="217">
        <f t="shared" si="548"/>
        <v>1.5840916750926866</v>
      </c>
      <c r="CW208" s="217">
        <f t="shared" si="549"/>
        <v>4</v>
      </c>
      <c r="CX208" s="217">
        <f t="shared" si="550"/>
        <v>5.4991205673758854</v>
      </c>
      <c r="CY208" s="217">
        <f t="shared" si="551"/>
        <v>3.66608037825059</v>
      </c>
      <c r="CZ208" s="217">
        <f t="shared" si="552"/>
        <v>3.5100769578995008</v>
      </c>
      <c r="DA208" s="197">
        <f t="shared" si="553"/>
        <v>350</v>
      </c>
      <c r="DB208" s="443">
        <f t="shared" si="554"/>
        <v>139.35034492101678</v>
      </c>
      <c r="DD208" s="217">
        <f t="shared" si="555"/>
        <v>2.18944099378882</v>
      </c>
      <c r="DE208" s="173">
        <f t="shared" si="556"/>
        <v>1.3975155279503106</v>
      </c>
      <c r="DF208" s="173">
        <f t="shared" si="557"/>
        <v>1.9924134422749624</v>
      </c>
      <c r="DG208" s="173"/>
      <c r="DH208" s="173">
        <f t="shared" si="558"/>
        <v>0.85106382978723416</v>
      </c>
      <c r="DI208" s="545">
        <f t="shared" si="559"/>
        <v>2590.8749999999995</v>
      </c>
      <c r="DJ208" s="528">
        <f t="shared" si="560"/>
        <v>0.79432624113475192</v>
      </c>
      <c r="DL208" s="173">
        <f t="shared" si="561"/>
        <v>3.4698703145794942</v>
      </c>
      <c r="DM208" s="173">
        <f t="shared" si="562"/>
        <v>5.4991205673758854</v>
      </c>
      <c r="DN208" s="173">
        <f t="shared" si="563"/>
        <v>4.285768321513002</v>
      </c>
      <c r="DP208" s="545">
        <f t="shared" si="564"/>
        <v>5880</v>
      </c>
      <c r="DQ208" s="460">
        <f t="shared" si="565"/>
        <v>139.35034492101678</v>
      </c>
      <c r="DS208">
        <f t="shared" si="614"/>
        <v>5880</v>
      </c>
      <c r="DT208">
        <f t="shared" si="615"/>
        <v>139.35034492101678</v>
      </c>
      <c r="DV208" s="5">
        <f t="shared" si="568"/>
        <v>7.176157336150089</v>
      </c>
      <c r="DW208" s="5">
        <f t="shared" si="569"/>
        <v>3.66608037825059</v>
      </c>
      <c r="DX208" s="5">
        <f t="shared" si="570"/>
        <v>3.510076957899499</v>
      </c>
      <c r="DY208" s="173">
        <f t="shared" si="571"/>
        <v>0.51086956521739146</v>
      </c>
      <c r="EA208" s="5">
        <f t="shared" si="572"/>
        <v>538.91381560283673</v>
      </c>
      <c r="EB208" s="5">
        <f t="shared" si="573"/>
        <v>1.9959770948253215</v>
      </c>
      <c r="EC208" s="5">
        <f t="shared" si="574"/>
        <v>3.822083798601676</v>
      </c>
      <c r="ED208" s="5"/>
      <c r="EE208" s="173">
        <f t="shared" si="575"/>
        <v>2.2692776173596148</v>
      </c>
      <c r="EF208" s="173">
        <f t="shared" si="576"/>
        <v>8.8818809721330219</v>
      </c>
      <c r="EG208" s="173">
        <f t="shared" si="577"/>
        <v>0.16923584014469675</v>
      </c>
      <c r="EH208" s="173"/>
      <c r="EI208" s="528">
        <f t="shared" si="578"/>
        <v>6.2825375036721823E-2</v>
      </c>
      <c r="EJ208" s="528">
        <f t="shared" si="579"/>
        <v>0.56400000000000006</v>
      </c>
      <c r="EK208" s="528">
        <f t="shared" si="580"/>
        <v>1.7418793115127097E-2</v>
      </c>
      <c r="EL208" s="528">
        <f t="shared" si="581"/>
        <v>1.8871381110583774E-2</v>
      </c>
      <c r="EM208">
        <f t="shared" si="582"/>
        <v>8.0999999999999996E-3</v>
      </c>
      <c r="EN208" s="460">
        <f t="shared" si="583"/>
        <v>25.518793115127096</v>
      </c>
      <c r="EP208" s="460">
        <f t="shared" si="603"/>
        <v>671.21554926243266</v>
      </c>
      <c r="EQ208" s="173">
        <f t="shared" si="584"/>
        <v>4.1159999999999997</v>
      </c>
      <c r="ER208" s="173">
        <f t="shared" si="585"/>
        <v>4.3487499999999998E-2</v>
      </c>
      <c r="ES208" s="528"/>
      <c r="EU208" s="460">
        <f t="shared" si="497"/>
        <v>4159.4875000000002</v>
      </c>
      <c r="EV208" s="528">
        <f t="shared" si="586"/>
        <v>0.15448862713947989</v>
      </c>
      <c r="EW208" s="528">
        <f t="shared" si="587"/>
        <v>2.3666342880941591</v>
      </c>
      <c r="EX208" s="528">
        <f t="shared" si="588"/>
        <v>1.4320384794740677E-4</v>
      </c>
      <c r="EY208" s="528">
        <f t="shared" si="589"/>
        <v>0.81278041177063243</v>
      </c>
      <c r="EZ208" s="528"/>
      <c r="FA208" s="625">
        <f t="shared" si="590"/>
        <v>0.10535000000000001</v>
      </c>
      <c r="FB208" s="460">
        <f t="shared" si="613"/>
        <v>3439.3965308522188</v>
      </c>
      <c r="FC208" s="173">
        <f t="shared" si="591"/>
        <v>8.2700995801146515</v>
      </c>
      <c r="FD208" s="5">
        <f t="shared" si="592"/>
        <v>25.283999999999999</v>
      </c>
      <c r="FE208" s="173">
        <f t="shared" si="593"/>
        <v>0.75352938437913541</v>
      </c>
      <c r="FF208" s="5">
        <f t="shared" si="594"/>
        <v>75.352938437913537</v>
      </c>
      <c r="FG208">
        <f t="shared" si="595"/>
        <v>98</v>
      </c>
      <c r="FI208" s="562">
        <f t="shared" si="596"/>
        <v>-50</v>
      </c>
      <c r="FJ208">
        <f t="shared" si="597"/>
        <v>-50</v>
      </c>
    </row>
    <row r="209" spans="1:169">
      <c r="E209" s="170">
        <v>99</v>
      </c>
      <c r="F209" s="217">
        <f>IF(PLOT_TYPE=1, E209/100*Iout_max, min_I*EXP(O209*rr/100))</f>
        <v>5.9399999999999995</v>
      </c>
      <c r="G209" s="217">
        <f t="shared" si="499"/>
        <v>9.9000000000000005E-2</v>
      </c>
      <c r="H209" s="217">
        <f t="shared" si="500"/>
        <v>23.759999999999998</v>
      </c>
      <c r="I209" s="217">
        <f t="shared" si="501"/>
        <v>1.782</v>
      </c>
      <c r="J209" s="541">
        <f t="shared" si="502"/>
        <v>17.840493003585834</v>
      </c>
      <c r="K209" s="443">
        <f t="shared" si="503"/>
        <v>20.257280000000002</v>
      </c>
      <c r="L209" s="172">
        <f t="shared" si="504"/>
        <v>38.097773003585836</v>
      </c>
      <c r="M209" s="443"/>
      <c r="N209" s="217">
        <f t="shared" si="505"/>
        <v>0.53171821875502667</v>
      </c>
      <c r="O209" s="172">
        <f>N209*J209*Isw_max*0.5*Efficiency*Pout/(Pout+Pout2)</f>
        <v>29.414310578536977</v>
      </c>
      <c r="P209" s="172">
        <f t="shared" si="507"/>
        <v>2.3715287903945437</v>
      </c>
      <c r="Q209" s="217">
        <f t="shared" si="508"/>
        <v>7.3535776446342442</v>
      </c>
      <c r="R209" s="217">
        <f t="shared" si="509"/>
        <v>1.6341283654742764</v>
      </c>
      <c r="S209" s="217">
        <f t="shared" si="510"/>
        <v>4</v>
      </c>
      <c r="T209" s="217">
        <f t="shared" si="511"/>
        <v>5.3851338645883899</v>
      </c>
      <c r="U209" s="217">
        <f t="shared" si="512"/>
        <v>3.6221872546948179</v>
      </c>
      <c r="V209" s="217">
        <f t="shared" si="513"/>
        <v>3.1900435979095256</v>
      </c>
      <c r="W209" s="197">
        <f t="shared" si="514"/>
        <v>350</v>
      </c>
      <c r="X209" s="443">
        <f t="shared" si="599"/>
        <v>142.60796899300595</v>
      </c>
      <c r="Z209" s="217">
        <f t="shared" si="515"/>
        <v>2.2585988479948034</v>
      </c>
      <c r="AA209" s="173">
        <f t="shared" si="516"/>
        <v>1.3379479464142094</v>
      </c>
      <c r="AB209" s="173">
        <f>0.5*AA209*Z209*Nps*W209/1000*(Pout/(Pout+Pout2))</f>
        <v>1.967740821687165</v>
      </c>
      <c r="AC209" s="173"/>
      <c r="AD209" s="173">
        <f t="shared" si="518"/>
        <v>0.78983950461266272</v>
      </c>
      <c r="AE209" s="545">
        <f>MAX(10, F209/(0.5*AD209/1000000*Isw_min*Nps)/1000*Pout_total/Pout)</f>
        <v>2820.1931999999993</v>
      </c>
      <c r="AF209" s="528">
        <f t="shared" si="520"/>
        <v>0.73718353763848532</v>
      </c>
      <c r="AH209" s="173">
        <f t="shared" si="521"/>
        <v>3.4875288017243875</v>
      </c>
      <c r="AI209" s="173">
        <f>MAX(IF(F209&gt;AB209,T209,AH209),Isw_min)</f>
        <v>5.3851338645883899</v>
      </c>
      <c r="AJ209" s="173">
        <f>IF(F209&gt;AF209, (AI209-Isw_min)/1.08*0.8+1.2, AE209*0.2/350+1)</f>
        <v>4.201333726855597</v>
      </c>
      <c r="AL209" s="545">
        <f t="shared" si="524"/>
        <v>5939.9999999999991</v>
      </c>
      <c r="AM209" s="460">
        <f t="shared" si="525"/>
        <v>142.60796899300595</v>
      </c>
      <c r="AO209">
        <f t="shared" si="526"/>
        <v>5939.9999999999991</v>
      </c>
      <c r="AP209">
        <f t="shared" si="527"/>
        <v>142.60796899300595</v>
      </c>
      <c r="AR209" s="5">
        <f t="shared" si="616"/>
        <v>7.0122308526043442</v>
      </c>
      <c r="AS209" s="5">
        <f t="shared" si="604"/>
        <v>3.6221872546948179</v>
      </c>
      <c r="AT209" s="5">
        <f t="shared" si="605"/>
        <v>3.3900435979095263</v>
      </c>
      <c r="AU209" s="173">
        <f t="shared" si="606"/>
        <v>0.51655276770437997</v>
      </c>
      <c r="AW209" s="5">
        <f t="shared" si="477"/>
        <v>537.89480732218044</v>
      </c>
      <c r="AX209" s="5">
        <f t="shared" si="478"/>
        <v>1.9922029900821496</v>
      </c>
      <c r="AY209" s="5">
        <f t="shared" si="479"/>
        <v>3.7623883614156459</v>
      </c>
      <c r="AZ209" s="5"/>
      <c r="BA209" s="173">
        <f t="shared" si="480"/>
        <v>2.2345661858484842</v>
      </c>
      <c r="BB209" s="173">
        <f t="shared" si="481"/>
        <v>8.6470985107450868</v>
      </c>
      <c r="BC209" s="173">
        <f t="shared" si="482"/>
        <v>0.16476228243446722</v>
      </c>
      <c r="BD209" s="173"/>
      <c r="BE209" s="528">
        <f t="shared" si="483"/>
        <v>6.0918089675036785E-2</v>
      </c>
      <c r="BF209" s="528">
        <f t="shared" si="528"/>
        <v>0.54858150319634291</v>
      </c>
      <c r="BG209" s="528">
        <f t="shared" si="529"/>
        <v>6.3604911826882701E-2</v>
      </c>
      <c r="BH209" s="528">
        <f t="shared" si="484"/>
        <v>2.0698695441461235E-2</v>
      </c>
      <c r="BI209">
        <f t="shared" si="485"/>
        <v>8.0282218516136254E-3</v>
      </c>
      <c r="BJ209" s="460">
        <f t="shared" si="600"/>
        <v>71.633133678496336</v>
      </c>
      <c r="BK209">
        <f t="shared" si="530"/>
        <v>0.65614328099202079</v>
      </c>
      <c r="BL209" s="460">
        <f t="shared" si="601"/>
        <v>701.83142199133715</v>
      </c>
      <c r="BM209" s="173">
        <f t="shared" si="531"/>
        <v>3.6902249999999994</v>
      </c>
      <c r="BN209" s="173">
        <f t="shared" si="532"/>
        <v>6.1503749999999996E-2</v>
      </c>
      <c r="BO209" s="528"/>
      <c r="BQ209" s="460">
        <f t="shared" si="486"/>
        <v>3751.7287499999993</v>
      </c>
      <c r="BR209" s="528">
        <f t="shared" si="487"/>
        <v>0.14979858116812325</v>
      </c>
      <c r="BS209" s="528">
        <f t="shared" si="488"/>
        <v>2.2431693796358969</v>
      </c>
      <c r="BT209" s="528">
        <f t="shared" si="489"/>
        <v>1.3573304856507573E-4</v>
      </c>
      <c r="BU209" s="528">
        <f t="shared" si="490"/>
        <v>0.81718568453532658</v>
      </c>
      <c r="BV209" s="528"/>
      <c r="BW209" s="625">
        <f t="shared" si="533"/>
        <v>0.10338958937998387</v>
      </c>
      <c r="BX209" s="460">
        <f t="shared" si="607"/>
        <v>3313.6789677678953</v>
      </c>
      <c r="BY209" s="173">
        <f t="shared" si="608"/>
        <v>7.7672391397592317</v>
      </c>
      <c r="BZ209" s="5">
        <f t="shared" si="609"/>
        <v>25.541999999999998</v>
      </c>
      <c r="CA209" s="173">
        <f t="shared" si="610"/>
        <v>0.76681427314597694</v>
      </c>
      <c r="CB209" s="5">
        <f t="shared" si="611"/>
        <v>76.681427314597698</v>
      </c>
      <c r="CC209">
        <f t="shared" si="612"/>
        <v>98.999999999999986</v>
      </c>
      <c r="CE209" s="562">
        <f t="shared" si="534"/>
        <v>-50</v>
      </c>
      <c r="CF209">
        <f t="shared" si="535"/>
        <v>-50</v>
      </c>
      <c r="CG209" s="173">
        <f t="shared" si="536"/>
        <v>0.48913043478260865</v>
      </c>
      <c r="CH209" s="173">
        <f t="shared" si="537"/>
        <v>0.13097870664369979</v>
      </c>
      <c r="CI209" s="170">
        <v>99</v>
      </c>
      <c r="CJ209" s="217">
        <f t="shared" si="602"/>
        <v>5.9399999999999995</v>
      </c>
      <c r="CK209" s="217">
        <f t="shared" si="538"/>
        <v>9.9000000000000005E-2</v>
      </c>
      <c r="CL209" s="217">
        <f t="shared" si="539"/>
        <v>23.759999999999998</v>
      </c>
      <c r="CM209" s="217">
        <f t="shared" si="540"/>
        <v>1.782</v>
      </c>
      <c r="CN209" s="541">
        <f t="shared" si="541"/>
        <v>18</v>
      </c>
      <c r="CO209" s="443">
        <f t="shared" si="542"/>
        <v>18.8</v>
      </c>
      <c r="CP209" s="443">
        <f t="shared" si="543"/>
        <v>36.799999999999997</v>
      </c>
      <c r="CQ209" s="443"/>
      <c r="CR209" s="217">
        <f t="shared" si="544"/>
        <v>0.51086956521739135</v>
      </c>
      <c r="CS209" s="172">
        <f t="shared" si="545"/>
        <v>28.513650151668358</v>
      </c>
      <c r="CT209" s="172">
        <f t="shared" si="546"/>
        <v>2.2989130434782612</v>
      </c>
      <c r="CU209" s="217">
        <f t="shared" si="547"/>
        <v>7.1284125379170895</v>
      </c>
      <c r="CV209" s="217">
        <f t="shared" si="548"/>
        <v>1.5840916750926866</v>
      </c>
      <c r="CW209" s="217">
        <f t="shared" si="549"/>
        <v>4</v>
      </c>
      <c r="CX209" s="217">
        <f t="shared" si="550"/>
        <v>5.5552340425531899</v>
      </c>
      <c r="CY209" s="217">
        <f t="shared" si="551"/>
        <v>3.7034893617021263</v>
      </c>
      <c r="CZ209" s="217">
        <f t="shared" si="552"/>
        <v>3.5458940697148016</v>
      </c>
      <c r="DA209" s="197">
        <f t="shared" si="553"/>
        <v>350</v>
      </c>
      <c r="DB209" s="443">
        <f t="shared" si="554"/>
        <v>137.94276567939033</v>
      </c>
      <c r="DD209" s="217">
        <f t="shared" si="555"/>
        <v>2.18944099378882</v>
      </c>
      <c r="DE209" s="173">
        <f t="shared" si="556"/>
        <v>1.3975155279503106</v>
      </c>
      <c r="DF209" s="173">
        <f t="shared" si="557"/>
        <v>1.9924134422749624</v>
      </c>
      <c r="DG209" s="173"/>
      <c r="DH209" s="173">
        <f t="shared" si="558"/>
        <v>0.85106382978723416</v>
      </c>
      <c r="DI209" s="545">
        <f t="shared" si="559"/>
        <v>2617.3124999999991</v>
      </c>
      <c r="DJ209" s="528">
        <f t="shared" si="560"/>
        <v>0.79432624113475192</v>
      </c>
      <c r="DL209" s="173">
        <f t="shared" si="561"/>
        <v>3.4875288017243875</v>
      </c>
      <c r="DM209" s="173">
        <f t="shared" si="562"/>
        <v>5.5552340425531899</v>
      </c>
      <c r="DN209" s="173">
        <f t="shared" si="563"/>
        <v>4.3273338586813752</v>
      </c>
      <c r="DP209" s="545">
        <f t="shared" si="564"/>
        <v>5939.9999999999991</v>
      </c>
      <c r="DQ209" s="460">
        <f t="shared" si="565"/>
        <v>137.94276567939033</v>
      </c>
      <c r="DS209">
        <f t="shared" si="614"/>
        <v>5939.9999999999991</v>
      </c>
      <c r="DT209">
        <f t="shared" si="615"/>
        <v>137.94276567939033</v>
      </c>
      <c r="DV209" s="5">
        <f t="shared" si="568"/>
        <v>7.2493834314169279</v>
      </c>
      <c r="DW209" s="5">
        <f t="shared" si="569"/>
        <v>3.7034893617021263</v>
      </c>
      <c r="DX209" s="5">
        <f t="shared" si="570"/>
        <v>3.5458940697148016</v>
      </c>
      <c r="DY209" s="173">
        <f t="shared" si="571"/>
        <v>0.51086956521739135</v>
      </c>
      <c r="EA209" s="5">
        <f t="shared" si="572"/>
        <v>549.9681702127657</v>
      </c>
      <c r="EB209" s="5">
        <f t="shared" si="573"/>
        <v>2.0369191489361698</v>
      </c>
      <c r="EC209" s="5">
        <f t="shared" si="574"/>
        <v>3.9004834766862806</v>
      </c>
      <c r="ED209" s="5"/>
      <c r="EE209" s="173">
        <f t="shared" si="575"/>
        <v>2.2924335114143042</v>
      </c>
      <c r="EF209" s="173">
        <f t="shared" si="576"/>
        <v>8.9725124106241747</v>
      </c>
      <c r="EG209" s="173">
        <f t="shared" si="577"/>
        <v>0.17096273647270388</v>
      </c>
      <c r="EH209" s="173"/>
      <c r="EI209" s="528">
        <f t="shared" si="578"/>
        <v>6.4114067131914865E-2</v>
      </c>
      <c r="EJ209" s="528">
        <f t="shared" si="579"/>
        <v>0.56400000000000006</v>
      </c>
      <c r="EK209" s="528">
        <f t="shared" si="580"/>
        <v>1.7242845709923793E-2</v>
      </c>
      <c r="EL209" s="528">
        <f t="shared" si="581"/>
        <v>1.8680761099365752E-2</v>
      </c>
      <c r="EM209">
        <f t="shared" si="582"/>
        <v>8.0999999999999996E-3</v>
      </c>
      <c r="EN209" s="460">
        <f t="shared" si="583"/>
        <v>25.342845709923793</v>
      </c>
      <c r="EP209" s="460">
        <f t="shared" si="603"/>
        <v>672.13767394120464</v>
      </c>
      <c r="EQ209" s="173">
        <f t="shared" si="584"/>
        <v>4.1579999999999995</v>
      </c>
      <c r="ER209" s="173">
        <f t="shared" si="585"/>
        <v>4.3931249999999998E-2</v>
      </c>
      <c r="ES209" s="528"/>
      <c r="EU209" s="460">
        <f t="shared" si="497"/>
        <v>4201.9312499999996</v>
      </c>
      <c r="EV209" s="528">
        <f t="shared" si="586"/>
        <v>0.15765754212765951</v>
      </c>
      <c r="EW209" s="528">
        <f t="shared" si="587"/>
        <v>2.4151793687641447</v>
      </c>
      <c r="EX209" s="528">
        <f t="shared" si="588"/>
        <v>1.4614128631117596E-4</v>
      </c>
      <c r="EY209" s="528">
        <f t="shared" si="589"/>
        <v>0.81278041177063109</v>
      </c>
      <c r="EZ209" s="528"/>
      <c r="FA209" s="625">
        <f t="shared" si="590"/>
        <v>0.10642499999999998</v>
      </c>
      <c r="FB209" s="460">
        <f t="shared" si="613"/>
        <v>3492.1884639487462</v>
      </c>
      <c r="FC209" s="173">
        <f t="shared" si="591"/>
        <v>8.3662573878899504</v>
      </c>
      <c r="FD209" s="5">
        <f t="shared" si="592"/>
        <v>25.541999999999998</v>
      </c>
      <c r="FE209" s="173">
        <f t="shared" si="593"/>
        <v>0.75326784587644757</v>
      </c>
      <c r="FF209" s="5">
        <f t="shared" si="594"/>
        <v>75.326784587644752</v>
      </c>
      <c r="FG209">
        <f t="shared" si="595"/>
        <v>98.999999999999986</v>
      </c>
      <c r="FI209" s="562">
        <f t="shared" si="596"/>
        <v>-50</v>
      </c>
      <c r="FJ209">
        <f t="shared" si="597"/>
        <v>-50</v>
      </c>
    </row>
    <row r="210" spans="1:169">
      <c r="A210" t="s">
        <v>862</v>
      </c>
      <c r="E210" s="170">
        <v>100</v>
      </c>
      <c r="F210" s="217">
        <f>IF(PLOT_TYPE=1, E210/100*Iout_max, min_I*EXP(O210*rr/100))</f>
        <v>6</v>
      </c>
      <c r="G210" s="217">
        <f t="shared" si="499"/>
        <v>0.1</v>
      </c>
      <c r="H210" s="217">
        <f t="shared" si="500"/>
        <v>24</v>
      </c>
      <c r="I210" s="217">
        <f t="shared" si="501"/>
        <v>1.8</v>
      </c>
      <c r="J210" s="541">
        <f t="shared" si="502"/>
        <v>17.83888182180387</v>
      </c>
      <c r="K210" s="443">
        <f t="shared" si="503"/>
        <v>20.272000000000002</v>
      </c>
      <c r="L210" s="172">
        <f t="shared" si="504"/>
        <v>38.110881821803872</v>
      </c>
      <c r="M210" s="443"/>
      <c r="N210" s="217">
        <f t="shared" si="505"/>
        <v>0.5319215675666169</v>
      </c>
      <c r="O210" s="172">
        <f>N210*J210*Isw_max*0.5*Efficiency*Pout/(Pout+Pout2)</f>
        <v>29.422902270665247</v>
      </c>
      <c r="P210" s="172">
        <f t="shared" si="507"/>
        <v>2.3722214955723855</v>
      </c>
      <c r="Q210" s="217">
        <f t="shared" si="508"/>
        <v>7.3557255676663118</v>
      </c>
      <c r="R210" s="217">
        <f t="shared" si="509"/>
        <v>1.6346056817036247</v>
      </c>
      <c r="S210" s="217">
        <f t="shared" si="510"/>
        <v>4</v>
      </c>
      <c r="T210" s="217">
        <f t="shared" si="511"/>
        <v>5.4379407757990164</v>
      </c>
      <c r="U210" s="217">
        <f t="shared" si="512"/>
        <v>3.6580369757160915</v>
      </c>
      <c r="V210" s="217">
        <f t="shared" si="513"/>
        <v>3.2189862524461419</v>
      </c>
      <c r="W210" s="197">
        <f t="shared" si="514"/>
        <v>350</v>
      </c>
      <c r="X210" s="443">
        <f t="shared" si="599"/>
        <v>141.30234814273467</v>
      </c>
      <c r="Z210" s="217">
        <f t="shared" si="515"/>
        <v>2.2592585672117953</v>
      </c>
      <c r="AA210" s="173">
        <f t="shared" si="516"/>
        <v>1.3373669498096656</v>
      </c>
      <c r="AB210" s="173">
        <f>0.5*AA210*Z210*Nps*W210/1000*(Pout/(Pout+Pout2))</f>
        <v>1.9674608532133728</v>
      </c>
      <c r="AC210" s="173"/>
      <c r="AD210" s="173">
        <f t="shared" si="518"/>
        <v>0.78926598263614844</v>
      </c>
      <c r="AE210" s="545">
        <f>MAX(10, F210/(0.5*AD210/1000000*Isw_min*Nps)/1000*Pout_total/Pout)</f>
        <v>2850.7499999999995</v>
      </c>
      <c r="AF210" s="528">
        <f t="shared" si="520"/>
        <v>0.73664825046040538</v>
      </c>
      <c r="AH210" s="173">
        <f t="shared" si="521"/>
        <v>3.505098327538656</v>
      </c>
      <c r="AI210" s="173">
        <f>MAX(IF(F210&gt;AB210,T210,AH210),Isw_min)</f>
        <v>5.4379407757990164</v>
      </c>
      <c r="AJ210" s="173">
        <f>IF(F210&gt;AF210, (AI210-Isw_min)/1.08*0.8+1.2, AE210*0.2/350+1)</f>
        <v>4.2404499573819878</v>
      </c>
      <c r="AL210" s="545">
        <f t="shared" si="524"/>
        <v>6000</v>
      </c>
      <c r="AM210" s="460">
        <f t="shared" si="525"/>
        <v>141.30234814273467</v>
      </c>
      <c r="AO210">
        <f t="shared" si="526"/>
        <v>6000</v>
      </c>
      <c r="AP210">
        <f t="shared" si="527"/>
        <v>141.30234814273467</v>
      </c>
      <c r="AR210" s="5">
        <f t="shared" si="616"/>
        <v>7.0770232281622336</v>
      </c>
      <c r="AS210" s="5">
        <f t="shared" si="604"/>
        <v>3.6580369757160915</v>
      </c>
      <c r="AT210" s="5">
        <f t="shared" si="605"/>
        <v>3.4189862524461421</v>
      </c>
      <c r="AU210" s="173">
        <f t="shared" si="606"/>
        <v>0.51688921426163148</v>
      </c>
      <c r="AW210" s="5">
        <f t="shared" si="477"/>
        <v>548.70554635741371</v>
      </c>
      <c r="AX210" s="5">
        <f t="shared" si="478"/>
        <v>2.0322427642867176</v>
      </c>
      <c r="AY210" s="5">
        <f t="shared" si="479"/>
        <v>3.8331844861119366</v>
      </c>
      <c r="AZ210" s="5"/>
      <c r="BA210" s="173">
        <f>AI210*SQRT(AU210/3)</f>
        <v>2.2572131985639721</v>
      </c>
      <c r="BB210" s="173">
        <f t="shared" si="481"/>
        <v>8.7288534901313479</v>
      </c>
      <c r="BC210" s="173">
        <f t="shared" si="482"/>
        <v>0.16632004623088109</v>
      </c>
      <c r="BD210" s="173"/>
      <c r="BE210" s="528">
        <f t="shared" si="483"/>
        <v>6.2159139370011052E-2</v>
      </c>
      <c r="BF210" s="528">
        <f t="shared" si="528"/>
        <v>0.54907809994463119</v>
      </c>
      <c r="BG210" s="528">
        <f t="shared" si="529"/>
        <v>6.301689724154079E-2</v>
      </c>
      <c r="BH210" s="528">
        <f t="shared" si="484"/>
        <v>2.0523308549499717E-2</v>
      </c>
      <c r="BI210">
        <f t="shared" si="485"/>
        <v>8.0274968198117413E-3</v>
      </c>
      <c r="BJ210" s="460">
        <f t="shared" si="600"/>
        <v>71.044394061352534</v>
      </c>
      <c r="BK210">
        <f t="shared" si="530"/>
        <v>0.65826544543718213</v>
      </c>
      <c r="BL210" s="460">
        <f t="shared" si="601"/>
        <v>702.80494192549452</v>
      </c>
      <c r="BM210" s="173">
        <f t="shared" si="531"/>
        <v>3.7274999999999991</v>
      </c>
      <c r="BN210" s="173">
        <f t="shared" si="532"/>
        <v>6.2124999999999993E-2</v>
      </c>
      <c r="BO210" s="528"/>
      <c r="BQ210" s="460">
        <f t="shared" si="486"/>
        <v>3789.6249999999991</v>
      </c>
      <c r="BR210" s="528">
        <f t="shared" si="487"/>
        <v>0.15285034271314193</v>
      </c>
      <c r="BS210" s="528">
        <f t="shared" si="488"/>
        <v>2.2857864975653466</v>
      </c>
      <c r="BT210" s="528">
        <f t="shared" si="489"/>
        <v>1.3831178889121213E-4</v>
      </c>
      <c r="BU210" s="528">
        <f t="shared" si="490"/>
        <v>0.81833219052330597</v>
      </c>
      <c r="BV210" s="528"/>
      <c r="BW210" s="625">
        <f t="shared" si="533"/>
        <v>0.10446199951493122</v>
      </c>
      <c r="BX210" s="460">
        <f t="shared" si="607"/>
        <v>3361.5693421056171</v>
      </c>
      <c r="BY210" s="173">
        <f t="shared" si="608"/>
        <v>7.8539992840311115</v>
      </c>
      <c r="BZ210" s="5">
        <f t="shared" si="609"/>
        <v>25.8</v>
      </c>
      <c r="CA210" s="173">
        <f t="shared" si="610"/>
        <v>0.76662508316633104</v>
      </c>
      <c r="CB210" s="5">
        <f t="shared" si="611"/>
        <v>76.662508316633108</v>
      </c>
      <c r="CC210">
        <f t="shared" si="612"/>
        <v>100</v>
      </c>
      <c r="CE210" s="562">
        <f t="shared" si="534"/>
        <v>-50</v>
      </c>
      <c r="CF210">
        <f t="shared" si="535"/>
        <v>-50</v>
      </c>
      <c r="CG210" s="173">
        <f t="shared" si="536"/>
        <v>0.48913043478260865</v>
      </c>
      <c r="CH210" s="173">
        <f t="shared" si="537"/>
        <v>0.13097870664369976</v>
      </c>
      <c r="CI210" s="170">
        <v>100</v>
      </c>
      <c r="CJ210" s="217">
        <f t="shared" si="602"/>
        <v>6</v>
      </c>
      <c r="CK210" s="217">
        <f t="shared" si="538"/>
        <v>0.1</v>
      </c>
      <c r="CL210" s="217">
        <f t="shared" si="539"/>
        <v>24</v>
      </c>
      <c r="CM210" s="217">
        <f t="shared" si="540"/>
        <v>1.8</v>
      </c>
      <c r="CN210" s="541">
        <f t="shared" si="541"/>
        <v>18</v>
      </c>
      <c r="CO210" s="443">
        <f t="shared" si="542"/>
        <v>18.8</v>
      </c>
      <c r="CP210" s="443">
        <f t="shared" si="543"/>
        <v>36.799999999999997</v>
      </c>
      <c r="CQ210" s="443"/>
      <c r="CR210" s="217">
        <f t="shared" si="544"/>
        <v>0.51086956521739135</v>
      </c>
      <c r="CS210" s="172">
        <f t="shared" si="545"/>
        <v>28.513650151668358</v>
      </c>
      <c r="CT210" s="172">
        <f t="shared" si="546"/>
        <v>2.2989130434782612</v>
      </c>
      <c r="CU210" s="217">
        <f t="shared" si="547"/>
        <v>7.1284125379170895</v>
      </c>
      <c r="CV210" s="217">
        <f t="shared" si="548"/>
        <v>1.5840916750926866</v>
      </c>
      <c r="CW210" s="217">
        <f t="shared" si="549"/>
        <v>4</v>
      </c>
      <c r="CX210" s="217">
        <f t="shared" si="550"/>
        <v>5.6113475177304961</v>
      </c>
      <c r="CY210" s="217">
        <f t="shared" si="551"/>
        <v>3.7408983451536639</v>
      </c>
      <c r="CZ210" s="217">
        <f t="shared" si="552"/>
        <v>3.5817111815301037</v>
      </c>
      <c r="DA210" s="197">
        <f t="shared" si="553"/>
        <v>350</v>
      </c>
      <c r="DB210" s="443">
        <f t="shared" si="554"/>
        <v>136.56333802259641</v>
      </c>
      <c r="DD210" s="217">
        <f t="shared" si="555"/>
        <v>2.18944099378882</v>
      </c>
      <c r="DE210" s="173">
        <f t="shared" si="556"/>
        <v>1.3975155279503106</v>
      </c>
      <c r="DF210" s="173">
        <f t="shared" si="557"/>
        <v>1.9924134422749624</v>
      </c>
      <c r="DG210" s="173"/>
      <c r="DH210" s="173">
        <f t="shared" si="558"/>
        <v>0.85106382978723416</v>
      </c>
      <c r="DI210" s="545">
        <f t="shared" si="559"/>
        <v>2643.7499999999995</v>
      </c>
      <c r="DJ210" s="528">
        <f t="shared" si="560"/>
        <v>0.79432624113475192</v>
      </c>
      <c r="DL210" s="173">
        <f t="shared" si="561"/>
        <v>3.505098327538656</v>
      </c>
      <c r="DM210" s="173">
        <f t="shared" si="562"/>
        <v>5.6113475177304961</v>
      </c>
      <c r="DN210" s="173">
        <f t="shared" si="563"/>
        <v>4.3688993958497502</v>
      </c>
      <c r="DP210" s="545">
        <f t="shared" si="564"/>
        <v>6000</v>
      </c>
      <c r="DQ210" s="460">
        <f t="shared" si="565"/>
        <v>136.56333802259641</v>
      </c>
      <c r="DS210">
        <f t="shared" si="614"/>
        <v>6000</v>
      </c>
      <c r="DT210">
        <f t="shared" si="615"/>
        <v>136.56333802259641</v>
      </c>
      <c r="DV210" s="5">
        <f t="shared" si="568"/>
        <v>7.3226095266837667</v>
      </c>
      <c r="DW210" s="5">
        <f t="shared" si="569"/>
        <v>3.7408983451536639</v>
      </c>
      <c r="DX210" s="5">
        <f t="shared" si="570"/>
        <v>3.5817111815301028</v>
      </c>
      <c r="DY210" s="173">
        <f t="shared" si="571"/>
        <v>0.51086956521739135</v>
      </c>
      <c r="EA210" s="5">
        <f t="shared" si="572"/>
        <v>561.13475177304963</v>
      </c>
      <c r="EB210" s="5">
        <f t="shared" si="573"/>
        <v>2.0782768584187026</v>
      </c>
      <c r="EC210" s="5">
        <f t="shared" si="574"/>
        <v>3.979679090589002</v>
      </c>
      <c r="ED210" s="5"/>
      <c r="EE210" s="173">
        <f t="shared" si="575"/>
        <v>2.3155894054689945</v>
      </c>
      <c r="EF210" s="173">
        <f t="shared" si="576"/>
        <v>9.0631438491153293</v>
      </c>
      <c r="EG210" s="173">
        <f t="shared" si="577"/>
        <v>0.17268963280071106</v>
      </c>
      <c r="EH210" s="173"/>
      <c r="EI210" s="528">
        <f t="shared" si="578"/>
        <v>6.5415842395587065E-2</v>
      </c>
      <c r="EJ210" s="528">
        <f t="shared" si="579"/>
        <v>0.56400000000000006</v>
      </c>
      <c r="EK210" s="528">
        <f t="shared" si="580"/>
        <v>1.707041725282455E-2</v>
      </c>
      <c r="EL210" s="528">
        <f t="shared" si="581"/>
        <v>1.8493953488372093E-2</v>
      </c>
      <c r="EM210">
        <f t="shared" si="582"/>
        <v>8.0999999999999996E-3</v>
      </c>
      <c r="EN210" s="460">
        <f t="shared" si="583"/>
        <v>25.170417252824549</v>
      </c>
      <c r="EP210" s="460">
        <f t="shared" si="603"/>
        <v>673.08021313678375</v>
      </c>
      <c r="EQ210" s="173">
        <f t="shared" si="584"/>
        <v>4.1999999999999993</v>
      </c>
      <c r="ER210" s="173">
        <f t="shared" si="585"/>
        <v>4.4374999999999998E-2</v>
      </c>
      <c r="ES210" s="528"/>
      <c r="EU210" s="460">
        <f t="shared" si="497"/>
        <v>4244.3749999999991</v>
      </c>
      <c r="EV210" s="528">
        <f t="shared" si="586"/>
        <v>0.16085862884160754</v>
      </c>
      <c r="EW210" s="528">
        <f t="shared" si="587"/>
        <v>2.4642172928927111</v>
      </c>
      <c r="EX210" s="528">
        <f t="shared" si="588"/>
        <v>1.4910854638422211E-4</v>
      </c>
      <c r="EY210" s="528">
        <f t="shared" si="589"/>
        <v>0.81278041177063243</v>
      </c>
      <c r="EZ210" s="528"/>
      <c r="FA210" s="625">
        <f t="shared" si="590"/>
        <v>0.10750000000000001</v>
      </c>
      <c r="FB210" s="460">
        <f t="shared" si="613"/>
        <v>3545.5054420513352</v>
      </c>
      <c r="FC210" s="173">
        <f t="shared" si="591"/>
        <v>8.4629606551881178</v>
      </c>
      <c r="FD210" s="5">
        <f t="shared" si="592"/>
        <v>25.8</v>
      </c>
      <c r="FE210" s="173">
        <f t="shared" si="593"/>
        <v>0.75299972642887625</v>
      </c>
      <c r="FF210" s="5">
        <f t="shared" si="594"/>
        <v>75.299972642887624</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7.1277457379105131</v>
      </c>
      <c r="G212" s="217">
        <f>'Calculations - Dual'!Ioutmax_Vinmin/Nsec1sec2*(1-H210/(H210+I210))</f>
        <v>0.12633716518483751</v>
      </c>
      <c r="H212" s="217">
        <f>F212*Vout</f>
        <v>28.510982951642053</v>
      </c>
      <c r="I212" s="217">
        <f>Vout2*G212</f>
        <v>2.2740689733270751</v>
      </c>
      <c r="J212" s="541">
        <f>VIN_min-(F212/CG212/Nps+G212/CH212/(Nps/Nsec1sec2))*(Rdcr_pri+RON/1000)</f>
        <v>17.806207441924851</v>
      </c>
      <c r="K212" s="443">
        <f>MAX((S212+Vfwd2+Rdcr_sec*F212/CG212)*Nps,(Vout2+Vfwd22+Rdcr_sec2*G212/CH212)*Nps/Nsec1sec2)</f>
        <v>20.548673621034048</v>
      </c>
      <c r="L212" s="172">
        <f>MAX((Vout+Vfwd2+F212/CG212*Rdcr_sec)*Nps+J212, (Vout2+Vfwd22+G212/CH212*Rdcr_sec2)*Nps/Nsec1sec2+J212)</f>
        <v>38.354881062958896</v>
      </c>
      <c r="M212" s="443"/>
      <c r="N212" s="217">
        <f>MAX((Vout+Vfwd2+F212/CG212*Rdcr_sec)*Nps/((Vout+Vfwd2+F212/CG212*Rdcr_sec)*Nps+J212), (Vout2+Vfwd22+G212/CH212*Rdcr_sec2)*Nps/Nsec1sec2/((Vout2+Vfwd22+G212/CH212*Rdcr_sec2)*Nps/Nsec1sec2+J212))</f>
        <v>0.53575120171286006</v>
      </c>
      <c r="O212" s="172">
        <f>N212*J212*Isw_max*0.5*Efficiency*Pout/(Pout+Pout2)</f>
        <v>29.580455922355693</v>
      </c>
      <c r="P212" s="172">
        <f>N212*J212*Isw_max*0.5*Efficiency*(Pout2/Pout_total)</f>
        <v>2.3849242587399275</v>
      </c>
      <c r="Q212" s="217">
        <f>O212/Vout</f>
        <v>7.3951139805889232</v>
      </c>
      <c r="R212" s="217">
        <f>O212/Vout2</f>
        <v>1.643358662353094</v>
      </c>
      <c r="S212" s="217">
        <f>MIN(Vout,O212/F212)</f>
        <v>4</v>
      </c>
      <c r="T212" s="217">
        <f>MIN(2*(Vout*F212+Vout2*G212)/(Efficiency*J212*N212), Isw_max)</f>
        <v>6.4540942573233711</v>
      </c>
      <c r="U212" s="217">
        <f>L*T212/J212*1000000</f>
        <v>4.3495579471643069</v>
      </c>
      <c r="V212" s="217">
        <f>L*T212/K212*1000000</f>
        <v>3.7690574348605117</v>
      </c>
      <c r="W212" s="197">
        <f>IF(1/((350000*L)*(1/J212+1/K212))&gt;Isw_min, 350, 0.001/((Isw_min*L)*(1/J212+1/K212)))</f>
        <v>350</v>
      </c>
      <c r="X212" s="443">
        <f>MIN(1/(U212+V212+0.2)*1000, 350)</f>
        <v>120.21231347717291</v>
      </c>
      <c r="Z212" s="217">
        <f>1/((W212*1000*L)*(1/J212+1/K212))</f>
        <v>2.2713564368951689</v>
      </c>
      <c r="AA212" s="173">
        <f>L*Z212/K212*1000000</f>
        <v>1.326425137963257</v>
      </c>
      <c r="AB212" s="173">
        <f>0.5*AA212*Z212*Nps*W212/1000*(Pout/(Pout+Pout2))</f>
        <v>1.9618130163913341</v>
      </c>
      <c r="AC212" s="173"/>
      <c r="AD212" s="173">
        <f>L*Isw_min/K212*1000000</f>
        <v>0.77863906425678353</v>
      </c>
      <c r="AE212" s="545">
        <f>MAX(10, F212/(0.5*AD212/1000000*Isw_min*Nps)/1000*Pout_total/Pout)</f>
        <v>3432.7903317665528</v>
      </c>
      <c r="AF212" s="528">
        <f>0.5*AD212/1000000*Isw_min*Nps*W212*1000*(Pout/Pout_total)</f>
        <v>0.72672979330633136</v>
      </c>
      <c r="AH212" s="173">
        <f>SQRT((H212+I212)/(0.5*L*Fsw_DCM))</f>
        <v>3.8287789875754887</v>
      </c>
      <c r="AI212" s="173">
        <f>MAX(IF(F212&gt;AB212,T212,AH212),Isw_min)</f>
        <v>6.4540942573233711</v>
      </c>
      <c r="AJ212" s="173">
        <f>IF(F212&gt;AF212, (AI212-Isw_min)/1.08*0.8+1.2, AE212*0.2/350+1)</f>
        <v>4.9931562399926204</v>
      </c>
      <c r="AL212" s="545">
        <f>F212*1000</f>
        <v>7127.7457379105135</v>
      </c>
      <c r="AM212" s="460">
        <f>IF(F212&gt;AF212, X212, AE212)</f>
        <v>120.21231347717291</v>
      </c>
      <c r="AO212">
        <f>IF(H212&gt;O212, "",AL212)</f>
        <v>7127.7457379105135</v>
      </c>
      <c r="AP212">
        <f>IF(H212&gt;O212, "",AM212)</f>
        <v>120.21231347717291</v>
      </c>
      <c r="AR212" s="5">
        <f>1/AM212*1000</f>
        <v>8.3186153820248201</v>
      </c>
      <c r="AS212" s="5">
        <f>L*AI212/J212*1000000</f>
        <v>4.3495579471643069</v>
      </c>
      <c r="AT212" s="5">
        <f>AR212-AS212</f>
        <v>3.9690574348605132</v>
      </c>
      <c r="AU212" s="173">
        <f>AS212/AR212</f>
        <v>0.52287042343164425</v>
      </c>
      <c r="AW212" s="5">
        <f>F212*AS212/Vout_ripple*1000</f>
        <v>775.06357799237981</v>
      </c>
      <c r="AX212" s="5">
        <f>G212*AS212/Vout_ripple2*1000</f>
        <v>3.0528378936217768</v>
      </c>
      <c r="AY212" s="5">
        <f>H212/Efficiency/J212*AT212/Vinripple1</f>
        <v>5.295986864340918</v>
      </c>
      <c r="AZ212" s="5"/>
      <c r="BA212" s="173">
        <f>AI212*SQRT(AU212/3)</f>
        <v>2.6944598368900143</v>
      </c>
      <c r="BB212" s="173">
        <f>AI212*Npri_sec1*SQRT((1-AU212)/3)*(Pout/Pout_total)</f>
        <v>10.295627873247797</v>
      </c>
      <c r="BC212" s="173">
        <f>AI212*Npri_sec2*SQRT((1-AU212)/3)*(Pout2/Pout_total)</f>
        <v>0.19617345001728911</v>
      </c>
      <c r="BD212" s="173"/>
      <c r="BE212" s="528">
        <f>Rdson*BA212^2</f>
        <v>8.8573388513883022E-2</v>
      </c>
      <c r="BF212" s="528">
        <f>0.5*L212*AI212*AM212*1000*Tfall</f>
        <v>0.55796399004019681</v>
      </c>
      <c r="BG212" s="528">
        <f>Qg*Vdd*AM212*1000*0+Qg*J212*AM212*1000</f>
        <v>5.3513134771205985E-2</v>
      </c>
      <c r="BH212" s="528">
        <f>0.5*(Coss+Csw)*L212^2*AM212*1000</f>
        <v>1.7684396186083147E-2</v>
      </c>
      <c r="BI212">
        <f>J212*IQ</f>
        <v>8.0127933488661832E-3</v>
      </c>
      <c r="BJ212" s="460">
        <f>(BG212+BI212)*1000</f>
        <v>61.525928120072166</v>
      </c>
      <c r="BK212">
        <f>(BF212+BG212*0+BH212+BI212*0+BE212*(1+RdsonTC*(Ta-25)))/(1-BE212*RdsonTC*ThetaJA)</f>
        <v>0.70292977279371061</v>
      </c>
      <c r="BL212" s="460">
        <f>SUM(BE212:BI212)*1000</f>
        <v>725.74770286023511</v>
      </c>
      <c r="BM212" s="173">
        <f>Vfwd2*F212*(1+Diode_TC/1000*(Ta-25))</f>
        <v>4.4281120396769058</v>
      </c>
      <c r="BN212" s="173">
        <f>Vfwd2*G212*(1+Diode_TC/1000*(Ta-25))</f>
        <v>7.8486963871080284E-2</v>
      </c>
      <c r="BO212" s="528"/>
      <c r="BQ212" s="460">
        <f>SUM(BM212:BP212)*1000</f>
        <v>4506.5990035479863</v>
      </c>
      <c r="BR212" s="528">
        <f>Rdcr_pri*BA212^2</f>
        <v>0.21780341437840087</v>
      </c>
      <c r="BS212" s="528">
        <f>Rdcr_sec*BB212^2</f>
        <v>3.1799985991319089</v>
      </c>
      <c r="BT212" s="528">
        <f>Rdcr_sec2*BC212^2</f>
        <v>1.9242011245842916E-4</v>
      </c>
      <c r="BU212" s="528">
        <f>AI212^2.5*AM212^2.5*k_core</f>
        <v>0.83836019788714777</v>
      </c>
      <c r="BV212" s="528"/>
      <c r="BW212" s="625">
        <f>0.5*Lleak*0.000000001*AI212^2*AM212*1000</f>
        <v>0.1251870977603585</v>
      </c>
      <c r="BX212" s="460">
        <f>SUM(BR212:BW212)*1000</f>
        <v>4361.5417292702741</v>
      </c>
      <c r="BY212" s="173">
        <f>SUM(BE212:BI212,BM212:BP212,BR212:BW212)</f>
        <v>9.5938884356784957</v>
      </c>
      <c r="BZ212" s="5">
        <f>MIN(H212+I212,O212+P212)</f>
        <v>30.785051924969128</v>
      </c>
      <c r="CA212" s="173">
        <f>BZ212/(BZ212+BY212)</f>
        <v>0.76240366017557815</v>
      </c>
      <c r="CB212" s="5">
        <f>CA212*100</f>
        <v>76.240366017557818</v>
      </c>
      <c r="CC212">
        <f>F212/Iout*100</f>
        <v>118.79576229850855</v>
      </c>
      <c r="CE212" s="562">
        <f>IF(ABS(F212-Ioutmax_Vinmin)&lt;Iout/200, AM212, -50)</f>
        <v>120.21231347717291</v>
      </c>
      <c r="CF212">
        <f>IF(ABS(F212-Ioutmax_Vinmin)&lt;Iout/200, (O212+P212)*CA212, -50)</f>
        <v>24.370522848971188</v>
      </c>
      <c r="CG212" s="173">
        <f>MIN(SQRT(2*DT212*1000*Ls1_*(CL212+CJ212*Vfwd1))/(CW212+Vfwd1), 1-DY212)</f>
        <v>0.48913043478260865</v>
      </c>
      <c r="CH212" s="173">
        <f>MIN(SQRT(2*DT212*1000*Ls2_*(CM212+CK212*Vfwd22))/(Vout2+Vfwd22), 1-DY212)</f>
        <v>0.13097870664369976</v>
      </c>
      <c r="CI212" s="170">
        <v>100</v>
      </c>
      <c r="CJ212" s="217">
        <f>IF(PLOT_TYPE=1, CI212/100*Iout_max, min_I*EXP(CS212*rr/100))</f>
        <v>6</v>
      </c>
      <c r="CK212" s="217">
        <f>IF(PLOT_TYPE=1, CI212/100*Iout2, min_I*EXP(CU212*rr/100))</f>
        <v>0.1</v>
      </c>
      <c r="CL212" s="217">
        <f>CJ212*Vout</f>
        <v>24</v>
      </c>
      <c r="CM212" s="217">
        <f>Vout2*CK212</f>
        <v>1.8</v>
      </c>
      <c r="CN212" s="541">
        <f t="shared" si="541"/>
        <v>18</v>
      </c>
      <c r="CO212" s="443">
        <f>(CW212+Vfwd2)*Nps</f>
        <v>18.8</v>
      </c>
      <c r="CP212" s="443">
        <f>(Vout+Vfwd2)*Nps+CN212</f>
        <v>36.799999999999997</v>
      </c>
      <c r="CQ212" s="443"/>
      <c r="CR212" s="217">
        <f>(Vout+Vfwd1)*Nps/((Vout+Vfwd1)*Nps+CN212)</f>
        <v>0.51086956521739135</v>
      </c>
      <c r="CS212" s="172">
        <f>CR212*CN212*Isw_max*0.5*Efficiency*Pout/(Pout+Pout2)</f>
        <v>28.513650151668358</v>
      </c>
      <c r="CT212" s="172">
        <f>CR212*CN212*Isw_max*0.5*Efficiency*(Pout2/Pout_total)</f>
        <v>2.2989130434782612</v>
      </c>
      <c r="CU212" s="217">
        <f>CS212/Vout</f>
        <v>7.1284125379170895</v>
      </c>
      <c r="CV212" s="217">
        <f>CS212/Vout2</f>
        <v>1.5840916750926866</v>
      </c>
      <c r="CW212" s="217">
        <f>MIN(Vout,CS212/CJ212)</f>
        <v>4</v>
      </c>
      <c r="CX212" s="217">
        <f>MIN(2*(Vout*CJ212+Vout2*CK212)/(Efficiency*CN212*CR212), Isw_max)</f>
        <v>5.6113475177304961</v>
      </c>
      <c r="CY212" s="217">
        <f>L*CX212/CN212*1000000</f>
        <v>3.7408983451536639</v>
      </c>
      <c r="CZ212" s="217">
        <f>L*CX212/CO212*1000000</f>
        <v>3.5817111815301037</v>
      </c>
      <c r="DA212" s="197">
        <f>IF(1/((350000*L)*(1/CN212+1/CO212))&gt;Isw_min, 350, 0.001/((Isw_min*L)*(1/CN212+1/CO212)))</f>
        <v>350</v>
      </c>
      <c r="DB212" s="443">
        <f>MIN(1/(CY212+CZ212)*1000, 350)</f>
        <v>136.56333802259641</v>
      </c>
      <c r="DD212" s="217">
        <f>1/((DA212*1000*L)*(1/CN212+1/CO212))</f>
        <v>2.18944099378882</v>
      </c>
      <c r="DE212" s="173">
        <f>L*DD212/CO212*1000000</f>
        <v>1.3975155279503106</v>
      </c>
      <c r="DF212" s="173">
        <f>0.5*DE212*DD212*Nps*DA212/1000*(Pout/(Pout+Pout2))</f>
        <v>1.9924134422749624</v>
      </c>
      <c r="DG212" s="173"/>
      <c r="DH212" s="173">
        <f>L*Isw_min/CO212*1000000</f>
        <v>0.85106382978723416</v>
      </c>
      <c r="DI212" s="545">
        <f>MAX(10, CJ212/(0.5*DH212/1000000*Isw_min*Nps)/1000*Pout_total/Pout)</f>
        <v>2643.7499999999995</v>
      </c>
      <c r="DJ212" s="528">
        <f>0.5*DH212/1000000*Isw_min*Nps*DA212*1000*(Pout/Pout_total)</f>
        <v>0.79432624113475192</v>
      </c>
      <c r="DL212" s="173">
        <f>SQRT((CL212+CM212)/(0.5*L*Fsw_DCM))</f>
        <v>3.505098327538656</v>
      </c>
      <c r="DM212" s="173">
        <f>MAX(IF(CJ212&gt;DF212,CX212,DL212),Isw_min)</f>
        <v>5.6113475177304961</v>
      </c>
      <c r="DN212" s="173">
        <f>IF(CJ212&gt;DJ212, (DM212-Isw_min)/1.08*0.8+1.2, DI212*0.2/350+1)</f>
        <v>4.3688993958497502</v>
      </c>
      <c r="DP212" s="545">
        <f>CJ212*1000</f>
        <v>6000</v>
      </c>
      <c r="DQ212" s="460">
        <f>IF(CJ212&gt;DJ212, DB212, DI212)</f>
        <v>136.56333802259641</v>
      </c>
      <c r="DS212">
        <f>IF(CL212&gt;CS212, "",DP212)</f>
        <v>6000</v>
      </c>
      <c r="DT212">
        <f>IF(CL212&gt;CS212, "",DQ212)</f>
        <v>136.56333802259641</v>
      </c>
      <c r="DV212" s="5">
        <f>1/DQ212*1000</f>
        <v>7.3226095266837667</v>
      </c>
      <c r="DW212" s="5">
        <f>L*DM212/CN212*1000000</f>
        <v>3.7408983451536639</v>
      </c>
      <c r="DX212" s="5">
        <f>DV212-DW212</f>
        <v>3.5817111815301028</v>
      </c>
      <c r="DY212" s="173">
        <f>DW212/DV212</f>
        <v>0.51086956521739135</v>
      </c>
      <c r="EA212" s="5">
        <f>CJ212*DW212/Vout_ripple*1000</f>
        <v>561.13475177304963</v>
      </c>
      <c r="EB212" s="5">
        <f>CK212*DW212/Vout_ripple2*1000</f>
        <v>2.0782768584187026</v>
      </c>
      <c r="EC212" s="5">
        <f>CL212/Efficiency/CN212*DX212/Vinripple1</f>
        <v>3.979679090589002</v>
      </c>
      <c r="ED212" s="5"/>
      <c r="EE212" s="173">
        <f>DM212*SQRT(DY212/3)</f>
        <v>2.3155894054689945</v>
      </c>
      <c r="EF212" s="173">
        <f>DM212*Npri_sec1*SQRT((1-DY212)/3)*(Pout/Pout_total)</f>
        <v>9.0631438491153293</v>
      </c>
      <c r="EG212" s="173">
        <f>DM212*Npri_sec2*SQRT((1-DY212)/3)*(Pout2/Pout_total)</f>
        <v>0.17268963280071106</v>
      </c>
      <c r="EH212" s="173"/>
      <c r="EI212" s="528">
        <f>Rdson*EE212^2</f>
        <v>6.5415842395587065E-2</v>
      </c>
      <c r="EJ212" s="528">
        <f>0.5*CP212*DM212*DQ212*1000*Trise</f>
        <v>0.56400000000000006</v>
      </c>
      <c r="EK212" s="528">
        <f>Qg*Vdd*DQ212*1000</f>
        <v>1.707041725282455E-2</v>
      </c>
      <c r="EL212" s="528">
        <f>0.5*(Coss+Csw)*CP212^2*DQ212*1000</f>
        <v>1.8493953488372093E-2</v>
      </c>
      <c r="EM212">
        <f>CN212*IQ</f>
        <v>8.0999999999999996E-3</v>
      </c>
      <c r="EN212" s="460">
        <f>(EK212+EM212)*1000</f>
        <v>25.170417252824549</v>
      </c>
      <c r="EP212" s="460">
        <f>SUM(EI212:EM212)*1000</f>
        <v>673.08021313678375</v>
      </c>
      <c r="EQ212" s="173">
        <f>Vfwd2*CJ212</f>
        <v>4.1999999999999993</v>
      </c>
      <c r="ER212" s="173">
        <f>Vfwd22*CK212*(1+Diode_TC/1000*(Ta-25))</f>
        <v>4.4374999999999998E-2</v>
      </c>
      <c r="ES212" s="528"/>
      <c r="EU212" s="460">
        <f>SUM(EQ212:ET212)*1000</f>
        <v>4244.3749999999991</v>
      </c>
      <c r="EV212" s="528">
        <f>Rdcr_pri*EE212^2</f>
        <v>0.16085862884160754</v>
      </c>
      <c r="EW212" s="528">
        <f>Rdcr_sec*EF212^2</f>
        <v>2.4642172928927111</v>
      </c>
      <c r="EX212" s="528">
        <f>Rdcr_sec2*EG212^2</f>
        <v>1.4910854638422211E-4</v>
      </c>
      <c r="EY212" s="528">
        <f>DM212^2.5*DQ212^2.5*k_core</f>
        <v>0.81278041177063243</v>
      </c>
      <c r="EZ212" s="528"/>
      <c r="FA212" s="625">
        <f>0.5*Lleak*0.000000001*DM212^2*DQ212*1000</f>
        <v>0.10750000000000001</v>
      </c>
      <c r="FB212" s="460">
        <f>SUM(EV212:FA212)*1000</f>
        <v>3545.5054420513352</v>
      </c>
      <c r="FC212" s="173">
        <f>SUM(EI212:EM212,EQ212:ET212,EV212:FA212)</f>
        <v>8.4629606551881178</v>
      </c>
      <c r="FD212" s="5">
        <f>MIN(CL212+CM212,CS212+CT212)</f>
        <v>25.8</v>
      </c>
      <c r="FE212" s="173">
        <f>FD212/(FD212+FC212)</f>
        <v>0.75299972642887625</v>
      </c>
      <c r="FF212" s="5">
        <f>FE212*100</f>
        <v>75.299972642887624</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1E-4</v>
      </c>
      <c r="H216" s="217">
        <f t="shared" ref="H216:H247" si="618">F216*Vout</f>
        <v>4.0000000000000002E-9</v>
      </c>
      <c r="I216" s="217">
        <f t="shared" ref="I216:I247" si="619">Vout2*G216</f>
        <v>1.8000000000000002E-3</v>
      </c>
      <c r="J216" s="541">
        <f t="shared" ref="J216:J247" si="620">VIN_max-(F216/CG216/Nps+G216/CH216/(Nps/Nsec1sec2))*(Rdcr_pri+RON/1000)</f>
        <v>35.996339924799457</v>
      </c>
      <c r="K216" s="443">
        <f t="shared" ref="K216:K247" si="621">MAX((S216+Vfwd2+Rdcr_sec*F216/CG216)*Nps,(Vout2+Vfwd22+Rdcr_sec2*G216/CH216)*Nps/Nsec1sec2)</f>
        <v>18.800447170224562</v>
      </c>
      <c r="L216" s="172">
        <f t="shared" ref="L216:L247" si="622">MAX((Vout+Vfwd2+F216/CG216*Rdcr_sec)*Nps+J216, (Vout2+Vfwd22+G216/CH216*Rdcr_sec2)*Nps/Nsec1sec2+J216)</f>
        <v>54.796787095024015</v>
      </c>
      <c r="M216" s="443"/>
      <c r="N216" s="217">
        <f t="shared" ref="N216:N247" si="623">MAX((Vout+Vfwd2+F216/CG216*Rdcr_sec)*Nps/((Vout+Vfwd2+F216/CG216*Rdcr_sec)*Nps+J216), (Vout2+Vfwd22+G216/CH216*Rdcr_sec2)*Nps/Nsec1sec2/((Vout2+Vfwd22+G216/CH216*Rdcr_sec2)*Nps/Nsec1sec2+J216))</f>
        <v>0.34309396895154448</v>
      </c>
      <c r="O216" s="172">
        <f t="shared" ref="O216:O247" si="624">N216*J216*Isw_max*0.5*Efficiency*Pout/(Pout+Pout2)</f>
        <v>38.2949678528012</v>
      </c>
      <c r="P216" s="172">
        <f t="shared" ref="P216:P247" si="625">N216*J216*Isw_max*0.5*Efficiency*(Pout2/Pout_total)</f>
        <v>3.0875317831320968</v>
      </c>
      <c r="Q216" s="217">
        <f t="shared" ref="Q216:Q279" si="626">O216/Vout</f>
        <v>9.5737419632003</v>
      </c>
      <c r="R216" s="217">
        <f t="shared" ref="R216:R247" si="627">O216/Vout2</f>
        <v>2.1274982140445111</v>
      </c>
      <c r="S216" s="217">
        <f t="shared" ref="S216:S247" si="628">MIN(Vout,O216/F216)</f>
        <v>4</v>
      </c>
      <c r="T216" s="217">
        <f t="shared" ref="T216:T247" si="629">MIN(2*(Vout*F216+Vout2*G216)/(Efficiency*J216*N216), Isw_max)</f>
        <v>2.9149562278740586E-4</v>
      </c>
      <c r="U216" s="217">
        <f t="shared" ref="U216:U279" si="630">L*T216/J216*1000000</f>
        <v>9.717508726599676E-5</v>
      </c>
      <c r="V216" s="217">
        <f t="shared" ref="V216:V279" si="631">L*T216/K216*1000000</f>
        <v>1.8605661034428944E-4</v>
      </c>
      <c r="W216" s="197">
        <f t="shared" ref="W216:W279" si="632">IF(1/((350000*L)*(1/J216+1/K216))&gt;Isw_min, 350, 0.001/((Isw_min*L)*(1/J216+1/K216)))</f>
        <v>350</v>
      </c>
      <c r="X216" s="443">
        <f>MIN(1/(U216+V216+0.2)*1000, 350)</f>
        <v>350</v>
      </c>
      <c r="Z216" s="217">
        <f t="shared" ref="Z216:Z279" si="633">1/((W216*1000*L)*(1/J216+1/K216))</f>
        <v>2.940506460125806</v>
      </c>
      <c r="AA216" s="173">
        <f t="shared" ref="AA216:AA279" si="634">L*Z216/K216*1000000</f>
        <v>1.8768743744241589</v>
      </c>
      <c r="AB216" s="173">
        <f t="shared" ref="AB216:AB247" si="635">0.5*AA216*Z216*Nps*W216/1000*(Pout/(Pout+Pout2))</f>
        <v>3.5937421916159762</v>
      </c>
      <c r="AC216" s="173"/>
      <c r="AD216" s="173">
        <f t="shared" ref="AD216:AD279" si="636">L*Isw_min/K216*1000000</f>
        <v>0.85104358716212869</v>
      </c>
      <c r="AE216" s="545">
        <f t="shared" ref="AE216:AE247" si="637">MAX(10, F216/(0.5*AD216/1000000*Isw_min*Nps)/1000*Pout_total/Pout)</f>
        <v>10</v>
      </c>
      <c r="AF216" s="528">
        <f t="shared" ref="AF216:AF247" si="638">0.5*AD216/1000000*Isw_min*Nps*W216*1000*(Pout/Pout_total)</f>
        <v>0.79430734801798675</v>
      </c>
      <c r="AH216" s="173">
        <f t="shared" ref="AH216:AH247" si="639">SQRT((H216+I216)/(0.5*L*Fsw_DCM))</f>
        <v>2.9277034718440356E-2</v>
      </c>
      <c r="AI216" s="173">
        <f t="shared" ref="AI216:AI247" si="640">MAX(IF(F216&gt;AB216,T216,AH216),Isw_min)</f>
        <v>1.3333333333333335</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0.4444896351525145</v>
      </c>
      <c r="AT216" s="5">
        <f t="shared" si="605"/>
        <v>99.555510364847493</v>
      </c>
      <c r="AU216" s="173">
        <f t="shared" si="606"/>
        <v>4.4448963515251452E-3</v>
      </c>
      <c r="BA216" s="173">
        <f>AI216*SQRT(AU216/3)</f>
        <v>5.1322632948394634E-2</v>
      </c>
      <c r="BB216" s="173">
        <f>AI216*Npri_sec1*SQRT((1-AU216)/3)*(Pout/Pout_total)</f>
        <v>3.0723504486040314</v>
      </c>
      <c r="BC216" s="173">
        <f>AI216*Npri_sec2*SQRT((1-AU216)/3)*(Pout2/Pout_total)</f>
        <v>5.8540731520698434E-2</v>
      </c>
      <c r="BD216" s="173"/>
      <c r="BE216" s="528">
        <f>Rdson*BA216^2</f>
        <v>3.2134954363618834E-5</v>
      </c>
      <c r="BF216" s="528">
        <f t="shared" ref="BF216:BF247" si="646">0.5*L216*AI216*AM216*1000*Tfall</f>
        <v>1.3699196773756004E-2</v>
      </c>
      <c r="BG216" s="528">
        <f t="shared" ref="BG216:BG247" si="647">Qg*Vdd*AM216*1000*0+Qg*J216*AM216*1000</f>
        <v>8.9990849811998636E-3</v>
      </c>
      <c r="BH216" s="528">
        <f>0.5*(Coss+Csw)*L216^2*AM216*1000</f>
        <v>3.0026878759373903E-3</v>
      </c>
      <c r="BI216">
        <f>J216*IQ</f>
        <v>1.6198352966159756E-2</v>
      </c>
      <c r="BJ216" s="460">
        <f>(BG216+BI216)*1000</f>
        <v>25.197437947359617</v>
      </c>
      <c r="BK216">
        <f t="shared" ref="BK216:BK247" si="648">(BF216+BG216*0+BH216+BI216*0+BE216*(1+RdsonTC*(Ta-25)))/(1-BE216*RdsonTC*ThetaJA)</f>
        <v>1.6742823877634969E-2</v>
      </c>
      <c r="BL216" s="460">
        <f>SUM(BE216:BI216)*1000</f>
        <v>41.931457551416635</v>
      </c>
      <c r="BM216" s="173">
        <f t="shared" ref="BM216:BM247" si="649">Vfwd2*F216*(1+Diode_TC/1000*(Ta-25))</f>
        <v>6.212499999999999E-10</v>
      </c>
      <c r="BN216" s="173">
        <f t="shared" ref="BN216:BN247" si="650">Vfwd22*G216*(1+Diode_TC/1000*(Ta-25))</f>
        <v>4.4375000000000001E-5</v>
      </c>
      <c r="BQ216" s="460">
        <f>SUM(BM216:BP216)*1000</f>
        <v>4.4375621249999997E-2</v>
      </c>
      <c r="BR216" s="528">
        <f>Rdcr_pri*BA216^2</f>
        <v>7.9020379582669264E-5</v>
      </c>
      <c r="BS216" s="528">
        <f>Rdcr_sec*BB216^2</f>
        <v>0.28318011837112178</v>
      </c>
      <c r="BT216" s="528">
        <f>Rdcr_sec2*BC216^2</f>
        <v>1.7135086234892475E-5</v>
      </c>
      <c r="BU216" s="528">
        <f>AI216^2.5*AM216^2.5*k_core</f>
        <v>3.2457633037343212E-5</v>
      </c>
      <c r="BV216" s="528"/>
      <c r="BW216" s="625">
        <f>0.5*Lleak*0.000000001*AI216^2*AM216*1000</f>
        <v>4.4444444444444452E-4</v>
      </c>
      <c r="BX216" s="460">
        <f>SUM(BR216:BW216)*1000</f>
        <v>283.75317591442115</v>
      </c>
      <c r="BY216" s="173">
        <f>SUM(BE216:BI216,BM216:BP216,BR216:BW216)</f>
        <v>0.3257290090870878</v>
      </c>
      <c r="BZ216" s="5">
        <f>MIN(H216+I216,O216+P216)</f>
        <v>1.8000040000000002E-3</v>
      </c>
      <c r="CA216" s="173">
        <f>BZ216/(BZ216+BY216)</f>
        <v>5.4957085573405099E-3</v>
      </c>
      <c r="CB216" s="5">
        <f>CA216*100</f>
        <v>0.54957085573405096</v>
      </c>
      <c r="CC216">
        <f>F216/Iout*100</f>
        <v>1.6666666666666667E-8</v>
      </c>
      <c r="CE216" s="562">
        <f t="shared" ref="CE216:CE247" si="651">IF(ABS(F216-Ioutmax_Vinmax)&lt;Iout/200, AM216, -50)</f>
        <v>-50</v>
      </c>
      <c r="CG216" s="173">
        <f t="shared" ref="CG216:CG247" si="652">MIN(SQRT(2*DT216*1000*Ls1_*CL216)/CW216, 1-DY216)</f>
        <v>1.9364916731037088E-6</v>
      </c>
      <c r="CH216" s="173">
        <f t="shared" ref="CH216:CH247" si="653">MIN(SQRT(2*DT216*1000*Ls2_*CM216)/Vout2, 1-DY216)</f>
        <v>1.1362744659583061E-3</v>
      </c>
      <c r="CI216" s="170">
        <v>0.1</v>
      </c>
      <c r="CJ216" s="217">
        <v>1.0000000000000001E-9</v>
      </c>
      <c r="CK216" s="217">
        <f t="shared" ref="CK216:CK279" si="654">IF(PLOT_TYPE=1, CI216/100*Iout2, min_I*EXP(CU216*rr/100))</f>
        <v>1E-4</v>
      </c>
      <c r="CL216" s="217">
        <f t="shared" ref="CL216:CL279" si="655">CJ216*Vout</f>
        <v>4.0000000000000002E-9</v>
      </c>
      <c r="CM216" s="217">
        <f t="shared" ref="CM216:CM279" si="656">Vout2*CK216</f>
        <v>1.8000000000000002E-3</v>
      </c>
      <c r="CN216" s="541">
        <f t="shared" ref="CN216:CN279" si="657">VIN_max</f>
        <v>36</v>
      </c>
      <c r="CO216" s="443">
        <f t="shared" ref="CO216:CO247" si="658">(CW216+Vfwd2)*Nps</f>
        <v>18.8</v>
      </c>
      <c r="CP216" s="443">
        <f t="shared" ref="CP216:CP247" si="659">(Vout+Vfwd2)*Nps+CN216</f>
        <v>54.8</v>
      </c>
      <c r="CQ216" s="443"/>
      <c r="CR216" s="217">
        <f t="shared" ref="CR216:CR279" si="660">(Vout+Vfwd1)*Nps/((Vout+Vfwd1)*Nps+CN216)</f>
        <v>0.34306569343065696</v>
      </c>
      <c r="CS216" s="172">
        <f t="shared" ref="CS216:CS279" si="661">CR216*CN216*Isw_max*0.5*Efficiency*Pout/(Pout+Pout2)</f>
        <v>38.295705313189622</v>
      </c>
      <c r="CT216" s="172">
        <f t="shared" ref="CT216:CT279" si="662">CR216*CN216*Isw_max*0.5*Efficiency*(Pout2/Pout_total)</f>
        <v>3.0875912408759132</v>
      </c>
      <c r="CU216" s="217">
        <f t="shared" ref="CU216:CU279" si="663">CS216/Vout</f>
        <v>9.5739263282974054</v>
      </c>
      <c r="CV216" s="217">
        <f t="shared" ref="CV216:CV279" si="664">CS216/Vout2</f>
        <v>2.12753918406609</v>
      </c>
      <c r="CW216" s="217">
        <f t="shared" ref="CW216:CW279" si="665">MIN(Vout,CS216/CJ216)</f>
        <v>4</v>
      </c>
      <c r="CX216" s="217">
        <f t="shared" ref="CX216:CX279" si="666">MIN(2*(Vout*CJ216+Vout2*CK216)/(Efficiency*CN216*CR216), Isw_max)</f>
        <v>2.9149000945626481E-4</v>
      </c>
      <c r="CY216" s="217">
        <f t="shared" ref="CY216:CY279" si="667">L*CX216/CN216*1000000</f>
        <v>9.7163336485421603E-5</v>
      </c>
      <c r="CZ216" s="217">
        <f t="shared" ref="CZ216:CZ279" si="668">L*CX216/CO216*1000000</f>
        <v>1.8605745284442436E-4</v>
      </c>
      <c r="DA216" s="197">
        <f t="shared" ref="DA216:DA279" si="669">IF(1/((350000*L)*(1/CN216+1/CO216))&gt;Isw_min, 350, 0.001/((Isw_min*L)*(1/CN216+1/CO216)))</f>
        <v>350</v>
      </c>
      <c r="DB216" s="443">
        <f t="shared" ref="DB216:DB279" si="670">MIN(1/(CY216+CZ216)*1000, 350)</f>
        <v>350</v>
      </c>
      <c r="DD216" s="217">
        <f t="shared" ref="DD216:DD279" si="671">1/((DA216*1000*L)*(1/CN216+1/CO216))</f>
        <v>2.940563086548488</v>
      </c>
      <c r="DE216" s="173">
        <f t="shared" ref="DE216:DE279" si="672">L*DD216/CO216*1000000</f>
        <v>1.8769551616266944</v>
      </c>
      <c r="DF216" s="173">
        <f t="shared" ref="DF216:DF279" si="673">0.5*DE216*DD216*Nps*DA216/1000*(Pout/(Pout+Pout2))</f>
        <v>3.5939660877863036</v>
      </c>
      <c r="DG216" s="173"/>
      <c r="DH216" s="173">
        <f t="shared" ref="DH216:DH279" si="674">L*Isw_min/CO216*1000000</f>
        <v>0.85106382978723416</v>
      </c>
      <c r="DI216" s="545">
        <f t="shared" ref="DI216:DI279" si="675">MAX(10, CJ216/(0.5*DH216/1000000*Isw_min*Nps)/1000*Pout_total/Pout)</f>
        <v>10</v>
      </c>
      <c r="DJ216" s="528">
        <f t="shared" ref="DJ216:DJ279" si="676">0.5*DH216/1000000*Isw_min*Nps*DA216*1000*(Pout/Pout_total)</f>
        <v>0.79432624113475192</v>
      </c>
      <c r="DL216" s="173">
        <f t="shared" ref="DL216:DL279" si="677">SQRT((CL216+CM216)/(0.5*L*Fsw_DCM))</f>
        <v>2.9277034718440356E-2</v>
      </c>
      <c r="DM216" s="173">
        <f t="shared" ref="DM216:DM279" si="678">MAX(IF(CJ216&gt;DF216,CX216,DL216),Isw_min)</f>
        <v>1.3333333333333335</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0.44444444444444453</v>
      </c>
      <c r="DX216" s="5">
        <f t="shared" ref="DX216:DX279" si="686">DV216-DW216</f>
        <v>99.555555555555557</v>
      </c>
      <c r="DY216" s="173">
        <f t="shared" ref="DY216:DY279" si="687">DW216/DV216</f>
        <v>4.4444444444444453E-3</v>
      </c>
      <c r="EA216" s="5">
        <f>CJ216*DW216/Vout_ripple*1000</f>
        <v>1.1111111111111114E-8</v>
      </c>
      <c r="EB216" s="5">
        <f>CK216*DW216/Vout_ripple2*1000</f>
        <v>2.4691358024691364E-4</v>
      </c>
      <c r="EC216" s="5">
        <f>CL216/Efficiency/CN216*DX216/Vinripple1</f>
        <v>9.2181069958847727E-9</v>
      </c>
      <c r="ED216" s="5"/>
      <c r="EE216" s="173">
        <f>DM216*SQRT(DY216/3)</f>
        <v>5.1320023927966744E-2</v>
      </c>
      <c r="EF216" s="173">
        <f>DM216*Npri_sec1*SQRT((1-DY216)/3)*(Pout/Pout_total)</f>
        <v>3.0723511459118749</v>
      </c>
      <c r="EG216" s="173">
        <f>DM216*Npri_sec2*SQRT((1-DY216)/3)*(Pout2/Pout_total)</f>
        <v>5.8540744807239781E-2</v>
      </c>
      <c r="EH216" s="173"/>
      <c r="EI216" s="528">
        <f>Rdson*EE216^2</f>
        <v>3.2131687242798363E-5</v>
      </c>
      <c r="EJ216" s="528">
        <f>0.5*CP216*DM216*DQ216*1000*Trise</f>
        <v>1.4613333333333336E-2</v>
      </c>
      <c r="EK216" s="528">
        <f>Qg*Vdd*DQ216*1000</f>
        <v>1.2499999999999998E-3</v>
      </c>
      <c r="EL216" s="528">
        <f>0.5*(Coss+Csw)*CP216^2*DQ216*1000</f>
        <v>3.0030399999999998E-3</v>
      </c>
      <c r="EM216">
        <f>CN216*IQ</f>
        <v>1.6199999999999999E-2</v>
      </c>
      <c r="EN216" s="460">
        <f>(EK216+EM216)*1000</f>
        <v>17.45</v>
      </c>
      <c r="EP216" s="460">
        <f>SUM(EI216:EM216)*1000</f>
        <v>35.098505020576134</v>
      </c>
      <c r="EQ216" s="173">
        <f>Vfwd2*CJ216</f>
        <v>6.9999999999999996E-10</v>
      </c>
      <c r="ER216" s="173">
        <f t="shared" ref="ER216:ER247" si="688">Vfwd22*CK216*(1+Diode_TC/1000*(Ta-25))</f>
        <v>4.4375000000000001E-5</v>
      </c>
      <c r="ES216" s="528"/>
      <c r="EU216" s="460">
        <f>SUM(EQ216:ET216)*1000</f>
        <v>4.4375700000000004E-2</v>
      </c>
      <c r="EV216" s="528">
        <f>Rdcr_pri*EE216^2</f>
        <v>7.9012345679012374E-5</v>
      </c>
      <c r="EW216" s="528">
        <f>Rdcr_sec*EF216^2</f>
        <v>0.28318024691358029</v>
      </c>
      <c r="EX216" s="528">
        <f>Rdcr_sec2*EG216^2</f>
        <v>1.7135094012931857E-5</v>
      </c>
      <c r="EY216" s="528">
        <f>DM216^2.5*DQ216^2.5*k_core</f>
        <v>3.2457633037343212E-5</v>
      </c>
      <c r="EZ216" s="528"/>
      <c r="FA216" s="625">
        <f>0.5*Lleak*0.000000001*DM216^2*DQ216*1000</f>
        <v>4.4444444444444452E-4</v>
      </c>
      <c r="FB216" s="460">
        <f>SUM(EV216:FA216)*1000</f>
        <v>283.75329643075401</v>
      </c>
      <c r="FC216" s="173">
        <f>SUM(EI216:EM216,EQ216:ET216,EV216:FA216)</f>
        <v>0.31889617715133017</v>
      </c>
      <c r="FD216" s="5">
        <f>MIN(CL216+CM216,CS216+CT216)</f>
        <v>1.8000040000000002E-3</v>
      </c>
      <c r="FE216" s="173">
        <f>FD216/(FD216+FC216)</f>
        <v>5.6128014793871642E-3</v>
      </c>
      <c r="FF216" s="5">
        <f>FE216*100</f>
        <v>0.56128014793871639</v>
      </c>
      <c r="FG216">
        <f>CJ216/Iout*100</f>
        <v>1.6666666666666667E-8</v>
      </c>
      <c r="FI216" s="562">
        <f t="shared" ref="FI216:FI279" si="689">IF(ABS(CJ216-Ioutmax_Vinmax)&lt;Iout/200, DQ216, -50)</f>
        <v>-50</v>
      </c>
    </row>
    <row r="217" spans="1:169">
      <c r="E217" s="170">
        <v>1</v>
      </c>
      <c r="F217" s="217">
        <f t="shared" ref="F217:F248" si="690">IF(PLOT_TYPE=1, E217/100*Iout_max, min_I*EXP(O217*rr/100))</f>
        <v>0.06</v>
      </c>
      <c r="G217" s="217">
        <f t="shared" si="617"/>
        <v>1E-3</v>
      </c>
      <c r="H217" s="217">
        <f t="shared" si="618"/>
        <v>0.24</v>
      </c>
      <c r="I217" s="217">
        <f t="shared" si="619"/>
        <v>1.8000000000000002E-2</v>
      </c>
      <c r="J217" s="541">
        <f t="shared" si="620"/>
        <v>35.966938359800317</v>
      </c>
      <c r="K217" s="443">
        <f t="shared" si="621"/>
        <v>19.095209986569245</v>
      </c>
      <c r="L217" s="172">
        <f t="shared" si="622"/>
        <v>55.062148346369561</v>
      </c>
      <c r="M217" s="443"/>
      <c r="N217" s="217">
        <f t="shared" si="623"/>
        <v>0.34679376958651231</v>
      </c>
      <c r="O217" s="172">
        <f t="shared" si="624"/>
        <v>38.676310493894206</v>
      </c>
      <c r="P217" s="172">
        <f t="shared" si="625"/>
        <v>3.1182775335702204</v>
      </c>
      <c r="Q217" s="217">
        <f t="shared" si="626"/>
        <v>9.6690776234735516</v>
      </c>
      <c r="R217" s="217">
        <f t="shared" si="627"/>
        <v>2.1486839163274558</v>
      </c>
      <c r="S217" s="217">
        <f t="shared" si="628"/>
        <v>4</v>
      </c>
      <c r="T217" s="217">
        <f t="shared" si="629"/>
        <v>4.1368992532330368E-2</v>
      </c>
      <c r="U217" s="217">
        <f t="shared" si="630"/>
        <v>1.3802339955152095E-2</v>
      </c>
      <c r="V217" s="217">
        <f t="shared" si="631"/>
        <v>2.5997509885313158E-2</v>
      </c>
      <c r="W217" s="197">
        <f t="shared" si="632"/>
        <v>350</v>
      </c>
      <c r="X217" s="443">
        <f t="shared" ref="X217:X280" si="691">MIN(1/(U217+V217+0.2)*1000, 350)</f>
        <v>350</v>
      </c>
      <c r="Z217" s="217">
        <f t="shared" si="633"/>
        <v>2.9697881272097333</v>
      </c>
      <c r="AA217" s="173">
        <f t="shared" si="634"/>
        <v>1.8663035154671075</v>
      </c>
      <c r="AB217" s="173">
        <f t="shared" si="635"/>
        <v>3.6090867120026067</v>
      </c>
      <c r="AC217" s="173"/>
      <c r="AD217" s="173">
        <f t="shared" si="636"/>
        <v>0.83790647032704646</v>
      </c>
      <c r="AE217" s="545">
        <f t="shared" si="637"/>
        <v>26.852639043612992</v>
      </c>
      <c r="AF217" s="528">
        <f t="shared" si="638"/>
        <v>0.78204603897191016</v>
      </c>
      <c r="AH217" s="173">
        <f t="shared" si="639"/>
        <v>0.35050983275386566</v>
      </c>
      <c r="AI217" s="173">
        <f t="shared" si="640"/>
        <v>1.3333333333333335</v>
      </c>
      <c r="AJ217" s="173">
        <f t="shared" si="641"/>
        <v>1.0153443651677789</v>
      </c>
      <c r="AL217" s="545">
        <f t="shared" si="642"/>
        <v>60</v>
      </c>
      <c r="AM217" s="460">
        <f t="shared" si="643"/>
        <v>26.852639043612992</v>
      </c>
      <c r="AO217">
        <f t="shared" si="644"/>
        <v>60</v>
      </c>
      <c r="AP217">
        <f t="shared" si="645"/>
        <v>26.852639043612992</v>
      </c>
      <c r="AR217" s="5">
        <f t="shared" si="616"/>
        <v>37.240287570090956</v>
      </c>
      <c r="AS217" s="5">
        <f t="shared" si="604"/>
        <v>0.4448529880397869</v>
      </c>
      <c r="AT217" s="5">
        <f t="shared" si="605"/>
        <v>36.795434582051172</v>
      </c>
      <c r="AU217" s="173">
        <f t="shared" si="606"/>
        <v>1.1945476715305084E-2</v>
      </c>
      <c r="BA217" s="173">
        <f t="shared" ref="BA217:BA280" si="692">AI217*SQRT(AU217/3)</f>
        <v>8.413561087005364E-2</v>
      </c>
      <c r="BB217" s="173">
        <f t="shared" ref="BB217:BB280" si="693">AI217*Npri_sec1*SQRT((1-AU217)/3)*(Pout/Pout_total)</f>
        <v>3.0607549175355167</v>
      </c>
      <c r="BC217" s="173">
        <f t="shared" ref="BC217:BC280" si="694">AI217*Npri_sec2*SQRT((1-AU217)/3)*(Pout2/Pout_total)</f>
        <v>5.8319789644933492E-2</v>
      </c>
      <c r="BD217" s="173"/>
      <c r="BE217" s="528">
        <f t="shared" ref="BE217:BE280" si="695">Rdson*BA217^2</f>
        <v>8.6361372401020471E-5</v>
      </c>
      <c r="BF217" s="528">
        <f t="shared" si="646"/>
        <v>3.6964099862773346E-2</v>
      </c>
      <c r="BG217" s="528">
        <f t="shared" si="647"/>
        <v>2.4145180331989893E-2</v>
      </c>
      <c r="BH217" s="528">
        <f t="shared" ref="BH217:BH280" si="696">0.5*(Coss+Csw)*L217^2*AM217*1000</f>
        <v>8.1412910005361789E-3</v>
      </c>
      <c r="BI217">
        <f t="shared" ref="BI217:BI280" si="697">J217*IQ</f>
        <v>1.6185122261910143E-2</v>
      </c>
      <c r="BJ217" s="460">
        <f t="shared" ref="BJ217:BJ280" si="698">(BG217+BI217)*1000</f>
        <v>40.330302593900036</v>
      </c>
      <c r="BK217">
        <f t="shared" si="648"/>
        <v>4.5215997614207387E-2</v>
      </c>
      <c r="BL217" s="460">
        <f t="shared" ref="BL217:BL280" si="699">SUM(BE217:BI217)*1000</f>
        <v>85.522054829610582</v>
      </c>
      <c r="BM217" s="173">
        <f t="shared" si="649"/>
        <v>3.7274999999999996E-2</v>
      </c>
      <c r="BN217" s="173">
        <f t="shared" si="650"/>
        <v>4.4374999999999997E-4</v>
      </c>
      <c r="BQ217" s="460">
        <f t="shared" ref="BQ217:BQ280" si="700">SUM(BM217:BP217)*1000</f>
        <v>37.718749999999993</v>
      </c>
      <c r="BR217" s="528">
        <f t="shared" ref="BR217:BR280" si="701">Rdcr_pri*BA217^2</f>
        <v>2.1236403049431263E-4</v>
      </c>
      <c r="BS217" s="528">
        <f t="shared" ref="BS217:BS280" si="702">Rdcr_sec*BB217^2</f>
        <v>0.2810466199565354</v>
      </c>
      <c r="BT217" s="528">
        <f t="shared" ref="BT217:BT280" si="703">Rdcr_sec2*BC217^2</f>
        <v>1.700598932114646E-5</v>
      </c>
      <c r="BU217" s="528">
        <f t="shared" ref="BU217:BU280" si="704">AI217^2.5*AM217^2.5*k_core</f>
        <v>3.8351670105507286E-4</v>
      </c>
      <c r="BV217" s="528"/>
      <c r="BW217" s="625">
        <f t="shared" ref="BW217:BW280" si="705">0.5*Lleak*0.000000001*AI217^2*AM217*1000</f>
        <v>1.1934506241605776E-3</v>
      </c>
      <c r="BX217" s="460">
        <f t="shared" ref="BX217:BX280" si="706">SUM(BR217:BW217)*1000</f>
        <v>282.85295730156651</v>
      </c>
      <c r="BY217" s="173">
        <f t="shared" ref="BY217:BY280" si="707">SUM(BE217:BI217,BM217:BP217,BR217:BW217)</f>
        <v>0.40609376213117709</v>
      </c>
      <c r="BZ217" s="5">
        <f t="shared" ref="BZ217:BZ280" si="708">MIN(H217+I217,O217+P217)</f>
        <v>0.25800000000000001</v>
      </c>
      <c r="CA217" s="173">
        <f t="shared" ref="CA217:CA280" si="709">BZ217/(BZ217+BY217)</f>
        <v>0.3884993576389561</v>
      </c>
      <c r="CB217" s="5">
        <f t="shared" ref="CB217:CB280" si="710">CA217*100</f>
        <v>38.849935763895608</v>
      </c>
      <c r="CC217">
        <f t="shared" ref="CC217:CC280" si="711">F217/Iout*100</f>
        <v>1</v>
      </c>
      <c r="CE217" s="562">
        <f t="shared" si="651"/>
        <v>-50</v>
      </c>
      <c r="CG217" s="173">
        <f t="shared" si="652"/>
        <v>2.4389418812263645E-2</v>
      </c>
      <c r="CH217" s="173">
        <f t="shared" si="653"/>
        <v>5.8424289523989741E-3</v>
      </c>
      <c r="CI217" s="170">
        <v>1</v>
      </c>
      <c r="CJ217" s="217">
        <f t="shared" ref="CJ217:CJ280" si="712">IF(PLOT_TYPE=1, CI217/100*Iout_max, min_I*EXP(CS217*rr/100))</f>
        <v>0.06</v>
      </c>
      <c r="CK217" s="217">
        <f t="shared" si="654"/>
        <v>1E-3</v>
      </c>
      <c r="CL217" s="217">
        <f t="shared" si="655"/>
        <v>0.24</v>
      </c>
      <c r="CM217" s="217">
        <f t="shared" si="656"/>
        <v>1.8000000000000002E-2</v>
      </c>
      <c r="CN217" s="541">
        <f t="shared" si="657"/>
        <v>36</v>
      </c>
      <c r="CO217" s="443">
        <f t="shared" si="658"/>
        <v>18.8</v>
      </c>
      <c r="CP217" s="443">
        <f t="shared" si="659"/>
        <v>54.8</v>
      </c>
      <c r="CQ217" s="443"/>
      <c r="CR217" s="217">
        <f t="shared" si="660"/>
        <v>0.34306569343065696</v>
      </c>
      <c r="CS217" s="172">
        <f t="shared" si="661"/>
        <v>38.295705313189622</v>
      </c>
      <c r="CT217" s="172">
        <f t="shared" si="662"/>
        <v>3.0875912408759132</v>
      </c>
      <c r="CU217" s="217">
        <f t="shared" si="663"/>
        <v>9.5739263282974054</v>
      </c>
      <c r="CV217" s="217">
        <f t="shared" si="664"/>
        <v>2.12753918406609</v>
      </c>
      <c r="CW217" s="217">
        <f t="shared" si="665"/>
        <v>4</v>
      </c>
      <c r="CX217" s="217">
        <f t="shared" si="666"/>
        <v>4.1780141843971629E-2</v>
      </c>
      <c r="CY217" s="217">
        <f t="shared" si="667"/>
        <v>1.3926713947990544E-2</v>
      </c>
      <c r="CZ217" s="217">
        <f t="shared" si="668"/>
        <v>2.6668175645088277E-2</v>
      </c>
      <c r="DA217" s="197">
        <f t="shared" si="669"/>
        <v>350</v>
      </c>
      <c r="DB217" s="443">
        <f t="shared" si="670"/>
        <v>350</v>
      </c>
      <c r="DD217" s="217">
        <f t="shared" si="671"/>
        <v>2.940563086548488</v>
      </c>
      <c r="DE217" s="173">
        <f t="shared" si="672"/>
        <v>1.8769551616266944</v>
      </c>
      <c r="DF217" s="173">
        <f t="shared" si="673"/>
        <v>3.5939660877863036</v>
      </c>
      <c r="DG217" s="173"/>
      <c r="DH217" s="173">
        <f t="shared" si="674"/>
        <v>0.85106382978723416</v>
      </c>
      <c r="DI217" s="545">
        <f t="shared" si="675"/>
        <v>26.437499999999989</v>
      </c>
      <c r="DJ217" s="528">
        <f t="shared" si="676"/>
        <v>0.79432624113475192</v>
      </c>
      <c r="DL217" s="173">
        <f t="shared" si="677"/>
        <v>0.35050983275386566</v>
      </c>
      <c r="DM217" s="173">
        <f t="shared" si="678"/>
        <v>1.3333333333333335</v>
      </c>
      <c r="DN217" s="173">
        <f t="shared" si="679"/>
        <v>1.0151071428571428</v>
      </c>
      <c r="DP217" s="545">
        <f t="shared" si="680"/>
        <v>60</v>
      </c>
      <c r="DQ217" s="460">
        <f t="shared" si="681"/>
        <v>26.437499999999989</v>
      </c>
      <c r="DS217">
        <f t="shared" si="682"/>
        <v>60</v>
      </c>
      <c r="DT217">
        <f t="shared" si="683"/>
        <v>26.437499999999989</v>
      </c>
      <c r="DV217" s="5">
        <f t="shared" si="684"/>
        <v>37.825059101654858</v>
      </c>
      <c r="DW217" s="5">
        <f t="shared" si="685"/>
        <v>0.44444444444444453</v>
      </c>
      <c r="DX217" s="5">
        <f t="shared" si="686"/>
        <v>37.380614657210415</v>
      </c>
      <c r="DY217" s="173">
        <f t="shared" si="687"/>
        <v>1.1749999999999998E-2</v>
      </c>
      <c r="EA217" s="5">
        <f t="shared" ref="EA217:EA280" si="713">CJ217*DW217/Vout_ripple*1000</f>
        <v>0.66666666666666674</v>
      </c>
      <c r="EB217" s="5">
        <f t="shared" ref="EB217:EB280" si="714">CK217*DW217/Vout_ripple2*1000</f>
        <v>2.4691358024691362E-3</v>
      </c>
      <c r="EC217" s="5">
        <f t="shared" ref="EC217:EC280" si="715">CL217/Efficiency/CN217*DX217/Vinripple1</f>
        <v>0.20767008142894672</v>
      </c>
      <c r="ED217" s="5"/>
      <c r="EE217" s="173">
        <f t="shared" ref="EE217:EE280" si="716">DM217*SQRT(DY217/3)</f>
        <v>8.3444370468971504E-2</v>
      </c>
      <c r="EF217" s="173">
        <f t="shared" ref="EF217:EF280" si="717">DM217*Npri_sec1*SQRT((1-DY217)/3)*(Pout/Pout_total)</f>
        <v>3.0610576724514802</v>
      </c>
      <c r="EG217" s="173">
        <f t="shared" ref="EG217:EG280" si="718">DM217*Npri_sec2*SQRT((1-DY217)/3)*(Pout2/Pout_total)</f>
        <v>5.8325558353467387E-2</v>
      </c>
      <c r="EH217" s="173"/>
      <c r="EI217" s="528">
        <f t="shared" ref="EI217:EI280" si="719">Rdson*EE217^2</f>
        <v>8.4948148148148141E-5</v>
      </c>
      <c r="EJ217" s="528">
        <f t="shared" ref="EJ217:EJ280" si="720">0.5*CP217*DM217*DQ217*1000*Trise</f>
        <v>3.8633999999999995E-2</v>
      </c>
      <c r="EK217" s="528">
        <f t="shared" ref="EK217:EK280" si="721">Qg*Vdd*DQ217*1000</f>
        <v>3.3046874999999986E-3</v>
      </c>
      <c r="EL217" s="528">
        <f t="shared" ref="EL217:EL280" si="722">0.5*(Coss+Csw)*CP217^2*DQ217*1000</f>
        <v>7.9392869999999963E-3</v>
      </c>
      <c r="EM217">
        <f t="shared" ref="EM217:EM280" si="723">CN217*IQ</f>
        <v>1.6199999999999999E-2</v>
      </c>
      <c r="EN217" s="460">
        <f t="shared" ref="EN217:EN280" si="724">(EK217+EM217)*1000</f>
        <v>19.504687499999999</v>
      </c>
      <c r="EP217" s="460">
        <f t="shared" ref="EP217:EP280" si="725">SUM(EI217:EM217)*1000</f>
        <v>66.162922648148125</v>
      </c>
      <c r="EQ217" s="173">
        <f t="shared" ref="EQ217:EQ280" si="726">Vfwd2*CJ217</f>
        <v>4.1999999999999996E-2</v>
      </c>
      <c r="ER217" s="173">
        <f t="shared" si="688"/>
        <v>4.4374999999999997E-4</v>
      </c>
      <c r="ES217" s="528"/>
      <c r="EU217" s="460">
        <f t="shared" ref="EU217:EU280" si="727">SUM(EQ217:ET217)*1000</f>
        <v>42.443749999999994</v>
      </c>
      <c r="EV217" s="528">
        <f t="shared" ref="EV217:EV280" si="728">Rdcr_pri*EE217^2</f>
        <v>2.0888888888888888E-4</v>
      </c>
      <c r="EW217" s="528">
        <f t="shared" ref="EW217:EW280" si="729">Rdcr_sec*EF217^2</f>
        <v>0.2811022222222222</v>
      </c>
      <c r="EX217" s="528">
        <f t="shared" ref="EX217:EX280" si="730">Rdcr_sec2*EG217^2</f>
        <v>1.7009353786218646E-5</v>
      </c>
      <c r="EY217" s="528">
        <f t="shared" ref="EY217:EY280" si="731">DM217^2.5*DQ217^2.5*k_core</f>
        <v>3.6886530473812629E-4</v>
      </c>
      <c r="EZ217" s="528"/>
      <c r="FA217" s="625">
        <f t="shared" ref="FA217:FA280" si="732">0.5*Lleak*0.000000001*DM217^2*DQ217*1000</f>
        <v>1.1749999999999998E-3</v>
      </c>
      <c r="FB217" s="460">
        <f t="shared" ref="FB217:FB280" si="733">SUM(EV217:FA217)*1000</f>
        <v>282.87198576963539</v>
      </c>
      <c r="FC217" s="173">
        <f t="shared" ref="FC217:FC280" si="734">SUM(EI217:EM217,EQ217:ET217,EV217:FA217)</f>
        <v>0.39147865841778356</v>
      </c>
      <c r="FD217" s="5">
        <f t="shared" ref="FD217:FD280" si="735">MIN(CL217+CM217,CS217+CT217)</f>
        <v>0.25800000000000001</v>
      </c>
      <c r="FE217" s="173">
        <f t="shared" ref="FE217:FE280" si="736">FD217/(FD217+FC217)</f>
        <v>0.3972416901711941</v>
      </c>
      <c r="FF217" s="5">
        <f t="shared" ref="FF217:FF280" si="737">FE217*100</f>
        <v>39.724169017119408</v>
      </c>
      <c r="FG217">
        <f t="shared" ref="FG217:FG280" si="738">CJ217/Iout*100</f>
        <v>1</v>
      </c>
      <c r="FI217" s="562">
        <f t="shared" si="689"/>
        <v>-50</v>
      </c>
    </row>
    <row r="218" spans="1:169">
      <c r="E218" s="170">
        <v>2</v>
      </c>
      <c r="F218" s="217">
        <f t="shared" si="690"/>
        <v>0.12</v>
      </c>
      <c r="G218" s="217">
        <f t="shared" si="617"/>
        <v>2E-3</v>
      </c>
      <c r="H218" s="217">
        <f t="shared" si="618"/>
        <v>0.48</v>
      </c>
      <c r="I218" s="217">
        <f t="shared" si="619"/>
        <v>3.6000000000000004E-2</v>
      </c>
      <c r="J218" s="541">
        <f t="shared" si="620"/>
        <v>35.966938359800317</v>
      </c>
      <c r="K218" s="443">
        <f t="shared" si="621"/>
        <v>19.095209986569245</v>
      </c>
      <c r="L218" s="172">
        <f t="shared" si="622"/>
        <v>55.062148346369561</v>
      </c>
      <c r="M218" s="443"/>
      <c r="N218" s="217">
        <f t="shared" si="623"/>
        <v>0.34679376958651231</v>
      </c>
      <c r="O218" s="172">
        <f t="shared" si="624"/>
        <v>38.676310493894206</v>
      </c>
      <c r="P218" s="172">
        <f t="shared" si="625"/>
        <v>3.1182775335702204</v>
      </c>
      <c r="Q218" s="217">
        <f t="shared" si="626"/>
        <v>9.6690776234735516</v>
      </c>
      <c r="R218" s="217">
        <f t="shared" si="627"/>
        <v>2.1486839163274558</v>
      </c>
      <c r="S218" s="217">
        <f t="shared" si="628"/>
        <v>4</v>
      </c>
      <c r="T218" s="217">
        <f t="shared" si="629"/>
        <v>8.2737985064660735E-2</v>
      </c>
      <c r="U218" s="217">
        <f t="shared" si="630"/>
        <v>2.760467991030419E-2</v>
      </c>
      <c r="V218" s="217">
        <f t="shared" si="631"/>
        <v>5.1995019770626316E-2</v>
      </c>
      <c r="W218" s="197">
        <f t="shared" si="632"/>
        <v>350</v>
      </c>
      <c r="X218" s="443">
        <f t="shared" si="691"/>
        <v>350</v>
      </c>
      <c r="Z218" s="217">
        <f t="shared" si="633"/>
        <v>2.9697881272097333</v>
      </c>
      <c r="AA218" s="173">
        <f t="shared" si="634"/>
        <v>1.8663035154671075</v>
      </c>
      <c r="AB218" s="173">
        <f t="shared" si="635"/>
        <v>3.6090867120026067</v>
      </c>
      <c r="AC218" s="173"/>
      <c r="AD218" s="173">
        <f t="shared" si="636"/>
        <v>0.83790647032704646</v>
      </c>
      <c r="AE218" s="545">
        <f t="shared" si="637"/>
        <v>53.705278087225985</v>
      </c>
      <c r="AF218" s="528">
        <f t="shared" si="638"/>
        <v>0.78204603897191016</v>
      </c>
      <c r="AH218" s="173">
        <f t="shared" si="639"/>
        <v>0.49569575922564207</v>
      </c>
      <c r="AI218" s="173">
        <f t="shared" si="640"/>
        <v>1.3333333333333335</v>
      </c>
      <c r="AJ218" s="173">
        <f t="shared" si="641"/>
        <v>1.0306887303355576</v>
      </c>
      <c r="AL218" s="545">
        <f t="shared" si="642"/>
        <v>120</v>
      </c>
      <c r="AM218" s="460">
        <f t="shared" si="643"/>
        <v>53.705278087225985</v>
      </c>
      <c r="AO218">
        <f t="shared" si="644"/>
        <v>120</v>
      </c>
      <c r="AP218">
        <f t="shared" si="645"/>
        <v>53.705278087225985</v>
      </c>
      <c r="AR218" s="5">
        <f t="shared" si="616"/>
        <v>18.620143785045478</v>
      </c>
      <c r="AS218" s="5">
        <f t="shared" si="604"/>
        <v>0.4448529880397869</v>
      </c>
      <c r="AT218" s="5">
        <f t="shared" si="605"/>
        <v>18.17529079700569</v>
      </c>
      <c r="AU218" s="173">
        <f t="shared" si="606"/>
        <v>2.3890953430610169E-2</v>
      </c>
      <c r="BA218" s="173">
        <f t="shared" si="692"/>
        <v>0.11898572197097507</v>
      </c>
      <c r="BB218" s="173">
        <f t="shared" si="693"/>
        <v>3.0421965500201034</v>
      </c>
      <c r="BC218" s="173">
        <f t="shared" si="694"/>
        <v>5.7966177507139803E-2</v>
      </c>
      <c r="BD218" s="173"/>
      <c r="BE218" s="528">
        <f t="shared" si="695"/>
        <v>1.7272274480204097E-4</v>
      </c>
      <c r="BF218" s="528">
        <f t="shared" si="646"/>
        <v>7.3928199725546692E-2</v>
      </c>
      <c r="BG218" s="528">
        <f t="shared" si="647"/>
        <v>4.8290360663979785E-2</v>
      </c>
      <c r="BH218" s="528">
        <f t="shared" si="696"/>
        <v>1.6282582001072358E-2</v>
      </c>
      <c r="BI218">
        <f t="shared" si="697"/>
        <v>1.6185122261910143E-2</v>
      </c>
      <c r="BJ218" s="460">
        <f t="shared" si="698"/>
        <v>64.475482925889921</v>
      </c>
      <c r="BK218">
        <f t="shared" si="648"/>
        <v>9.0433850920467504E-2</v>
      </c>
      <c r="BL218" s="460">
        <f t="shared" si="699"/>
        <v>154.85898739731101</v>
      </c>
      <c r="BM218" s="173">
        <f t="shared" si="649"/>
        <v>7.4549999999999991E-2</v>
      </c>
      <c r="BN218" s="173">
        <f t="shared" si="650"/>
        <v>8.8749999999999994E-4</v>
      </c>
      <c r="BQ218" s="460">
        <f t="shared" si="700"/>
        <v>75.437499999999986</v>
      </c>
      <c r="BR218" s="528">
        <f t="shared" si="701"/>
        <v>4.2472806098862537E-4</v>
      </c>
      <c r="BS218" s="528">
        <f t="shared" si="702"/>
        <v>0.27764879546862653</v>
      </c>
      <c r="BT218" s="528">
        <f t="shared" si="703"/>
        <v>1.6800388673946203E-5</v>
      </c>
      <c r="BU218" s="528">
        <f t="shared" si="704"/>
        <v>2.1694980801146863E-3</v>
      </c>
      <c r="BV218" s="528"/>
      <c r="BW218" s="625">
        <f t="shared" si="705"/>
        <v>2.3869012483211552E-3</v>
      </c>
      <c r="BX218" s="460">
        <f t="shared" si="706"/>
        <v>282.64672324672495</v>
      </c>
      <c r="BY218" s="173">
        <f t="shared" si="707"/>
        <v>0.51294321064403603</v>
      </c>
      <c r="BZ218" s="5">
        <f t="shared" si="708"/>
        <v>0.51600000000000001</v>
      </c>
      <c r="CA218" s="173">
        <f t="shared" si="709"/>
        <v>0.50148540236445649</v>
      </c>
      <c r="CB218" s="5">
        <f t="shared" si="710"/>
        <v>50.148540236445648</v>
      </c>
      <c r="CC218">
        <f t="shared" si="711"/>
        <v>2</v>
      </c>
      <c r="CE218" s="562">
        <f t="shared" si="651"/>
        <v>-50</v>
      </c>
      <c r="CG218" s="173">
        <f t="shared" si="652"/>
        <v>4.8778837624527289E-2</v>
      </c>
      <c r="CH218" s="173">
        <f t="shared" si="653"/>
        <v>1.1684857904797948E-2</v>
      </c>
      <c r="CI218" s="170">
        <v>2</v>
      </c>
      <c r="CJ218" s="217">
        <f t="shared" si="712"/>
        <v>0.12</v>
      </c>
      <c r="CK218" s="217">
        <f t="shared" si="654"/>
        <v>2E-3</v>
      </c>
      <c r="CL218" s="217">
        <f t="shared" si="655"/>
        <v>0.48</v>
      </c>
      <c r="CM218" s="217">
        <f t="shared" si="656"/>
        <v>3.6000000000000004E-2</v>
      </c>
      <c r="CN218" s="541">
        <f t="shared" si="657"/>
        <v>36</v>
      </c>
      <c r="CO218" s="443">
        <f t="shared" si="658"/>
        <v>18.8</v>
      </c>
      <c r="CP218" s="443">
        <f t="shared" si="659"/>
        <v>54.8</v>
      </c>
      <c r="CQ218" s="443"/>
      <c r="CR218" s="217">
        <f t="shared" si="660"/>
        <v>0.34306569343065696</v>
      </c>
      <c r="CS218" s="172">
        <f t="shared" si="661"/>
        <v>38.295705313189622</v>
      </c>
      <c r="CT218" s="172">
        <f t="shared" si="662"/>
        <v>3.0875912408759132</v>
      </c>
      <c r="CU218" s="217">
        <f t="shared" si="663"/>
        <v>9.5739263282974054</v>
      </c>
      <c r="CV218" s="217">
        <f t="shared" si="664"/>
        <v>2.12753918406609</v>
      </c>
      <c r="CW218" s="217">
        <f t="shared" si="665"/>
        <v>4</v>
      </c>
      <c r="CX218" s="217">
        <f t="shared" si="666"/>
        <v>8.3560283687943257E-2</v>
      </c>
      <c r="CY218" s="217">
        <f t="shared" si="667"/>
        <v>2.7853427895981088E-2</v>
      </c>
      <c r="CZ218" s="217">
        <f t="shared" si="668"/>
        <v>5.3336351290176554E-2</v>
      </c>
      <c r="DA218" s="197">
        <f t="shared" si="669"/>
        <v>350</v>
      </c>
      <c r="DB218" s="443">
        <f t="shared" si="670"/>
        <v>350</v>
      </c>
      <c r="DD218" s="217">
        <f t="shared" si="671"/>
        <v>2.940563086548488</v>
      </c>
      <c r="DE218" s="173">
        <f t="shared" si="672"/>
        <v>1.8769551616266944</v>
      </c>
      <c r="DF218" s="173">
        <f t="shared" si="673"/>
        <v>3.5939660877863036</v>
      </c>
      <c r="DG218" s="173"/>
      <c r="DH218" s="173">
        <f t="shared" si="674"/>
        <v>0.85106382978723416</v>
      </c>
      <c r="DI218" s="545">
        <f t="shared" si="675"/>
        <v>52.874999999999979</v>
      </c>
      <c r="DJ218" s="528">
        <f t="shared" si="676"/>
        <v>0.79432624113475192</v>
      </c>
      <c r="DL218" s="173">
        <f t="shared" si="677"/>
        <v>0.49569575922564207</v>
      </c>
      <c r="DM218" s="173">
        <f t="shared" si="678"/>
        <v>1.3333333333333335</v>
      </c>
      <c r="DN218" s="173">
        <f t="shared" si="679"/>
        <v>1.0302142857142857</v>
      </c>
      <c r="DP218" s="545">
        <f t="shared" si="680"/>
        <v>120</v>
      </c>
      <c r="DQ218" s="460">
        <f t="shared" si="681"/>
        <v>52.874999999999979</v>
      </c>
      <c r="DS218">
        <f t="shared" si="682"/>
        <v>120</v>
      </c>
      <c r="DT218">
        <f t="shared" si="683"/>
        <v>52.874999999999979</v>
      </c>
      <c r="DV218" s="5">
        <f t="shared" si="684"/>
        <v>18.912529550827429</v>
      </c>
      <c r="DW218" s="5">
        <f t="shared" si="685"/>
        <v>0.44444444444444453</v>
      </c>
      <c r="DX218" s="5">
        <f t="shared" si="686"/>
        <v>18.468085106382986</v>
      </c>
      <c r="DY218" s="173">
        <f t="shared" si="687"/>
        <v>2.3499999999999997E-2</v>
      </c>
      <c r="EA218" s="5">
        <f t="shared" si="713"/>
        <v>1.3333333333333335</v>
      </c>
      <c r="EB218" s="5">
        <f t="shared" si="714"/>
        <v>4.9382716049382724E-3</v>
      </c>
      <c r="EC218" s="5">
        <f t="shared" si="715"/>
        <v>0.20520094562647759</v>
      </c>
      <c r="ED218" s="5"/>
      <c r="EE218" s="173">
        <f t="shared" si="716"/>
        <v>0.11800816042090448</v>
      </c>
      <c r="EF218" s="173">
        <f t="shared" si="717"/>
        <v>3.042805722793795</v>
      </c>
      <c r="EG218" s="173">
        <f t="shared" si="718"/>
        <v>5.7977784718097988E-2</v>
      </c>
      <c r="EH218" s="173"/>
      <c r="EI218" s="528">
        <f t="shared" si="719"/>
        <v>1.6989629629629628E-4</v>
      </c>
      <c r="EJ218" s="528">
        <f t="shared" si="720"/>
        <v>7.7267999999999989E-2</v>
      </c>
      <c r="EK218" s="528">
        <f t="shared" si="721"/>
        <v>6.6093749999999972E-3</v>
      </c>
      <c r="EL218" s="528">
        <f t="shared" si="722"/>
        <v>1.5878573999999993E-2</v>
      </c>
      <c r="EM218">
        <f t="shared" si="723"/>
        <v>1.6199999999999999E-2</v>
      </c>
      <c r="EN218" s="460">
        <f t="shared" si="724"/>
        <v>22.809374999999996</v>
      </c>
      <c r="EP218" s="460">
        <f t="shared" si="725"/>
        <v>116.12584529629628</v>
      </c>
      <c r="EQ218" s="173">
        <f t="shared" si="726"/>
        <v>8.3999999999999991E-2</v>
      </c>
      <c r="ER218" s="173">
        <f t="shared" si="688"/>
        <v>8.8749999999999994E-4</v>
      </c>
      <c r="ES218" s="528"/>
      <c r="EU218" s="460">
        <f t="shared" si="727"/>
        <v>84.887499999999989</v>
      </c>
      <c r="EV218" s="528">
        <f t="shared" si="728"/>
        <v>4.1777777777777777E-4</v>
      </c>
      <c r="EW218" s="528">
        <f t="shared" si="729"/>
        <v>0.27776000000000012</v>
      </c>
      <c r="EX218" s="528">
        <f t="shared" si="730"/>
        <v>1.6807117604090583E-5</v>
      </c>
      <c r="EY218" s="528">
        <f t="shared" si="731"/>
        <v>2.08661726659817E-3</v>
      </c>
      <c r="EZ218" s="528"/>
      <c r="FA218" s="625">
        <f t="shared" si="732"/>
        <v>2.3499999999999997E-3</v>
      </c>
      <c r="FB218" s="460">
        <f t="shared" si="733"/>
        <v>282.63120216198018</v>
      </c>
      <c r="FC218" s="173">
        <f t="shared" si="734"/>
        <v>0.48364454745827645</v>
      </c>
      <c r="FD218" s="5">
        <f t="shared" si="735"/>
        <v>0.51600000000000001</v>
      </c>
      <c r="FE218" s="173">
        <f t="shared" si="736"/>
        <v>0.51618347872951009</v>
      </c>
      <c r="FF218" s="5">
        <f t="shared" si="737"/>
        <v>51.618347872951006</v>
      </c>
      <c r="FG218">
        <f t="shared" si="738"/>
        <v>2</v>
      </c>
      <c r="FI218" s="562">
        <f t="shared" si="689"/>
        <v>-50</v>
      </c>
    </row>
    <row r="219" spans="1:169">
      <c r="E219" s="170">
        <v>3</v>
      </c>
      <c r="F219" s="217">
        <f t="shared" si="690"/>
        <v>0.18</v>
      </c>
      <c r="G219" s="217">
        <f t="shared" si="617"/>
        <v>3.0000000000000001E-3</v>
      </c>
      <c r="H219" s="217">
        <f t="shared" si="618"/>
        <v>0.72</v>
      </c>
      <c r="I219" s="217">
        <f t="shared" si="619"/>
        <v>5.3999999999999999E-2</v>
      </c>
      <c r="J219" s="541">
        <f t="shared" si="620"/>
        <v>35.966938359800317</v>
      </c>
      <c r="K219" s="443">
        <f t="shared" si="621"/>
        <v>19.095209986569245</v>
      </c>
      <c r="L219" s="172">
        <f t="shared" si="622"/>
        <v>55.062148346369561</v>
      </c>
      <c r="M219" s="443"/>
      <c r="N219" s="217">
        <f t="shared" si="623"/>
        <v>0.34679376958651231</v>
      </c>
      <c r="O219" s="172">
        <f t="shared" si="624"/>
        <v>38.676310493894206</v>
      </c>
      <c r="P219" s="172">
        <f t="shared" si="625"/>
        <v>3.1182775335702204</v>
      </c>
      <c r="Q219" s="217">
        <f t="shared" si="626"/>
        <v>9.6690776234735516</v>
      </c>
      <c r="R219" s="217">
        <f t="shared" si="627"/>
        <v>2.1486839163274558</v>
      </c>
      <c r="S219" s="217">
        <f t="shared" si="628"/>
        <v>4</v>
      </c>
      <c r="T219" s="217">
        <f t="shared" si="629"/>
        <v>0.1241069775969911</v>
      </c>
      <c r="U219" s="217">
        <f t="shared" si="630"/>
        <v>4.1407019865456279E-2</v>
      </c>
      <c r="V219" s="217">
        <f t="shared" si="631"/>
        <v>7.7992529655939474E-2</v>
      </c>
      <c r="W219" s="197">
        <f t="shared" si="632"/>
        <v>350</v>
      </c>
      <c r="X219" s="443">
        <f t="shared" si="691"/>
        <v>350</v>
      </c>
      <c r="Z219" s="217">
        <f t="shared" si="633"/>
        <v>2.9697881272097333</v>
      </c>
      <c r="AA219" s="173">
        <f t="shared" si="634"/>
        <v>1.8663035154671075</v>
      </c>
      <c r="AB219" s="173">
        <f t="shared" si="635"/>
        <v>3.6090867120026067</v>
      </c>
      <c r="AC219" s="173"/>
      <c r="AD219" s="173">
        <f t="shared" si="636"/>
        <v>0.83790647032704646</v>
      </c>
      <c r="AE219" s="545">
        <f t="shared" si="637"/>
        <v>80.557917130838959</v>
      </c>
      <c r="AF219" s="528">
        <f t="shared" si="638"/>
        <v>0.78204603897191016</v>
      </c>
      <c r="AH219" s="173">
        <f t="shared" si="639"/>
        <v>0.60710083888216504</v>
      </c>
      <c r="AI219" s="173">
        <f t="shared" si="640"/>
        <v>1.3333333333333335</v>
      </c>
      <c r="AJ219" s="173">
        <f t="shared" si="641"/>
        <v>1.0460330955033366</v>
      </c>
      <c r="AL219" s="545">
        <f t="shared" si="642"/>
        <v>180</v>
      </c>
      <c r="AM219" s="460">
        <f t="shared" si="643"/>
        <v>80.557917130838959</v>
      </c>
      <c r="AO219">
        <f t="shared" si="644"/>
        <v>180</v>
      </c>
      <c r="AP219">
        <f t="shared" si="645"/>
        <v>80.557917130838959</v>
      </c>
      <c r="AR219" s="5">
        <f t="shared" si="616"/>
        <v>12.413429190030321</v>
      </c>
      <c r="AS219" s="5">
        <f t="shared" si="604"/>
        <v>0.4448529880397869</v>
      </c>
      <c r="AT219" s="5">
        <f t="shared" si="605"/>
        <v>11.968576201990533</v>
      </c>
      <c r="AU219" s="173">
        <f t="shared" si="606"/>
        <v>3.5836430145915248E-2</v>
      </c>
      <c r="BA219" s="173">
        <f t="shared" si="692"/>
        <v>0.14572715275277723</v>
      </c>
      <c r="BB219" s="173">
        <f t="shared" si="693"/>
        <v>3.0235242735408265</v>
      </c>
      <c r="BC219" s="173">
        <f t="shared" si="694"/>
        <v>5.7610394941791425E-2</v>
      </c>
      <c r="BD219" s="173"/>
      <c r="BE219" s="528">
        <f t="shared" si="695"/>
        <v>2.5908411720306147E-4</v>
      </c>
      <c r="BF219" s="528">
        <f t="shared" si="646"/>
        <v>0.11089229958832</v>
      </c>
      <c r="BG219" s="528">
        <f t="shared" si="647"/>
        <v>7.2435540995969674E-2</v>
      </c>
      <c r="BH219" s="528">
        <f t="shared" si="696"/>
        <v>2.4423873001608531E-2</v>
      </c>
      <c r="BI219">
        <f t="shared" si="697"/>
        <v>1.6185122261910143E-2</v>
      </c>
      <c r="BJ219" s="460">
        <f t="shared" si="698"/>
        <v>88.620663257879812</v>
      </c>
      <c r="BK219">
        <f t="shared" si="648"/>
        <v>0.13565356003302076</v>
      </c>
      <c r="BL219" s="460">
        <f t="shared" si="699"/>
        <v>224.19591996501143</v>
      </c>
      <c r="BM219" s="173">
        <f t="shared" si="649"/>
        <v>0.11182499999999999</v>
      </c>
      <c r="BN219" s="173">
        <f t="shared" si="650"/>
        <v>1.33125E-3</v>
      </c>
      <c r="BQ219" s="460">
        <f t="shared" si="700"/>
        <v>113.15625</v>
      </c>
      <c r="BR219" s="528">
        <f t="shared" si="701"/>
        <v>6.37092091482938E-4</v>
      </c>
      <c r="BS219" s="528">
        <f t="shared" si="702"/>
        <v>0.27425097098071749</v>
      </c>
      <c r="BT219" s="528">
        <f t="shared" si="703"/>
        <v>1.6594788026745936E-5</v>
      </c>
      <c r="BU219" s="528">
        <f t="shared" si="704"/>
        <v>5.9784337060073021E-3</v>
      </c>
      <c r="BV219" s="528"/>
      <c r="BW219" s="625">
        <f t="shared" si="705"/>
        <v>3.5803518724817321E-3</v>
      </c>
      <c r="BX219" s="460">
        <f t="shared" si="706"/>
        <v>284.46344343871624</v>
      </c>
      <c r="BY219" s="173">
        <f t="shared" si="707"/>
        <v>0.6218156134037276</v>
      </c>
      <c r="BZ219" s="5">
        <f t="shared" si="708"/>
        <v>0.77400000000000002</v>
      </c>
      <c r="CA219" s="173">
        <f t="shared" si="709"/>
        <v>0.55451450217882559</v>
      </c>
      <c r="CB219" s="5">
        <f t="shared" si="710"/>
        <v>55.451450217882559</v>
      </c>
      <c r="CC219">
        <f t="shared" si="711"/>
        <v>3</v>
      </c>
      <c r="CE219" s="562">
        <f t="shared" si="651"/>
        <v>-50</v>
      </c>
      <c r="CG219" s="173">
        <f t="shared" si="652"/>
        <v>7.3168256436790938E-2</v>
      </c>
      <c r="CH219" s="173">
        <f t="shared" si="653"/>
        <v>1.7527286857196924E-2</v>
      </c>
      <c r="CI219" s="170">
        <v>3</v>
      </c>
      <c r="CJ219" s="217">
        <f t="shared" si="712"/>
        <v>0.18</v>
      </c>
      <c r="CK219" s="217">
        <f t="shared" si="654"/>
        <v>3.0000000000000001E-3</v>
      </c>
      <c r="CL219" s="217">
        <f t="shared" si="655"/>
        <v>0.72</v>
      </c>
      <c r="CM219" s="217">
        <f t="shared" si="656"/>
        <v>5.3999999999999999E-2</v>
      </c>
      <c r="CN219" s="541">
        <f t="shared" si="657"/>
        <v>36</v>
      </c>
      <c r="CO219" s="443">
        <f t="shared" si="658"/>
        <v>18.8</v>
      </c>
      <c r="CP219" s="443">
        <f t="shared" si="659"/>
        <v>54.8</v>
      </c>
      <c r="CQ219" s="443"/>
      <c r="CR219" s="217">
        <f t="shared" si="660"/>
        <v>0.34306569343065696</v>
      </c>
      <c r="CS219" s="172">
        <f t="shared" si="661"/>
        <v>38.295705313189622</v>
      </c>
      <c r="CT219" s="172">
        <f t="shared" si="662"/>
        <v>3.0875912408759132</v>
      </c>
      <c r="CU219" s="217">
        <f t="shared" si="663"/>
        <v>9.5739263282974054</v>
      </c>
      <c r="CV219" s="217">
        <f t="shared" si="664"/>
        <v>2.12753918406609</v>
      </c>
      <c r="CW219" s="217">
        <f t="shared" si="665"/>
        <v>4</v>
      </c>
      <c r="CX219" s="217">
        <f t="shared" si="666"/>
        <v>0.12534042553191488</v>
      </c>
      <c r="CY219" s="217">
        <f t="shared" si="667"/>
        <v>4.1780141843971629E-2</v>
      </c>
      <c r="CZ219" s="217">
        <f t="shared" si="668"/>
        <v>8.0004526935264816E-2</v>
      </c>
      <c r="DA219" s="197">
        <f t="shared" si="669"/>
        <v>350</v>
      </c>
      <c r="DB219" s="443">
        <f t="shared" si="670"/>
        <v>350</v>
      </c>
      <c r="DD219" s="217">
        <f t="shared" si="671"/>
        <v>2.940563086548488</v>
      </c>
      <c r="DE219" s="173">
        <f t="shared" si="672"/>
        <v>1.8769551616266944</v>
      </c>
      <c r="DF219" s="173">
        <f t="shared" si="673"/>
        <v>3.5939660877863036</v>
      </c>
      <c r="DG219" s="173"/>
      <c r="DH219" s="173">
        <f t="shared" si="674"/>
        <v>0.85106382978723416</v>
      </c>
      <c r="DI219" s="545">
        <f t="shared" si="675"/>
        <v>79.312499999999986</v>
      </c>
      <c r="DJ219" s="528">
        <f t="shared" si="676"/>
        <v>0.79432624113475192</v>
      </c>
      <c r="DL219" s="173">
        <f t="shared" si="677"/>
        <v>0.60710083888216504</v>
      </c>
      <c r="DM219" s="173">
        <f t="shared" si="678"/>
        <v>1.3333333333333335</v>
      </c>
      <c r="DN219" s="173">
        <f t="shared" si="679"/>
        <v>1.0453214285714285</v>
      </c>
      <c r="DP219" s="545">
        <f t="shared" si="680"/>
        <v>180</v>
      </c>
      <c r="DQ219" s="460">
        <f t="shared" si="681"/>
        <v>79.312499999999986</v>
      </c>
      <c r="DS219">
        <f t="shared" si="682"/>
        <v>180</v>
      </c>
      <c r="DT219">
        <f t="shared" si="683"/>
        <v>79.312499999999986</v>
      </c>
      <c r="DV219" s="5">
        <f t="shared" si="684"/>
        <v>12.608353033884951</v>
      </c>
      <c r="DW219" s="5">
        <f t="shared" si="685"/>
        <v>0.44444444444444453</v>
      </c>
      <c r="DX219" s="5">
        <f t="shared" si="686"/>
        <v>12.163908589440506</v>
      </c>
      <c r="DY219" s="173">
        <f t="shared" si="687"/>
        <v>3.5250000000000004E-2</v>
      </c>
      <c r="EA219" s="5">
        <f t="shared" si="713"/>
        <v>2.0000000000000004</v>
      </c>
      <c r="EB219" s="5">
        <f t="shared" si="714"/>
        <v>7.4074074074074094E-3</v>
      </c>
      <c r="EC219" s="5">
        <f t="shared" si="715"/>
        <v>0.20273180982400843</v>
      </c>
      <c r="ED219" s="5"/>
      <c r="EE219" s="173">
        <f t="shared" si="716"/>
        <v>0.1445298892578587</v>
      </c>
      <c r="EF219" s="173">
        <f t="shared" si="717"/>
        <v>3.0244436280511597</v>
      </c>
      <c r="EG219" s="173">
        <f t="shared" si="718"/>
        <v>5.7627912372326145E-2</v>
      </c>
      <c r="EH219" s="173"/>
      <c r="EI219" s="528">
        <f t="shared" si="719"/>
        <v>2.5484444444444457E-4</v>
      </c>
      <c r="EJ219" s="528">
        <f t="shared" si="720"/>
        <v>0.11590199999999998</v>
      </c>
      <c r="EK219" s="528">
        <f t="shared" si="721"/>
        <v>9.9140624999999975E-3</v>
      </c>
      <c r="EL219" s="528">
        <f t="shared" si="722"/>
        <v>2.3817860999999992E-2</v>
      </c>
      <c r="EM219">
        <f t="shared" si="723"/>
        <v>1.6199999999999999E-2</v>
      </c>
      <c r="EN219" s="460">
        <f t="shared" si="724"/>
        <v>26.114062499999996</v>
      </c>
      <c r="EP219" s="460">
        <f t="shared" si="725"/>
        <v>166.08876794444441</v>
      </c>
      <c r="EQ219" s="173">
        <f t="shared" si="726"/>
        <v>0.126</v>
      </c>
      <c r="ER219" s="173">
        <f t="shared" si="688"/>
        <v>1.33125E-3</v>
      </c>
      <c r="ES219" s="528"/>
      <c r="EU219" s="460">
        <f t="shared" si="727"/>
        <v>127.33125000000001</v>
      </c>
      <c r="EV219" s="528">
        <f t="shared" si="728"/>
        <v>6.2666666666666697E-4</v>
      </c>
      <c r="EW219" s="528">
        <f t="shared" si="729"/>
        <v>0.27441777777777782</v>
      </c>
      <c r="EX219" s="528">
        <f t="shared" si="730"/>
        <v>1.6604881421962502E-5</v>
      </c>
      <c r="EY219" s="528">
        <f t="shared" si="731"/>
        <v>5.750041040602301E-3</v>
      </c>
      <c r="EZ219" s="528"/>
      <c r="FA219" s="625">
        <f t="shared" si="732"/>
        <v>3.5249999999999999E-3</v>
      </c>
      <c r="FB219" s="460">
        <f t="shared" si="733"/>
        <v>284.33609036646874</v>
      </c>
      <c r="FC219" s="173">
        <f t="shared" si="734"/>
        <v>0.57775610831091306</v>
      </c>
      <c r="FD219" s="5">
        <f t="shared" si="735"/>
        <v>0.77400000000000002</v>
      </c>
      <c r="FE219" s="173">
        <f t="shared" si="736"/>
        <v>0.57258849820708546</v>
      </c>
      <c r="FF219" s="5">
        <f t="shared" si="737"/>
        <v>57.258849820708548</v>
      </c>
      <c r="FG219">
        <f t="shared" si="738"/>
        <v>3</v>
      </c>
      <c r="FI219" s="562">
        <f t="shared" si="689"/>
        <v>-50</v>
      </c>
    </row>
    <row r="220" spans="1:169">
      <c r="E220" s="170">
        <v>4</v>
      </c>
      <c r="F220" s="217">
        <f t="shared" si="690"/>
        <v>0.24</v>
      </c>
      <c r="G220" s="217">
        <f t="shared" si="617"/>
        <v>4.0000000000000001E-3</v>
      </c>
      <c r="H220" s="217">
        <f t="shared" si="618"/>
        <v>0.96</v>
      </c>
      <c r="I220" s="217">
        <f t="shared" si="619"/>
        <v>7.2000000000000008E-2</v>
      </c>
      <c r="J220" s="541">
        <f t="shared" si="620"/>
        <v>35.966938359800317</v>
      </c>
      <c r="K220" s="443">
        <f t="shared" si="621"/>
        <v>19.095209986569245</v>
      </c>
      <c r="L220" s="172">
        <f t="shared" si="622"/>
        <v>55.062148346369561</v>
      </c>
      <c r="M220" s="443"/>
      <c r="N220" s="217">
        <f t="shared" si="623"/>
        <v>0.34679376958651231</v>
      </c>
      <c r="O220" s="172">
        <f t="shared" si="624"/>
        <v>38.676310493894206</v>
      </c>
      <c r="P220" s="172">
        <f t="shared" si="625"/>
        <v>3.1182775335702204</v>
      </c>
      <c r="Q220" s="217">
        <f t="shared" si="626"/>
        <v>9.6690776234735516</v>
      </c>
      <c r="R220" s="217">
        <f t="shared" si="627"/>
        <v>2.1486839163274558</v>
      </c>
      <c r="S220" s="217">
        <f t="shared" si="628"/>
        <v>4</v>
      </c>
      <c r="T220" s="217">
        <f t="shared" si="629"/>
        <v>0.16547597012932147</v>
      </c>
      <c r="U220" s="217">
        <f t="shared" si="630"/>
        <v>5.5209359820608379E-2</v>
      </c>
      <c r="V220" s="217">
        <f t="shared" si="631"/>
        <v>0.10399003954125263</v>
      </c>
      <c r="W220" s="197">
        <f t="shared" si="632"/>
        <v>350</v>
      </c>
      <c r="X220" s="443">
        <f t="shared" si="691"/>
        <v>350</v>
      </c>
      <c r="Z220" s="217">
        <f t="shared" si="633"/>
        <v>2.9697881272097333</v>
      </c>
      <c r="AA220" s="173">
        <f t="shared" si="634"/>
        <v>1.8663035154671075</v>
      </c>
      <c r="AB220" s="173">
        <f t="shared" si="635"/>
        <v>3.6090867120026067</v>
      </c>
      <c r="AC220" s="173"/>
      <c r="AD220" s="173">
        <f t="shared" si="636"/>
        <v>0.83790647032704646</v>
      </c>
      <c r="AE220" s="545">
        <f t="shared" si="637"/>
        <v>107.41055617445197</v>
      </c>
      <c r="AF220" s="528">
        <f t="shared" si="638"/>
        <v>0.78204603897191016</v>
      </c>
      <c r="AH220" s="173">
        <f t="shared" si="639"/>
        <v>0.70101966550773132</v>
      </c>
      <c r="AI220" s="173">
        <f t="shared" si="640"/>
        <v>1.3333333333333335</v>
      </c>
      <c r="AJ220" s="173">
        <f t="shared" si="641"/>
        <v>1.0613774606711155</v>
      </c>
      <c r="AL220" s="545">
        <f t="shared" si="642"/>
        <v>240</v>
      </c>
      <c r="AM220" s="460">
        <f t="shared" si="643"/>
        <v>107.41055617445197</v>
      </c>
      <c r="AO220">
        <f t="shared" si="644"/>
        <v>240</v>
      </c>
      <c r="AP220">
        <f t="shared" si="645"/>
        <v>107.41055617445197</v>
      </c>
      <c r="AR220" s="5">
        <f t="shared" si="616"/>
        <v>9.310071892522739</v>
      </c>
      <c r="AS220" s="5">
        <f t="shared" si="604"/>
        <v>0.4448529880397869</v>
      </c>
      <c r="AT220" s="5">
        <f t="shared" si="605"/>
        <v>8.8652189044829512</v>
      </c>
      <c r="AU220" s="173">
        <f t="shared" si="606"/>
        <v>4.7781906861220337E-2</v>
      </c>
      <c r="BA220" s="173">
        <f t="shared" si="692"/>
        <v>0.16827122174010728</v>
      </c>
      <c r="BB220" s="173">
        <f t="shared" si="693"/>
        <v>3.0047359645111831</v>
      </c>
      <c r="BC220" s="173">
        <f t="shared" si="694"/>
        <v>5.7252401485956325E-2</v>
      </c>
      <c r="BD220" s="173"/>
      <c r="BE220" s="528">
        <f t="shared" si="695"/>
        <v>3.4544548960408188E-4</v>
      </c>
      <c r="BF220" s="528">
        <f t="shared" si="646"/>
        <v>0.14785639945109338</v>
      </c>
      <c r="BG220" s="528">
        <f t="shared" si="647"/>
        <v>9.6580721327959571E-2</v>
      </c>
      <c r="BH220" s="528">
        <f t="shared" si="696"/>
        <v>3.2565164002144716E-2</v>
      </c>
      <c r="BI220">
        <f t="shared" si="697"/>
        <v>1.6185122261910143E-2</v>
      </c>
      <c r="BJ220" s="460">
        <f t="shared" si="698"/>
        <v>112.76584358986972</v>
      </c>
      <c r="BK220">
        <f t="shared" si="648"/>
        <v>0.18087512506611711</v>
      </c>
      <c r="BL220" s="460">
        <f t="shared" si="699"/>
        <v>293.5328525327119</v>
      </c>
      <c r="BM220" s="173">
        <f t="shared" si="649"/>
        <v>0.14909999999999998</v>
      </c>
      <c r="BN220" s="173">
        <f t="shared" si="650"/>
        <v>1.7749999999999999E-3</v>
      </c>
      <c r="BQ220" s="460">
        <f t="shared" si="700"/>
        <v>150.87499999999997</v>
      </c>
      <c r="BR220" s="528">
        <f t="shared" si="701"/>
        <v>8.4945612197725052E-4</v>
      </c>
      <c r="BS220" s="528">
        <f t="shared" si="702"/>
        <v>0.27085314649280845</v>
      </c>
      <c r="BT220" s="528">
        <f t="shared" si="703"/>
        <v>1.6389187379545672E-5</v>
      </c>
      <c r="BU220" s="528">
        <f t="shared" si="704"/>
        <v>1.2272534433762337E-2</v>
      </c>
      <c r="BV220" s="528"/>
      <c r="BW220" s="625">
        <f t="shared" si="705"/>
        <v>4.7738024966423103E-3</v>
      </c>
      <c r="BX220" s="460">
        <f t="shared" si="706"/>
        <v>288.76532873256991</v>
      </c>
      <c r="BY220" s="173">
        <f t="shared" si="707"/>
        <v>0.73317318126528175</v>
      </c>
      <c r="BZ220" s="5">
        <f t="shared" si="708"/>
        <v>1.032</v>
      </c>
      <c r="CA220" s="173">
        <f t="shared" si="709"/>
        <v>0.58464518436670287</v>
      </c>
      <c r="CB220" s="5">
        <f t="shared" si="710"/>
        <v>58.464518436670289</v>
      </c>
      <c r="CC220">
        <f t="shared" si="711"/>
        <v>4</v>
      </c>
      <c r="CE220" s="562">
        <f t="shared" si="651"/>
        <v>-50</v>
      </c>
      <c r="CG220" s="173">
        <f t="shared" si="652"/>
        <v>9.7557675249054579E-2</v>
      </c>
      <c r="CH220" s="173">
        <f t="shared" si="653"/>
        <v>2.3369715809595897E-2</v>
      </c>
      <c r="CI220" s="170">
        <v>4</v>
      </c>
      <c r="CJ220" s="217">
        <f t="shared" si="712"/>
        <v>0.24</v>
      </c>
      <c r="CK220" s="217">
        <f t="shared" si="654"/>
        <v>4.0000000000000001E-3</v>
      </c>
      <c r="CL220" s="217">
        <f t="shared" si="655"/>
        <v>0.96</v>
      </c>
      <c r="CM220" s="217">
        <f t="shared" si="656"/>
        <v>7.2000000000000008E-2</v>
      </c>
      <c r="CN220" s="541">
        <f t="shared" si="657"/>
        <v>36</v>
      </c>
      <c r="CO220" s="443">
        <f t="shared" si="658"/>
        <v>18.8</v>
      </c>
      <c r="CP220" s="443">
        <f t="shared" si="659"/>
        <v>54.8</v>
      </c>
      <c r="CQ220" s="443"/>
      <c r="CR220" s="217">
        <f t="shared" si="660"/>
        <v>0.34306569343065696</v>
      </c>
      <c r="CS220" s="172">
        <f t="shared" si="661"/>
        <v>38.295705313189622</v>
      </c>
      <c r="CT220" s="172">
        <f t="shared" si="662"/>
        <v>3.0875912408759132</v>
      </c>
      <c r="CU220" s="217">
        <f t="shared" si="663"/>
        <v>9.5739263282974054</v>
      </c>
      <c r="CV220" s="217">
        <f t="shared" si="664"/>
        <v>2.12753918406609</v>
      </c>
      <c r="CW220" s="217">
        <f t="shared" si="665"/>
        <v>4</v>
      </c>
      <c r="CX220" s="217">
        <f t="shared" si="666"/>
        <v>0.16712056737588651</v>
      </c>
      <c r="CY220" s="217">
        <f t="shared" si="667"/>
        <v>5.5706855791962176E-2</v>
      </c>
      <c r="CZ220" s="217">
        <f t="shared" si="668"/>
        <v>0.10667270258035311</v>
      </c>
      <c r="DA220" s="197">
        <f t="shared" si="669"/>
        <v>350</v>
      </c>
      <c r="DB220" s="443">
        <f t="shared" si="670"/>
        <v>350</v>
      </c>
      <c r="DD220" s="217">
        <f t="shared" si="671"/>
        <v>2.940563086548488</v>
      </c>
      <c r="DE220" s="173">
        <f t="shared" si="672"/>
        <v>1.8769551616266944</v>
      </c>
      <c r="DF220" s="173">
        <f t="shared" si="673"/>
        <v>3.5939660877863036</v>
      </c>
      <c r="DG220" s="173"/>
      <c r="DH220" s="173">
        <f t="shared" si="674"/>
        <v>0.85106382978723416</v>
      </c>
      <c r="DI220" s="545">
        <f t="shared" si="675"/>
        <v>105.74999999999996</v>
      </c>
      <c r="DJ220" s="528">
        <f t="shared" si="676"/>
        <v>0.79432624113475192</v>
      </c>
      <c r="DL220" s="173">
        <f t="shared" si="677"/>
        <v>0.70101966550773132</v>
      </c>
      <c r="DM220" s="173">
        <f t="shared" si="678"/>
        <v>1.3333333333333335</v>
      </c>
      <c r="DN220" s="173">
        <f t="shared" si="679"/>
        <v>1.0604285714285715</v>
      </c>
      <c r="DP220" s="545">
        <f t="shared" si="680"/>
        <v>240</v>
      </c>
      <c r="DQ220" s="460">
        <f t="shared" si="681"/>
        <v>105.74999999999996</v>
      </c>
      <c r="DS220">
        <f t="shared" si="682"/>
        <v>240</v>
      </c>
      <c r="DT220">
        <f t="shared" si="683"/>
        <v>105.74999999999996</v>
      </c>
      <c r="DV220" s="5">
        <f t="shared" si="684"/>
        <v>9.4562647754137146</v>
      </c>
      <c r="DW220" s="5">
        <f t="shared" si="685"/>
        <v>0.44444444444444453</v>
      </c>
      <c r="DX220" s="5">
        <f t="shared" si="686"/>
        <v>9.0118203309692699</v>
      </c>
      <c r="DY220" s="173">
        <f t="shared" si="687"/>
        <v>4.6999999999999993E-2</v>
      </c>
      <c r="EA220" s="5">
        <f t="shared" si="713"/>
        <v>2.666666666666667</v>
      </c>
      <c r="EB220" s="5">
        <f t="shared" si="714"/>
        <v>9.8765432098765447E-3</v>
      </c>
      <c r="EC220" s="5">
        <f t="shared" si="715"/>
        <v>0.20026267402153927</v>
      </c>
      <c r="ED220" s="5"/>
      <c r="EE220" s="173">
        <f t="shared" si="716"/>
        <v>0.16688874093794301</v>
      </c>
      <c r="EF220" s="173">
        <f t="shared" si="717"/>
        <v>3.0059693697461145</v>
      </c>
      <c r="EG220" s="173">
        <f t="shared" si="718"/>
        <v>5.7275902855973261E-2</v>
      </c>
      <c r="EH220" s="173"/>
      <c r="EI220" s="528">
        <f t="shared" si="719"/>
        <v>3.3979259259259257E-4</v>
      </c>
      <c r="EJ220" s="528">
        <f t="shared" si="720"/>
        <v>0.15453599999999998</v>
      </c>
      <c r="EK220" s="528">
        <f t="shared" si="721"/>
        <v>1.3218749999999994E-2</v>
      </c>
      <c r="EL220" s="528">
        <f t="shared" si="722"/>
        <v>3.1757147999999985E-2</v>
      </c>
      <c r="EM220">
        <f t="shared" si="723"/>
        <v>1.6199999999999999E-2</v>
      </c>
      <c r="EN220" s="460">
        <f t="shared" si="724"/>
        <v>29.418749999999992</v>
      </c>
      <c r="EP220" s="460">
        <f t="shared" si="725"/>
        <v>216.05169059259254</v>
      </c>
      <c r="EQ220" s="173">
        <f t="shared" si="726"/>
        <v>0.16799999999999998</v>
      </c>
      <c r="ER220" s="173">
        <f t="shared" si="688"/>
        <v>1.7749999999999999E-3</v>
      </c>
      <c r="ES220" s="528"/>
      <c r="EU220" s="460">
        <f t="shared" si="727"/>
        <v>169.77499999999998</v>
      </c>
      <c r="EV220" s="528">
        <f t="shared" si="728"/>
        <v>8.3555555555555553E-4</v>
      </c>
      <c r="EW220" s="528">
        <f t="shared" si="729"/>
        <v>0.27107555555555557</v>
      </c>
      <c r="EX220" s="528">
        <f t="shared" si="730"/>
        <v>1.6402645239834429E-5</v>
      </c>
      <c r="EY220" s="528">
        <f t="shared" si="731"/>
        <v>1.1803689751620026E-2</v>
      </c>
      <c r="EZ220" s="528"/>
      <c r="FA220" s="625">
        <f t="shared" si="732"/>
        <v>4.6999999999999993E-3</v>
      </c>
      <c r="FB220" s="460">
        <f t="shared" si="733"/>
        <v>288.43120350797096</v>
      </c>
      <c r="FC220" s="173">
        <f t="shared" si="734"/>
        <v>0.67425789410056358</v>
      </c>
      <c r="FD220" s="5">
        <f t="shared" si="735"/>
        <v>1.032</v>
      </c>
      <c r="FE220" s="173">
        <f t="shared" si="736"/>
        <v>0.60483236653038797</v>
      </c>
      <c r="FF220" s="5">
        <f t="shared" si="737"/>
        <v>60.483236653038794</v>
      </c>
      <c r="FG220">
        <f t="shared" si="738"/>
        <v>4</v>
      </c>
      <c r="FI220" s="562">
        <f t="shared" si="689"/>
        <v>-50</v>
      </c>
    </row>
    <row r="221" spans="1:169">
      <c r="E221" s="170">
        <v>5</v>
      </c>
      <c r="F221" s="217">
        <f t="shared" si="690"/>
        <v>0.30000000000000004</v>
      </c>
      <c r="G221" s="217">
        <f t="shared" si="617"/>
        <v>5.000000000000001E-3</v>
      </c>
      <c r="H221" s="217">
        <f t="shared" si="618"/>
        <v>1.2000000000000002</v>
      </c>
      <c r="I221" s="217">
        <f t="shared" si="619"/>
        <v>9.0000000000000024E-2</v>
      </c>
      <c r="J221" s="541">
        <f t="shared" si="620"/>
        <v>35.966938359800317</v>
      </c>
      <c r="K221" s="443">
        <f t="shared" si="621"/>
        <v>19.095209986569245</v>
      </c>
      <c r="L221" s="172">
        <f t="shared" si="622"/>
        <v>55.062148346369561</v>
      </c>
      <c r="M221" s="443"/>
      <c r="N221" s="217">
        <f t="shared" si="623"/>
        <v>0.34679376958651231</v>
      </c>
      <c r="O221" s="172">
        <f t="shared" si="624"/>
        <v>38.676310493894206</v>
      </c>
      <c r="P221" s="172">
        <f t="shared" si="625"/>
        <v>3.1182775335702204</v>
      </c>
      <c r="Q221" s="217">
        <f t="shared" si="626"/>
        <v>9.6690776234735516</v>
      </c>
      <c r="R221" s="217">
        <f t="shared" si="627"/>
        <v>2.1486839163274558</v>
      </c>
      <c r="S221" s="217">
        <f t="shared" si="628"/>
        <v>4</v>
      </c>
      <c r="T221" s="217">
        <f t="shared" si="629"/>
        <v>0.20684496266165187</v>
      </c>
      <c r="U221" s="217">
        <f t="shared" si="630"/>
        <v>6.9011699775760479E-2</v>
      </c>
      <c r="V221" s="217">
        <f t="shared" si="631"/>
        <v>0.12998754942656579</v>
      </c>
      <c r="W221" s="197">
        <f t="shared" si="632"/>
        <v>350</v>
      </c>
      <c r="X221" s="443">
        <f t="shared" si="691"/>
        <v>350</v>
      </c>
      <c r="Z221" s="217">
        <f t="shared" si="633"/>
        <v>2.9697881272097333</v>
      </c>
      <c r="AA221" s="173">
        <f t="shared" si="634"/>
        <v>1.8663035154671075</v>
      </c>
      <c r="AB221" s="173">
        <f t="shared" si="635"/>
        <v>3.6090867120026067</v>
      </c>
      <c r="AC221" s="173"/>
      <c r="AD221" s="173">
        <f t="shared" si="636"/>
        <v>0.83790647032704646</v>
      </c>
      <c r="AE221" s="545">
        <f t="shared" si="637"/>
        <v>134.26319521806496</v>
      </c>
      <c r="AF221" s="528">
        <f t="shared" si="638"/>
        <v>0.78204603897191016</v>
      </c>
      <c r="AH221" s="173">
        <f t="shared" si="639"/>
        <v>0.78376381281972596</v>
      </c>
      <c r="AI221" s="173">
        <f t="shared" si="640"/>
        <v>1.3333333333333335</v>
      </c>
      <c r="AJ221" s="173">
        <f t="shared" si="641"/>
        <v>1.0767218258388942</v>
      </c>
      <c r="AL221" s="545">
        <f t="shared" si="642"/>
        <v>300.00000000000006</v>
      </c>
      <c r="AM221" s="460">
        <f t="shared" si="643"/>
        <v>134.26319521806496</v>
      </c>
      <c r="AO221">
        <f t="shared" si="644"/>
        <v>300.00000000000006</v>
      </c>
      <c r="AP221">
        <f t="shared" si="645"/>
        <v>134.26319521806496</v>
      </c>
      <c r="AR221" s="5">
        <f t="shared" si="616"/>
        <v>7.448057514018191</v>
      </c>
      <c r="AS221" s="5">
        <f t="shared" si="604"/>
        <v>0.4448529880397869</v>
      </c>
      <c r="AT221" s="5">
        <f t="shared" si="605"/>
        <v>7.0032045259784041</v>
      </c>
      <c r="AU221" s="173">
        <f t="shared" si="606"/>
        <v>5.9727383576525427E-2</v>
      </c>
      <c r="BA221" s="173">
        <f t="shared" si="692"/>
        <v>0.18813294523391016</v>
      </c>
      <c r="BB221" s="173">
        <f t="shared" si="693"/>
        <v>2.9858294325301498</v>
      </c>
      <c r="BC221" s="173">
        <f t="shared" si="694"/>
        <v>5.6892155403615009E-2</v>
      </c>
      <c r="BD221" s="173"/>
      <c r="BE221" s="528">
        <f t="shared" si="695"/>
        <v>4.318068620051023E-4</v>
      </c>
      <c r="BF221" s="528">
        <f t="shared" si="646"/>
        <v>0.18482049931386674</v>
      </c>
      <c r="BG221" s="528">
        <f t="shared" si="647"/>
        <v>0.12072590165994947</v>
      </c>
      <c r="BH221" s="528">
        <f t="shared" si="696"/>
        <v>4.07064550026809E-2</v>
      </c>
      <c r="BI221">
        <f t="shared" si="697"/>
        <v>1.6185122261910143E-2</v>
      </c>
      <c r="BJ221" s="460">
        <f t="shared" si="698"/>
        <v>136.91102392185962</v>
      </c>
      <c r="BK221">
        <f t="shared" si="648"/>
        <v>0.22609854613401562</v>
      </c>
      <c r="BL221" s="460">
        <f t="shared" si="699"/>
        <v>362.86978510041234</v>
      </c>
      <c r="BM221" s="173">
        <f t="shared" si="649"/>
        <v>0.18637500000000001</v>
      </c>
      <c r="BN221" s="173">
        <f t="shared" si="650"/>
        <v>2.2187500000000002E-3</v>
      </c>
      <c r="BQ221" s="460">
        <f t="shared" si="700"/>
        <v>188.59375</v>
      </c>
      <c r="BR221" s="528">
        <f t="shared" si="701"/>
        <v>1.0618201524715631E-3</v>
      </c>
      <c r="BS221" s="528">
        <f t="shared" si="702"/>
        <v>0.26745532200489947</v>
      </c>
      <c r="BT221" s="528">
        <f t="shared" si="703"/>
        <v>1.6183586732345401E-5</v>
      </c>
      <c r="BU221" s="528">
        <f t="shared" si="704"/>
        <v>2.1439235351640204E-2</v>
      </c>
      <c r="BV221" s="528"/>
      <c r="BW221" s="625">
        <f t="shared" si="705"/>
        <v>5.967253120802889E-3</v>
      </c>
      <c r="BX221" s="460">
        <f t="shared" si="706"/>
        <v>295.93981421654649</v>
      </c>
      <c r="BY221" s="173">
        <f t="shared" si="707"/>
        <v>0.84740334931695882</v>
      </c>
      <c r="BZ221" s="5">
        <f t="shared" si="708"/>
        <v>1.2900000000000003</v>
      </c>
      <c r="CA221" s="173">
        <f t="shared" si="709"/>
        <v>0.60353606183514219</v>
      </c>
      <c r="CB221" s="5">
        <f t="shared" si="710"/>
        <v>60.353606183514216</v>
      </c>
      <c r="CC221">
        <f t="shared" si="711"/>
        <v>5.0000000000000009</v>
      </c>
      <c r="CE221" s="562">
        <f t="shared" si="651"/>
        <v>-50</v>
      </c>
      <c r="CG221" s="173">
        <f t="shared" si="652"/>
        <v>0.12194709406131825</v>
      </c>
      <c r="CH221" s="173">
        <f t="shared" si="653"/>
        <v>2.9212144761994876E-2</v>
      </c>
      <c r="CI221" s="170">
        <v>5</v>
      </c>
      <c r="CJ221" s="217">
        <f t="shared" si="712"/>
        <v>0.30000000000000004</v>
      </c>
      <c r="CK221" s="217">
        <f t="shared" si="654"/>
        <v>5.000000000000001E-3</v>
      </c>
      <c r="CL221" s="217">
        <f t="shared" si="655"/>
        <v>1.2000000000000002</v>
      </c>
      <c r="CM221" s="217">
        <f t="shared" si="656"/>
        <v>9.0000000000000024E-2</v>
      </c>
      <c r="CN221" s="541">
        <f t="shared" si="657"/>
        <v>36</v>
      </c>
      <c r="CO221" s="443">
        <f t="shared" si="658"/>
        <v>18.8</v>
      </c>
      <c r="CP221" s="443">
        <f t="shared" si="659"/>
        <v>54.8</v>
      </c>
      <c r="CQ221" s="443"/>
      <c r="CR221" s="217">
        <f t="shared" si="660"/>
        <v>0.34306569343065696</v>
      </c>
      <c r="CS221" s="172">
        <f t="shared" si="661"/>
        <v>38.295705313189622</v>
      </c>
      <c r="CT221" s="172">
        <f t="shared" si="662"/>
        <v>3.0875912408759132</v>
      </c>
      <c r="CU221" s="217">
        <f t="shared" si="663"/>
        <v>9.5739263282974054</v>
      </c>
      <c r="CV221" s="217">
        <f t="shared" si="664"/>
        <v>2.12753918406609</v>
      </c>
      <c r="CW221" s="217">
        <f t="shared" si="665"/>
        <v>4</v>
      </c>
      <c r="CX221" s="217">
        <f t="shared" si="666"/>
        <v>0.20890070921985818</v>
      </c>
      <c r="CY221" s="217">
        <f t="shared" si="667"/>
        <v>6.963356973995273E-2</v>
      </c>
      <c r="CZ221" s="217">
        <f t="shared" si="668"/>
        <v>0.13334087822544141</v>
      </c>
      <c r="DA221" s="197">
        <f t="shared" si="669"/>
        <v>350</v>
      </c>
      <c r="DB221" s="443">
        <f t="shared" si="670"/>
        <v>350</v>
      </c>
      <c r="DD221" s="217">
        <f t="shared" si="671"/>
        <v>2.940563086548488</v>
      </c>
      <c r="DE221" s="173">
        <f t="shared" si="672"/>
        <v>1.8769551616266944</v>
      </c>
      <c r="DF221" s="173">
        <f t="shared" si="673"/>
        <v>3.5939660877863036</v>
      </c>
      <c r="DG221" s="173"/>
      <c r="DH221" s="173">
        <f t="shared" si="674"/>
        <v>0.85106382978723416</v>
      </c>
      <c r="DI221" s="545">
        <f t="shared" si="675"/>
        <v>132.1875</v>
      </c>
      <c r="DJ221" s="528">
        <f t="shared" si="676"/>
        <v>0.79432624113475192</v>
      </c>
      <c r="DL221" s="173">
        <f t="shared" si="677"/>
        <v>0.78376381281972596</v>
      </c>
      <c r="DM221" s="173">
        <f t="shared" si="678"/>
        <v>1.3333333333333335</v>
      </c>
      <c r="DN221" s="173">
        <f t="shared" si="679"/>
        <v>1.0755357142857143</v>
      </c>
      <c r="DP221" s="545">
        <f t="shared" si="680"/>
        <v>300.00000000000006</v>
      </c>
      <c r="DQ221" s="460">
        <f t="shared" si="681"/>
        <v>132.1875</v>
      </c>
      <c r="DS221">
        <f t="shared" si="682"/>
        <v>300.00000000000006</v>
      </c>
      <c r="DT221">
        <f t="shared" si="683"/>
        <v>132.1875</v>
      </c>
      <c r="DV221" s="5">
        <f t="shared" si="684"/>
        <v>7.5650118203309686</v>
      </c>
      <c r="DW221" s="5">
        <f t="shared" si="685"/>
        <v>0.44444444444444453</v>
      </c>
      <c r="DX221" s="5">
        <f t="shared" si="686"/>
        <v>7.120567375886524</v>
      </c>
      <c r="DY221" s="173">
        <f t="shared" si="687"/>
        <v>5.8750000000000017E-2</v>
      </c>
      <c r="EA221" s="5">
        <f t="shared" si="713"/>
        <v>3.3333333333333348</v>
      </c>
      <c r="EB221" s="5">
        <f t="shared" si="714"/>
        <v>1.2345679012345684E-2</v>
      </c>
      <c r="EC221" s="5">
        <f t="shared" si="715"/>
        <v>0.19779353821907011</v>
      </c>
      <c r="ED221" s="5"/>
      <c r="EE221" s="173">
        <f t="shared" si="716"/>
        <v>0.1865872847082963</v>
      </c>
      <c r="EF221" s="173">
        <f t="shared" si="717"/>
        <v>2.9873808669877446</v>
      </c>
      <c r="EG221" s="173">
        <f t="shared" si="718"/>
        <v>5.6921716519631349E-2</v>
      </c>
      <c r="EH221" s="173"/>
      <c r="EI221" s="528">
        <f t="shared" si="719"/>
        <v>4.2474074074074083E-4</v>
      </c>
      <c r="EJ221" s="528">
        <f t="shared" si="720"/>
        <v>0.19317000000000004</v>
      </c>
      <c r="EK221" s="528">
        <f t="shared" si="721"/>
        <v>1.6523437499999998E-2</v>
      </c>
      <c r="EL221" s="528">
        <f t="shared" si="722"/>
        <v>3.9696434999999995E-2</v>
      </c>
      <c r="EM221">
        <f t="shared" si="723"/>
        <v>1.6199999999999999E-2</v>
      </c>
      <c r="EN221" s="460">
        <f t="shared" si="724"/>
        <v>32.723437499999996</v>
      </c>
      <c r="EP221" s="460">
        <f t="shared" si="725"/>
        <v>266.01461324074074</v>
      </c>
      <c r="EQ221" s="173">
        <f t="shared" si="726"/>
        <v>0.21000000000000002</v>
      </c>
      <c r="ER221" s="173">
        <f t="shared" si="688"/>
        <v>2.2187500000000002E-3</v>
      </c>
      <c r="ES221" s="528"/>
      <c r="EU221" s="460">
        <f t="shared" si="727"/>
        <v>212.21875</v>
      </c>
      <c r="EV221" s="528">
        <f t="shared" si="728"/>
        <v>1.0444444444444448E-3</v>
      </c>
      <c r="EW221" s="528">
        <f t="shared" si="729"/>
        <v>0.26773333333333343</v>
      </c>
      <c r="EX221" s="528">
        <f t="shared" si="730"/>
        <v>1.6200409057706362E-5</v>
      </c>
      <c r="EY221" s="528">
        <f t="shared" si="731"/>
        <v>2.0620197398390674E-2</v>
      </c>
      <c r="EZ221" s="528"/>
      <c r="FA221" s="625">
        <f t="shared" si="732"/>
        <v>5.8750000000000017E-3</v>
      </c>
      <c r="FB221" s="460">
        <f t="shared" si="733"/>
        <v>295.28917558522625</v>
      </c>
      <c r="FC221" s="173">
        <f t="shared" si="734"/>
        <v>0.77352253882596711</v>
      </c>
      <c r="FD221" s="5">
        <f t="shared" si="735"/>
        <v>1.2900000000000003</v>
      </c>
      <c r="FE221" s="173">
        <f t="shared" si="736"/>
        <v>0.62514461350828787</v>
      </c>
      <c r="FF221" s="5">
        <f t="shared" si="737"/>
        <v>62.514461350828789</v>
      </c>
      <c r="FG221">
        <f t="shared" si="738"/>
        <v>5.0000000000000009</v>
      </c>
      <c r="FI221" s="562">
        <f t="shared" si="689"/>
        <v>-50</v>
      </c>
    </row>
    <row r="222" spans="1:169">
      <c r="E222" s="170">
        <v>6</v>
      </c>
      <c r="F222" s="217">
        <f t="shared" si="690"/>
        <v>0.36</v>
      </c>
      <c r="G222" s="217">
        <f t="shared" si="617"/>
        <v>6.0000000000000001E-3</v>
      </c>
      <c r="H222" s="217">
        <f t="shared" si="618"/>
        <v>1.44</v>
      </c>
      <c r="I222" s="217">
        <f t="shared" si="619"/>
        <v>0.108</v>
      </c>
      <c r="J222" s="541">
        <f t="shared" si="620"/>
        <v>35.966938359800317</v>
      </c>
      <c r="K222" s="443">
        <f t="shared" si="621"/>
        <v>19.095209986569245</v>
      </c>
      <c r="L222" s="172">
        <f t="shared" si="622"/>
        <v>55.062148346369561</v>
      </c>
      <c r="M222" s="443"/>
      <c r="N222" s="217">
        <f t="shared" si="623"/>
        <v>0.34679376958651231</v>
      </c>
      <c r="O222" s="172">
        <f t="shared" si="624"/>
        <v>38.676310493894206</v>
      </c>
      <c r="P222" s="172">
        <f t="shared" si="625"/>
        <v>3.1182775335702204</v>
      </c>
      <c r="Q222" s="217">
        <f t="shared" si="626"/>
        <v>9.6690776234735516</v>
      </c>
      <c r="R222" s="217">
        <f t="shared" si="627"/>
        <v>2.1486839163274558</v>
      </c>
      <c r="S222" s="217">
        <f t="shared" si="628"/>
        <v>4</v>
      </c>
      <c r="T222" s="217">
        <f t="shared" si="629"/>
        <v>0.24821395519398221</v>
      </c>
      <c r="U222" s="217">
        <f t="shared" si="630"/>
        <v>8.2814039730912559E-2</v>
      </c>
      <c r="V222" s="217">
        <f t="shared" si="631"/>
        <v>0.15598505931187895</v>
      </c>
      <c r="W222" s="197">
        <f t="shared" si="632"/>
        <v>350</v>
      </c>
      <c r="X222" s="443">
        <f t="shared" si="691"/>
        <v>350</v>
      </c>
      <c r="Z222" s="217">
        <f t="shared" si="633"/>
        <v>2.9697881272097333</v>
      </c>
      <c r="AA222" s="173">
        <f t="shared" si="634"/>
        <v>1.8663035154671075</v>
      </c>
      <c r="AB222" s="173">
        <f t="shared" si="635"/>
        <v>3.6090867120026067</v>
      </c>
      <c r="AC222" s="173"/>
      <c r="AD222" s="173">
        <f t="shared" si="636"/>
        <v>0.83790647032704646</v>
      </c>
      <c r="AE222" s="545">
        <f t="shared" si="637"/>
        <v>161.11583426167792</v>
      </c>
      <c r="AF222" s="528">
        <f t="shared" si="638"/>
        <v>0.78204603897191016</v>
      </c>
      <c r="AH222" s="173">
        <f t="shared" si="639"/>
        <v>0.85857024007524108</v>
      </c>
      <c r="AI222" s="173">
        <f t="shared" si="640"/>
        <v>1.3333333333333335</v>
      </c>
      <c r="AJ222" s="173">
        <f t="shared" si="641"/>
        <v>1.0920661910066731</v>
      </c>
      <c r="AL222" s="545">
        <f t="shared" si="642"/>
        <v>360</v>
      </c>
      <c r="AM222" s="460">
        <f t="shared" si="643"/>
        <v>161.11583426167792</v>
      </c>
      <c r="AO222">
        <f t="shared" si="644"/>
        <v>360</v>
      </c>
      <c r="AP222">
        <f t="shared" si="645"/>
        <v>161.11583426167792</v>
      </c>
      <c r="AR222" s="5">
        <f t="shared" si="616"/>
        <v>6.2067145950151605</v>
      </c>
      <c r="AS222" s="5">
        <f t="shared" si="604"/>
        <v>0.4448529880397869</v>
      </c>
      <c r="AT222" s="5">
        <f t="shared" si="605"/>
        <v>5.7618616069753736</v>
      </c>
      <c r="AU222" s="173">
        <f t="shared" si="606"/>
        <v>7.1672860291830495E-2</v>
      </c>
      <c r="BA222" s="173">
        <f t="shared" si="692"/>
        <v>0.20608931582899323</v>
      </c>
      <c r="BB222" s="173">
        <f t="shared" si="693"/>
        <v>2.9668024174015502</v>
      </c>
      <c r="BC222" s="173">
        <f t="shared" si="694"/>
        <v>5.6529613628867367E-2</v>
      </c>
      <c r="BD222" s="173"/>
      <c r="BE222" s="528">
        <f t="shared" si="695"/>
        <v>5.1816823440612272E-4</v>
      </c>
      <c r="BF222" s="528">
        <f t="shared" si="646"/>
        <v>0.22178459917664001</v>
      </c>
      <c r="BG222" s="528">
        <f t="shared" si="647"/>
        <v>0.14487108199193935</v>
      </c>
      <c r="BH222" s="528">
        <f t="shared" si="696"/>
        <v>4.8847746003217063E-2</v>
      </c>
      <c r="BI222">
        <f t="shared" si="697"/>
        <v>1.6185122261910143E-2</v>
      </c>
      <c r="BJ222" s="460">
        <f t="shared" si="698"/>
        <v>161.05620425384947</v>
      </c>
      <c r="BK222">
        <f t="shared" si="648"/>
        <v>0.27132382335098476</v>
      </c>
      <c r="BL222" s="460">
        <f t="shared" si="699"/>
        <v>432.20671766811267</v>
      </c>
      <c r="BM222" s="173">
        <f t="shared" si="649"/>
        <v>0.22364999999999999</v>
      </c>
      <c r="BN222" s="173">
        <f t="shared" si="650"/>
        <v>2.6624999999999999E-3</v>
      </c>
      <c r="BQ222" s="460">
        <f t="shared" si="700"/>
        <v>226.3125</v>
      </c>
      <c r="BR222" s="528">
        <f t="shared" si="701"/>
        <v>1.2741841829658756E-3</v>
      </c>
      <c r="BS222" s="528">
        <f t="shared" si="702"/>
        <v>0.26405749751699048</v>
      </c>
      <c r="BT222" s="528">
        <f t="shared" si="703"/>
        <v>1.5977986085145138E-5</v>
      </c>
      <c r="BU222" s="528">
        <f t="shared" si="704"/>
        <v>3.3819128115135925E-2</v>
      </c>
      <c r="BV222" s="528"/>
      <c r="BW222" s="625">
        <f t="shared" si="705"/>
        <v>7.1607037449634642E-3</v>
      </c>
      <c r="BX222" s="460">
        <f t="shared" si="706"/>
        <v>306.32749154614089</v>
      </c>
      <c r="BY222" s="173">
        <f t="shared" si="707"/>
        <v>0.96484670921425353</v>
      </c>
      <c r="BZ222" s="5">
        <f t="shared" si="708"/>
        <v>1.548</v>
      </c>
      <c r="CA222" s="173">
        <f t="shared" si="709"/>
        <v>0.61603439410916028</v>
      </c>
      <c r="CB222" s="5">
        <f t="shared" si="710"/>
        <v>61.603439410916025</v>
      </c>
      <c r="CC222">
        <f t="shared" si="711"/>
        <v>6</v>
      </c>
      <c r="CE222" s="562">
        <f t="shared" si="651"/>
        <v>-50</v>
      </c>
      <c r="CG222" s="173">
        <f t="shared" si="652"/>
        <v>0.14633651287358188</v>
      </c>
      <c r="CH222" s="173">
        <f t="shared" si="653"/>
        <v>3.5054573714393848E-2</v>
      </c>
      <c r="CI222" s="170">
        <v>6</v>
      </c>
      <c r="CJ222" s="217">
        <f t="shared" si="712"/>
        <v>0.36</v>
      </c>
      <c r="CK222" s="217">
        <f t="shared" si="654"/>
        <v>6.0000000000000001E-3</v>
      </c>
      <c r="CL222" s="217">
        <f t="shared" si="655"/>
        <v>1.44</v>
      </c>
      <c r="CM222" s="217">
        <f t="shared" si="656"/>
        <v>0.108</v>
      </c>
      <c r="CN222" s="541">
        <f t="shared" si="657"/>
        <v>36</v>
      </c>
      <c r="CO222" s="443">
        <f t="shared" si="658"/>
        <v>18.8</v>
      </c>
      <c r="CP222" s="443">
        <f t="shared" si="659"/>
        <v>54.8</v>
      </c>
      <c r="CQ222" s="443"/>
      <c r="CR222" s="217">
        <f t="shared" si="660"/>
        <v>0.34306569343065696</v>
      </c>
      <c r="CS222" s="172">
        <f t="shared" si="661"/>
        <v>38.295705313189622</v>
      </c>
      <c r="CT222" s="172">
        <f t="shared" si="662"/>
        <v>3.0875912408759132</v>
      </c>
      <c r="CU222" s="217">
        <f t="shared" si="663"/>
        <v>9.5739263282974054</v>
      </c>
      <c r="CV222" s="217">
        <f t="shared" si="664"/>
        <v>2.12753918406609</v>
      </c>
      <c r="CW222" s="217">
        <f t="shared" si="665"/>
        <v>4</v>
      </c>
      <c r="CX222" s="217">
        <f t="shared" si="666"/>
        <v>0.25068085106382976</v>
      </c>
      <c r="CY222" s="217">
        <f t="shared" si="667"/>
        <v>8.3560283687943257E-2</v>
      </c>
      <c r="CZ222" s="217">
        <f t="shared" si="668"/>
        <v>0.16000905387052963</v>
      </c>
      <c r="DA222" s="197">
        <f t="shared" si="669"/>
        <v>350</v>
      </c>
      <c r="DB222" s="443">
        <f t="shared" si="670"/>
        <v>350</v>
      </c>
      <c r="DD222" s="217">
        <f t="shared" si="671"/>
        <v>2.940563086548488</v>
      </c>
      <c r="DE222" s="173">
        <f t="shared" si="672"/>
        <v>1.8769551616266944</v>
      </c>
      <c r="DF222" s="173">
        <f t="shared" si="673"/>
        <v>3.5939660877863036</v>
      </c>
      <c r="DG222" s="173"/>
      <c r="DH222" s="173">
        <f t="shared" si="674"/>
        <v>0.85106382978723416</v>
      </c>
      <c r="DI222" s="545">
        <f t="shared" si="675"/>
        <v>158.62499999999997</v>
      </c>
      <c r="DJ222" s="528">
        <f t="shared" si="676"/>
        <v>0.79432624113475192</v>
      </c>
      <c r="DL222" s="173">
        <f t="shared" si="677"/>
        <v>0.85857024007524108</v>
      </c>
      <c r="DM222" s="173">
        <f t="shared" si="678"/>
        <v>1.3333333333333335</v>
      </c>
      <c r="DN222" s="173">
        <f t="shared" si="679"/>
        <v>1.090642857142857</v>
      </c>
      <c r="DP222" s="545">
        <f t="shared" si="680"/>
        <v>360</v>
      </c>
      <c r="DQ222" s="460">
        <f t="shared" si="681"/>
        <v>158.62499999999997</v>
      </c>
      <c r="DS222">
        <f t="shared" si="682"/>
        <v>360</v>
      </c>
      <c r="DT222">
        <f t="shared" si="683"/>
        <v>158.62499999999997</v>
      </c>
      <c r="DV222" s="5">
        <f t="shared" si="684"/>
        <v>6.3041765169424755</v>
      </c>
      <c r="DW222" s="5">
        <f t="shared" si="685"/>
        <v>0.44444444444444453</v>
      </c>
      <c r="DX222" s="5">
        <f t="shared" si="686"/>
        <v>5.8597320724980309</v>
      </c>
      <c r="DY222" s="173">
        <f t="shared" si="687"/>
        <v>7.0500000000000007E-2</v>
      </c>
      <c r="EA222" s="5">
        <f t="shared" si="713"/>
        <v>4.0000000000000009</v>
      </c>
      <c r="EB222" s="5">
        <f t="shared" si="714"/>
        <v>1.4814814814814819E-2</v>
      </c>
      <c r="EC222" s="5">
        <f t="shared" si="715"/>
        <v>0.19532440241660098</v>
      </c>
      <c r="ED222" s="5"/>
      <c r="EE222" s="173">
        <f t="shared" si="716"/>
        <v>0.20439612955674527</v>
      </c>
      <c r="EF222" s="173">
        <f t="shared" si="717"/>
        <v>2.9686759737359414</v>
      </c>
      <c r="EG222" s="173">
        <f t="shared" si="718"/>
        <v>5.6565312472536176E-2</v>
      </c>
      <c r="EH222" s="173"/>
      <c r="EI222" s="528">
        <f t="shared" si="719"/>
        <v>5.0968888888888904E-4</v>
      </c>
      <c r="EJ222" s="528">
        <f t="shared" si="720"/>
        <v>0.23180399999999995</v>
      </c>
      <c r="EK222" s="528">
        <f t="shared" si="721"/>
        <v>1.9828124999999995E-2</v>
      </c>
      <c r="EL222" s="528">
        <f t="shared" si="722"/>
        <v>4.7635721999999985E-2</v>
      </c>
      <c r="EM222">
        <f t="shared" si="723"/>
        <v>1.6199999999999999E-2</v>
      </c>
      <c r="EN222" s="460">
        <f t="shared" si="724"/>
        <v>36.028124999999996</v>
      </c>
      <c r="EP222" s="460">
        <f t="shared" si="725"/>
        <v>315.97753588888884</v>
      </c>
      <c r="EQ222" s="173">
        <f t="shared" si="726"/>
        <v>0.252</v>
      </c>
      <c r="ER222" s="173">
        <f t="shared" si="688"/>
        <v>2.6624999999999999E-3</v>
      </c>
      <c r="ES222" s="528"/>
      <c r="EU222" s="460">
        <f t="shared" si="727"/>
        <v>254.66250000000002</v>
      </c>
      <c r="EV222" s="528">
        <f t="shared" si="728"/>
        <v>1.2533333333333337E-3</v>
      </c>
      <c r="EW222" s="528">
        <f t="shared" si="729"/>
        <v>0.26439111111111119</v>
      </c>
      <c r="EX222" s="528">
        <f t="shared" si="730"/>
        <v>1.5998172875578285E-5</v>
      </c>
      <c r="EY222" s="528">
        <f t="shared" si="731"/>
        <v>3.2527144095286696E-2</v>
      </c>
      <c r="EZ222" s="528"/>
      <c r="FA222" s="625">
        <f t="shared" si="732"/>
        <v>7.0499999999999998E-3</v>
      </c>
      <c r="FB222" s="460">
        <f t="shared" si="733"/>
        <v>305.23758671260674</v>
      </c>
      <c r="FC222" s="173">
        <f t="shared" si="734"/>
        <v>0.8758776226014956</v>
      </c>
      <c r="FD222" s="5">
        <f t="shared" si="735"/>
        <v>1.548</v>
      </c>
      <c r="FE222" s="173">
        <f t="shared" si="736"/>
        <v>0.63864610389800325</v>
      </c>
      <c r="FF222" s="5">
        <f t="shared" si="737"/>
        <v>63.864610389800326</v>
      </c>
      <c r="FG222">
        <f t="shared" si="738"/>
        <v>6</v>
      </c>
      <c r="FI222" s="562">
        <f t="shared" si="689"/>
        <v>-50</v>
      </c>
    </row>
    <row r="223" spans="1:169">
      <c r="E223" s="170">
        <v>7</v>
      </c>
      <c r="F223" s="217">
        <f t="shared" si="690"/>
        <v>0.42000000000000004</v>
      </c>
      <c r="G223" s="217">
        <f t="shared" si="617"/>
        <v>7.000000000000001E-3</v>
      </c>
      <c r="H223" s="217">
        <f t="shared" si="618"/>
        <v>1.6800000000000002</v>
      </c>
      <c r="I223" s="217">
        <f t="shared" si="619"/>
        <v>0.12600000000000003</v>
      </c>
      <c r="J223" s="541">
        <f t="shared" si="620"/>
        <v>35.966938359800317</v>
      </c>
      <c r="K223" s="443">
        <f t="shared" si="621"/>
        <v>19.095209986569245</v>
      </c>
      <c r="L223" s="172">
        <f t="shared" si="622"/>
        <v>55.062148346369561</v>
      </c>
      <c r="M223" s="443"/>
      <c r="N223" s="217">
        <f t="shared" si="623"/>
        <v>0.34679376958651231</v>
      </c>
      <c r="O223" s="172">
        <f t="shared" si="624"/>
        <v>38.676310493894206</v>
      </c>
      <c r="P223" s="172">
        <f t="shared" si="625"/>
        <v>3.1182775335702204</v>
      </c>
      <c r="Q223" s="217">
        <f t="shared" si="626"/>
        <v>9.6690776234735516</v>
      </c>
      <c r="R223" s="217">
        <f t="shared" si="627"/>
        <v>2.1486839163274558</v>
      </c>
      <c r="S223" s="217">
        <f t="shared" si="628"/>
        <v>4</v>
      </c>
      <c r="T223" s="217">
        <f t="shared" si="629"/>
        <v>0.2895829477263126</v>
      </c>
      <c r="U223" s="217">
        <f t="shared" si="630"/>
        <v>9.6616379686064666E-2</v>
      </c>
      <c r="V223" s="217">
        <f t="shared" si="631"/>
        <v>0.18198256919719211</v>
      </c>
      <c r="W223" s="197">
        <f t="shared" si="632"/>
        <v>350</v>
      </c>
      <c r="X223" s="443">
        <f t="shared" si="691"/>
        <v>350</v>
      </c>
      <c r="Z223" s="217">
        <f t="shared" si="633"/>
        <v>2.9697881272097333</v>
      </c>
      <c r="AA223" s="173">
        <f t="shared" si="634"/>
        <v>1.8663035154671075</v>
      </c>
      <c r="AB223" s="173">
        <f t="shared" si="635"/>
        <v>3.6090867120026067</v>
      </c>
      <c r="AC223" s="173"/>
      <c r="AD223" s="173">
        <f t="shared" si="636"/>
        <v>0.83790647032704646</v>
      </c>
      <c r="AE223" s="545">
        <f t="shared" si="637"/>
        <v>187.96847330529098</v>
      </c>
      <c r="AF223" s="528">
        <f t="shared" si="638"/>
        <v>0.78204603897191016</v>
      </c>
      <c r="AH223" s="173">
        <f t="shared" si="639"/>
        <v>0.92736184954957046</v>
      </c>
      <c r="AI223" s="173">
        <f t="shared" si="640"/>
        <v>1.3333333333333335</v>
      </c>
      <c r="AJ223" s="173">
        <f t="shared" si="641"/>
        <v>1.1074105561744521</v>
      </c>
      <c r="AL223" s="545">
        <f t="shared" si="642"/>
        <v>420.00000000000006</v>
      </c>
      <c r="AM223" s="460">
        <f t="shared" si="643"/>
        <v>187.96847330529098</v>
      </c>
      <c r="AO223">
        <f t="shared" si="644"/>
        <v>420.00000000000006</v>
      </c>
      <c r="AP223">
        <f t="shared" si="645"/>
        <v>187.96847330529098</v>
      </c>
      <c r="AR223" s="5">
        <f t="shared" si="616"/>
        <v>5.3200410814415635</v>
      </c>
      <c r="AS223" s="5">
        <f t="shared" si="604"/>
        <v>0.4448529880397869</v>
      </c>
      <c r="AT223" s="5">
        <f t="shared" si="605"/>
        <v>4.8751880934017766</v>
      </c>
      <c r="AU223" s="173">
        <f t="shared" si="606"/>
        <v>8.3618337007135626E-2</v>
      </c>
      <c r="BA223" s="173">
        <f t="shared" si="692"/>
        <v>0.22260190276666469</v>
      </c>
      <c r="BB223" s="173">
        <f t="shared" si="693"/>
        <v>2.9476525859802494</v>
      </c>
      <c r="BC223" s="173">
        <f t="shared" si="694"/>
        <v>5.6164731705839889E-2</v>
      </c>
      <c r="BD223" s="173"/>
      <c r="BE223" s="528">
        <f t="shared" si="695"/>
        <v>6.0452960680714362E-4</v>
      </c>
      <c r="BF223" s="528">
        <f t="shared" si="646"/>
        <v>0.2587486990394135</v>
      </c>
      <c r="BG223" s="528">
        <f t="shared" si="647"/>
        <v>0.16901626232392927</v>
      </c>
      <c r="BH223" s="528">
        <f t="shared" si="696"/>
        <v>5.6989037003753268E-2</v>
      </c>
      <c r="BI223">
        <f t="shared" si="697"/>
        <v>1.6185122261910143E-2</v>
      </c>
      <c r="BJ223" s="460">
        <f t="shared" si="698"/>
        <v>185.20138458583941</v>
      </c>
      <c r="BK223">
        <f t="shared" si="648"/>
        <v>0.31655095683130302</v>
      </c>
      <c r="BL223" s="460">
        <f t="shared" si="699"/>
        <v>501.54365023581329</v>
      </c>
      <c r="BM223" s="173">
        <f t="shared" si="649"/>
        <v>0.26092499999999996</v>
      </c>
      <c r="BN223" s="173">
        <f t="shared" si="650"/>
        <v>3.1062500000000005E-3</v>
      </c>
      <c r="BQ223" s="460">
        <f t="shared" si="700"/>
        <v>264.03124999999994</v>
      </c>
      <c r="BR223" s="528">
        <f t="shared" si="701"/>
        <v>1.4865482134601893E-3</v>
      </c>
      <c r="BS223" s="528">
        <f t="shared" si="702"/>
        <v>0.26065967302908155</v>
      </c>
      <c r="BT223" s="528">
        <f t="shared" si="703"/>
        <v>1.5772385437944884E-5</v>
      </c>
      <c r="BU223" s="528">
        <f t="shared" si="704"/>
        <v>4.9719800916949629E-2</v>
      </c>
      <c r="BV223" s="528"/>
      <c r="BW223" s="625">
        <f t="shared" si="705"/>
        <v>8.3541543691240464E-3</v>
      </c>
      <c r="BX223" s="460">
        <f t="shared" si="706"/>
        <v>320.23594891405332</v>
      </c>
      <c r="BY223" s="173">
        <f t="shared" si="707"/>
        <v>1.0858108491498668</v>
      </c>
      <c r="BZ223" s="5">
        <f t="shared" si="708"/>
        <v>1.8060000000000003</v>
      </c>
      <c r="CA223" s="173">
        <f t="shared" si="709"/>
        <v>0.62452217458514858</v>
      </c>
      <c r="CB223" s="5">
        <f t="shared" si="710"/>
        <v>62.452217458514859</v>
      </c>
      <c r="CC223">
        <f t="shared" si="711"/>
        <v>7.0000000000000009</v>
      </c>
      <c r="CE223" s="562">
        <f t="shared" si="651"/>
        <v>-50</v>
      </c>
      <c r="CG223" s="173">
        <f t="shared" si="652"/>
        <v>0.17072593168584554</v>
      </c>
      <c r="CH223" s="173">
        <f t="shared" si="653"/>
        <v>4.0897002666792824E-2</v>
      </c>
      <c r="CI223" s="170">
        <v>7</v>
      </c>
      <c r="CJ223" s="217">
        <f t="shared" si="712"/>
        <v>0.42000000000000004</v>
      </c>
      <c r="CK223" s="217">
        <f t="shared" si="654"/>
        <v>7.000000000000001E-3</v>
      </c>
      <c r="CL223" s="217">
        <f t="shared" si="655"/>
        <v>1.6800000000000002</v>
      </c>
      <c r="CM223" s="217">
        <f t="shared" si="656"/>
        <v>0.12600000000000003</v>
      </c>
      <c r="CN223" s="541">
        <f t="shared" si="657"/>
        <v>36</v>
      </c>
      <c r="CO223" s="443">
        <f t="shared" si="658"/>
        <v>18.8</v>
      </c>
      <c r="CP223" s="443">
        <f t="shared" si="659"/>
        <v>54.8</v>
      </c>
      <c r="CQ223" s="443"/>
      <c r="CR223" s="217">
        <f t="shared" si="660"/>
        <v>0.34306569343065696</v>
      </c>
      <c r="CS223" s="172">
        <f t="shared" si="661"/>
        <v>38.295705313189622</v>
      </c>
      <c r="CT223" s="172">
        <f t="shared" si="662"/>
        <v>3.0875912408759132</v>
      </c>
      <c r="CU223" s="217">
        <f t="shared" si="663"/>
        <v>9.5739263282974054</v>
      </c>
      <c r="CV223" s="217">
        <f t="shared" si="664"/>
        <v>2.12753918406609</v>
      </c>
      <c r="CW223" s="217">
        <f t="shared" si="665"/>
        <v>4</v>
      </c>
      <c r="CX223" s="217">
        <f t="shared" si="666"/>
        <v>0.29246099290780142</v>
      </c>
      <c r="CY223" s="217">
        <f t="shared" si="667"/>
        <v>9.7486997635933811E-2</v>
      </c>
      <c r="CZ223" s="217">
        <f t="shared" si="668"/>
        <v>0.18667722951561791</v>
      </c>
      <c r="DA223" s="197">
        <f t="shared" si="669"/>
        <v>350</v>
      </c>
      <c r="DB223" s="443">
        <f t="shared" si="670"/>
        <v>350</v>
      </c>
      <c r="DD223" s="217">
        <f t="shared" si="671"/>
        <v>2.940563086548488</v>
      </c>
      <c r="DE223" s="173">
        <f t="shared" si="672"/>
        <v>1.8769551616266944</v>
      </c>
      <c r="DF223" s="173">
        <f t="shared" si="673"/>
        <v>3.5939660877863036</v>
      </c>
      <c r="DG223" s="173"/>
      <c r="DH223" s="173">
        <f t="shared" si="674"/>
        <v>0.85106382978723416</v>
      </c>
      <c r="DI223" s="545">
        <f t="shared" si="675"/>
        <v>185.06249999999997</v>
      </c>
      <c r="DJ223" s="528">
        <f t="shared" si="676"/>
        <v>0.79432624113475192</v>
      </c>
      <c r="DL223" s="173">
        <f t="shared" si="677"/>
        <v>0.92736184954957046</v>
      </c>
      <c r="DM223" s="173">
        <f t="shared" si="678"/>
        <v>1.3333333333333335</v>
      </c>
      <c r="DN223" s="173">
        <f t="shared" si="679"/>
        <v>1.10575</v>
      </c>
      <c r="DP223" s="545">
        <f t="shared" si="680"/>
        <v>420.00000000000006</v>
      </c>
      <c r="DQ223" s="460">
        <f t="shared" si="681"/>
        <v>185.06249999999997</v>
      </c>
      <c r="DS223">
        <f t="shared" si="682"/>
        <v>420.00000000000006</v>
      </c>
      <c r="DT223">
        <f t="shared" si="683"/>
        <v>185.06249999999997</v>
      </c>
      <c r="DV223" s="5">
        <f t="shared" si="684"/>
        <v>5.403579871664979</v>
      </c>
      <c r="DW223" s="5">
        <f t="shared" si="685"/>
        <v>0.44444444444444453</v>
      </c>
      <c r="DX223" s="5">
        <f t="shared" si="686"/>
        <v>4.9591354272205344</v>
      </c>
      <c r="DY223" s="173">
        <f t="shared" si="687"/>
        <v>8.2250000000000004E-2</v>
      </c>
      <c r="EA223" s="5">
        <f t="shared" si="713"/>
        <v>4.6666666666666679</v>
      </c>
      <c r="EB223" s="5">
        <f t="shared" si="714"/>
        <v>1.7283950617283956E-2</v>
      </c>
      <c r="EC223" s="5">
        <f t="shared" si="715"/>
        <v>0.19285526661413188</v>
      </c>
      <c r="ED223" s="5"/>
      <c r="EE223" s="173">
        <f t="shared" si="716"/>
        <v>0.22077305256924079</v>
      </c>
      <c r="EF223" s="173">
        <f t="shared" si="717"/>
        <v>2.9498524759095379</v>
      </c>
      <c r="EG223" s="173">
        <f t="shared" si="718"/>
        <v>5.6206648527465514E-2</v>
      </c>
      <c r="EH223" s="173"/>
      <c r="EI223" s="528">
        <f t="shared" si="719"/>
        <v>5.9463703703703725E-4</v>
      </c>
      <c r="EJ223" s="528">
        <f t="shared" si="720"/>
        <v>0.27043800000000001</v>
      </c>
      <c r="EK223" s="528">
        <f t="shared" si="721"/>
        <v>2.3132812499999995E-2</v>
      </c>
      <c r="EL223" s="528">
        <f t="shared" si="722"/>
        <v>5.5575008999999988E-2</v>
      </c>
      <c r="EM223">
        <f t="shared" si="723"/>
        <v>1.6199999999999999E-2</v>
      </c>
      <c r="EN223" s="460">
        <f t="shared" si="724"/>
        <v>39.332812499999996</v>
      </c>
      <c r="EP223" s="460">
        <f t="shared" si="725"/>
        <v>365.94045853703705</v>
      </c>
      <c r="EQ223" s="173">
        <f t="shared" si="726"/>
        <v>0.29399999999999998</v>
      </c>
      <c r="ER223" s="173">
        <f t="shared" si="688"/>
        <v>3.1062500000000005E-3</v>
      </c>
      <c r="ES223" s="528"/>
      <c r="EU223" s="460">
        <f t="shared" si="727"/>
        <v>297.10624999999999</v>
      </c>
      <c r="EV223" s="528">
        <f t="shared" si="728"/>
        <v>1.4622222222222226E-3</v>
      </c>
      <c r="EW223" s="528">
        <f t="shared" si="729"/>
        <v>0.26104888888888889</v>
      </c>
      <c r="EX223" s="528">
        <f t="shared" si="730"/>
        <v>1.5795936693450208E-5</v>
      </c>
      <c r="EY223" s="528">
        <f t="shared" si="731"/>
        <v>4.7820367317239786E-2</v>
      </c>
      <c r="EZ223" s="528"/>
      <c r="FA223" s="625">
        <f t="shared" si="732"/>
        <v>8.2249999999999997E-3</v>
      </c>
      <c r="FB223" s="460">
        <f t="shared" si="733"/>
        <v>318.57227436504428</v>
      </c>
      <c r="FC223" s="173">
        <f t="shared" si="734"/>
        <v>0.98161898290208138</v>
      </c>
      <c r="FD223" s="5">
        <f t="shared" si="735"/>
        <v>1.8060000000000003</v>
      </c>
      <c r="FE223" s="173">
        <f t="shared" si="736"/>
        <v>0.64786472293277464</v>
      </c>
      <c r="FF223" s="5">
        <f t="shared" si="737"/>
        <v>64.78647229327747</v>
      </c>
      <c r="FG223">
        <f t="shared" si="738"/>
        <v>7.0000000000000009</v>
      </c>
      <c r="FI223" s="562">
        <f t="shared" si="689"/>
        <v>-50</v>
      </c>
    </row>
    <row r="224" spans="1:169">
      <c r="E224" s="170">
        <v>8</v>
      </c>
      <c r="F224" s="217">
        <f t="shared" si="690"/>
        <v>0.48</v>
      </c>
      <c r="G224" s="217">
        <f t="shared" si="617"/>
        <v>8.0000000000000002E-3</v>
      </c>
      <c r="H224" s="217">
        <f t="shared" si="618"/>
        <v>1.92</v>
      </c>
      <c r="I224" s="217">
        <f t="shared" si="619"/>
        <v>0.14400000000000002</v>
      </c>
      <c r="J224" s="541">
        <f t="shared" si="620"/>
        <v>35.966938359800317</v>
      </c>
      <c r="K224" s="443">
        <f t="shared" si="621"/>
        <v>19.095209986569245</v>
      </c>
      <c r="L224" s="172">
        <f t="shared" si="622"/>
        <v>55.062148346369561</v>
      </c>
      <c r="M224" s="443"/>
      <c r="N224" s="217">
        <f t="shared" si="623"/>
        <v>0.34679376958651231</v>
      </c>
      <c r="O224" s="172">
        <f t="shared" si="624"/>
        <v>38.676310493894206</v>
      </c>
      <c r="P224" s="172">
        <f t="shared" si="625"/>
        <v>3.1182775335702204</v>
      </c>
      <c r="Q224" s="217">
        <f t="shared" si="626"/>
        <v>9.6690776234735516</v>
      </c>
      <c r="R224" s="217">
        <f t="shared" si="627"/>
        <v>2.1486839163274558</v>
      </c>
      <c r="S224" s="217">
        <f t="shared" si="628"/>
        <v>4</v>
      </c>
      <c r="T224" s="217">
        <f t="shared" si="629"/>
        <v>0.33095194025864294</v>
      </c>
      <c r="U224" s="217">
        <f t="shared" si="630"/>
        <v>0.11041871964121676</v>
      </c>
      <c r="V224" s="217">
        <f t="shared" si="631"/>
        <v>0.20798007908250526</v>
      </c>
      <c r="W224" s="197">
        <f t="shared" si="632"/>
        <v>350</v>
      </c>
      <c r="X224" s="443">
        <f t="shared" si="691"/>
        <v>350</v>
      </c>
      <c r="Z224" s="217">
        <f t="shared" si="633"/>
        <v>2.9697881272097333</v>
      </c>
      <c r="AA224" s="173">
        <f t="shared" si="634"/>
        <v>1.8663035154671075</v>
      </c>
      <c r="AB224" s="173">
        <f t="shared" si="635"/>
        <v>3.6090867120026067</v>
      </c>
      <c r="AC224" s="173"/>
      <c r="AD224" s="173">
        <f t="shared" si="636"/>
        <v>0.83790647032704646</v>
      </c>
      <c r="AE224" s="545">
        <f t="shared" si="637"/>
        <v>214.82111234890394</v>
      </c>
      <c r="AF224" s="528">
        <f t="shared" si="638"/>
        <v>0.78204603897191016</v>
      </c>
      <c r="AH224" s="173">
        <f t="shared" si="639"/>
        <v>0.99139151845128415</v>
      </c>
      <c r="AI224" s="173">
        <f t="shared" si="640"/>
        <v>1.3333333333333335</v>
      </c>
      <c r="AJ224" s="173">
        <f t="shared" si="641"/>
        <v>1.1227549213422308</v>
      </c>
      <c r="AL224" s="545">
        <f t="shared" si="642"/>
        <v>480</v>
      </c>
      <c r="AM224" s="460">
        <f t="shared" si="643"/>
        <v>214.82111234890394</v>
      </c>
      <c r="AO224">
        <f t="shared" si="644"/>
        <v>480</v>
      </c>
      <c r="AP224">
        <f t="shared" si="645"/>
        <v>214.82111234890394</v>
      </c>
      <c r="AR224" s="5">
        <f t="shared" si="616"/>
        <v>4.6550359462613695</v>
      </c>
      <c r="AS224" s="5">
        <f t="shared" si="604"/>
        <v>0.4448529880397869</v>
      </c>
      <c r="AT224" s="5">
        <f t="shared" si="605"/>
        <v>4.2101829582215826</v>
      </c>
      <c r="AU224" s="173">
        <f t="shared" si="606"/>
        <v>9.5563813722440674E-2</v>
      </c>
      <c r="BA224" s="173">
        <f t="shared" si="692"/>
        <v>0.23797144394195013</v>
      </c>
      <c r="BB224" s="173">
        <f t="shared" si="693"/>
        <v>2.9283775288327178</v>
      </c>
      <c r="BC224" s="173">
        <f t="shared" si="694"/>
        <v>5.5797463725055833E-2</v>
      </c>
      <c r="BD224" s="173"/>
      <c r="BE224" s="528">
        <f t="shared" si="695"/>
        <v>6.9089097920816387E-4</v>
      </c>
      <c r="BF224" s="528">
        <f t="shared" si="646"/>
        <v>0.29571279890218677</v>
      </c>
      <c r="BG224" s="528">
        <f t="shared" si="647"/>
        <v>0.19316144265591914</v>
      </c>
      <c r="BH224" s="528">
        <f t="shared" si="696"/>
        <v>6.5130328004289431E-2</v>
      </c>
      <c r="BI224">
        <f t="shared" si="697"/>
        <v>1.6185122261910143E-2</v>
      </c>
      <c r="BJ224" s="460">
        <f t="shared" si="698"/>
        <v>209.34656491782928</v>
      </c>
      <c r="BK224">
        <f t="shared" si="648"/>
        <v>0.36177994668925689</v>
      </c>
      <c r="BL224" s="460">
        <f t="shared" si="699"/>
        <v>570.88058280351356</v>
      </c>
      <c r="BM224" s="173">
        <f t="shared" si="649"/>
        <v>0.29819999999999997</v>
      </c>
      <c r="BN224" s="173">
        <f t="shared" si="650"/>
        <v>3.5499999999999998E-3</v>
      </c>
      <c r="BQ224" s="460">
        <f t="shared" si="700"/>
        <v>301.74999999999994</v>
      </c>
      <c r="BR224" s="528">
        <f t="shared" si="701"/>
        <v>1.6989122439545015E-3</v>
      </c>
      <c r="BS224" s="528">
        <f t="shared" si="702"/>
        <v>0.25726184854117246</v>
      </c>
      <c r="BT224" s="528">
        <f t="shared" si="703"/>
        <v>1.5566784790744607E-5</v>
      </c>
      <c r="BU224" s="528">
        <f t="shared" si="704"/>
        <v>6.942393856366999E-2</v>
      </c>
      <c r="BV224" s="528"/>
      <c r="BW224" s="625">
        <f t="shared" si="705"/>
        <v>9.5476049932846207E-3</v>
      </c>
      <c r="BX224" s="460">
        <f t="shared" si="706"/>
        <v>337.94787112687237</v>
      </c>
      <c r="BY224" s="173">
        <f t="shared" si="707"/>
        <v>1.2105784539303857</v>
      </c>
      <c r="BZ224" s="5">
        <f t="shared" si="708"/>
        <v>2.0640000000000001</v>
      </c>
      <c r="CA224" s="173">
        <f t="shared" si="709"/>
        <v>0.63031013885852638</v>
      </c>
      <c r="CB224" s="5">
        <f t="shared" si="710"/>
        <v>63.031013885852637</v>
      </c>
      <c r="CC224">
        <f t="shared" si="711"/>
        <v>8</v>
      </c>
      <c r="CE224" s="562">
        <f t="shared" si="651"/>
        <v>-50</v>
      </c>
      <c r="CG224" s="173">
        <f t="shared" si="652"/>
        <v>0.19511535049810916</v>
      </c>
      <c r="CH224" s="173">
        <f t="shared" si="653"/>
        <v>4.6739431619191793E-2</v>
      </c>
      <c r="CI224" s="170">
        <v>8</v>
      </c>
      <c r="CJ224" s="217">
        <f t="shared" si="712"/>
        <v>0.48</v>
      </c>
      <c r="CK224" s="217">
        <f t="shared" si="654"/>
        <v>8.0000000000000002E-3</v>
      </c>
      <c r="CL224" s="217">
        <f t="shared" si="655"/>
        <v>1.92</v>
      </c>
      <c r="CM224" s="217">
        <f t="shared" si="656"/>
        <v>0.14400000000000002</v>
      </c>
      <c r="CN224" s="541">
        <f t="shared" si="657"/>
        <v>36</v>
      </c>
      <c r="CO224" s="443">
        <f t="shared" si="658"/>
        <v>18.8</v>
      </c>
      <c r="CP224" s="443">
        <f t="shared" si="659"/>
        <v>54.8</v>
      </c>
      <c r="CQ224" s="443"/>
      <c r="CR224" s="217">
        <f t="shared" si="660"/>
        <v>0.34306569343065696</v>
      </c>
      <c r="CS224" s="172">
        <f t="shared" si="661"/>
        <v>38.295705313189622</v>
      </c>
      <c r="CT224" s="172">
        <f t="shared" si="662"/>
        <v>3.0875912408759132</v>
      </c>
      <c r="CU224" s="217">
        <f t="shared" si="663"/>
        <v>9.5739263282974054</v>
      </c>
      <c r="CV224" s="217">
        <f t="shared" si="664"/>
        <v>2.12753918406609</v>
      </c>
      <c r="CW224" s="217">
        <f t="shared" si="665"/>
        <v>4</v>
      </c>
      <c r="CX224" s="217">
        <f t="shared" si="666"/>
        <v>0.33424113475177303</v>
      </c>
      <c r="CY224" s="217">
        <f t="shared" si="667"/>
        <v>0.11141371158392435</v>
      </c>
      <c r="CZ224" s="217">
        <f t="shared" si="668"/>
        <v>0.21334540516070621</v>
      </c>
      <c r="DA224" s="197">
        <f t="shared" si="669"/>
        <v>350</v>
      </c>
      <c r="DB224" s="443">
        <f t="shared" si="670"/>
        <v>350</v>
      </c>
      <c r="DD224" s="217">
        <f t="shared" si="671"/>
        <v>2.940563086548488</v>
      </c>
      <c r="DE224" s="173">
        <f t="shared" si="672"/>
        <v>1.8769551616266944</v>
      </c>
      <c r="DF224" s="173">
        <f t="shared" si="673"/>
        <v>3.5939660877863036</v>
      </c>
      <c r="DG224" s="173"/>
      <c r="DH224" s="173">
        <f t="shared" si="674"/>
        <v>0.85106382978723416</v>
      </c>
      <c r="DI224" s="545">
        <f t="shared" si="675"/>
        <v>211.49999999999991</v>
      </c>
      <c r="DJ224" s="528">
        <f t="shared" si="676"/>
        <v>0.79432624113475192</v>
      </c>
      <c r="DL224" s="173">
        <f t="shared" si="677"/>
        <v>0.99139151845128415</v>
      </c>
      <c r="DM224" s="173">
        <f t="shared" si="678"/>
        <v>1.3333333333333335</v>
      </c>
      <c r="DN224" s="173">
        <f t="shared" si="679"/>
        <v>1.1208571428571428</v>
      </c>
      <c r="DP224" s="545">
        <f t="shared" si="680"/>
        <v>480</v>
      </c>
      <c r="DQ224" s="460">
        <f t="shared" si="681"/>
        <v>211.49999999999991</v>
      </c>
      <c r="DS224">
        <f t="shared" si="682"/>
        <v>480</v>
      </c>
      <c r="DT224">
        <f t="shared" si="683"/>
        <v>211.49999999999991</v>
      </c>
      <c r="DV224" s="5">
        <f t="shared" si="684"/>
        <v>4.7281323877068573</v>
      </c>
      <c r="DW224" s="5">
        <f t="shared" si="685"/>
        <v>0.44444444444444453</v>
      </c>
      <c r="DX224" s="5">
        <f t="shared" si="686"/>
        <v>4.2836879432624126</v>
      </c>
      <c r="DY224" s="173">
        <f t="shared" si="687"/>
        <v>9.3999999999999986E-2</v>
      </c>
      <c r="EA224" s="5">
        <f t="shared" si="713"/>
        <v>5.3333333333333339</v>
      </c>
      <c r="EB224" s="5">
        <f t="shared" si="714"/>
        <v>1.9753086419753089E-2</v>
      </c>
      <c r="EC224" s="5">
        <f t="shared" si="715"/>
        <v>0.19038613081166275</v>
      </c>
      <c r="ED224" s="5"/>
      <c r="EE224" s="173">
        <f t="shared" si="716"/>
        <v>0.23601632084180896</v>
      </c>
      <c r="EF224" s="173">
        <f t="shared" si="717"/>
        <v>2.9309080883272722</v>
      </c>
      <c r="EG224" s="173">
        <f t="shared" si="718"/>
        <v>5.5845681142452079E-2</v>
      </c>
      <c r="EH224" s="173"/>
      <c r="EI224" s="528">
        <f t="shared" si="719"/>
        <v>6.7958518518518513E-4</v>
      </c>
      <c r="EJ224" s="528">
        <f t="shared" si="720"/>
        <v>0.30907199999999996</v>
      </c>
      <c r="EK224" s="528">
        <f t="shared" si="721"/>
        <v>2.6437499999999989E-2</v>
      </c>
      <c r="EL224" s="528">
        <f t="shared" si="722"/>
        <v>6.351429599999997E-2</v>
      </c>
      <c r="EM224">
        <f t="shared" si="723"/>
        <v>1.6199999999999999E-2</v>
      </c>
      <c r="EN224" s="460">
        <f t="shared" si="724"/>
        <v>42.637499999999989</v>
      </c>
      <c r="EP224" s="460">
        <f t="shared" si="725"/>
        <v>415.90338118518508</v>
      </c>
      <c r="EQ224" s="173">
        <f t="shared" si="726"/>
        <v>0.33599999999999997</v>
      </c>
      <c r="ER224" s="173">
        <f t="shared" si="688"/>
        <v>3.5499999999999998E-3</v>
      </c>
      <c r="ES224" s="528"/>
      <c r="EU224" s="460">
        <f t="shared" si="727"/>
        <v>339.54999999999995</v>
      </c>
      <c r="EV224" s="528">
        <f t="shared" si="728"/>
        <v>1.6711111111111111E-3</v>
      </c>
      <c r="EW224" s="528">
        <f t="shared" si="729"/>
        <v>0.25770666666666675</v>
      </c>
      <c r="EX224" s="528">
        <f t="shared" si="730"/>
        <v>1.5593700511322141E-5</v>
      </c>
      <c r="EY224" s="528">
        <f t="shared" si="731"/>
        <v>6.6771752531141357E-2</v>
      </c>
      <c r="EZ224" s="528"/>
      <c r="FA224" s="625">
        <f t="shared" si="732"/>
        <v>9.3999999999999986E-3</v>
      </c>
      <c r="FB224" s="460">
        <f t="shared" si="733"/>
        <v>335.56512400943058</v>
      </c>
      <c r="FC224" s="173">
        <f t="shared" si="734"/>
        <v>1.0910185051946155</v>
      </c>
      <c r="FD224" s="5">
        <f t="shared" si="735"/>
        <v>2.0640000000000001</v>
      </c>
      <c r="FE224" s="173">
        <f t="shared" si="736"/>
        <v>0.65419584595199809</v>
      </c>
      <c r="FF224" s="5">
        <f t="shared" si="737"/>
        <v>65.419584595199808</v>
      </c>
      <c r="FG224">
        <f t="shared" si="738"/>
        <v>8</v>
      </c>
      <c r="FI224" s="562">
        <f t="shared" si="689"/>
        <v>-50</v>
      </c>
    </row>
    <row r="225" spans="5:165">
      <c r="E225" s="170">
        <v>9</v>
      </c>
      <c r="F225" s="217">
        <f t="shared" si="690"/>
        <v>0.54</v>
      </c>
      <c r="G225" s="217">
        <f t="shared" si="617"/>
        <v>8.9999999999999993E-3</v>
      </c>
      <c r="H225" s="217">
        <f t="shared" si="618"/>
        <v>2.16</v>
      </c>
      <c r="I225" s="217">
        <f t="shared" si="619"/>
        <v>0.16199999999999998</v>
      </c>
      <c r="J225" s="541">
        <f t="shared" si="620"/>
        <v>35.966938359800317</v>
      </c>
      <c r="K225" s="443">
        <f t="shared" si="621"/>
        <v>19.095209986569245</v>
      </c>
      <c r="L225" s="172">
        <f t="shared" si="622"/>
        <v>55.062148346369561</v>
      </c>
      <c r="M225" s="443"/>
      <c r="N225" s="217">
        <f t="shared" si="623"/>
        <v>0.34679376958651231</v>
      </c>
      <c r="O225" s="172">
        <f t="shared" si="624"/>
        <v>38.676310493894206</v>
      </c>
      <c r="P225" s="172">
        <f t="shared" si="625"/>
        <v>3.1182775335702204</v>
      </c>
      <c r="Q225" s="217">
        <f t="shared" si="626"/>
        <v>9.6690776234735516</v>
      </c>
      <c r="R225" s="217">
        <f t="shared" si="627"/>
        <v>2.1486839163274558</v>
      </c>
      <c r="S225" s="217">
        <f t="shared" si="628"/>
        <v>4</v>
      </c>
      <c r="T225" s="217">
        <f t="shared" si="629"/>
        <v>0.37232093279097328</v>
      </c>
      <c r="U225" s="217">
        <f t="shared" si="630"/>
        <v>0.12422105959636884</v>
      </c>
      <c r="V225" s="217">
        <f t="shared" si="631"/>
        <v>0.23397758896781837</v>
      </c>
      <c r="W225" s="197">
        <f t="shared" si="632"/>
        <v>350</v>
      </c>
      <c r="X225" s="443">
        <f t="shared" si="691"/>
        <v>350</v>
      </c>
      <c r="Z225" s="217">
        <f t="shared" si="633"/>
        <v>2.9697881272097333</v>
      </c>
      <c r="AA225" s="173">
        <f t="shared" si="634"/>
        <v>1.8663035154671075</v>
      </c>
      <c r="AB225" s="173">
        <f t="shared" si="635"/>
        <v>3.6090867120026067</v>
      </c>
      <c r="AC225" s="173"/>
      <c r="AD225" s="173">
        <f t="shared" si="636"/>
        <v>0.83790647032704646</v>
      </c>
      <c r="AE225" s="545">
        <f t="shared" si="637"/>
        <v>241.67375139251695</v>
      </c>
      <c r="AF225" s="528">
        <f t="shared" si="638"/>
        <v>0.78204603897191016</v>
      </c>
      <c r="AH225" s="173">
        <f t="shared" si="639"/>
        <v>1.0515294982615968</v>
      </c>
      <c r="AI225" s="173">
        <f t="shared" si="640"/>
        <v>1.3333333333333335</v>
      </c>
      <c r="AJ225" s="173">
        <f t="shared" si="641"/>
        <v>1.1380992865100097</v>
      </c>
      <c r="AL225" s="545">
        <f t="shared" si="642"/>
        <v>540</v>
      </c>
      <c r="AM225" s="460">
        <f t="shared" si="643"/>
        <v>241.67375139251695</v>
      </c>
      <c r="AO225">
        <f t="shared" si="644"/>
        <v>540</v>
      </c>
      <c r="AP225">
        <f t="shared" si="645"/>
        <v>241.67375139251695</v>
      </c>
      <c r="AR225" s="5">
        <f t="shared" si="616"/>
        <v>4.1378097300101064</v>
      </c>
      <c r="AS225" s="5">
        <f t="shared" si="604"/>
        <v>0.4448529880397869</v>
      </c>
      <c r="AT225" s="5">
        <f t="shared" si="605"/>
        <v>3.6929567419703195</v>
      </c>
      <c r="AU225" s="173">
        <f t="shared" si="606"/>
        <v>0.10750929043774576</v>
      </c>
      <c r="BA225" s="173">
        <f t="shared" si="692"/>
        <v>0.25240683261016095</v>
      </c>
      <c r="BB225" s="173">
        <f t="shared" si="693"/>
        <v>2.9089747566984459</v>
      </c>
      <c r="BC225" s="173">
        <f t="shared" si="694"/>
        <v>5.5427762256010933E-2</v>
      </c>
      <c r="BD225" s="173"/>
      <c r="BE225" s="528">
        <f t="shared" si="695"/>
        <v>7.7725235160918445E-4</v>
      </c>
      <c r="BF225" s="528">
        <f t="shared" si="646"/>
        <v>0.33267689876496009</v>
      </c>
      <c r="BG225" s="528">
        <f t="shared" si="647"/>
        <v>0.21730662298790906</v>
      </c>
      <c r="BH225" s="528">
        <f t="shared" si="696"/>
        <v>7.3271619004825608E-2</v>
      </c>
      <c r="BI225">
        <f t="shared" si="697"/>
        <v>1.6185122261910143E-2</v>
      </c>
      <c r="BJ225" s="460">
        <f t="shared" si="698"/>
        <v>233.49174524981919</v>
      </c>
      <c r="BK225">
        <f t="shared" si="648"/>
        <v>0.40701079303914367</v>
      </c>
      <c r="BL225" s="460">
        <f t="shared" si="699"/>
        <v>640.21751537121406</v>
      </c>
      <c r="BM225" s="173">
        <f t="shared" si="649"/>
        <v>0.33547499999999997</v>
      </c>
      <c r="BN225" s="173">
        <f t="shared" si="650"/>
        <v>3.9937499999999999E-3</v>
      </c>
      <c r="BQ225" s="460">
        <f t="shared" si="700"/>
        <v>339.46875</v>
      </c>
      <c r="BR225" s="528">
        <f t="shared" si="701"/>
        <v>1.9112762744488143E-3</v>
      </c>
      <c r="BS225" s="528">
        <f t="shared" si="702"/>
        <v>0.25386402405326347</v>
      </c>
      <c r="BT225" s="528">
        <f t="shared" si="703"/>
        <v>1.536118414354435E-5</v>
      </c>
      <c r="BU225" s="528">
        <f t="shared" si="704"/>
        <v>9.3194558356382601E-2</v>
      </c>
      <c r="BV225" s="528"/>
      <c r="BW225" s="625">
        <f t="shared" si="705"/>
        <v>1.07410556174452E-2</v>
      </c>
      <c r="BX225" s="460">
        <f t="shared" si="706"/>
        <v>359.72627548568357</v>
      </c>
      <c r="BY225" s="173">
        <f t="shared" si="707"/>
        <v>1.3394125408568978</v>
      </c>
      <c r="BZ225" s="5">
        <f t="shared" si="708"/>
        <v>2.3220000000000001</v>
      </c>
      <c r="CA225" s="173">
        <f t="shared" si="709"/>
        <v>0.63418147343117237</v>
      </c>
      <c r="CB225" s="5">
        <f t="shared" si="710"/>
        <v>63.418147343117241</v>
      </c>
      <c r="CC225">
        <f t="shared" si="711"/>
        <v>9.0000000000000018</v>
      </c>
      <c r="CE225" s="562">
        <f t="shared" si="651"/>
        <v>-50</v>
      </c>
      <c r="CG225" s="173">
        <f t="shared" si="652"/>
        <v>0.21950476931037285</v>
      </c>
      <c r="CH225" s="173">
        <f t="shared" si="653"/>
        <v>5.2581860571590769E-2</v>
      </c>
      <c r="CI225" s="170">
        <v>9</v>
      </c>
      <c r="CJ225" s="217">
        <f t="shared" si="712"/>
        <v>0.54</v>
      </c>
      <c r="CK225" s="217">
        <f t="shared" si="654"/>
        <v>8.9999999999999993E-3</v>
      </c>
      <c r="CL225" s="217">
        <f t="shared" si="655"/>
        <v>2.16</v>
      </c>
      <c r="CM225" s="217">
        <f t="shared" si="656"/>
        <v>0.16199999999999998</v>
      </c>
      <c r="CN225" s="541">
        <f t="shared" si="657"/>
        <v>36</v>
      </c>
      <c r="CO225" s="443">
        <f t="shared" si="658"/>
        <v>18.8</v>
      </c>
      <c r="CP225" s="443">
        <f t="shared" si="659"/>
        <v>54.8</v>
      </c>
      <c r="CQ225" s="443"/>
      <c r="CR225" s="217">
        <f t="shared" si="660"/>
        <v>0.34306569343065696</v>
      </c>
      <c r="CS225" s="172">
        <f t="shared" si="661"/>
        <v>38.295705313189622</v>
      </c>
      <c r="CT225" s="172">
        <f t="shared" si="662"/>
        <v>3.0875912408759132</v>
      </c>
      <c r="CU225" s="217">
        <f t="shared" si="663"/>
        <v>9.5739263282974054</v>
      </c>
      <c r="CV225" s="217">
        <f t="shared" si="664"/>
        <v>2.12753918406609</v>
      </c>
      <c r="CW225" s="217">
        <f t="shared" si="665"/>
        <v>4</v>
      </c>
      <c r="CX225" s="217">
        <f t="shared" si="666"/>
        <v>0.37602127659574464</v>
      </c>
      <c r="CY225" s="217">
        <f t="shared" si="667"/>
        <v>0.12534042553191488</v>
      </c>
      <c r="CZ225" s="217">
        <f t="shared" si="668"/>
        <v>0.24001358080579446</v>
      </c>
      <c r="DA225" s="197">
        <f t="shared" si="669"/>
        <v>350</v>
      </c>
      <c r="DB225" s="443">
        <f t="shared" si="670"/>
        <v>350</v>
      </c>
      <c r="DD225" s="217">
        <f t="shared" si="671"/>
        <v>2.940563086548488</v>
      </c>
      <c r="DE225" s="173">
        <f t="shared" si="672"/>
        <v>1.8769551616266944</v>
      </c>
      <c r="DF225" s="173">
        <f t="shared" si="673"/>
        <v>3.5939660877863036</v>
      </c>
      <c r="DG225" s="173"/>
      <c r="DH225" s="173">
        <f t="shared" si="674"/>
        <v>0.85106382978723416</v>
      </c>
      <c r="DI225" s="545">
        <f t="shared" si="675"/>
        <v>237.93749999999997</v>
      </c>
      <c r="DJ225" s="528">
        <f t="shared" si="676"/>
        <v>0.79432624113475192</v>
      </c>
      <c r="DL225" s="173">
        <f t="shared" si="677"/>
        <v>1.0515294982615968</v>
      </c>
      <c r="DM225" s="173">
        <f t="shared" si="678"/>
        <v>1.3333333333333335</v>
      </c>
      <c r="DN225" s="173">
        <f t="shared" si="679"/>
        <v>1.1359642857142858</v>
      </c>
      <c r="DP225" s="545">
        <f t="shared" si="680"/>
        <v>540</v>
      </c>
      <c r="DQ225" s="460">
        <f t="shared" si="681"/>
        <v>237.93749999999997</v>
      </c>
      <c r="DS225">
        <f t="shared" si="682"/>
        <v>540</v>
      </c>
      <c r="DT225">
        <f t="shared" si="683"/>
        <v>237.93749999999997</v>
      </c>
      <c r="DV225" s="5">
        <f t="shared" si="684"/>
        <v>4.2027843446283164</v>
      </c>
      <c r="DW225" s="5">
        <f t="shared" si="685"/>
        <v>0.44444444444444453</v>
      </c>
      <c r="DX225" s="5">
        <f t="shared" si="686"/>
        <v>3.7583399001838718</v>
      </c>
      <c r="DY225" s="173">
        <f t="shared" si="687"/>
        <v>0.10575000000000001</v>
      </c>
      <c r="EA225" s="5">
        <f t="shared" si="713"/>
        <v>6.0000000000000018</v>
      </c>
      <c r="EB225" s="5">
        <f t="shared" si="714"/>
        <v>2.2222222222222223E-2</v>
      </c>
      <c r="EC225" s="5">
        <f t="shared" si="715"/>
        <v>0.18791699500919359</v>
      </c>
      <c r="ED225" s="5"/>
      <c r="EE225" s="173">
        <f t="shared" si="716"/>
        <v>0.25033311140691455</v>
      </c>
      <c r="EF225" s="173">
        <f t="shared" si="717"/>
        <v>2.9118404514696228</v>
      </c>
      <c r="EG225" s="173">
        <f t="shared" si="718"/>
        <v>5.5482365359083352E-2</v>
      </c>
      <c r="EH225" s="173"/>
      <c r="EI225" s="528">
        <f t="shared" si="719"/>
        <v>7.6453333333333356E-4</v>
      </c>
      <c r="EJ225" s="528">
        <f t="shared" si="720"/>
        <v>0.34770600000000002</v>
      </c>
      <c r="EK225" s="528">
        <f t="shared" si="721"/>
        <v>2.9742187499999993E-2</v>
      </c>
      <c r="EL225" s="528">
        <f t="shared" si="722"/>
        <v>7.1453582999999987E-2</v>
      </c>
      <c r="EM225">
        <f t="shared" si="723"/>
        <v>1.6199999999999999E-2</v>
      </c>
      <c r="EN225" s="460">
        <f t="shared" si="724"/>
        <v>45.942187499999996</v>
      </c>
      <c r="EP225" s="460">
        <f t="shared" si="725"/>
        <v>465.86630383333335</v>
      </c>
      <c r="EQ225" s="173">
        <f t="shared" si="726"/>
        <v>0.378</v>
      </c>
      <c r="ER225" s="173">
        <f t="shared" si="688"/>
        <v>3.9937499999999999E-3</v>
      </c>
      <c r="ES225" s="528"/>
      <c r="EU225" s="460">
        <f t="shared" si="727"/>
        <v>381.99375000000003</v>
      </c>
      <c r="EV225" s="528">
        <f t="shared" si="728"/>
        <v>1.8800000000000006E-3</v>
      </c>
      <c r="EW225" s="528">
        <f t="shared" si="729"/>
        <v>0.2543644444444445</v>
      </c>
      <c r="EX225" s="528">
        <f t="shared" si="730"/>
        <v>1.5391464329194061E-5</v>
      </c>
      <c r="EY225" s="528">
        <f t="shared" si="731"/>
        <v>8.9634269051364748E-2</v>
      </c>
      <c r="EZ225" s="528"/>
      <c r="FA225" s="625">
        <f t="shared" si="732"/>
        <v>1.0575000000000001E-2</v>
      </c>
      <c r="FB225" s="460">
        <f t="shared" si="733"/>
        <v>356.46910496013845</v>
      </c>
      <c r="FC225" s="173">
        <f t="shared" si="734"/>
        <v>1.2043291587934719</v>
      </c>
      <c r="FD225" s="5">
        <f t="shared" si="735"/>
        <v>2.3220000000000001</v>
      </c>
      <c r="FE225" s="173">
        <f t="shared" si="736"/>
        <v>0.65847511546382942</v>
      </c>
      <c r="FF225" s="5">
        <f t="shared" si="737"/>
        <v>65.847511546382947</v>
      </c>
      <c r="FG225">
        <f t="shared" si="738"/>
        <v>9.0000000000000018</v>
      </c>
      <c r="FI225" s="562">
        <f t="shared" si="689"/>
        <v>-50</v>
      </c>
    </row>
    <row r="226" spans="5:165">
      <c r="E226" s="170">
        <v>10</v>
      </c>
      <c r="F226" s="217">
        <f t="shared" si="690"/>
        <v>0.60000000000000009</v>
      </c>
      <c r="G226" s="217">
        <f t="shared" si="617"/>
        <v>1.0000000000000002E-2</v>
      </c>
      <c r="H226" s="217">
        <f t="shared" si="618"/>
        <v>2.4000000000000004</v>
      </c>
      <c r="I226" s="217">
        <f t="shared" si="619"/>
        <v>0.18000000000000005</v>
      </c>
      <c r="J226" s="541">
        <f t="shared" si="620"/>
        <v>35.966938359800317</v>
      </c>
      <c r="K226" s="443">
        <f t="shared" si="621"/>
        <v>19.095209986569245</v>
      </c>
      <c r="L226" s="172">
        <f t="shared" si="622"/>
        <v>55.062148346369561</v>
      </c>
      <c r="M226" s="443"/>
      <c r="N226" s="217">
        <f t="shared" si="623"/>
        <v>0.34679376958651231</v>
      </c>
      <c r="O226" s="172">
        <f t="shared" si="624"/>
        <v>38.676310493894206</v>
      </c>
      <c r="P226" s="172">
        <f t="shared" si="625"/>
        <v>3.1182775335702204</v>
      </c>
      <c r="Q226" s="217">
        <f t="shared" si="626"/>
        <v>9.6690776234735516</v>
      </c>
      <c r="R226" s="217">
        <f t="shared" si="627"/>
        <v>2.1486839163274558</v>
      </c>
      <c r="S226" s="217">
        <f t="shared" si="628"/>
        <v>4</v>
      </c>
      <c r="T226" s="217">
        <f t="shared" si="629"/>
        <v>0.41368992532330373</v>
      </c>
      <c r="U226" s="217">
        <f t="shared" si="630"/>
        <v>0.13802339955152096</v>
      </c>
      <c r="V226" s="217">
        <f t="shared" si="631"/>
        <v>0.25997509885313158</v>
      </c>
      <c r="W226" s="197">
        <f t="shared" si="632"/>
        <v>350</v>
      </c>
      <c r="X226" s="443">
        <f t="shared" si="691"/>
        <v>350</v>
      </c>
      <c r="Z226" s="217">
        <f t="shared" si="633"/>
        <v>2.9697881272097333</v>
      </c>
      <c r="AA226" s="173">
        <f t="shared" si="634"/>
        <v>1.8663035154671075</v>
      </c>
      <c r="AB226" s="173">
        <f t="shared" si="635"/>
        <v>3.6090867120026067</v>
      </c>
      <c r="AC226" s="173"/>
      <c r="AD226" s="173">
        <f t="shared" si="636"/>
        <v>0.83790647032704646</v>
      </c>
      <c r="AE226" s="545">
        <f t="shared" si="637"/>
        <v>268.52639043612993</v>
      </c>
      <c r="AF226" s="528">
        <f t="shared" si="638"/>
        <v>0.78204603897191016</v>
      </c>
      <c r="AH226" s="173">
        <f t="shared" si="639"/>
        <v>1.1084094137869043</v>
      </c>
      <c r="AI226" s="173">
        <f t="shared" si="640"/>
        <v>1.3333333333333335</v>
      </c>
      <c r="AJ226" s="173">
        <f t="shared" si="641"/>
        <v>1.1534436516777886</v>
      </c>
      <c r="AL226" s="545">
        <f t="shared" si="642"/>
        <v>600.00000000000011</v>
      </c>
      <c r="AM226" s="460">
        <f t="shared" si="643"/>
        <v>268.52639043612993</v>
      </c>
      <c r="AO226">
        <f t="shared" si="644"/>
        <v>600.00000000000011</v>
      </c>
      <c r="AP226">
        <f t="shared" si="645"/>
        <v>268.52639043612993</v>
      </c>
      <c r="AR226" s="5">
        <f t="shared" si="616"/>
        <v>3.7240287570090955</v>
      </c>
      <c r="AS226" s="5">
        <f t="shared" si="604"/>
        <v>0.4448529880397869</v>
      </c>
      <c r="AT226" s="5">
        <f t="shared" si="605"/>
        <v>3.2791757689693086</v>
      </c>
      <c r="AU226" s="173">
        <f t="shared" si="606"/>
        <v>0.11945476715305085</v>
      </c>
      <c r="BA226" s="173">
        <f t="shared" si="692"/>
        <v>0.26606016267899052</v>
      </c>
      <c r="BB226" s="173">
        <f t="shared" si="693"/>
        <v>2.8894416967374768</v>
      </c>
      <c r="BC226" s="173">
        <f t="shared" si="694"/>
        <v>5.505557827567354E-2</v>
      </c>
      <c r="BD226" s="173"/>
      <c r="BE226" s="528">
        <f t="shared" si="695"/>
        <v>8.6361372401020492E-4</v>
      </c>
      <c r="BF226" s="528">
        <f t="shared" si="646"/>
        <v>0.36964099862773347</v>
      </c>
      <c r="BG226" s="528">
        <f t="shared" si="647"/>
        <v>0.24145180331989893</v>
      </c>
      <c r="BH226" s="528">
        <f t="shared" si="696"/>
        <v>8.1412910005361799E-2</v>
      </c>
      <c r="BI226">
        <f t="shared" si="697"/>
        <v>1.6185122261910143E-2</v>
      </c>
      <c r="BJ226" s="460">
        <f t="shared" si="698"/>
        <v>257.63692558180907</v>
      </c>
      <c r="BK226">
        <f t="shared" si="648"/>
        <v>0.45224349599526947</v>
      </c>
      <c r="BL226" s="460">
        <f t="shared" si="699"/>
        <v>709.55444793891456</v>
      </c>
      <c r="BM226" s="173">
        <f t="shared" si="649"/>
        <v>0.37275000000000003</v>
      </c>
      <c r="BN226" s="173">
        <f t="shared" si="650"/>
        <v>4.4375000000000005E-3</v>
      </c>
      <c r="BQ226" s="460">
        <f t="shared" si="700"/>
        <v>377.1875</v>
      </c>
      <c r="BR226" s="528">
        <f t="shared" si="701"/>
        <v>2.1236403049431272E-3</v>
      </c>
      <c r="BS226" s="528">
        <f t="shared" si="702"/>
        <v>0.25046619956535443</v>
      </c>
      <c r="BT226" s="528">
        <f t="shared" si="703"/>
        <v>1.5155583496344083E-5</v>
      </c>
      <c r="BU226" s="528">
        <f t="shared" si="704"/>
        <v>0.12127862960479308</v>
      </c>
      <c r="BV226" s="528"/>
      <c r="BW226" s="625">
        <f t="shared" si="705"/>
        <v>1.1934506241605778E-2</v>
      </c>
      <c r="BX226" s="460">
        <f t="shared" si="706"/>
        <v>385.81813130019276</v>
      </c>
      <c r="BY226" s="173">
        <f t="shared" si="707"/>
        <v>1.4725600792391076</v>
      </c>
      <c r="BZ226" s="5">
        <f t="shared" si="708"/>
        <v>2.5800000000000005</v>
      </c>
      <c r="CA226" s="173">
        <f t="shared" si="709"/>
        <v>0.63663460863099908</v>
      </c>
      <c r="CB226" s="5">
        <f t="shared" si="710"/>
        <v>63.663460863099907</v>
      </c>
      <c r="CC226">
        <f t="shared" si="711"/>
        <v>10.000000000000002</v>
      </c>
      <c r="CE226" s="562">
        <f t="shared" si="651"/>
        <v>-50</v>
      </c>
      <c r="CG226" s="173">
        <f t="shared" si="652"/>
        <v>0.2438941881226365</v>
      </c>
      <c r="CH226" s="173">
        <f t="shared" si="653"/>
        <v>5.8424289523989752E-2</v>
      </c>
      <c r="CI226" s="170">
        <v>10</v>
      </c>
      <c r="CJ226" s="217">
        <f t="shared" si="712"/>
        <v>0.60000000000000009</v>
      </c>
      <c r="CK226" s="217">
        <f t="shared" si="654"/>
        <v>1.0000000000000002E-2</v>
      </c>
      <c r="CL226" s="217">
        <f t="shared" si="655"/>
        <v>2.4000000000000004</v>
      </c>
      <c r="CM226" s="217">
        <f t="shared" si="656"/>
        <v>0.18000000000000005</v>
      </c>
      <c r="CN226" s="541">
        <f t="shared" si="657"/>
        <v>36</v>
      </c>
      <c r="CO226" s="443">
        <f t="shared" si="658"/>
        <v>18.8</v>
      </c>
      <c r="CP226" s="443">
        <f t="shared" si="659"/>
        <v>54.8</v>
      </c>
      <c r="CQ226" s="443"/>
      <c r="CR226" s="217">
        <f t="shared" si="660"/>
        <v>0.34306569343065696</v>
      </c>
      <c r="CS226" s="172">
        <f t="shared" si="661"/>
        <v>38.295705313189622</v>
      </c>
      <c r="CT226" s="172">
        <f t="shared" si="662"/>
        <v>3.0875912408759132</v>
      </c>
      <c r="CU226" s="217">
        <f t="shared" si="663"/>
        <v>9.5739263282974054</v>
      </c>
      <c r="CV226" s="217">
        <f t="shared" si="664"/>
        <v>2.12753918406609</v>
      </c>
      <c r="CW226" s="217">
        <f t="shared" si="665"/>
        <v>4</v>
      </c>
      <c r="CX226" s="217">
        <f t="shared" si="666"/>
        <v>0.41780141843971635</v>
      </c>
      <c r="CY226" s="217">
        <f t="shared" si="667"/>
        <v>0.13926713947990546</v>
      </c>
      <c r="CZ226" s="217">
        <f t="shared" si="668"/>
        <v>0.26668175645088282</v>
      </c>
      <c r="DA226" s="197">
        <f t="shared" si="669"/>
        <v>350</v>
      </c>
      <c r="DB226" s="443">
        <f t="shared" si="670"/>
        <v>350</v>
      </c>
      <c r="DD226" s="217">
        <f t="shared" si="671"/>
        <v>2.940563086548488</v>
      </c>
      <c r="DE226" s="173">
        <f t="shared" si="672"/>
        <v>1.8769551616266944</v>
      </c>
      <c r="DF226" s="173">
        <f t="shared" si="673"/>
        <v>3.5939660877863036</v>
      </c>
      <c r="DG226" s="173"/>
      <c r="DH226" s="173">
        <f t="shared" si="674"/>
        <v>0.85106382978723416</v>
      </c>
      <c r="DI226" s="545">
        <f t="shared" si="675"/>
        <v>264.375</v>
      </c>
      <c r="DJ226" s="528">
        <f t="shared" si="676"/>
        <v>0.79432624113475192</v>
      </c>
      <c r="DL226" s="173">
        <f t="shared" si="677"/>
        <v>1.1084094137869043</v>
      </c>
      <c r="DM226" s="173">
        <f t="shared" si="678"/>
        <v>1.3333333333333335</v>
      </c>
      <c r="DN226" s="173">
        <f t="shared" si="679"/>
        <v>1.1510714285714285</v>
      </c>
      <c r="DP226" s="545">
        <f t="shared" si="680"/>
        <v>600.00000000000011</v>
      </c>
      <c r="DQ226" s="460">
        <f t="shared" si="681"/>
        <v>264.375</v>
      </c>
      <c r="DS226">
        <f t="shared" si="682"/>
        <v>600.00000000000011</v>
      </c>
      <c r="DT226">
        <f t="shared" si="683"/>
        <v>264.375</v>
      </c>
      <c r="DV226" s="5">
        <f t="shared" si="684"/>
        <v>3.7825059101654843</v>
      </c>
      <c r="DW226" s="5">
        <f t="shared" si="685"/>
        <v>0.44444444444444453</v>
      </c>
      <c r="DX226" s="5">
        <f t="shared" si="686"/>
        <v>3.3380614657210397</v>
      </c>
      <c r="DY226" s="173">
        <f t="shared" si="687"/>
        <v>0.11750000000000003</v>
      </c>
      <c r="EA226" s="5">
        <f t="shared" si="713"/>
        <v>6.6666666666666696</v>
      </c>
      <c r="EB226" s="5">
        <f t="shared" si="714"/>
        <v>2.4691358024691367E-2</v>
      </c>
      <c r="EC226" s="5">
        <f t="shared" si="715"/>
        <v>0.18544785920672444</v>
      </c>
      <c r="ED226" s="5"/>
      <c r="EE226" s="173">
        <f t="shared" si="716"/>
        <v>0.26387426860084268</v>
      </c>
      <c r="EF226" s="173">
        <f t="shared" si="717"/>
        <v>2.8926471280485297</v>
      </c>
      <c r="EG226" s="173">
        <f t="shared" si="718"/>
        <v>5.5116654737140912E-2</v>
      </c>
      <c r="EH226" s="173"/>
      <c r="EI226" s="528">
        <f t="shared" si="719"/>
        <v>8.4948148148148188E-4</v>
      </c>
      <c r="EJ226" s="528">
        <f t="shared" si="720"/>
        <v>0.38634000000000007</v>
      </c>
      <c r="EK226" s="528">
        <f t="shared" si="721"/>
        <v>3.3046874999999996E-2</v>
      </c>
      <c r="EL226" s="528">
        <f t="shared" si="722"/>
        <v>7.939286999999999E-2</v>
      </c>
      <c r="EM226">
        <f t="shared" si="723"/>
        <v>1.6199999999999999E-2</v>
      </c>
      <c r="EN226" s="460">
        <f t="shared" si="724"/>
        <v>49.246874999999996</v>
      </c>
      <c r="EP226" s="460">
        <f t="shared" si="725"/>
        <v>515.82922648148156</v>
      </c>
      <c r="EQ226" s="173">
        <f t="shared" si="726"/>
        <v>0.42000000000000004</v>
      </c>
      <c r="ER226" s="173">
        <f t="shared" si="688"/>
        <v>4.4375000000000005E-3</v>
      </c>
      <c r="ES226" s="528"/>
      <c r="EU226" s="460">
        <f t="shared" si="727"/>
        <v>424.4375</v>
      </c>
      <c r="EV226" s="528">
        <f t="shared" si="728"/>
        <v>2.0888888888888901E-3</v>
      </c>
      <c r="EW226" s="528">
        <f t="shared" si="729"/>
        <v>0.2510222222222222</v>
      </c>
      <c r="EX226" s="528">
        <f t="shared" si="730"/>
        <v>1.5189228147065989E-5</v>
      </c>
      <c r="EY226" s="528">
        <f t="shared" si="731"/>
        <v>0.11664545127845792</v>
      </c>
      <c r="EZ226" s="528"/>
      <c r="FA226" s="625">
        <f t="shared" si="732"/>
        <v>1.1750000000000003E-2</v>
      </c>
      <c r="FB226" s="460">
        <f t="shared" si="733"/>
        <v>381.52175161771606</v>
      </c>
      <c r="FC226" s="173">
        <f t="shared" si="734"/>
        <v>1.3217884780991975</v>
      </c>
      <c r="FD226" s="5">
        <f t="shared" si="735"/>
        <v>2.5800000000000005</v>
      </c>
      <c r="FE226" s="173">
        <f t="shared" si="736"/>
        <v>0.66123522955731251</v>
      </c>
      <c r="FF226" s="5">
        <f t="shared" si="737"/>
        <v>66.123522955731246</v>
      </c>
      <c r="FG226">
        <f t="shared" si="738"/>
        <v>10.000000000000002</v>
      </c>
      <c r="FI226" s="562">
        <f t="shared" si="689"/>
        <v>-50</v>
      </c>
    </row>
    <row r="227" spans="5:165">
      <c r="E227" s="170">
        <v>11</v>
      </c>
      <c r="F227" s="217">
        <f t="shared" si="690"/>
        <v>0.66</v>
      </c>
      <c r="G227" s="217">
        <f t="shared" si="617"/>
        <v>1.1000000000000001E-2</v>
      </c>
      <c r="H227" s="217">
        <f t="shared" si="618"/>
        <v>2.64</v>
      </c>
      <c r="I227" s="217">
        <f t="shared" si="619"/>
        <v>0.19800000000000001</v>
      </c>
      <c r="J227" s="541">
        <f t="shared" si="620"/>
        <v>35.966938359800317</v>
      </c>
      <c r="K227" s="443">
        <f t="shared" si="621"/>
        <v>19.095209986569245</v>
      </c>
      <c r="L227" s="172">
        <f t="shared" si="622"/>
        <v>55.062148346369561</v>
      </c>
      <c r="M227" s="443"/>
      <c r="N227" s="217">
        <f t="shared" si="623"/>
        <v>0.34679376958651231</v>
      </c>
      <c r="O227" s="172">
        <f t="shared" si="624"/>
        <v>38.676310493894206</v>
      </c>
      <c r="P227" s="172">
        <f t="shared" si="625"/>
        <v>3.1182775335702204</v>
      </c>
      <c r="Q227" s="217">
        <f t="shared" si="626"/>
        <v>9.6690776234735516</v>
      </c>
      <c r="R227" s="217">
        <f t="shared" si="627"/>
        <v>2.1486839163274558</v>
      </c>
      <c r="S227" s="217">
        <f t="shared" si="628"/>
        <v>4</v>
      </c>
      <c r="T227" s="217">
        <f t="shared" si="629"/>
        <v>0.45505891785563402</v>
      </c>
      <c r="U227" s="217">
        <f t="shared" si="630"/>
        <v>0.15182573950667305</v>
      </c>
      <c r="V227" s="217">
        <f t="shared" si="631"/>
        <v>0.28597260873844471</v>
      </c>
      <c r="W227" s="197">
        <f t="shared" si="632"/>
        <v>350</v>
      </c>
      <c r="X227" s="443">
        <f t="shared" si="691"/>
        <v>350</v>
      </c>
      <c r="Z227" s="217">
        <f t="shared" si="633"/>
        <v>2.9697881272097333</v>
      </c>
      <c r="AA227" s="173">
        <f t="shared" si="634"/>
        <v>1.8663035154671075</v>
      </c>
      <c r="AB227" s="173">
        <f t="shared" si="635"/>
        <v>3.6090867120026067</v>
      </c>
      <c r="AC227" s="173"/>
      <c r="AD227" s="173">
        <f t="shared" si="636"/>
        <v>0.83790647032704646</v>
      </c>
      <c r="AE227" s="545">
        <f t="shared" si="637"/>
        <v>295.37902947974294</v>
      </c>
      <c r="AF227" s="528">
        <f t="shared" si="638"/>
        <v>0.78204603897191016</v>
      </c>
      <c r="AH227" s="173">
        <f t="shared" si="639"/>
        <v>1.1625096005747959</v>
      </c>
      <c r="AI227" s="173">
        <f t="shared" si="640"/>
        <v>1.3333333333333335</v>
      </c>
      <c r="AJ227" s="173">
        <f t="shared" si="641"/>
        <v>1.1687880168455673</v>
      </c>
      <c r="AL227" s="545">
        <f t="shared" si="642"/>
        <v>660</v>
      </c>
      <c r="AM227" s="460">
        <f t="shared" si="643"/>
        <v>295.37902947974294</v>
      </c>
      <c r="AO227">
        <f t="shared" si="644"/>
        <v>660</v>
      </c>
      <c r="AP227">
        <f t="shared" si="645"/>
        <v>295.37902947974294</v>
      </c>
      <c r="AR227" s="5">
        <f t="shared" si="616"/>
        <v>3.3854806881900865</v>
      </c>
      <c r="AS227" s="5">
        <f t="shared" si="604"/>
        <v>0.4448529880397869</v>
      </c>
      <c r="AT227" s="5">
        <f t="shared" si="605"/>
        <v>2.9406277001502996</v>
      </c>
      <c r="AU227" s="173">
        <f t="shared" si="606"/>
        <v>0.13140024386835594</v>
      </c>
      <c r="BA227" s="173">
        <f t="shared" si="692"/>
        <v>0.27904625276331518</v>
      </c>
      <c r="BB227" s="173">
        <f t="shared" si="693"/>
        <v>2.8697756885480641</v>
      </c>
      <c r="BC227" s="173">
        <f t="shared" si="694"/>
        <v>5.4680861092604997E-2</v>
      </c>
      <c r="BD227" s="173"/>
      <c r="BE227" s="528">
        <f t="shared" si="695"/>
        <v>9.4997509641122529E-4</v>
      </c>
      <c r="BF227" s="528">
        <f t="shared" si="646"/>
        <v>0.40660509849050686</v>
      </c>
      <c r="BG227" s="528">
        <f t="shared" si="647"/>
        <v>0.26559698365188888</v>
      </c>
      <c r="BH227" s="528">
        <f t="shared" si="696"/>
        <v>8.9554201005897976E-2</v>
      </c>
      <c r="BI227">
        <f t="shared" si="697"/>
        <v>1.6185122261910143E-2</v>
      </c>
      <c r="BJ227" s="460">
        <f t="shared" si="698"/>
        <v>281.78210591379906</v>
      </c>
      <c r="BK227">
        <f t="shared" si="648"/>
        <v>0.49747805567194958</v>
      </c>
      <c r="BL227" s="460">
        <f t="shared" si="699"/>
        <v>778.89138050661506</v>
      </c>
      <c r="BM227" s="173">
        <f t="shared" si="649"/>
        <v>0.41002499999999997</v>
      </c>
      <c r="BN227" s="173">
        <f t="shared" si="650"/>
        <v>4.8812500000000002E-3</v>
      </c>
      <c r="BQ227" s="460">
        <f t="shared" si="700"/>
        <v>414.90625</v>
      </c>
      <c r="BR227" s="528">
        <f t="shared" si="701"/>
        <v>2.3360043354374396E-3</v>
      </c>
      <c r="BS227" s="528">
        <f t="shared" si="702"/>
        <v>0.24706837507744547</v>
      </c>
      <c r="BT227" s="528">
        <f t="shared" si="703"/>
        <v>1.4949982849143816E-5</v>
      </c>
      <c r="BU227" s="528">
        <f t="shared" si="704"/>
        <v>0.15390970078638355</v>
      </c>
      <c r="BV227" s="528"/>
      <c r="BW227" s="625">
        <f t="shared" si="705"/>
        <v>1.3127956865766356E-2</v>
      </c>
      <c r="BX227" s="460">
        <f t="shared" si="706"/>
        <v>416.45698704788197</v>
      </c>
      <c r="BY227" s="173">
        <f t="shared" si="707"/>
        <v>1.6102546175544969</v>
      </c>
      <c r="BZ227" s="5">
        <f t="shared" si="708"/>
        <v>2.8380000000000001</v>
      </c>
      <c r="CA227" s="173">
        <f t="shared" si="709"/>
        <v>0.63800304703786015</v>
      </c>
      <c r="CB227" s="5">
        <f t="shared" si="710"/>
        <v>63.800304703786011</v>
      </c>
      <c r="CC227">
        <f t="shared" si="711"/>
        <v>11</v>
      </c>
      <c r="CE227" s="562">
        <f t="shared" si="651"/>
        <v>-50</v>
      </c>
      <c r="CG227" s="173">
        <f t="shared" si="652"/>
        <v>0.26828360693490017</v>
      </c>
      <c r="CH227" s="173">
        <f t="shared" si="653"/>
        <v>6.4266718476388721E-2</v>
      </c>
      <c r="CI227" s="170">
        <v>11</v>
      </c>
      <c r="CJ227" s="217">
        <f t="shared" si="712"/>
        <v>0.66</v>
      </c>
      <c r="CK227" s="217">
        <f t="shared" si="654"/>
        <v>1.1000000000000001E-2</v>
      </c>
      <c r="CL227" s="217">
        <f t="shared" si="655"/>
        <v>2.64</v>
      </c>
      <c r="CM227" s="217">
        <f t="shared" si="656"/>
        <v>0.19800000000000001</v>
      </c>
      <c r="CN227" s="541">
        <f t="shared" si="657"/>
        <v>36</v>
      </c>
      <c r="CO227" s="443">
        <f t="shared" si="658"/>
        <v>18.8</v>
      </c>
      <c r="CP227" s="443">
        <f t="shared" si="659"/>
        <v>54.8</v>
      </c>
      <c r="CQ227" s="443"/>
      <c r="CR227" s="217">
        <f t="shared" si="660"/>
        <v>0.34306569343065696</v>
      </c>
      <c r="CS227" s="172">
        <f t="shared" si="661"/>
        <v>38.295705313189622</v>
      </c>
      <c r="CT227" s="172">
        <f t="shared" si="662"/>
        <v>3.0875912408759132</v>
      </c>
      <c r="CU227" s="217">
        <f t="shared" si="663"/>
        <v>9.5739263282974054</v>
      </c>
      <c r="CV227" s="217">
        <f t="shared" si="664"/>
        <v>2.12753918406609</v>
      </c>
      <c r="CW227" s="217">
        <f t="shared" si="665"/>
        <v>4</v>
      </c>
      <c r="CX227" s="217">
        <f t="shared" si="666"/>
        <v>0.45958156028368791</v>
      </c>
      <c r="CY227" s="217">
        <f t="shared" si="667"/>
        <v>0.15319385342789596</v>
      </c>
      <c r="CZ227" s="217">
        <f t="shared" si="668"/>
        <v>0.29334993209597099</v>
      </c>
      <c r="DA227" s="197">
        <f t="shared" si="669"/>
        <v>350</v>
      </c>
      <c r="DB227" s="443">
        <f t="shared" si="670"/>
        <v>350</v>
      </c>
      <c r="DD227" s="217">
        <f t="shared" si="671"/>
        <v>2.940563086548488</v>
      </c>
      <c r="DE227" s="173">
        <f t="shared" si="672"/>
        <v>1.8769551616266944</v>
      </c>
      <c r="DF227" s="173">
        <f t="shared" si="673"/>
        <v>3.5939660877863036</v>
      </c>
      <c r="DG227" s="173"/>
      <c r="DH227" s="173">
        <f t="shared" si="674"/>
        <v>0.85106382978723416</v>
      </c>
      <c r="DI227" s="545">
        <f t="shared" si="675"/>
        <v>290.81249999999994</v>
      </c>
      <c r="DJ227" s="528">
        <f t="shared" si="676"/>
        <v>0.79432624113475192</v>
      </c>
      <c r="DL227" s="173">
        <f t="shared" si="677"/>
        <v>1.1625096005747959</v>
      </c>
      <c r="DM227" s="173">
        <f t="shared" si="678"/>
        <v>1.3333333333333335</v>
      </c>
      <c r="DN227" s="173">
        <f t="shared" si="679"/>
        <v>1.1661785714285715</v>
      </c>
      <c r="DP227" s="545">
        <f t="shared" si="680"/>
        <v>660</v>
      </c>
      <c r="DQ227" s="460">
        <f t="shared" si="681"/>
        <v>290.81249999999994</v>
      </c>
      <c r="DS227">
        <f t="shared" si="682"/>
        <v>660</v>
      </c>
      <c r="DT227">
        <f t="shared" si="683"/>
        <v>290.81249999999994</v>
      </c>
      <c r="DV227" s="5">
        <f t="shared" si="684"/>
        <v>3.4386417365140778</v>
      </c>
      <c r="DW227" s="5">
        <f t="shared" si="685"/>
        <v>0.44444444444444453</v>
      </c>
      <c r="DX227" s="5">
        <f t="shared" si="686"/>
        <v>2.9941972920696331</v>
      </c>
      <c r="DY227" s="173">
        <f t="shared" si="687"/>
        <v>0.12925</v>
      </c>
      <c r="EA227" s="5">
        <f t="shared" si="713"/>
        <v>7.3333333333333348</v>
      </c>
      <c r="EB227" s="5">
        <f t="shared" si="714"/>
        <v>2.7160493827160504E-2</v>
      </c>
      <c r="EC227" s="5">
        <f t="shared" si="715"/>
        <v>0.18297872340425533</v>
      </c>
      <c r="ED227" s="5"/>
      <c r="EE227" s="173">
        <f t="shared" si="716"/>
        <v>0.27675366771299098</v>
      </c>
      <c r="EF227" s="173">
        <f t="shared" si="717"/>
        <v>2.8733255993708755</v>
      </c>
      <c r="EG227" s="173">
        <f t="shared" si="718"/>
        <v>5.4748501285309926E-2</v>
      </c>
      <c r="EH227" s="173"/>
      <c r="EI227" s="528">
        <f t="shared" si="719"/>
        <v>9.3442962962962998E-4</v>
      </c>
      <c r="EJ227" s="528">
        <f t="shared" si="720"/>
        <v>0.42497399999999991</v>
      </c>
      <c r="EK227" s="528">
        <f t="shared" si="721"/>
        <v>3.6351562499999997E-2</v>
      </c>
      <c r="EL227" s="528">
        <f t="shared" si="722"/>
        <v>8.7332156999999966E-2</v>
      </c>
      <c r="EM227">
        <f t="shared" si="723"/>
        <v>1.6199999999999999E-2</v>
      </c>
      <c r="EN227" s="460">
        <f t="shared" si="724"/>
        <v>52.551562499999996</v>
      </c>
      <c r="EP227" s="460">
        <f t="shared" si="725"/>
        <v>565.79214912962948</v>
      </c>
      <c r="EQ227" s="173">
        <f t="shared" si="726"/>
        <v>0.46199999999999997</v>
      </c>
      <c r="ER227" s="173">
        <f t="shared" si="688"/>
        <v>4.8812500000000002E-3</v>
      </c>
      <c r="ES227" s="528"/>
      <c r="EU227" s="460">
        <f t="shared" si="727"/>
        <v>466.88124999999997</v>
      </c>
      <c r="EV227" s="528">
        <f t="shared" si="728"/>
        <v>2.2977777777777788E-3</v>
      </c>
      <c r="EW227" s="528">
        <f t="shared" si="729"/>
        <v>0.24768000000000001</v>
      </c>
      <c r="EX227" s="528">
        <f t="shared" si="730"/>
        <v>1.4986991964937914E-5</v>
      </c>
      <c r="EY227" s="528">
        <f t="shared" si="731"/>
        <v>0.14802992549357291</v>
      </c>
      <c r="EZ227" s="528"/>
      <c r="FA227" s="625">
        <f t="shared" si="732"/>
        <v>1.2925000000000001E-2</v>
      </c>
      <c r="FB227" s="460">
        <f t="shared" si="733"/>
        <v>410.94769026331568</v>
      </c>
      <c r="FC227" s="173">
        <f t="shared" si="734"/>
        <v>1.4436210893929449</v>
      </c>
      <c r="FD227" s="5">
        <f t="shared" si="735"/>
        <v>2.8380000000000001</v>
      </c>
      <c r="FE227" s="173">
        <f t="shared" si="736"/>
        <v>0.66283305802811621</v>
      </c>
      <c r="FF227" s="5">
        <f t="shared" si="737"/>
        <v>66.283305802811626</v>
      </c>
      <c r="FG227">
        <f t="shared" si="738"/>
        <v>11</v>
      </c>
      <c r="FI227" s="562">
        <f t="shared" si="689"/>
        <v>-50</v>
      </c>
    </row>
    <row r="228" spans="5:165">
      <c r="E228" s="170">
        <v>12</v>
      </c>
      <c r="F228" s="217">
        <f t="shared" si="690"/>
        <v>0.72</v>
      </c>
      <c r="G228" s="217">
        <f t="shared" si="617"/>
        <v>1.2E-2</v>
      </c>
      <c r="H228" s="217">
        <f t="shared" si="618"/>
        <v>2.88</v>
      </c>
      <c r="I228" s="217">
        <f t="shared" si="619"/>
        <v>0.216</v>
      </c>
      <c r="J228" s="541">
        <f t="shared" si="620"/>
        <v>35.966938359800317</v>
      </c>
      <c r="K228" s="443">
        <f t="shared" si="621"/>
        <v>19.095209986569245</v>
      </c>
      <c r="L228" s="172">
        <f t="shared" si="622"/>
        <v>55.062148346369561</v>
      </c>
      <c r="M228" s="443"/>
      <c r="N228" s="217">
        <f t="shared" si="623"/>
        <v>0.34679376958651231</v>
      </c>
      <c r="O228" s="172">
        <f t="shared" si="624"/>
        <v>38.676310493894206</v>
      </c>
      <c r="P228" s="172">
        <f t="shared" si="625"/>
        <v>3.1182775335702204</v>
      </c>
      <c r="Q228" s="217">
        <f t="shared" si="626"/>
        <v>9.6690776234735516</v>
      </c>
      <c r="R228" s="217">
        <f t="shared" si="627"/>
        <v>2.1486839163274558</v>
      </c>
      <c r="S228" s="217">
        <f t="shared" si="628"/>
        <v>4</v>
      </c>
      <c r="T228" s="217">
        <f t="shared" si="629"/>
        <v>0.49642791038796441</v>
      </c>
      <c r="U228" s="217">
        <f t="shared" si="630"/>
        <v>0.16562807946182512</v>
      </c>
      <c r="V228" s="217">
        <f t="shared" si="631"/>
        <v>0.3119701186237579</v>
      </c>
      <c r="W228" s="197">
        <f t="shared" si="632"/>
        <v>350</v>
      </c>
      <c r="X228" s="443">
        <f t="shared" si="691"/>
        <v>350</v>
      </c>
      <c r="Z228" s="217">
        <f t="shared" si="633"/>
        <v>2.9697881272097333</v>
      </c>
      <c r="AA228" s="173">
        <f t="shared" si="634"/>
        <v>1.8663035154671075</v>
      </c>
      <c r="AB228" s="173">
        <f t="shared" si="635"/>
        <v>3.6090867120026067</v>
      </c>
      <c r="AC228" s="173"/>
      <c r="AD228" s="173">
        <f t="shared" si="636"/>
        <v>0.83790647032704646</v>
      </c>
      <c r="AE228" s="545">
        <f t="shared" si="637"/>
        <v>322.23166852335584</v>
      </c>
      <c r="AF228" s="528">
        <f t="shared" si="638"/>
        <v>0.78204603897191016</v>
      </c>
      <c r="AH228" s="173">
        <f t="shared" si="639"/>
        <v>1.2142016777643301</v>
      </c>
      <c r="AI228" s="173">
        <f t="shared" si="640"/>
        <v>1.3333333333333335</v>
      </c>
      <c r="AJ228" s="173">
        <f t="shared" si="641"/>
        <v>1.1841323820133463</v>
      </c>
      <c r="AL228" s="545">
        <f t="shared" si="642"/>
        <v>720</v>
      </c>
      <c r="AM228" s="460">
        <f t="shared" si="643"/>
        <v>322.23166852335584</v>
      </c>
      <c r="AO228">
        <f t="shared" si="644"/>
        <v>720</v>
      </c>
      <c r="AP228">
        <f t="shared" si="645"/>
        <v>322.23166852335584</v>
      </c>
      <c r="AR228" s="5">
        <f t="shared" si="616"/>
        <v>3.1033572975075803</v>
      </c>
      <c r="AS228" s="5">
        <f t="shared" si="604"/>
        <v>0.4448529880397869</v>
      </c>
      <c r="AT228" s="5">
        <f t="shared" si="605"/>
        <v>2.6585043094677934</v>
      </c>
      <c r="AU228" s="173">
        <f t="shared" si="606"/>
        <v>0.14334572058366099</v>
      </c>
      <c r="BA228" s="173">
        <f t="shared" si="692"/>
        <v>0.29145430550555446</v>
      </c>
      <c r="BB228" s="173">
        <f t="shared" si="693"/>
        <v>2.8499739799369892</v>
      </c>
      <c r="BC228" s="173">
        <f t="shared" si="694"/>
        <v>5.4303558266366951E-2</v>
      </c>
      <c r="BD228" s="173"/>
      <c r="BE228" s="528">
        <f t="shared" si="695"/>
        <v>1.0363364688122459E-3</v>
      </c>
      <c r="BF228" s="528">
        <f t="shared" si="646"/>
        <v>0.44356919835328001</v>
      </c>
      <c r="BG228" s="528">
        <f t="shared" si="647"/>
        <v>0.2897421639838787</v>
      </c>
      <c r="BH228" s="528">
        <f t="shared" si="696"/>
        <v>9.7695492006434126E-2</v>
      </c>
      <c r="BI228">
        <f t="shared" si="697"/>
        <v>1.6185122261910143E-2</v>
      </c>
      <c r="BJ228" s="460">
        <f t="shared" si="698"/>
        <v>305.92728624578888</v>
      </c>
      <c r="BK228">
        <f t="shared" si="648"/>
        <v>0.54271447218350866</v>
      </c>
      <c r="BL228" s="460">
        <f t="shared" si="699"/>
        <v>848.22831307431522</v>
      </c>
      <c r="BM228" s="173">
        <f t="shared" si="649"/>
        <v>0.44729999999999998</v>
      </c>
      <c r="BN228" s="173">
        <f t="shared" si="650"/>
        <v>5.3249999999999999E-3</v>
      </c>
      <c r="BQ228" s="460">
        <f t="shared" si="700"/>
        <v>452.625</v>
      </c>
      <c r="BR228" s="528">
        <f t="shared" si="701"/>
        <v>2.548368365931752E-3</v>
      </c>
      <c r="BS228" s="528">
        <f t="shared" si="702"/>
        <v>0.24367055058953646</v>
      </c>
      <c r="BT228" s="528">
        <f t="shared" si="703"/>
        <v>1.4744382201943552E-5</v>
      </c>
      <c r="BU228" s="528">
        <f t="shared" si="704"/>
        <v>0.19130987859223375</v>
      </c>
      <c r="BV228" s="528"/>
      <c r="BW228" s="625">
        <f t="shared" si="705"/>
        <v>1.4321407489926928E-2</v>
      </c>
      <c r="BX228" s="460">
        <f t="shared" si="706"/>
        <v>451.86494941983085</v>
      </c>
      <c r="BY228" s="173">
        <f t="shared" si="707"/>
        <v>1.752718262494146</v>
      </c>
      <c r="BZ228" s="5">
        <f t="shared" si="708"/>
        <v>3.0960000000000001</v>
      </c>
      <c r="CA228" s="173">
        <f t="shared" si="709"/>
        <v>0.63851926063599329</v>
      </c>
      <c r="CB228" s="5">
        <f t="shared" si="710"/>
        <v>63.851926063599329</v>
      </c>
      <c r="CC228">
        <f t="shared" si="711"/>
        <v>12</v>
      </c>
      <c r="CE228" s="562">
        <f t="shared" si="651"/>
        <v>-50</v>
      </c>
      <c r="CG228" s="173">
        <f t="shared" si="652"/>
        <v>0.29267302574716375</v>
      </c>
      <c r="CH228" s="173">
        <f t="shared" si="653"/>
        <v>7.0109147428787696E-2</v>
      </c>
      <c r="CI228" s="170">
        <v>12</v>
      </c>
      <c r="CJ228" s="217">
        <f t="shared" si="712"/>
        <v>0.72</v>
      </c>
      <c r="CK228" s="217">
        <f t="shared" si="654"/>
        <v>1.2E-2</v>
      </c>
      <c r="CL228" s="217">
        <f t="shared" si="655"/>
        <v>2.88</v>
      </c>
      <c r="CM228" s="217">
        <f t="shared" si="656"/>
        <v>0.216</v>
      </c>
      <c r="CN228" s="541">
        <f t="shared" si="657"/>
        <v>36</v>
      </c>
      <c r="CO228" s="443">
        <f t="shared" si="658"/>
        <v>18.8</v>
      </c>
      <c r="CP228" s="443">
        <f t="shared" si="659"/>
        <v>54.8</v>
      </c>
      <c r="CQ228" s="443"/>
      <c r="CR228" s="217">
        <f t="shared" si="660"/>
        <v>0.34306569343065696</v>
      </c>
      <c r="CS228" s="172">
        <f t="shared" si="661"/>
        <v>38.295705313189622</v>
      </c>
      <c r="CT228" s="172">
        <f t="shared" si="662"/>
        <v>3.0875912408759132</v>
      </c>
      <c r="CU228" s="217">
        <f t="shared" si="663"/>
        <v>9.5739263282974054</v>
      </c>
      <c r="CV228" s="217">
        <f t="shared" si="664"/>
        <v>2.12753918406609</v>
      </c>
      <c r="CW228" s="217">
        <f t="shared" si="665"/>
        <v>4</v>
      </c>
      <c r="CX228" s="217">
        <f t="shared" si="666"/>
        <v>0.50136170212765951</v>
      </c>
      <c r="CY228" s="217">
        <f t="shared" si="667"/>
        <v>0.16712056737588651</v>
      </c>
      <c r="CZ228" s="217">
        <f t="shared" si="668"/>
        <v>0.32001810774105927</v>
      </c>
      <c r="DA228" s="197">
        <f t="shared" si="669"/>
        <v>350</v>
      </c>
      <c r="DB228" s="443">
        <f t="shared" si="670"/>
        <v>350</v>
      </c>
      <c r="DD228" s="217">
        <f t="shared" si="671"/>
        <v>2.940563086548488</v>
      </c>
      <c r="DE228" s="173">
        <f t="shared" si="672"/>
        <v>1.8769551616266944</v>
      </c>
      <c r="DF228" s="173">
        <f t="shared" si="673"/>
        <v>3.5939660877863036</v>
      </c>
      <c r="DG228" s="173"/>
      <c r="DH228" s="173">
        <f t="shared" si="674"/>
        <v>0.85106382978723416</v>
      </c>
      <c r="DI228" s="545">
        <f t="shared" si="675"/>
        <v>317.24999999999994</v>
      </c>
      <c r="DJ228" s="528">
        <f t="shared" si="676"/>
        <v>0.79432624113475192</v>
      </c>
      <c r="DL228" s="173">
        <f t="shared" si="677"/>
        <v>1.2142016777643301</v>
      </c>
      <c r="DM228" s="173">
        <f t="shared" si="678"/>
        <v>1.3333333333333335</v>
      </c>
      <c r="DN228" s="173">
        <f t="shared" si="679"/>
        <v>1.1812857142857143</v>
      </c>
      <c r="DP228" s="545">
        <f t="shared" si="680"/>
        <v>720</v>
      </c>
      <c r="DQ228" s="460">
        <f t="shared" si="681"/>
        <v>317.24999999999994</v>
      </c>
      <c r="DS228">
        <f t="shared" si="682"/>
        <v>720</v>
      </c>
      <c r="DT228">
        <f t="shared" si="683"/>
        <v>317.24999999999994</v>
      </c>
      <c r="DV228" s="5">
        <f t="shared" si="684"/>
        <v>3.1520882584712377</v>
      </c>
      <c r="DW228" s="5">
        <f t="shared" si="685"/>
        <v>0.44444444444444453</v>
      </c>
      <c r="DX228" s="5">
        <f t="shared" si="686"/>
        <v>2.7076438140267931</v>
      </c>
      <c r="DY228" s="173">
        <f t="shared" si="687"/>
        <v>0.14100000000000001</v>
      </c>
      <c r="EA228" s="5">
        <f t="shared" si="713"/>
        <v>8.0000000000000018</v>
      </c>
      <c r="EB228" s="5">
        <f t="shared" si="714"/>
        <v>2.9629629629629638E-2</v>
      </c>
      <c r="EC228" s="5">
        <f t="shared" si="715"/>
        <v>0.18050958760178618</v>
      </c>
      <c r="ED228" s="5"/>
      <c r="EE228" s="173">
        <f t="shared" si="716"/>
        <v>0.2890597785157174</v>
      </c>
      <c r="EF228" s="173">
        <f t="shared" si="717"/>
        <v>2.8538732614803686</v>
      </c>
      <c r="EG228" s="173">
        <f t="shared" si="718"/>
        <v>5.4377855387666478E-2</v>
      </c>
      <c r="EH228" s="173"/>
      <c r="EI228" s="528">
        <f t="shared" si="719"/>
        <v>1.0193777777777783E-3</v>
      </c>
      <c r="EJ228" s="528">
        <f t="shared" si="720"/>
        <v>0.46360799999999991</v>
      </c>
      <c r="EK228" s="528">
        <f t="shared" si="721"/>
        <v>3.965624999999999E-2</v>
      </c>
      <c r="EL228" s="528">
        <f t="shared" si="722"/>
        <v>9.5271443999999969E-2</v>
      </c>
      <c r="EM228">
        <f t="shared" si="723"/>
        <v>1.6199999999999999E-2</v>
      </c>
      <c r="EN228" s="460">
        <f t="shared" si="724"/>
        <v>55.856249999999989</v>
      </c>
      <c r="EP228" s="460">
        <f t="shared" si="725"/>
        <v>615.75507177777763</v>
      </c>
      <c r="EQ228" s="173">
        <f t="shared" si="726"/>
        <v>0.504</v>
      </c>
      <c r="ER228" s="173">
        <f t="shared" si="688"/>
        <v>5.3249999999999999E-3</v>
      </c>
      <c r="ES228" s="528"/>
      <c r="EU228" s="460">
        <f t="shared" si="727"/>
        <v>509.32500000000005</v>
      </c>
      <c r="EV228" s="528">
        <f t="shared" si="728"/>
        <v>2.5066666666666679E-3</v>
      </c>
      <c r="EW228" s="528">
        <f t="shared" si="729"/>
        <v>0.24433777777777788</v>
      </c>
      <c r="EX228" s="528">
        <f t="shared" si="730"/>
        <v>1.478475578280984E-5</v>
      </c>
      <c r="EY228" s="528">
        <f t="shared" si="731"/>
        <v>0.18400131329927374</v>
      </c>
      <c r="EZ228" s="528"/>
      <c r="FA228" s="625">
        <f t="shared" si="732"/>
        <v>1.41E-2</v>
      </c>
      <c r="FB228" s="460">
        <f t="shared" si="733"/>
        <v>444.96054249950112</v>
      </c>
      <c r="FC228" s="173">
        <f t="shared" si="734"/>
        <v>1.5700406142772787</v>
      </c>
      <c r="FD228" s="5">
        <f t="shared" si="735"/>
        <v>3.0960000000000001</v>
      </c>
      <c r="FE228" s="173">
        <f t="shared" si="736"/>
        <v>0.66351758502203662</v>
      </c>
      <c r="FF228" s="5">
        <f t="shared" si="737"/>
        <v>66.351758502203666</v>
      </c>
      <c r="FG228">
        <f t="shared" si="738"/>
        <v>12</v>
      </c>
      <c r="FI228" s="562">
        <f t="shared" si="689"/>
        <v>-50</v>
      </c>
    </row>
    <row r="229" spans="5:165">
      <c r="E229" s="170">
        <v>13</v>
      </c>
      <c r="F229" s="217">
        <f t="shared" si="690"/>
        <v>0.78</v>
      </c>
      <c r="G229" s="217">
        <f t="shared" si="617"/>
        <v>1.3000000000000001E-2</v>
      </c>
      <c r="H229" s="217">
        <f t="shared" si="618"/>
        <v>3.12</v>
      </c>
      <c r="I229" s="217">
        <f t="shared" si="619"/>
        <v>0.23400000000000001</v>
      </c>
      <c r="J229" s="541">
        <f t="shared" si="620"/>
        <v>35.966938359800317</v>
      </c>
      <c r="K229" s="443">
        <f t="shared" si="621"/>
        <v>19.095209986569245</v>
      </c>
      <c r="L229" s="172">
        <f t="shared" si="622"/>
        <v>55.062148346369561</v>
      </c>
      <c r="M229" s="443"/>
      <c r="N229" s="217">
        <f t="shared" si="623"/>
        <v>0.34679376958651231</v>
      </c>
      <c r="O229" s="172">
        <f t="shared" si="624"/>
        <v>38.676310493894206</v>
      </c>
      <c r="P229" s="172">
        <f t="shared" si="625"/>
        <v>3.1182775335702204</v>
      </c>
      <c r="Q229" s="217">
        <f t="shared" si="626"/>
        <v>9.6690776234735516</v>
      </c>
      <c r="R229" s="217">
        <f t="shared" si="627"/>
        <v>2.1486839163274558</v>
      </c>
      <c r="S229" s="217">
        <f t="shared" si="628"/>
        <v>4</v>
      </c>
      <c r="T229" s="217">
        <f t="shared" si="629"/>
        <v>0.53779690292029481</v>
      </c>
      <c r="U229" s="217">
        <f t="shared" si="630"/>
        <v>0.17943041941697721</v>
      </c>
      <c r="V229" s="217">
        <f t="shared" si="631"/>
        <v>0.33796762850907108</v>
      </c>
      <c r="W229" s="197">
        <f t="shared" si="632"/>
        <v>350</v>
      </c>
      <c r="X229" s="443">
        <f t="shared" si="691"/>
        <v>350</v>
      </c>
      <c r="Z229" s="217">
        <f t="shared" si="633"/>
        <v>2.9697881272097333</v>
      </c>
      <c r="AA229" s="173">
        <f t="shared" si="634"/>
        <v>1.8663035154671075</v>
      </c>
      <c r="AB229" s="173">
        <f t="shared" si="635"/>
        <v>3.6090867120026067</v>
      </c>
      <c r="AC229" s="173"/>
      <c r="AD229" s="173">
        <f t="shared" si="636"/>
        <v>0.83790647032704646</v>
      </c>
      <c r="AE229" s="545">
        <f t="shared" si="637"/>
        <v>349.0843075669689</v>
      </c>
      <c r="AF229" s="528">
        <f t="shared" si="638"/>
        <v>0.78204603897191016</v>
      </c>
      <c r="AH229" s="173">
        <f t="shared" si="639"/>
        <v>1.2637811745483698</v>
      </c>
      <c r="AI229" s="173">
        <f t="shared" si="640"/>
        <v>1.3333333333333335</v>
      </c>
      <c r="AJ229" s="173">
        <f t="shared" si="641"/>
        <v>1.1994767471811252</v>
      </c>
      <c r="AL229" s="545">
        <f t="shared" si="642"/>
        <v>780</v>
      </c>
      <c r="AM229" s="460">
        <f t="shared" si="643"/>
        <v>349.0843075669689</v>
      </c>
      <c r="AO229">
        <f t="shared" si="644"/>
        <v>780</v>
      </c>
      <c r="AP229">
        <f t="shared" si="645"/>
        <v>349.0843075669689</v>
      </c>
      <c r="AR229" s="5">
        <f t="shared" si="616"/>
        <v>2.8646375053916118</v>
      </c>
      <c r="AS229" s="5">
        <f t="shared" si="604"/>
        <v>0.4448529880397869</v>
      </c>
      <c r="AT229" s="5">
        <f t="shared" si="605"/>
        <v>2.4197845173518249</v>
      </c>
      <c r="AU229" s="173">
        <f t="shared" si="606"/>
        <v>0.15529119729896612</v>
      </c>
      <c r="BA229" s="173">
        <f t="shared" si="692"/>
        <v>0.30335525908446381</v>
      </c>
      <c r="BB229" s="173">
        <f t="shared" si="693"/>
        <v>2.8300337224235066</v>
      </c>
      <c r="BC229" s="173">
        <f t="shared" si="694"/>
        <v>5.3923615521853298E-2</v>
      </c>
      <c r="BD229" s="173"/>
      <c r="BE229" s="528">
        <f t="shared" si="695"/>
        <v>1.1226978412132663E-3</v>
      </c>
      <c r="BF229" s="528">
        <f t="shared" si="646"/>
        <v>0.48053329821605351</v>
      </c>
      <c r="BG229" s="528">
        <f t="shared" si="647"/>
        <v>0.31388734431586862</v>
      </c>
      <c r="BH229" s="528">
        <f t="shared" si="696"/>
        <v>0.10583678300697032</v>
      </c>
      <c r="BI229">
        <f t="shared" si="697"/>
        <v>1.6185122261910143E-2</v>
      </c>
      <c r="BJ229" s="460">
        <f t="shared" si="698"/>
        <v>330.07246657777875</v>
      </c>
      <c r="BK229">
        <f t="shared" si="648"/>
        <v>0.58795274564428168</v>
      </c>
      <c r="BL229" s="460">
        <f t="shared" si="699"/>
        <v>917.56524564201584</v>
      </c>
      <c r="BM229" s="173">
        <f t="shared" si="649"/>
        <v>0.48457499999999992</v>
      </c>
      <c r="BN229" s="173">
        <f t="shared" si="650"/>
        <v>5.7687500000000004E-3</v>
      </c>
      <c r="BQ229" s="460">
        <f t="shared" si="700"/>
        <v>490.34374999999989</v>
      </c>
      <c r="BR229" s="528">
        <f t="shared" si="701"/>
        <v>2.7607323964260648E-3</v>
      </c>
      <c r="BS229" s="528">
        <f t="shared" si="702"/>
        <v>0.24027272610162748</v>
      </c>
      <c r="BT229" s="528">
        <f t="shared" si="703"/>
        <v>1.453878155474329E-5</v>
      </c>
      <c r="BU229" s="528">
        <f t="shared" si="704"/>
        <v>0.233691363079995</v>
      </c>
      <c r="BV229" s="528"/>
      <c r="BW229" s="625">
        <f t="shared" si="705"/>
        <v>1.551485811408751E-2</v>
      </c>
      <c r="BX229" s="460">
        <f t="shared" si="706"/>
        <v>492.2542184736908</v>
      </c>
      <c r="BY229" s="173">
        <f t="shared" si="707"/>
        <v>1.9001632141157068</v>
      </c>
      <c r="BZ229" s="5">
        <f t="shared" si="708"/>
        <v>3.3540000000000001</v>
      </c>
      <c r="CA229" s="173">
        <f t="shared" si="709"/>
        <v>0.63835093492893891</v>
      </c>
      <c r="CB229" s="5">
        <f t="shared" si="710"/>
        <v>63.83509349289389</v>
      </c>
      <c r="CC229">
        <f t="shared" si="711"/>
        <v>13</v>
      </c>
      <c r="CE229" s="562">
        <f t="shared" si="651"/>
        <v>-50</v>
      </c>
      <c r="CG229" s="173">
        <f t="shared" si="652"/>
        <v>0.31706244455942739</v>
      </c>
      <c r="CH229" s="173">
        <f t="shared" si="653"/>
        <v>7.5951576381186672E-2</v>
      </c>
      <c r="CI229" s="170">
        <v>13</v>
      </c>
      <c r="CJ229" s="217">
        <f t="shared" si="712"/>
        <v>0.78</v>
      </c>
      <c r="CK229" s="217">
        <f t="shared" si="654"/>
        <v>1.3000000000000001E-2</v>
      </c>
      <c r="CL229" s="217">
        <f t="shared" si="655"/>
        <v>3.12</v>
      </c>
      <c r="CM229" s="217">
        <f t="shared" si="656"/>
        <v>0.23400000000000001</v>
      </c>
      <c r="CN229" s="541">
        <f t="shared" si="657"/>
        <v>36</v>
      </c>
      <c r="CO229" s="443">
        <f t="shared" si="658"/>
        <v>18.8</v>
      </c>
      <c r="CP229" s="443">
        <f t="shared" si="659"/>
        <v>54.8</v>
      </c>
      <c r="CQ229" s="443"/>
      <c r="CR229" s="217">
        <f t="shared" si="660"/>
        <v>0.34306569343065696</v>
      </c>
      <c r="CS229" s="172">
        <f t="shared" si="661"/>
        <v>38.295705313189622</v>
      </c>
      <c r="CT229" s="172">
        <f t="shared" si="662"/>
        <v>3.0875912408759132</v>
      </c>
      <c r="CU229" s="217">
        <f t="shared" si="663"/>
        <v>9.5739263282974054</v>
      </c>
      <c r="CV229" s="217">
        <f t="shared" si="664"/>
        <v>2.12753918406609</v>
      </c>
      <c r="CW229" s="217">
        <f t="shared" si="665"/>
        <v>4</v>
      </c>
      <c r="CX229" s="217">
        <f t="shared" si="666"/>
        <v>0.54314184397163112</v>
      </c>
      <c r="CY229" s="217">
        <f t="shared" si="667"/>
        <v>0.18104728132387707</v>
      </c>
      <c r="CZ229" s="217">
        <f t="shared" si="668"/>
        <v>0.34668628338614749</v>
      </c>
      <c r="DA229" s="197">
        <f t="shared" si="669"/>
        <v>350</v>
      </c>
      <c r="DB229" s="443">
        <f t="shared" si="670"/>
        <v>350</v>
      </c>
      <c r="DD229" s="217">
        <f t="shared" si="671"/>
        <v>2.940563086548488</v>
      </c>
      <c r="DE229" s="173">
        <f t="shared" si="672"/>
        <v>1.8769551616266944</v>
      </c>
      <c r="DF229" s="173">
        <f t="shared" si="673"/>
        <v>3.5939660877863036</v>
      </c>
      <c r="DG229" s="173"/>
      <c r="DH229" s="173">
        <f t="shared" si="674"/>
        <v>0.85106382978723416</v>
      </c>
      <c r="DI229" s="545">
        <f t="shared" si="675"/>
        <v>343.68749999999994</v>
      </c>
      <c r="DJ229" s="528">
        <f t="shared" si="676"/>
        <v>0.79432624113475192</v>
      </c>
      <c r="DL229" s="173">
        <f t="shared" si="677"/>
        <v>1.2637811745483698</v>
      </c>
      <c r="DM229" s="173">
        <f t="shared" si="678"/>
        <v>1.3333333333333335</v>
      </c>
      <c r="DN229" s="173">
        <f t="shared" si="679"/>
        <v>1.196392857142857</v>
      </c>
      <c r="DP229" s="545">
        <f t="shared" si="680"/>
        <v>780</v>
      </c>
      <c r="DQ229" s="460">
        <f t="shared" si="681"/>
        <v>343.68749999999994</v>
      </c>
      <c r="DS229">
        <f t="shared" si="682"/>
        <v>780</v>
      </c>
      <c r="DT229">
        <f t="shared" si="683"/>
        <v>343.68749999999994</v>
      </c>
      <c r="DV229" s="5">
        <f t="shared" si="684"/>
        <v>2.9096199308965272</v>
      </c>
      <c r="DW229" s="5">
        <f t="shared" si="685"/>
        <v>0.44444444444444453</v>
      </c>
      <c r="DX229" s="5">
        <f t="shared" si="686"/>
        <v>2.4651754864520825</v>
      </c>
      <c r="DY229" s="173">
        <f t="shared" si="687"/>
        <v>0.15275</v>
      </c>
      <c r="EA229" s="5">
        <f t="shared" si="713"/>
        <v>8.6666666666666679</v>
      </c>
      <c r="EB229" s="5">
        <f t="shared" si="714"/>
        <v>3.2098765432098775E-2</v>
      </c>
      <c r="EC229" s="5">
        <f t="shared" si="715"/>
        <v>0.17804045179931705</v>
      </c>
      <c r="ED229" s="5"/>
      <c r="EE229" s="173">
        <f t="shared" si="716"/>
        <v>0.3008629563746899</v>
      </c>
      <c r="EF229" s="173">
        <f t="shared" si="717"/>
        <v>2.8342874210611013</v>
      </c>
      <c r="EG229" s="173">
        <f t="shared" si="718"/>
        <v>5.4004665725623686E-2</v>
      </c>
      <c r="EH229" s="173"/>
      <c r="EI229" s="528">
        <f t="shared" si="719"/>
        <v>1.1043259259259264E-3</v>
      </c>
      <c r="EJ229" s="528">
        <f t="shared" si="720"/>
        <v>0.50224199999999997</v>
      </c>
      <c r="EK229" s="528">
        <f t="shared" si="721"/>
        <v>4.296093749999999E-2</v>
      </c>
      <c r="EL229" s="528">
        <f t="shared" si="722"/>
        <v>0.10321073099999997</v>
      </c>
      <c r="EM229">
        <f t="shared" si="723"/>
        <v>1.6199999999999999E-2</v>
      </c>
      <c r="EN229" s="460">
        <f t="shared" si="724"/>
        <v>59.160937499999989</v>
      </c>
      <c r="EP229" s="460">
        <f t="shared" si="725"/>
        <v>665.71799442592578</v>
      </c>
      <c r="EQ229" s="173">
        <f t="shared" si="726"/>
        <v>0.54599999999999993</v>
      </c>
      <c r="ER229" s="173">
        <f t="shared" si="688"/>
        <v>5.7687500000000004E-3</v>
      </c>
      <c r="ES229" s="528"/>
      <c r="EU229" s="460">
        <f t="shared" si="727"/>
        <v>551.76874999999995</v>
      </c>
      <c r="EV229" s="528">
        <f t="shared" si="728"/>
        <v>2.715555555555557E-3</v>
      </c>
      <c r="EW229" s="528">
        <f t="shared" si="729"/>
        <v>0.24099555555555568</v>
      </c>
      <c r="EX229" s="528">
        <f t="shared" si="730"/>
        <v>1.458251960068177E-5</v>
      </c>
      <c r="EY229" s="528">
        <f t="shared" si="731"/>
        <v>0.2247637081254307</v>
      </c>
      <c r="EZ229" s="528"/>
      <c r="FA229" s="625">
        <f t="shared" si="732"/>
        <v>1.5275000000000002E-2</v>
      </c>
      <c r="FB229" s="460">
        <f t="shared" si="733"/>
        <v>483.7644017561426</v>
      </c>
      <c r="FC229" s="173">
        <f t="shared" si="734"/>
        <v>1.7012511461820685</v>
      </c>
      <c r="FD229" s="5">
        <f t="shared" si="735"/>
        <v>3.3540000000000001</v>
      </c>
      <c r="FE229" s="173">
        <f t="shared" si="736"/>
        <v>0.66346852075451834</v>
      </c>
      <c r="FF229" s="5">
        <f t="shared" si="737"/>
        <v>66.346852075451835</v>
      </c>
      <c r="FG229">
        <f t="shared" si="738"/>
        <v>13</v>
      </c>
      <c r="FI229" s="562">
        <f t="shared" si="689"/>
        <v>-50</v>
      </c>
    </row>
    <row r="230" spans="5:165">
      <c r="E230" s="170">
        <v>14</v>
      </c>
      <c r="F230" s="217">
        <f t="shared" si="690"/>
        <v>0.84000000000000008</v>
      </c>
      <c r="G230" s="217">
        <f t="shared" si="617"/>
        <v>1.4000000000000002E-2</v>
      </c>
      <c r="H230" s="217">
        <f t="shared" si="618"/>
        <v>3.3600000000000003</v>
      </c>
      <c r="I230" s="217">
        <f t="shared" si="619"/>
        <v>0.25200000000000006</v>
      </c>
      <c r="J230" s="541">
        <f t="shared" si="620"/>
        <v>35.966001122140241</v>
      </c>
      <c r="K230" s="443">
        <f t="shared" si="621"/>
        <v>19.103578655376165</v>
      </c>
      <c r="L230" s="172">
        <f t="shared" si="622"/>
        <v>55.06957977751641</v>
      </c>
      <c r="M230" s="443"/>
      <c r="N230" s="217">
        <f t="shared" si="623"/>
        <v>0.34689893644650072</v>
      </c>
      <c r="O230" s="172">
        <f t="shared" si="624"/>
        <v>38.687031124043727</v>
      </c>
      <c r="P230" s="172">
        <f t="shared" si="625"/>
        <v>3.1191418843760252</v>
      </c>
      <c r="Q230" s="217">
        <f t="shared" si="626"/>
        <v>9.6717577810109319</v>
      </c>
      <c r="R230" s="217">
        <f t="shared" si="627"/>
        <v>2.1492795068913182</v>
      </c>
      <c r="S230" s="217">
        <f t="shared" si="628"/>
        <v>4</v>
      </c>
      <c r="T230" s="217">
        <f t="shared" si="629"/>
        <v>0.57900540178898752</v>
      </c>
      <c r="U230" s="217">
        <f t="shared" si="630"/>
        <v>0.19318424636289921</v>
      </c>
      <c r="V230" s="217">
        <f t="shared" si="631"/>
        <v>0.36370488204378987</v>
      </c>
      <c r="W230" s="197">
        <f t="shared" si="632"/>
        <v>350</v>
      </c>
      <c r="X230" s="443">
        <f t="shared" si="691"/>
        <v>350</v>
      </c>
      <c r="Z230" s="217">
        <f t="shared" si="633"/>
        <v>2.9706113184533574</v>
      </c>
      <c r="AA230" s="173">
        <f t="shared" si="634"/>
        <v>1.8660030387242836</v>
      </c>
      <c r="AB230" s="173">
        <f t="shared" si="635"/>
        <v>3.6095058818343264</v>
      </c>
      <c r="AC230" s="173"/>
      <c r="AD230" s="173">
        <f t="shared" si="636"/>
        <v>0.83753941021397338</v>
      </c>
      <c r="AE230" s="545">
        <f t="shared" si="637"/>
        <v>376.10170477771817</v>
      </c>
      <c r="AF230" s="528">
        <f t="shared" si="638"/>
        <v>0.78170344953304194</v>
      </c>
      <c r="AH230" s="173">
        <f t="shared" si="639"/>
        <v>1.3114877048604001</v>
      </c>
      <c r="AI230" s="173">
        <f t="shared" si="640"/>
        <v>1.3333333333333335</v>
      </c>
      <c r="AJ230" s="173">
        <f t="shared" si="641"/>
        <v>1.2</v>
      </c>
      <c r="AL230" s="545">
        <f t="shared" si="642"/>
        <v>840.00000000000011</v>
      </c>
      <c r="AM230" s="460">
        <f t="shared" si="643"/>
        <v>350</v>
      </c>
      <c r="AO230">
        <f t="shared" si="644"/>
        <v>840.00000000000011</v>
      </c>
      <c r="AP230">
        <f t="shared" si="645"/>
        <v>350</v>
      </c>
      <c r="AR230" s="5">
        <f t="shared" si="616"/>
        <v>2.8571428571428572</v>
      </c>
      <c r="AS230" s="5">
        <f t="shared" si="604"/>
        <v>0.44486458045931032</v>
      </c>
      <c r="AT230" s="5">
        <f t="shared" si="605"/>
        <v>2.4122782766835469</v>
      </c>
      <c r="AU230" s="173">
        <f t="shared" si="606"/>
        <v>0.1557026031607586</v>
      </c>
      <c r="BA230" s="173">
        <f t="shared" si="692"/>
        <v>0.30375682589935254</v>
      </c>
      <c r="BB230" s="173">
        <f t="shared" si="693"/>
        <v>2.829344470543361</v>
      </c>
      <c r="BC230" s="173">
        <f t="shared" si="694"/>
        <v>5.3910482479272152E-2</v>
      </c>
      <c r="BD230" s="173"/>
      <c r="BE230" s="528">
        <f t="shared" si="695"/>
        <v>1.1256721532214846E-3</v>
      </c>
      <c r="BF230" s="528">
        <f t="shared" si="646"/>
        <v>0.4818588230532686</v>
      </c>
      <c r="BG230" s="528">
        <f t="shared" si="647"/>
        <v>0.31470250981872711</v>
      </c>
      <c r="BH230" s="528">
        <f t="shared" si="696"/>
        <v>0.10614305159052854</v>
      </c>
      <c r="BI230">
        <f t="shared" si="697"/>
        <v>1.6184700504963109E-2</v>
      </c>
      <c r="BJ230" s="460">
        <f t="shared" si="698"/>
        <v>330.88721032369023</v>
      </c>
      <c r="BK230">
        <f t="shared" si="648"/>
        <v>0.58958916962294483</v>
      </c>
      <c r="BL230" s="460">
        <f t="shared" si="699"/>
        <v>920.01475712070874</v>
      </c>
      <c r="BM230" s="173">
        <f t="shared" si="649"/>
        <v>0.52184999999999993</v>
      </c>
      <c r="BN230" s="173">
        <f t="shared" si="650"/>
        <v>6.212500000000001E-3</v>
      </c>
      <c r="BQ230" s="460">
        <f t="shared" si="700"/>
        <v>528.06249999999989</v>
      </c>
      <c r="BR230" s="528">
        <f t="shared" si="701"/>
        <v>2.7680462784134868E-3</v>
      </c>
      <c r="BS230" s="528">
        <f t="shared" si="702"/>
        <v>0.24015570398982874</v>
      </c>
      <c r="BT230" s="528">
        <f t="shared" si="703"/>
        <v>1.4531700605739549E-5</v>
      </c>
      <c r="BU230" s="528">
        <f t="shared" si="704"/>
        <v>0.23522688460887753</v>
      </c>
      <c r="BV230" s="528"/>
      <c r="BW230" s="625">
        <f t="shared" si="705"/>
        <v>1.5555555555555559E-2</v>
      </c>
      <c r="BX230" s="460">
        <f t="shared" si="706"/>
        <v>493.72072213328107</v>
      </c>
      <c r="BY230" s="173">
        <f t="shared" si="707"/>
        <v>1.9417979792539894</v>
      </c>
      <c r="BZ230" s="5">
        <f t="shared" si="708"/>
        <v>3.6120000000000005</v>
      </c>
      <c r="CA230" s="173">
        <f t="shared" si="709"/>
        <v>0.65036575213799541</v>
      </c>
      <c r="CB230" s="5">
        <f t="shared" si="710"/>
        <v>65.036575213799537</v>
      </c>
      <c r="CC230">
        <f t="shared" si="711"/>
        <v>14.000000000000002</v>
      </c>
      <c r="CE230" s="562">
        <f t="shared" si="651"/>
        <v>-50</v>
      </c>
      <c r="CG230" s="173">
        <f t="shared" si="652"/>
        <v>0.33203915431767983</v>
      </c>
      <c r="CH230" s="173">
        <f t="shared" si="653"/>
        <v>7.9539212617081426E-2</v>
      </c>
      <c r="CI230" s="170">
        <v>14</v>
      </c>
      <c r="CJ230" s="217">
        <f t="shared" si="712"/>
        <v>0.84000000000000008</v>
      </c>
      <c r="CK230" s="217">
        <f t="shared" si="654"/>
        <v>1.4000000000000002E-2</v>
      </c>
      <c r="CL230" s="217">
        <f t="shared" si="655"/>
        <v>3.3600000000000003</v>
      </c>
      <c r="CM230" s="217">
        <f t="shared" si="656"/>
        <v>0.25200000000000006</v>
      </c>
      <c r="CN230" s="541">
        <f t="shared" si="657"/>
        <v>36</v>
      </c>
      <c r="CO230" s="443">
        <f t="shared" si="658"/>
        <v>18.8</v>
      </c>
      <c r="CP230" s="443">
        <f t="shared" si="659"/>
        <v>54.8</v>
      </c>
      <c r="CQ230" s="443"/>
      <c r="CR230" s="217">
        <f t="shared" si="660"/>
        <v>0.34306569343065696</v>
      </c>
      <c r="CS230" s="172">
        <f t="shared" si="661"/>
        <v>38.295705313189622</v>
      </c>
      <c r="CT230" s="172">
        <f t="shared" si="662"/>
        <v>3.0875912408759132</v>
      </c>
      <c r="CU230" s="217">
        <f t="shared" si="663"/>
        <v>9.5739263282974054</v>
      </c>
      <c r="CV230" s="217">
        <f t="shared" si="664"/>
        <v>2.12753918406609</v>
      </c>
      <c r="CW230" s="217">
        <f t="shared" si="665"/>
        <v>4</v>
      </c>
      <c r="CX230" s="217">
        <f t="shared" si="666"/>
        <v>0.58492198581560284</v>
      </c>
      <c r="CY230" s="217">
        <f t="shared" si="667"/>
        <v>0.19497399527186762</v>
      </c>
      <c r="CZ230" s="217">
        <f t="shared" si="668"/>
        <v>0.37335445903123582</v>
      </c>
      <c r="DA230" s="197">
        <f t="shared" si="669"/>
        <v>350</v>
      </c>
      <c r="DB230" s="443">
        <f t="shared" si="670"/>
        <v>350</v>
      </c>
      <c r="DD230" s="217">
        <f t="shared" si="671"/>
        <v>2.940563086548488</v>
      </c>
      <c r="DE230" s="173">
        <f t="shared" si="672"/>
        <v>1.8769551616266944</v>
      </c>
      <c r="DF230" s="173">
        <f t="shared" si="673"/>
        <v>3.5939660877863036</v>
      </c>
      <c r="DG230" s="173"/>
      <c r="DH230" s="173">
        <f t="shared" si="674"/>
        <v>0.85106382978723416</v>
      </c>
      <c r="DI230" s="545">
        <f t="shared" si="675"/>
        <v>370.12499999999994</v>
      </c>
      <c r="DJ230" s="528">
        <f t="shared" si="676"/>
        <v>0.79432624113475192</v>
      </c>
      <c r="DL230" s="173">
        <f t="shared" si="677"/>
        <v>1.3114877048604001</v>
      </c>
      <c r="DM230" s="173">
        <f t="shared" si="678"/>
        <v>1.3333333333333335</v>
      </c>
      <c r="DN230" s="173">
        <f t="shared" si="679"/>
        <v>1.2</v>
      </c>
      <c r="DP230" s="545">
        <f t="shared" si="680"/>
        <v>840.00000000000011</v>
      </c>
      <c r="DQ230" s="460">
        <f t="shared" si="681"/>
        <v>350</v>
      </c>
      <c r="DS230">
        <f t="shared" si="682"/>
        <v>840.00000000000011</v>
      </c>
      <c r="DT230">
        <f t="shared" si="683"/>
        <v>350</v>
      </c>
      <c r="DV230" s="5">
        <f t="shared" si="684"/>
        <v>2.8571428571428572</v>
      </c>
      <c r="DW230" s="5">
        <f t="shared" si="685"/>
        <v>0.44444444444444453</v>
      </c>
      <c r="DX230" s="5">
        <f t="shared" si="686"/>
        <v>2.4126984126984126</v>
      </c>
      <c r="DY230" s="173">
        <f t="shared" si="687"/>
        <v>0.15555555555555559</v>
      </c>
      <c r="EA230" s="5">
        <f t="shared" si="713"/>
        <v>9.3333333333333357</v>
      </c>
      <c r="EB230" s="5">
        <f t="shared" si="714"/>
        <v>3.4567901234567912E-2</v>
      </c>
      <c r="EC230" s="5">
        <f t="shared" si="715"/>
        <v>0.18765432098765428</v>
      </c>
      <c r="ED230" s="5"/>
      <c r="EE230" s="173">
        <f t="shared" si="716"/>
        <v>0.30361335602843259</v>
      </c>
      <c r="EF230" s="173">
        <f t="shared" si="717"/>
        <v>2.8295908471261209</v>
      </c>
      <c r="EG230" s="173">
        <f t="shared" si="718"/>
        <v>5.3915176951997712E-2</v>
      </c>
      <c r="EH230" s="173"/>
      <c r="EI230" s="528">
        <f t="shared" si="719"/>
        <v>1.1246090534979428E-3</v>
      </c>
      <c r="EJ230" s="528">
        <f t="shared" si="720"/>
        <v>0.51146666666666674</v>
      </c>
      <c r="EK230" s="528">
        <f t="shared" si="721"/>
        <v>4.3749999999999997E-2</v>
      </c>
      <c r="EL230" s="528">
        <f t="shared" si="722"/>
        <v>0.10510639999999997</v>
      </c>
      <c r="EM230">
        <f t="shared" si="723"/>
        <v>1.6199999999999999E-2</v>
      </c>
      <c r="EN230" s="460">
        <f t="shared" si="724"/>
        <v>59.949999999999996</v>
      </c>
      <c r="EP230" s="460">
        <f t="shared" si="725"/>
        <v>677.64767572016456</v>
      </c>
      <c r="EQ230" s="173">
        <f t="shared" si="726"/>
        <v>0.58799999999999997</v>
      </c>
      <c r="ER230" s="173">
        <f t="shared" si="688"/>
        <v>6.212500000000001E-3</v>
      </c>
      <c r="ES230" s="528"/>
      <c r="EU230" s="460">
        <f t="shared" si="727"/>
        <v>594.21249999999998</v>
      </c>
      <c r="EV230" s="528">
        <f t="shared" si="728"/>
        <v>2.7654320987654329E-3</v>
      </c>
      <c r="EW230" s="528">
        <f t="shared" si="729"/>
        <v>0.24019753086419754</v>
      </c>
      <c r="EX230" s="528">
        <f t="shared" si="730"/>
        <v>1.4534231528826127E-5</v>
      </c>
      <c r="EY230" s="528">
        <f t="shared" si="731"/>
        <v>0.23522688460887753</v>
      </c>
      <c r="EZ230" s="528"/>
      <c r="FA230" s="625">
        <f t="shared" si="732"/>
        <v>1.5555555555555559E-2</v>
      </c>
      <c r="FB230" s="460">
        <f t="shared" si="733"/>
        <v>493.75993735892484</v>
      </c>
      <c r="FC230" s="173">
        <f t="shared" si="734"/>
        <v>1.7656201130790892</v>
      </c>
      <c r="FD230" s="5">
        <f t="shared" si="735"/>
        <v>3.6120000000000005</v>
      </c>
      <c r="FE230" s="173">
        <f t="shared" si="736"/>
        <v>0.67167258453514311</v>
      </c>
      <c r="FF230" s="5">
        <f t="shared" si="737"/>
        <v>67.167258453514307</v>
      </c>
      <c r="FG230">
        <f t="shared" si="738"/>
        <v>14.000000000000002</v>
      </c>
      <c r="FI230" s="562">
        <f t="shared" si="689"/>
        <v>-50</v>
      </c>
    </row>
    <row r="231" spans="5:165">
      <c r="E231" s="170">
        <v>15</v>
      </c>
      <c r="F231" s="217">
        <f t="shared" si="690"/>
        <v>0.89999999999999991</v>
      </c>
      <c r="G231" s="217">
        <f t="shared" si="617"/>
        <v>1.4999999999999999E-2</v>
      </c>
      <c r="H231" s="217">
        <f t="shared" si="618"/>
        <v>3.5999999999999996</v>
      </c>
      <c r="I231" s="217">
        <f t="shared" si="619"/>
        <v>0.27</v>
      </c>
      <c r="J231" s="541">
        <f t="shared" si="620"/>
        <v>35.964807817999038</v>
      </c>
      <c r="K231" s="443">
        <f t="shared" si="621"/>
        <v>19.114233761939829</v>
      </c>
      <c r="L231" s="172">
        <f t="shared" si="622"/>
        <v>55.079041579938867</v>
      </c>
      <c r="M231" s="443"/>
      <c r="N231" s="217">
        <f t="shared" si="623"/>
        <v>0.34703279530015824</v>
      </c>
      <c r="O231" s="172">
        <f t="shared" si="624"/>
        <v>38.700675316319966</v>
      </c>
      <c r="P231" s="172">
        <f t="shared" si="625"/>
        <v>3.1202419473782976</v>
      </c>
      <c r="Q231" s="217">
        <f t="shared" si="626"/>
        <v>9.6751688290799915</v>
      </c>
      <c r="R231" s="217">
        <f t="shared" si="627"/>
        <v>2.1500375175733315</v>
      </c>
      <c r="S231" s="217">
        <f t="shared" si="628"/>
        <v>4</v>
      </c>
      <c r="T231" s="217">
        <f t="shared" si="629"/>
        <v>0.62014421722194757</v>
      </c>
      <c r="U231" s="217">
        <f t="shared" si="630"/>
        <v>0.2069170129956614</v>
      </c>
      <c r="V231" s="217">
        <f t="shared" si="631"/>
        <v>0.38932926631259002</v>
      </c>
      <c r="W231" s="197">
        <f t="shared" si="632"/>
        <v>350</v>
      </c>
      <c r="X231" s="443">
        <f t="shared" si="691"/>
        <v>350</v>
      </c>
      <c r="Z231" s="217">
        <f t="shared" si="633"/>
        <v>2.9716589975031411</v>
      </c>
      <c r="AA231" s="173">
        <f t="shared" si="634"/>
        <v>1.8656205848566911</v>
      </c>
      <c r="AB231" s="173">
        <f t="shared" si="635"/>
        <v>3.6100388258990899</v>
      </c>
      <c r="AC231" s="173"/>
      <c r="AD231" s="173">
        <f t="shared" si="636"/>
        <v>0.83707252926136788</v>
      </c>
      <c r="AE231" s="545">
        <f t="shared" si="637"/>
        <v>403.19086841591815</v>
      </c>
      <c r="AF231" s="528">
        <f t="shared" si="638"/>
        <v>0.7812676939772768</v>
      </c>
      <c r="AH231" s="173">
        <f t="shared" si="639"/>
        <v>1.3575187449376684</v>
      </c>
      <c r="AI231" s="173">
        <f t="shared" si="640"/>
        <v>1.3575187449376684</v>
      </c>
      <c r="AJ231" s="173">
        <f t="shared" si="641"/>
        <v>1.2179151197069147</v>
      </c>
      <c r="AL231" s="545">
        <f t="shared" si="642"/>
        <v>899.99999999999989</v>
      </c>
      <c r="AM231" s="460">
        <f t="shared" si="643"/>
        <v>350</v>
      </c>
      <c r="AO231">
        <f t="shared" si="644"/>
        <v>899.99999999999989</v>
      </c>
      <c r="AP231">
        <f t="shared" si="645"/>
        <v>350</v>
      </c>
      <c r="AR231" s="5">
        <f t="shared" si="616"/>
        <v>2.8571428571428572</v>
      </c>
      <c r="AS231" s="5">
        <f t="shared" si="604"/>
        <v>0.45294903344650639</v>
      </c>
      <c r="AT231" s="5">
        <f t="shared" si="605"/>
        <v>2.4041938236963509</v>
      </c>
      <c r="AU231" s="173">
        <f t="shared" si="606"/>
        <v>0.15853216170627724</v>
      </c>
      <c r="BA231" s="173">
        <f t="shared" si="692"/>
        <v>0.31206416358018241</v>
      </c>
      <c r="BB231" s="173">
        <f t="shared" si="693"/>
        <v>2.8758349663211629</v>
      </c>
      <c r="BC231" s="173">
        <f t="shared" si="694"/>
        <v>5.4796314898822161E-2</v>
      </c>
      <c r="BD231" s="173"/>
      <c r="BE231" s="528">
        <f t="shared" si="695"/>
        <v>1.1880853147301859E-3</v>
      </c>
      <c r="BF231" s="528">
        <f t="shared" si="646"/>
        <v>0.49068358104916671</v>
      </c>
      <c r="BG231" s="528">
        <f t="shared" si="647"/>
        <v>0.31469206840749159</v>
      </c>
      <c r="BH231" s="528">
        <f t="shared" si="696"/>
        <v>0.10617952874776221</v>
      </c>
      <c r="BI231">
        <f t="shared" si="697"/>
        <v>1.6184163518099568E-2</v>
      </c>
      <c r="BJ231" s="460">
        <f t="shared" si="698"/>
        <v>330.87623192559118</v>
      </c>
      <c r="BK231">
        <f t="shared" si="648"/>
        <v>0.59854093971233135</v>
      </c>
      <c r="BL231" s="460">
        <f t="shared" si="699"/>
        <v>928.92742703725037</v>
      </c>
      <c r="BM231" s="173">
        <f t="shared" si="649"/>
        <v>0.55912499999999987</v>
      </c>
      <c r="BN231" s="173">
        <f t="shared" si="650"/>
        <v>6.6562499999999998E-3</v>
      </c>
      <c r="BQ231" s="460">
        <f t="shared" si="700"/>
        <v>565.78124999999989</v>
      </c>
      <c r="BR231" s="528">
        <f t="shared" si="701"/>
        <v>2.9215212657299652E-3</v>
      </c>
      <c r="BS231" s="528">
        <f t="shared" si="702"/>
        <v>0.24811280260546331</v>
      </c>
      <c r="BT231" s="528">
        <f t="shared" si="703"/>
        <v>1.50131806324544E-5</v>
      </c>
      <c r="BU231" s="528">
        <f t="shared" si="704"/>
        <v>0.24603942481395588</v>
      </c>
      <c r="BV231" s="528"/>
      <c r="BW231" s="625">
        <f t="shared" si="705"/>
        <v>1.6125E-2</v>
      </c>
      <c r="BX231" s="460">
        <f t="shared" si="706"/>
        <v>513.21376186578175</v>
      </c>
      <c r="BY231" s="173">
        <f t="shared" si="707"/>
        <v>2.0079224389030319</v>
      </c>
      <c r="BZ231" s="5">
        <f t="shared" si="708"/>
        <v>3.8699999999999997</v>
      </c>
      <c r="CA231" s="173">
        <f t="shared" si="709"/>
        <v>0.6583958941660073</v>
      </c>
      <c r="CB231" s="5">
        <f t="shared" si="710"/>
        <v>65.839589416600731</v>
      </c>
      <c r="CC231">
        <f t="shared" si="711"/>
        <v>15</v>
      </c>
      <c r="CE231" s="562">
        <f t="shared" si="651"/>
        <v>-50</v>
      </c>
      <c r="CG231" s="173">
        <f t="shared" si="652"/>
        <v>0.34369317712168801</v>
      </c>
      <c r="CH231" s="173">
        <f t="shared" si="653"/>
        <v>8.2330906866385084E-2</v>
      </c>
      <c r="CI231" s="170">
        <v>15</v>
      </c>
      <c r="CJ231" s="217">
        <f t="shared" si="712"/>
        <v>0.89999999999999991</v>
      </c>
      <c r="CK231" s="217">
        <f t="shared" si="654"/>
        <v>1.4999999999999999E-2</v>
      </c>
      <c r="CL231" s="217">
        <f t="shared" si="655"/>
        <v>3.5999999999999996</v>
      </c>
      <c r="CM231" s="217">
        <f t="shared" si="656"/>
        <v>0.27</v>
      </c>
      <c r="CN231" s="541">
        <f t="shared" si="657"/>
        <v>36</v>
      </c>
      <c r="CO231" s="443">
        <f t="shared" si="658"/>
        <v>18.8</v>
      </c>
      <c r="CP231" s="443">
        <f t="shared" si="659"/>
        <v>54.8</v>
      </c>
      <c r="CQ231" s="443"/>
      <c r="CR231" s="217">
        <f t="shared" si="660"/>
        <v>0.34306569343065696</v>
      </c>
      <c r="CS231" s="172">
        <f t="shared" si="661"/>
        <v>38.295705313189622</v>
      </c>
      <c r="CT231" s="172">
        <f t="shared" si="662"/>
        <v>3.0875912408759132</v>
      </c>
      <c r="CU231" s="217">
        <f t="shared" si="663"/>
        <v>9.5739263282974054</v>
      </c>
      <c r="CV231" s="217">
        <f t="shared" si="664"/>
        <v>2.12753918406609</v>
      </c>
      <c r="CW231" s="217">
        <f t="shared" si="665"/>
        <v>4</v>
      </c>
      <c r="CX231" s="217">
        <f t="shared" si="666"/>
        <v>0.62670212765957434</v>
      </c>
      <c r="CY231" s="217">
        <f t="shared" si="667"/>
        <v>0.20890070921985812</v>
      </c>
      <c r="CZ231" s="217">
        <f t="shared" si="668"/>
        <v>0.4000226346763241</v>
      </c>
      <c r="DA231" s="197">
        <f t="shared" si="669"/>
        <v>350</v>
      </c>
      <c r="DB231" s="443">
        <f t="shared" si="670"/>
        <v>350</v>
      </c>
      <c r="DD231" s="217">
        <f t="shared" si="671"/>
        <v>2.940563086548488</v>
      </c>
      <c r="DE231" s="173">
        <f t="shared" si="672"/>
        <v>1.8769551616266944</v>
      </c>
      <c r="DF231" s="173">
        <f t="shared" si="673"/>
        <v>3.5939660877863036</v>
      </c>
      <c r="DG231" s="173"/>
      <c r="DH231" s="173">
        <f t="shared" si="674"/>
        <v>0.85106382978723416</v>
      </c>
      <c r="DI231" s="545">
        <f t="shared" si="675"/>
        <v>396.56249999999983</v>
      </c>
      <c r="DJ231" s="528">
        <f t="shared" si="676"/>
        <v>0.79432624113475192</v>
      </c>
      <c r="DL231" s="173">
        <f t="shared" si="677"/>
        <v>1.3575187449376684</v>
      </c>
      <c r="DM231" s="173">
        <f t="shared" si="678"/>
        <v>1.3575187449376684</v>
      </c>
      <c r="DN231" s="173">
        <f t="shared" si="679"/>
        <v>1.2179151197069147</v>
      </c>
      <c r="DP231" s="545">
        <f t="shared" si="680"/>
        <v>899.99999999999989</v>
      </c>
      <c r="DQ231" s="460">
        <f t="shared" si="681"/>
        <v>350</v>
      </c>
      <c r="DS231">
        <f t="shared" si="682"/>
        <v>899.99999999999989</v>
      </c>
      <c r="DT231">
        <f t="shared" si="683"/>
        <v>350</v>
      </c>
      <c r="DV231" s="5">
        <f t="shared" si="684"/>
        <v>2.8571428571428572</v>
      </c>
      <c r="DW231" s="5">
        <f t="shared" si="685"/>
        <v>0.45250624831255615</v>
      </c>
      <c r="DX231" s="5">
        <f t="shared" si="686"/>
        <v>2.4046366088303008</v>
      </c>
      <c r="DY231" s="173">
        <f t="shared" si="687"/>
        <v>0.15837718690939465</v>
      </c>
      <c r="EA231" s="5">
        <f t="shared" si="713"/>
        <v>10.181390587032514</v>
      </c>
      <c r="EB231" s="5">
        <f t="shared" si="714"/>
        <v>3.7708854026046346E-2</v>
      </c>
      <c r="EC231" s="5">
        <f t="shared" si="715"/>
        <v>0.20038638406919168</v>
      </c>
      <c r="ED231" s="5"/>
      <c r="EE231" s="173">
        <f t="shared" si="716"/>
        <v>0.31191159546768943</v>
      </c>
      <c r="EF231" s="173">
        <f t="shared" si="717"/>
        <v>2.8760997782372284</v>
      </c>
      <c r="EG231" s="173">
        <f t="shared" si="718"/>
        <v>5.4801360639385031E-2</v>
      </c>
      <c r="EH231" s="173"/>
      <c r="EI231" s="528">
        <f t="shared" si="719"/>
        <v>1.1869238893238343E-3</v>
      </c>
      <c r="EJ231" s="528">
        <f t="shared" si="720"/>
        <v>0.52074419055808963</v>
      </c>
      <c r="EK231" s="528">
        <f t="shared" si="721"/>
        <v>4.3749999999999997E-2</v>
      </c>
      <c r="EL231" s="528">
        <f t="shared" si="722"/>
        <v>0.10510639999999997</v>
      </c>
      <c r="EM231">
        <f t="shared" si="723"/>
        <v>1.6199999999999999E-2</v>
      </c>
      <c r="EN231" s="460">
        <f t="shared" si="724"/>
        <v>59.949999999999996</v>
      </c>
      <c r="EP231" s="460">
        <f t="shared" si="725"/>
        <v>686.98751444741333</v>
      </c>
      <c r="EQ231" s="173">
        <f t="shared" si="726"/>
        <v>0.62999999999999989</v>
      </c>
      <c r="ER231" s="173">
        <f t="shared" si="688"/>
        <v>6.6562499999999998E-3</v>
      </c>
      <c r="ES231" s="528"/>
      <c r="EU231" s="460">
        <f t="shared" si="727"/>
        <v>636.65624999999989</v>
      </c>
      <c r="EV231" s="528">
        <f t="shared" si="728"/>
        <v>2.9186653016159861E-3</v>
      </c>
      <c r="EW231" s="528">
        <f t="shared" si="729"/>
        <v>0.24815849803128703</v>
      </c>
      <c r="EX231" s="528">
        <f t="shared" si="730"/>
        <v>1.5015945639639694E-5</v>
      </c>
      <c r="EY231" s="528">
        <f t="shared" si="731"/>
        <v>0.24603942481395588</v>
      </c>
      <c r="EZ231" s="528"/>
      <c r="FA231" s="625">
        <f t="shared" si="732"/>
        <v>1.6125E-2</v>
      </c>
      <c r="FB231" s="460">
        <f t="shared" si="733"/>
        <v>513.25660409249861</v>
      </c>
      <c r="FC231" s="173">
        <f t="shared" si="734"/>
        <v>1.8369003685399117</v>
      </c>
      <c r="FD231" s="5">
        <f t="shared" si="735"/>
        <v>3.8699999999999997</v>
      </c>
      <c r="FE231" s="173">
        <f t="shared" si="736"/>
        <v>0.67812643468141087</v>
      </c>
      <c r="FF231" s="5">
        <f t="shared" si="737"/>
        <v>67.81264346814109</v>
      </c>
      <c r="FG231">
        <f t="shared" si="738"/>
        <v>15</v>
      </c>
      <c r="FI231" s="562">
        <f t="shared" si="689"/>
        <v>-50</v>
      </c>
    </row>
    <row r="232" spans="5:165">
      <c r="E232" s="170">
        <v>16</v>
      </c>
      <c r="F232" s="217">
        <f t="shared" si="690"/>
        <v>0.96</v>
      </c>
      <c r="G232" s="217">
        <f t="shared" si="617"/>
        <v>1.6E-2</v>
      </c>
      <c r="H232" s="217">
        <f t="shared" si="618"/>
        <v>3.84</v>
      </c>
      <c r="I232" s="217">
        <f t="shared" si="619"/>
        <v>0.28800000000000003</v>
      </c>
      <c r="J232" s="541">
        <f t="shared" si="620"/>
        <v>35.963653670718287</v>
      </c>
      <c r="K232" s="443">
        <f t="shared" si="621"/>
        <v>19.124539233815749</v>
      </c>
      <c r="L232" s="172">
        <f t="shared" si="622"/>
        <v>55.08819290453404</v>
      </c>
      <c r="M232" s="443"/>
      <c r="N232" s="217">
        <f t="shared" si="623"/>
        <v>0.34716221799030372</v>
      </c>
      <c r="O232" s="172">
        <f t="shared" si="624"/>
        <v>38.713865970113758</v>
      </c>
      <c r="P232" s="172">
        <f t="shared" si="625"/>
        <v>3.1213054438404222</v>
      </c>
      <c r="Q232" s="217">
        <f t="shared" si="626"/>
        <v>9.6784664925284396</v>
      </c>
      <c r="R232" s="217">
        <f t="shared" si="627"/>
        <v>2.1507703316729865</v>
      </c>
      <c r="S232" s="217">
        <f t="shared" si="628"/>
        <v>4</v>
      </c>
      <c r="T232" s="217">
        <f t="shared" si="629"/>
        <v>0.66126178201274521</v>
      </c>
      <c r="U232" s="217">
        <f t="shared" si="630"/>
        <v>0.22064336001026946</v>
      </c>
      <c r="V232" s="217">
        <f t="shared" si="631"/>
        <v>0.41491934980175288</v>
      </c>
      <c r="W232" s="197">
        <f t="shared" si="632"/>
        <v>350</v>
      </c>
      <c r="X232" s="443">
        <f t="shared" si="691"/>
        <v>350</v>
      </c>
      <c r="Z232" s="217">
        <f t="shared" si="633"/>
        <v>2.9726718512765928</v>
      </c>
      <c r="AA232" s="173">
        <f t="shared" si="634"/>
        <v>1.8652508057419894</v>
      </c>
      <c r="AB232" s="173">
        <f t="shared" si="635"/>
        <v>3.6105534847071046</v>
      </c>
      <c r="AC232" s="173"/>
      <c r="AD232" s="173">
        <f t="shared" si="636"/>
        <v>0.83662146336623999</v>
      </c>
      <c r="AE232" s="545">
        <f t="shared" si="637"/>
        <v>430.30213276085419</v>
      </c>
      <c r="AF232" s="528">
        <f t="shared" si="638"/>
        <v>0.78084669914182414</v>
      </c>
      <c r="AH232" s="173">
        <f t="shared" si="639"/>
        <v>1.4020393310154626</v>
      </c>
      <c r="AI232" s="173">
        <f t="shared" si="640"/>
        <v>1.4020393310154626</v>
      </c>
      <c r="AJ232" s="173">
        <f t="shared" si="641"/>
        <v>1.2508933316163919</v>
      </c>
      <c r="AL232" s="545">
        <f t="shared" si="642"/>
        <v>960</v>
      </c>
      <c r="AM232" s="460">
        <f t="shared" si="643"/>
        <v>350</v>
      </c>
      <c r="AO232">
        <f t="shared" si="644"/>
        <v>960</v>
      </c>
      <c r="AP232">
        <f t="shared" si="645"/>
        <v>350</v>
      </c>
      <c r="AR232" s="5">
        <f t="shared" si="616"/>
        <v>2.8571428571428572</v>
      </c>
      <c r="AS232" s="5">
        <f t="shared" si="604"/>
        <v>0.46781876297190816</v>
      </c>
      <c r="AT232" s="5">
        <f t="shared" si="605"/>
        <v>2.389324094170949</v>
      </c>
      <c r="AU232" s="173">
        <f t="shared" si="606"/>
        <v>0.16373656704016784</v>
      </c>
      <c r="BA232" s="173">
        <f t="shared" si="692"/>
        <v>0.32754608272459051</v>
      </c>
      <c r="BB232" s="173">
        <f t="shared" si="693"/>
        <v>2.960950277001952</v>
      </c>
      <c r="BC232" s="173">
        <f t="shared" si="694"/>
        <v>5.6418106629361517E-2</v>
      </c>
      <c r="BD232" s="173"/>
      <c r="BE232" s="528">
        <f t="shared" si="695"/>
        <v>1.3088945229603362E-3</v>
      </c>
      <c r="BF232" s="528">
        <f t="shared" si="646"/>
        <v>0.50686002364412397</v>
      </c>
      <c r="BG232" s="528">
        <f t="shared" si="647"/>
        <v>0.31468196961878497</v>
      </c>
      <c r="BH232" s="528">
        <f t="shared" si="696"/>
        <v>0.10621481491205043</v>
      </c>
      <c r="BI232">
        <f t="shared" si="697"/>
        <v>1.6183644151823228E-2</v>
      </c>
      <c r="BJ232" s="460">
        <f t="shared" si="698"/>
        <v>330.86561377060821</v>
      </c>
      <c r="BK232">
        <f t="shared" si="648"/>
        <v>0.61492837322815808</v>
      </c>
      <c r="BL232" s="460">
        <f t="shared" si="699"/>
        <v>945.24934684974301</v>
      </c>
      <c r="BM232" s="173">
        <f t="shared" si="649"/>
        <v>0.59639999999999993</v>
      </c>
      <c r="BN232" s="173">
        <f t="shared" si="650"/>
        <v>7.0999999999999995E-3</v>
      </c>
      <c r="BQ232" s="460">
        <f t="shared" si="700"/>
        <v>603.49999999999989</v>
      </c>
      <c r="BR232" s="528">
        <f t="shared" si="701"/>
        <v>3.2185930892467286E-3</v>
      </c>
      <c r="BS232" s="528">
        <f t="shared" si="702"/>
        <v>0.26301679628633812</v>
      </c>
      <c r="BT232" s="528">
        <f t="shared" si="703"/>
        <v>1.5915013778210031E-5</v>
      </c>
      <c r="BU232" s="528">
        <f t="shared" si="704"/>
        <v>0.26671080338153846</v>
      </c>
      <c r="BV232" s="528"/>
      <c r="BW232" s="625">
        <f t="shared" si="705"/>
        <v>1.7200000000000003E-2</v>
      </c>
      <c r="BX232" s="460">
        <f t="shared" si="706"/>
        <v>550.16210777090146</v>
      </c>
      <c r="BY232" s="173">
        <f t="shared" si="707"/>
        <v>2.0989114546206444</v>
      </c>
      <c r="BZ232" s="5">
        <f t="shared" si="708"/>
        <v>4.1280000000000001</v>
      </c>
      <c r="CA232" s="173">
        <f t="shared" si="709"/>
        <v>0.6629289704989848</v>
      </c>
      <c r="CB232" s="5">
        <f t="shared" si="710"/>
        <v>66.292897049898485</v>
      </c>
      <c r="CC232">
        <f t="shared" si="711"/>
        <v>16</v>
      </c>
      <c r="CE232" s="562">
        <f t="shared" si="651"/>
        <v>-50</v>
      </c>
      <c r="CG232" s="173">
        <f t="shared" si="652"/>
        <v>0.35496478698597694</v>
      </c>
      <c r="CH232" s="173">
        <f t="shared" si="653"/>
        <v>8.5030994979110208E-2</v>
      </c>
      <c r="CI232" s="170">
        <v>16</v>
      </c>
      <c r="CJ232" s="217">
        <f t="shared" si="712"/>
        <v>0.96</v>
      </c>
      <c r="CK232" s="217">
        <f t="shared" si="654"/>
        <v>1.6E-2</v>
      </c>
      <c r="CL232" s="217">
        <f t="shared" si="655"/>
        <v>3.84</v>
      </c>
      <c r="CM232" s="217">
        <f t="shared" si="656"/>
        <v>0.28800000000000003</v>
      </c>
      <c r="CN232" s="541">
        <f t="shared" si="657"/>
        <v>36</v>
      </c>
      <c r="CO232" s="443">
        <f t="shared" si="658"/>
        <v>18.8</v>
      </c>
      <c r="CP232" s="443">
        <f t="shared" si="659"/>
        <v>54.8</v>
      </c>
      <c r="CQ232" s="443"/>
      <c r="CR232" s="217">
        <f t="shared" si="660"/>
        <v>0.34306569343065696</v>
      </c>
      <c r="CS232" s="172">
        <f t="shared" si="661"/>
        <v>38.295705313189622</v>
      </c>
      <c r="CT232" s="172">
        <f t="shared" si="662"/>
        <v>3.0875912408759132</v>
      </c>
      <c r="CU232" s="217">
        <f t="shared" si="663"/>
        <v>9.5739263282974054</v>
      </c>
      <c r="CV232" s="217">
        <f t="shared" si="664"/>
        <v>2.12753918406609</v>
      </c>
      <c r="CW232" s="217">
        <f t="shared" si="665"/>
        <v>4</v>
      </c>
      <c r="CX232" s="217">
        <f t="shared" si="666"/>
        <v>0.66848226950354606</v>
      </c>
      <c r="CY232" s="217">
        <f t="shared" si="667"/>
        <v>0.2228274231678487</v>
      </c>
      <c r="CZ232" s="217">
        <f t="shared" si="668"/>
        <v>0.42669081032141243</v>
      </c>
      <c r="DA232" s="197">
        <f t="shared" si="669"/>
        <v>350</v>
      </c>
      <c r="DB232" s="443">
        <f t="shared" si="670"/>
        <v>350</v>
      </c>
      <c r="DD232" s="217">
        <f t="shared" si="671"/>
        <v>2.940563086548488</v>
      </c>
      <c r="DE232" s="173">
        <f t="shared" si="672"/>
        <v>1.8769551616266944</v>
      </c>
      <c r="DF232" s="173">
        <f t="shared" si="673"/>
        <v>3.5939660877863036</v>
      </c>
      <c r="DG232" s="173"/>
      <c r="DH232" s="173">
        <f t="shared" si="674"/>
        <v>0.85106382978723416</v>
      </c>
      <c r="DI232" s="545">
        <f t="shared" si="675"/>
        <v>422.99999999999983</v>
      </c>
      <c r="DJ232" s="528">
        <f t="shared" si="676"/>
        <v>0.79432624113475192</v>
      </c>
      <c r="DL232" s="173">
        <f t="shared" si="677"/>
        <v>1.4020393310154626</v>
      </c>
      <c r="DM232" s="173">
        <f t="shared" si="678"/>
        <v>1.4020393310154626</v>
      </c>
      <c r="DN232" s="173">
        <f t="shared" si="679"/>
        <v>1.2508933316163919</v>
      </c>
      <c r="DP232" s="545">
        <f t="shared" si="680"/>
        <v>960</v>
      </c>
      <c r="DQ232" s="460">
        <f t="shared" si="681"/>
        <v>350</v>
      </c>
      <c r="DS232">
        <f t="shared" si="682"/>
        <v>960</v>
      </c>
      <c r="DT232">
        <f t="shared" si="683"/>
        <v>350</v>
      </c>
      <c r="DV232" s="5">
        <f t="shared" si="684"/>
        <v>2.8571428571428572</v>
      </c>
      <c r="DW232" s="5">
        <f t="shared" si="685"/>
        <v>0.46734644367182093</v>
      </c>
      <c r="DX232" s="5">
        <f t="shared" si="686"/>
        <v>2.3897964134710361</v>
      </c>
      <c r="DY232" s="173">
        <f t="shared" si="687"/>
        <v>0.16357125528513733</v>
      </c>
      <c r="EA232" s="5">
        <f t="shared" si="713"/>
        <v>11.216314648123703</v>
      </c>
      <c r="EB232" s="5">
        <f t="shared" si="714"/>
        <v>4.1541906104161863E-2</v>
      </c>
      <c r="EC232" s="5">
        <f t="shared" si="715"/>
        <v>0.21242634786409204</v>
      </c>
      <c r="ED232" s="5"/>
      <c r="EE232" s="173">
        <f t="shared" si="716"/>
        <v>0.32738069238844497</v>
      </c>
      <c r="EF232" s="173">
        <f t="shared" si="717"/>
        <v>2.961242921448648</v>
      </c>
      <c r="EG232" s="173">
        <f t="shared" si="718"/>
        <v>5.6423682692467482E-2</v>
      </c>
      <c r="EH232" s="173"/>
      <c r="EI232" s="528">
        <f t="shared" si="719"/>
        <v>1.3075730365345989E-3</v>
      </c>
      <c r="EJ232" s="528">
        <f t="shared" si="720"/>
        <v>0.53782228737753135</v>
      </c>
      <c r="EK232" s="528">
        <f t="shared" si="721"/>
        <v>4.3749999999999997E-2</v>
      </c>
      <c r="EL232" s="528">
        <f t="shared" si="722"/>
        <v>0.10510639999999997</v>
      </c>
      <c r="EM232">
        <f t="shared" si="723"/>
        <v>1.6199999999999999E-2</v>
      </c>
      <c r="EN232" s="460">
        <f t="shared" si="724"/>
        <v>59.949999999999996</v>
      </c>
      <c r="EP232" s="460">
        <f t="shared" si="725"/>
        <v>704.18626041406583</v>
      </c>
      <c r="EQ232" s="173">
        <f t="shared" si="726"/>
        <v>0.67199999999999993</v>
      </c>
      <c r="ER232" s="173">
        <f t="shared" si="688"/>
        <v>7.0999999999999995E-3</v>
      </c>
      <c r="ES232" s="528"/>
      <c r="EU232" s="460">
        <f t="shared" si="727"/>
        <v>679.09999999999991</v>
      </c>
      <c r="EV232" s="528">
        <f t="shared" si="728"/>
        <v>3.2153435324621289E-3</v>
      </c>
      <c r="EW232" s="528">
        <f t="shared" si="729"/>
        <v>0.26306878919489174</v>
      </c>
      <c r="EX232" s="528">
        <f t="shared" si="730"/>
        <v>1.591815984290127E-5</v>
      </c>
      <c r="EY232" s="528">
        <f t="shared" si="731"/>
        <v>0.26671080338153846</v>
      </c>
      <c r="EZ232" s="528"/>
      <c r="FA232" s="625">
        <f t="shared" si="732"/>
        <v>1.7200000000000003E-2</v>
      </c>
      <c r="FB232" s="460">
        <f t="shared" si="733"/>
        <v>550.21085426873526</v>
      </c>
      <c r="FC232" s="173">
        <f t="shared" si="734"/>
        <v>1.9334971146828013</v>
      </c>
      <c r="FD232" s="5">
        <f t="shared" si="735"/>
        <v>4.1280000000000001</v>
      </c>
      <c r="FE232" s="173">
        <f t="shared" si="736"/>
        <v>0.681019873786745</v>
      </c>
      <c r="FF232" s="5">
        <f t="shared" si="737"/>
        <v>68.101987378674494</v>
      </c>
      <c r="FG232">
        <f t="shared" si="738"/>
        <v>16</v>
      </c>
      <c r="FI232" s="562">
        <f t="shared" si="689"/>
        <v>-50</v>
      </c>
    </row>
    <row r="233" spans="5:165">
      <c r="E233" s="170">
        <v>17</v>
      </c>
      <c r="F233" s="217">
        <f t="shared" si="690"/>
        <v>1.02</v>
      </c>
      <c r="G233" s="217">
        <f t="shared" si="617"/>
        <v>1.7000000000000001E-2</v>
      </c>
      <c r="H233" s="217">
        <f t="shared" si="618"/>
        <v>4.08</v>
      </c>
      <c r="I233" s="217">
        <f t="shared" si="619"/>
        <v>0.30600000000000005</v>
      </c>
      <c r="J233" s="541">
        <f t="shared" si="620"/>
        <v>35.962535061317006</v>
      </c>
      <c r="K233" s="443">
        <f t="shared" si="621"/>
        <v>19.134527385169843</v>
      </c>
      <c r="L233" s="172">
        <f t="shared" si="622"/>
        <v>55.097062446486845</v>
      </c>
      <c r="M233" s="443"/>
      <c r="N233" s="217">
        <f t="shared" si="623"/>
        <v>0.34728761453941936</v>
      </c>
      <c r="O233" s="172">
        <f t="shared" si="624"/>
        <v>38.726645005379893</v>
      </c>
      <c r="P233" s="172">
        <f t="shared" si="625"/>
        <v>3.1223357535587537</v>
      </c>
      <c r="Q233" s="217">
        <f t="shared" si="626"/>
        <v>9.6816612513449734</v>
      </c>
      <c r="R233" s="217">
        <f t="shared" si="627"/>
        <v>2.1514802780766606</v>
      </c>
      <c r="S233" s="217">
        <f t="shared" si="628"/>
        <v>4</v>
      </c>
      <c r="T233" s="217">
        <f t="shared" si="629"/>
        <v>0.70235880222057412</v>
      </c>
      <c r="U233" s="217">
        <f t="shared" si="630"/>
        <v>0.23436350113462306</v>
      </c>
      <c r="V233" s="217">
        <f t="shared" si="631"/>
        <v>0.44047628964064311</v>
      </c>
      <c r="W233" s="197">
        <f t="shared" si="632"/>
        <v>350</v>
      </c>
      <c r="X233" s="443">
        <f t="shared" si="691"/>
        <v>350</v>
      </c>
      <c r="Z233" s="217">
        <f t="shared" si="633"/>
        <v>2.9736530986273841</v>
      </c>
      <c r="AA233" s="173">
        <f t="shared" si="634"/>
        <v>1.8648925298873729</v>
      </c>
      <c r="AB233" s="173">
        <f t="shared" si="635"/>
        <v>3.6110515489066546</v>
      </c>
      <c r="AC233" s="173"/>
      <c r="AD233" s="173">
        <f t="shared" si="636"/>
        <v>0.8361847501078471</v>
      </c>
      <c r="AE233" s="545">
        <f t="shared" si="637"/>
        <v>457.43479530171652</v>
      </c>
      <c r="AF233" s="528">
        <f t="shared" si="638"/>
        <v>0.78043910010065731</v>
      </c>
      <c r="AH233" s="173">
        <f t="shared" si="639"/>
        <v>1.4451890632617688</v>
      </c>
      <c r="AI233" s="173">
        <f t="shared" si="640"/>
        <v>1.4451890632617688</v>
      </c>
      <c r="AJ233" s="173">
        <f t="shared" si="641"/>
        <v>1.2828560962432853</v>
      </c>
      <c r="AL233" s="545">
        <f t="shared" si="642"/>
        <v>1020</v>
      </c>
      <c r="AM233" s="460">
        <f t="shared" si="643"/>
        <v>350</v>
      </c>
      <c r="AO233">
        <f t="shared" si="644"/>
        <v>1020</v>
      </c>
      <c r="AP233">
        <f t="shared" si="645"/>
        <v>350</v>
      </c>
      <c r="AR233" s="5">
        <f t="shared" si="616"/>
        <v>2.8571428571428572</v>
      </c>
      <c r="AS233" s="5">
        <f t="shared" si="604"/>
        <v>0.48223154261990242</v>
      </c>
      <c r="AT233" s="5">
        <f t="shared" si="605"/>
        <v>2.3749113145229548</v>
      </c>
      <c r="AU233" s="173">
        <f t="shared" si="606"/>
        <v>0.16878103991696583</v>
      </c>
      <c r="BA233" s="173">
        <f t="shared" si="692"/>
        <v>0.3427882036355922</v>
      </c>
      <c r="BB233" s="173">
        <f t="shared" si="693"/>
        <v>3.042858455173385</v>
      </c>
      <c r="BC233" s="173">
        <f t="shared" si="694"/>
        <v>5.7978789483709103E-2</v>
      </c>
      <c r="BD233" s="173"/>
      <c r="BE233" s="528">
        <f t="shared" si="695"/>
        <v>1.433545781130938E-3</v>
      </c>
      <c r="BF233" s="528">
        <f t="shared" si="646"/>
        <v>0.52254347292993231</v>
      </c>
      <c r="BG233" s="528">
        <f t="shared" si="647"/>
        <v>0.31467218178652379</v>
      </c>
      <c r="BH233" s="528">
        <f t="shared" si="696"/>
        <v>0.10624902015812247</v>
      </c>
      <c r="BI233">
        <f t="shared" si="697"/>
        <v>1.6183140777592652E-2</v>
      </c>
      <c r="BJ233" s="460">
        <f t="shared" si="698"/>
        <v>330.85532256411642</v>
      </c>
      <c r="BK233">
        <f t="shared" si="648"/>
        <v>0.63082796284379661</v>
      </c>
      <c r="BL233" s="460">
        <f t="shared" si="699"/>
        <v>961.08136143330216</v>
      </c>
      <c r="BM233" s="173">
        <f t="shared" si="649"/>
        <v>0.63367499999999999</v>
      </c>
      <c r="BN233" s="173">
        <f t="shared" si="650"/>
        <v>7.5437500000000001E-3</v>
      </c>
      <c r="BQ233" s="460">
        <f t="shared" si="700"/>
        <v>641.21875</v>
      </c>
      <c r="BR233" s="528">
        <f t="shared" si="701"/>
        <v>3.5251125765514866E-3</v>
      </c>
      <c r="BS233" s="528">
        <f t="shared" si="702"/>
        <v>0.27776962734660476</v>
      </c>
      <c r="BT233" s="528">
        <f t="shared" si="703"/>
        <v>1.6807700149981286E-5</v>
      </c>
      <c r="BU233" s="528">
        <f t="shared" si="704"/>
        <v>0.28770789594794077</v>
      </c>
      <c r="BV233" s="528"/>
      <c r="BW233" s="625">
        <f t="shared" si="705"/>
        <v>1.8275000000000003E-2</v>
      </c>
      <c r="BX233" s="460">
        <f t="shared" si="706"/>
        <v>587.29444357124703</v>
      </c>
      <c r="BY233" s="173">
        <f t="shared" si="707"/>
        <v>2.189594555004549</v>
      </c>
      <c r="BZ233" s="5">
        <f t="shared" si="708"/>
        <v>4.3860000000000001</v>
      </c>
      <c r="CA233" s="173">
        <f t="shared" si="709"/>
        <v>0.66701192771411155</v>
      </c>
      <c r="CB233" s="5">
        <f t="shared" si="710"/>
        <v>66.701192771411158</v>
      </c>
      <c r="CC233">
        <f t="shared" si="711"/>
        <v>17</v>
      </c>
      <c r="CE233" s="562">
        <f t="shared" si="651"/>
        <v>-50</v>
      </c>
      <c r="CG233" s="173">
        <f t="shared" si="652"/>
        <v>0.36588932752951409</v>
      </c>
      <c r="CH233" s="173">
        <f t="shared" si="653"/>
        <v>8.7647943437559092E-2</v>
      </c>
      <c r="CI233" s="170">
        <v>17</v>
      </c>
      <c r="CJ233" s="217">
        <f t="shared" si="712"/>
        <v>1.02</v>
      </c>
      <c r="CK233" s="217">
        <f t="shared" si="654"/>
        <v>1.7000000000000001E-2</v>
      </c>
      <c r="CL233" s="217">
        <f t="shared" si="655"/>
        <v>4.08</v>
      </c>
      <c r="CM233" s="217">
        <f t="shared" si="656"/>
        <v>0.30600000000000005</v>
      </c>
      <c r="CN233" s="541">
        <f t="shared" si="657"/>
        <v>36</v>
      </c>
      <c r="CO233" s="443">
        <f t="shared" si="658"/>
        <v>18.8</v>
      </c>
      <c r="CP233" s="443">
        <f t="shared" si="659"/>
        <v>54.8</v>
      </c>
      <c r="CQ233" s="443"/>
      <c r="CR233" s="217">
        <f t="shared" si="660"/>
        <v>0.34306569343065696</v>
      </c>
      <c r="CS233" s="172">
        <f t="shared" si="661"/>
        <v>38.295705313189622</v>
      </c>
      <c r="CT233" s="172">
        <f t="shared" si="662"/>
        <v>3.0875912408759132</v>
      </c>
      <c r="CU233" s="217">
        <f t="shared" si="663"/>
        <v>9.5739263282974054</v>
      </c>
      <c r="CV233" s="217">
        <f t="shared" si="664"/>
        <v>2.12753918406609</v>
      </c>
      <c r="CW233" s="217">
        <f t="shared" si="665"/>
        <v>4</v>
      </c>
      <c r="CX233" s="217">
        <f t="shared" si="666"/>
        <v>0.71026241134751766</v>
      </c>
      <c r="CY233" s="217">
        <f t="shared" si="667"/>
        <v>0.23675413711583923</v>
      </c>
      <c r="CZ233" s="217">
        <f t="shared" si="668"/>
        <v>0.45335898596650059</v>
      </c>
      <c r="DA233" s="197">
        <f t="shared" si="669"/>
        <v>350</v>
      </c>
      <c r="DB233" s="443">
        <f t="shared" si="670"/>
        <v>350</v>
      </c>
      <c r="DD233" s="217">
        <f t="shared" si="671"/>
        <v>2.940563086548488</v>
      </c>
      <c r="DE233" s="173">
        <f t="shared" si="672"/>
        <v>1.8769551616266944</v>
      </c>
      <c r="DF233" s="173">
        <f t="shared" si="673"/>
        <v>3.5939660877863036</v>
      </c>
      <c r="DG233" s="173"/>
      <c r="DH233" s="173">
        <f t="shared" si="674"/>
        <v>0.85106382978723416</v>
      </c>
      <c r="DI233" s="545">
        <f t="shared" si="675"/>
        <v>449.43749999999983</v>
      </c>
      <c r="DJ233" s="528">
        <f t="shared" si="676"/>
        <v>0.79432624113475192</v>
      </c>
      <c r="DL233" s="173">
        <f t="shared" si="677"/>
        <v>1.4451890632617688</v>
      </c>
      <c r="DM233" s="173">
        <f t="shared" si="678"/>
        <v>1.4451890632617688</v>
      </c>
      <c r="DN233" s="173">
        <f t="shared" si="679"/>
        <v>1.2828560962432853</v>
      </c>
      <c r="DP233" s="545">
        <f t="shared" si="680"/>
        <v>1020</v>
      </c>
      <c r="DQ233" s="460">
        <f t="shared" si="681"/>
        <v>350</v>
      </c>
      <c r="DS233">
        <f t="shared" si="682"/>
        <v>1020</v>
      </c>
      <c r="DT233">
        <f t="shared" si="683"/>
        <v>350</v>
      </c>
      <c r="DV233" s="5">
        <f t="shared" si="684"/>
        <v>2.8571428571428572</v>
      </c>
      <c r="DW233" s="5">
        <f t="shared" si="685"/>
        <v>0.48172968775392294</v>
      </c>
      <c r="DX233" s="5">
        <f t="shared" si="686"/>
        <v>2.3754131693889344</v>
      </c>
      <c r="DY233" s="173">
        <f t="shared" si="687"/>
        <v>0.16860539071387304</v>
      </c>
      <c r="EA233" s="5">
        <f t="shared" si="713"/>
        <v>12.284107037725036</v>
      </c>
      <c r="EB233" s="5">
        <f t="shared" si="714"/>
        <v>4.5496692732314943E-2</v>
      </c>
      <c r="EC233" s="5">
        <f t="shared" si="715"/>
        <v>0.22434457710895492</v>
      </c>
      <c r="ED233" s="5"/>
      <c r="EE233" s="173">
        <f t="shared" si="716"/>
        <v>0.34260978860705743</v>
      </c>
      <c r="EF233" s="173">
        <f t="shared" si="717"/>
        <v>3.0431799393163819</v>
      </c>
      <c r="EG233" s="173">
        <f t="shared" si="718"/>
        <v>5.7984915059947274E-2</v>
      </c>
      <c r="EH233" s="173"/>
      <c r="EI233" s="528">
        <f t="shared" si="719"/>
        <v>1.4320539004423454E-3</v>
      </c>
      <c r="EJ233" s="528">
        <f t="shared" si="720"/>
        <v>0.55437452466721449</v>
      </c>
      <c r="EK233" s="528">
        <f t="shared" si="721"/>
        <v>4.3749999999999997E-2</v>
      </c>
      <c r="EL233" s="528">
        <f t="shared" si="722"/>
        <v>0.10510639999999997</v>
      </c>
      <c r="EM233">
        <f t="shared" si="723"/>
        <v>1.6199999999999999E-2</v>
      </c>
      <c r="EN233" s="460">
        <f t="shared" si="724"/>
        <v>59.949999999999996</v>
      </c>
      <c r="EP233" s="460">
        <f t="shared" si="725"/>
        <v>720.86297856765668</v>
      </c>
      <c r="EQ233" s="173">
        <f t="shared" si="726"/>
        <v>0.71399999999999997</v>
      </c>
      <c r="ER233" s="173">
        <f t="shared" si="688"/>
        <v>7.5437500000000001E-3</v>
      </c>
      <c r="ES233" s="528"/>
      <c r="EU233" s="460">
        <f t="shared" si="727"/>
        <v>721.54374999999993</v>
      </c>
      <c r="EV233" s="528">
        <f t="shared" si="728"/>
        <v>3.5214440174811774E-3</v>
      </c>
      <c r="EW233" s="528">
        <f t="shared" si="729"/>
        <v>0.27782832429172977</v>
      </c>
      <c r="EX233" s="528">
        <f t="shared" si="730"/>
        <v>1.68112518725465E-5</v>
      </c>
      <c r="EY233" s="528">
        <f t="shared" si="731"/>
        <v>0.28770789594794077</v>
      </c>
      <c r="EZ233" s="528"/>
      <c r="FA233" s="625">
        <f t="shared" si="732"/>
        <v>1.8275000000000003E-2</v>
      </c>
      <c r="FB233" s="460">
        <f t="shared" si="733"/>
        <v>587.34947550902427</v>
      </c>
      <c r="FC233" s="173">
        <f t="shared" si="734"/>
        <v>2.0297562040766808</v>
      </c>
      <c r="FD233" s="5">
        <f t="shared" si="735"/>
        <v>4.3860000000000001</v>
      </c>
      <c r="FE233" s="173">
        <f t="shared" si="736"/>
        <v>0.68362946790482171</v>
      </c>
      <c r="FF233" s="5">
        <f t="shared" si="737"/>
        <v>68.362946790482169</v>
      </c>
      <c r="FG233">
        <f t="shared" si="738"/>
        <v>17</v>
      </c>
      <c r="FI233" s="562">
        <f t="shared" si="689"/>
        <v>-50</v>
      </c>
    </row>
    <row r="234" spans="5:165">
      <c r="E234" s="170">
        <v>18</v>
      </c>
      <c r="F234" s="217">
        <f t="shared" si="690"/>
        <v>1.08</v>
      </c>
      <c r="G234" s="217">
        <f t="shared" si="617"/>
        <v>1.7999999999999999E-2</v>
      </c>
      <c r="H234" s="217">
        <f t="shared" si="618"/>
        <v>4.32</v>
      </c>
      <c r="I234" s="217">
        <f t="shared" si="619"/>
        <v>0.32399999999999995</v>
      </c>
      <c r="J234" s="541">
        <f t="shared" si="620"/>
        <v>35.961448896140489</v>
      </c>
      <c r="K234" s="443">
        <f t="shared" si="621"/>
        <v>19.144225839488307</v>
      </c>
      <c r="L234" s="172">
        <f t="shared" si="622"/>
        <v>55.105674735628796</v>
      </c>
      <c r="M234" s="443"/>
      <c r="N234" s="217">
        <f t="shared" si="623"/>
        <v>0.34740933545108249</v>
      </c>
      <c r="O234" s="172">
        <f t="shared" si="624"/>
        <v>38.739048256949552</v>
      </c>
      <c r="P234" s="172">
        <f t="shared" si="625"/>
        <v>3.1233357657165577</v>
      </c>
      <c r="Q234" s="217">
        <f t="shared" si="626"/>
        <v>9.6847620642373879</v>
      </c>
      <c r="R234" s="217">
        <f t="shared" si="627"/>
        <v>2.1521693476083086</v>
      </c>
      <c r="S234" s="217">
        <f t="shared" si="628"/>
        <v>4</v>
      </c>
      <c r="T234" s="217">
        <f t="shared" si="629"/>
        <v>0.74343592049485763</v>
      </c>
      <c r="U234" s="217">
        <f t="shared" si="630"/>
        <v>0.2480776309014554</v>
      </c>
      <c r="V234" s="217">
        <f t="shared" si="631"/>
        <v>0.46600113897197637</v>
      </c>
      <c r="W234" s="197">
        <f t="shared" si="632"/>
        <v>350</v>
      </c>
      <c r="X234" s="443">
        <f t="shared" si="691"/>
        <v>350</v>
      </c>
      <c r="Z234" s="217">
        <f t="shared" si="633"/>
        <v>2.9746054911586266</v>
      </c>
      <c r="AA234" s="173">
        <f t="shared" si="634"/>
        <v>1.8645447558540502</v>
      </c>
      <c r="AB234" s="173">
        <f t="shared" si="635"/>
        <v>3.611534463713614</v>
      </c>
      <c r="AC234" s="173"/>
      <c r="AD234" s="173">
        <f t="shared" si="636"/>
        <v>0.83576113937170593</v>
      </c>
      <c r="AE234" s="545">
        <f t="shared" si="637"/>
        <v>484.58821656204765</v>
      </c>
      <c r="AF234" s="528">
        <f t="shared" si="638"/>
        <v>0.78004373008025896</v>
      </c>
      <c r="AH234" s="173">
        <f t="shared" si="639"/>
        <v>1.4870872776769262</v>
      </c>
      <c r="AI234" s="173">
        <f t="shared" si="640"/>
        <v>1.4870872776769262</v>
      </c>
      <c r="AJ234" s="173">
        <f t="shared" si="641"/>
        <v>1.3138918106248834</v>
      </c>
      <c r="AL234" s="545">
        <f t="shared" si="642"/>
        <v>1080</v>
      </c>
      <c r="AM234" s="460">
        <f t="shared" si="643"/>
        <v>350</v>
      </c>
      <c r="AO234">
        <f t="shared" si="644"/>
        <v>1080</v>
      </c>
      <c r="AP234">
        <f t="shared" si="645"/>
        <v>350</v>
      </c>
      <c r="AR234" s="5">
        <f t="shared" si="616"/>
        <v>2.8571428571428572</v>
      </c>
      <c r="AS234" s="5">
        <f t="shared" si="604"/>
        <v>0.4962271510155507</v>
      </c>
      <c r="AT234" s="5">
        <f t="shared" si="605"/>
        <v>2.3609157061273063</v>
      </c>
      <c r="AU234" s="173">
        <f t="shared" si="606"/>
        <v>0.17367950285544273</v>
      </c>
      <c r="BA234" s="173">
        <f t="shared" si="692"/>
        <v>0.35780805603285687</v>
      </c>
      <c r="BB234" s="173">
        <f t="shared" si="693"/>
        <v>3.1218360038434949</v>
      </c>
      <c r="BC234" s="173">
        <f t="shared" si="694"/>
        <v>5.9483631965126058E-2</v>
      </c>
      <c r="BD234" s="173"/>
      <c r="BE234" s="528">
        <f t="shared" si="695"/>
        <v>1.5619245805365467E-3</v>
      </c>
      <c r="BF234" s="528">
        <f t="shared" si="646"/>
        <v>0.53777684511571378</v>
      </c>
      <c r="BG234" s="528">
        <f t="shared" si="647"/>
        <v>0.31466267784122925</v>
      </c>
      <c r="BH234" s="528">
        <f t="shared" si="696"/>
        <v>0.10628223858241212</v>
      </c>
      <c r="BI234">
        <f t="shared" si="697"/>
        <v>1.6182652003263218E-2</v>
      </c>
      <c r="BJ234" s="460">
        <f t="shared" si="698"/>
        <v>330.84532984449248</v>
      </c>
      <c r="BK234">
        <f t="shared" si="648"/>
        <v>0.64628257196071126</v>
      </c>
      <c r="BL234" s="460">
        <f t="shared" si="699"/>
        <v>976.46633812315486</v>
      </c>
      <c r="BM234" s="173">
        <f t="shared" si="649"/>
        <v>0.67094999999999994</v>
      </c>
      <c r="BN234" s="173">
        <f t="shared" si="650"/>
        <v>7.9874999999999998E-3</v>
      </c>
      <c r="BQ234" s="460">
        <f t="shared" si="700"/>
        <v>678.9375</v>
      </c>
      <c r="BR234" s="528">
        <f t="shared" si="701"/>
        <v>3.840798148860361E-3</v>
      </c>
      <c r="BS234" s="528">
        <f t="shared" si="702"/>
        <v>0.29237580104680561</v>
      </c>
      <c r="BT234" s="528">
        <f t="shared" si="703"/>
        <v>1.7691512358812834E-5</v>
      </c>
      <c r="BU234" s="528">
        <f t="shared" si="704"/>
        <v>0.30901620922332984</v>
      </c>
      <c r="BV234" s="528"/>
      <c r="BW234" s="625">
        <f t="shared" si="705"/>
        <v>1.9350000000000003E-2</v>
      </c>
      <c r="BX234" s="460">
        <f t="shared" si="706"/>
        <v>624.60049993135453</v>
      </c>
      <c r="BY234" s="173">
        <f t="shared" si="707"/>
        <v>2.2800043380545096</v>
      </c>
      <c r="BZ234" s="5">
        <f t="shared" si="708"/>
        <v>4.6440000000000001</v>
      </c>
      <c r="CA234" s="173">
        <f t="shared" si="709"/>
        <v>0.67071015170751036</v>
      </c>
      <c r="CB234" s="5">
        <f t="shared" si="710"/>
        <v>67.071015170751039</v>
      </c>
      <c r="CC234">
        <f t="shared" si="711"/>
        <v>18.000000000000004</v>
      </c>
      <c r="CE234" s="562">
        <f t="shared" si="651"/>
        <v>-50</v>
      </c>
      <c r="CG234" s="173">
        <f t="shared" si="652"/>
        <v>0.37649701194033403</v>
      </c>
      <c r="CH234" s="173">
        <f t="shared" si="653"/>
        <v>9.0188989741152151E-2</v>
      </c>
      <c r="CI234" s="170">
        <v>18</v>
      </c>
      <c r="CJ234" s="217">
        <f t="shared" si="712"/>
        <v>1.08</v>
      </c>
      <c r="CK234" s="217">
        <f t="shared" si="654"/>
        <v>1.7999999999999999E-2</v>
      </c>
      <c r="CL234" s="217">
        <f t="shared" si="655"/>
        <v>4.32</v>
      </c>
      <c r="CM234" s="217">
        <f t="shared" si="656"/>
        <v>0.32399999999999995</v>
      </c>
      <c r="CN234" s="541">
        <f t="shared" si="657"/>
        <v>36</v>
      </c>
      <c r="CO234" s="443">
        <f t="shared" si="658"/>
        <v>18.8</v>
      </c>
      <c r="CP234" s="443">
        <f t="shared" si="659"/>
        <v>54.8</v>
      </c>
      <c r="CQ234" s="443"/>
      <c r="CR234" s="217">
        <f t="shared" si="660"/>
        <v>0.34306569343065696</v>
      </c>
      <c r="CS234" s="172">
        <f t="shared" si="661"/>
        <v>38.295705313189622</v>
      </c>
      <c r="CT234" s="172">
        <f t="shared" si="662"/>
        <v>3.0875912408759132</v>
      </c>
      <c r="CU234" s="217">
        <f t="shared" si="663"/>
        <v>9.5739263282974054</v>
      </c>
      <c r="CV234" s="217">
        <f t="shared" si="664"/>
        <v>2.12753918406609</v>
      </c>
      <c r="CW234" s="217">
        <f t="shared" si="665"/>
        <v>4</v>
      </c>
      <c r="CX234" s="217">
        <f t="shared" si="666"/>
        <v>0.75204255319148927</v>
      </c>
      <c r="CY234" s="217">
        <f t="shared" si="667"/>
        <v>0.25068085106382976</v>
      </c>
      <c r="CZ234" s="217">
        <f t="shared" si="668"/>
        <v>0.48002716161158893</v>
      </c>
      <c r="DA234" s="197">
        <f t="shared" si="669"/>
        <v>350</v>
      </c>
      <c r="DB234" s="443">
        <f t="shared" si="670"/>
        <v>350</v>
      </c>
      <c r="DD234" s="217">
        <f t="shared" si="671"/>
        <v>2.940563086548488</v>
      </c>
      <c r="DE234" s="173">
        <f t="shared" si="672"/>
        <v>1.8769551616266944</v>
      </c>
      <c r="DF234" s="173">
        <f t="shared" si="673"/>
        <v>3.5939660877863036</v>
      </c>
      <c r="DG234" s="173"/>
      <c r="DH234" s="173">
        <f t="shared" si="674"/>
        <v>0.85106382978723416</v>
      </c>
      <c r="DI234" s="545">
        <f t="shared" si="675"/>
        <v>475.87499999999994</v>
      </c>
      <c r="DJ234" s="528">
        <f t="shared" si="676"/>
        <v>0.79432624113475192</v>
      </c>
      <c r="DL234" s="173">
        <f t="shared" si="677"/>
        <v>1.4870872776769262</v>
      </c>
      <c r="DM234" s="173">
        <f t="shared" si="678"/>
        <v>1.4870872776769262</v>
      </c>
      <c r="DN234" s="173">
        <f t="shared" si="679"/>
        <v>1.3138918106248834</v>
      </c>
      <c r="DP234" s="545">
        <f t="shared" si="680"/>
        <v>1080</v>
      </c>
      <c r="DQ234" s="460">
        <f t="shared" si="681"/>
        <v>350</v>
      </c>
      <c r="DS234">
        <f t="shared" si="682"/>
        <v>1080</v>
      </c>
      <c r="DT234">
        <f t="shared" si="683"/>
        <v>350</v>
      </c>
      <c r="DV234" s="5">
        <f t="shared" si="684"/>
        <v>2.8571428571428572</v>
      </c>
      <c r="DW234" s="5">
        <f t="shared" si="685"/>
        <v>0.49569575922564213</v>
      </c>
      <c r="DX234" s="5">
        <f t="shared" si="686"/>
        <v>2.3614470979172149</v>
      </c>
      <c r="DY234" s="173">
        <f t="shared" si="687"/>
        <v>0.17349351572897473</v>
      </c>
      <c r="EA234" s="5">
        <f t="shared" si="713"/>
        <v>13.383785499092337</v>
      </c>
      <c r="EB234" s="5">
        <f t="shared" si="714"/>
        <v>4.9569575922564217E-2</v>
      </c>
      <c r="EC234" s="5">
        <f t="shared" si="715"/>
        <v>0.23614470979172145</v>
      </c>
      <c r="ED234" s="5"/>
      <c r="EE234" s="173">
        <f t="shared" si="716"/>
        <v>0.35761642283348183</v>
      </c>
      <c r="EF234" s="173">
        <f t="shared" si="717"/>
        <v>3.1221873134394516</v>
      </c>
      <c r="EG234" s="173">
        <f t="shared" si="718"/>
        <v>5.9490325837157118E-2</v>
      </c>
      <c r="EH234" s="173"/>
      <c r="EI234" s="528">
        <f t="shared" si="719"/>
        <v>1.5602519717386309E-3</v>
      </c>
      <c r="EJ234" s="528">
        <f t="shared" si="720"/>
        <v>0.57044667971686891</v>
      </c>
      <c r="EK234" s="528">
        <f t="shared" si="721"/>
        <v>4.3749999999999997E-2</v>
      </c>
      <c r="EL234" s="528">
        <f t="shared" si="722"/>
        <v>0.10510639999999997</v>
      </c>
      <c r="EM234">
        <f t="shared" si="723"/>
        <v>1.6199999999999999E-2</v>
      </c>
      <c r="EN234" s="460">
        <f t="shared" si="724"/>
        <v>59.949999999999996</v>
      </c>
      <c r="EP234" s="460">
        <f t="shared" si="725"/>
        <v>737.06333168860738</v>
      </c>
      <c r="EQ234" s="173">
        <f t="shared" si="726"/>
        <v>0.75600000000000001</v>
      </c>
      <c r="ER234" s="173">
        <f t="shared" si="688"/>
        <v>7.9874999999999998E-3</v>
      </c>
      <c r="ES234" s="528"/>
      <c r="EU234" s="460">
        <f t="shared" si="727"/>
        <v>763.98750000000007</v>
      </c>
      <c r="EV234" s="528">
        <f t="shared" si="728"/>
        <v>3.83668517640647E-3</v>
      </c>
      <c r="EW234" s="528">
        <f t="shared" si="729"/>
        <v>0.29244160860606777</v>
      </c>
      <c r="EX234" s="528">
        <f t="shared" si="730"/>
        <v>1.7695494341055618E-5</v>
      </c>
      <c r="EY234" s="528">
        <f t="shared" si="731"/>
        <v>0.30901620922332984</v>
      </c>
      <c r="EZ234" s="528"/>
      <c r="FA234" s="625">
        <f t="shared" si="732"/>
        <v>1.9350000000000003E-2</v>
      </c>
      <c r="FB234" s="460">
        <f t="shared" si="733"/>
        <v>624.662198500145</v>
      </c>
      <c r="FC234" s="173">
        <f t="shared" si="734"/>
        <v>2.125713030188753</v>
      </c>
      <c r="FD234" s="5">
        <f t="shared" si="735"/>
        <v>4.6440000000000001</v>
      </c>
      <c r="FE234" s="173">
        <f t="shared" si="736"/>
        <v>0.68599658202506053</v>
      </c>
      <c r="FF234" s="5">
        <f t="shared" si="737"/>
        <v>68.599658202506049</v>
      </c>
      <c r="FG234">
        <f t="shared" si="738"/>
        <v>18.000000000000004</v>
      </c>
      <c r="FI234" s="562">
        <f t="shared" si="689"/>
        <v>-50</v>
      </c>
    </row>
    <row r="235" spans="5:165">
      <c r="E235" s="170">
        <v>19</v>
      </c>
      <c r="F235" s="217">
        <f t="shared" si="690"/>
        <v>1.1400000000000001</v>
      </c>
      <c r="G235" s="217">
        <f t="shared" si="617"/>
        <v>1.9000000000000003E-2</v>
      </c>
      <c r="H235" s="217">
        <f t="shared" si="618"/>
        <v>4.5600000000000005</v>
      </c>
      <c r="I235" s="217">
        <f t="shared" si="619"/>
        <v>0.34200000000000008</v>
      </c>
      <c r="J235" s="541">
        <f t="shared" si="620"/>
        <v>35.960392505923089</v>
      </c>
      <c r="K235" s="443">
        <f t="shared" si="621"/>
        <v>19.153658430854243</v>
      </c>
      <c r="L235" s="172">
        <f t="shared" si="622"/>
        <v>55.114050936777332</v>
      </c>
      <c r="M235" s="443"/>
      <c r="N235" s="217">
        <f t="shared" si="623"/>
        <v>0.34752768314609772</v>
      </c>
      <c r="O235" s="172">
        <f t="shared" si="624"/>
        <v>38.751106643744954</v>
      </c>
      <c r="P235" s="172">
        <f t="shared" si="625"/>
        <v>3.1243079731519372</v>
      </c>
      <c r="Q235" s="217">
        <f t="shared" si="626"/>
        <v>9.6877766609362386</v>
      </c>
      <c r="R235" s="217">
        <f t="shared" si="627"/>
        <v>2.1528392579858306</v>
      </c>
      <c r="S235" s="217">
        <f t="shared" si="628"/>
        <v>4</v>
      </c>
      <c r="T235" s="217">
        <f t="shared" si="629"/>
        <v>0.78449372503035475</v>
      </c>
      <c r="U235" s="217">
        <f t="shared" si="630"/>
        <v>0.26178592735920991</v>
      </c>
      <c r="V235" s="217">
        <f t="shared" si="631"/>
        <v>0.4914948616395684</v>
      </c>
      <c r="W235" s="197">
        <f t="shared" si="632"/>
        <v>350</v>
      </c>
      <c r="X235" s="443">
        <f t="shared" si="691"/>
        <v>350</v>
      </c>
      <c r="Z235" s="217">
        <f t="shared" si="633"/>
        <v>2.9755314030018445</v>
      </c>
      <c r="AA235" s="173">
        <f t="shared" si="634"/>
        <v>1.8642066195825782</v>
      </c>
      <c r="AB235" s="173">
        <f t="shared" si="635"/>
        <v>3.6120034760709885</v>
      </c>
      <c r="AC235" s="173"/>
      <c r="AD235" s="173">
        <f t="shared" si="636"/>
        <v>0.83534955255471843</v>
      </c>
      <c r="AE235" s="545">
        <f t="shared" si="637"/>
        <v>511.76181119938678</v>
      </c>
      <c r="AF235" s="528">
        <f t="shared" si="638"/>
        <v>0.77965958238440392</v>
      </c>
      <c r="AH235" s="173">
        <f t="shared" si="639"/>
        <v>1.5278369396914431</v>
      </c>
      <c r="AI235" s="173">
        <f t="shared" si="640"/>
        <v>1.5278369396914431</v>
      </c>
      <c r="AJ235" s="173">
        <f t="shared" si="641"/>
        <v>1.3440767454504514</v>
      </c>
      <c r="AL235" s="545">
        <f t="shared" si="642"/>
        <v>1140.0000000000002</v>
      </c>
      <c r="AM235" s="460">
        <f t="shared" si="643"/>
        <v>350</v>
      </c>
      <c r="AO235">
        <f t="shared" si="644"/>
        <v>1140.0000000000002</v>
      </c>
      <c r="AP235">
        <f t="shared" si="645"/>
        <v>350</v>
      </c>
      <c r="AR235" s="5">
        <f t="shared" si="616"/>
        <v>2.8571428571428572</v>
      </c>
      <c r="AS235" s="5">
        <f t="shared" si="604"/>
        <v>0.50983990993083539</v>
      </c>
      <c r="AT235" s="5">
        <f t="shared" si="605"/>
        <v>2.3473029472120217</v>
      </c>
      <c r="AU235" s="173">
        <f t="shared" si="606"/>
        <v>0.17844396847579239</v>
      </c>
      <c r="BA235" s="173">
        <f t="shared" si="692"/>
        <v>0.37262098993190235</v>
      </c>
      <c r="BB235" s="173">
        <f t="shared" si="693"/>
        <v>3.1981215385470447</v>
      </c>
      <c r="BC235" s="173">
        <f t="shared" si="694"/>
        <v>6.0937180666909903E-2</v>
      </c>
      <c r="BD235" s="173"/>
      <c r="BE235" s="528">
        <f t="shared" si="695"/>
        <v>1.6939261060815365E-3</v>
      </c>
      <c r="BF235" s="528">
        <f t="shared" si="646"/>
        <v>0.55259716914441492</v>
      </c>
      <c r="BG235" s="528">
        <f t="shared" si="647"/>
        <v>0.31465343442682703</v>
      </c>
      <c r="BH235" s="528">
        <f t="shared" si="696"/>
        <v>0.10631455137315901</v>
      </c>
      <c r="BI235">
        <f t="shared" si="697"/>
        <v>1.6182176627665388E-2</v>
      </c>
      <c r="BJ235" s="460">
        <f t="shared" si="698"/>
        <v>330.83561105449246</v>
      </c>
      <c r="BK235">
        <f t="shared" si="648"/>
        <v>0.66132917635125021</v>
      </c>
      <c r="BL235" s="460">
        <f t="shared" si="699"/>
        <v>991.44125767814796</v>
      </c>
      <c r="BM235" s="173">
        <f t="shared" si="649"/>
        <v>0.70822499999999999</v>
      </c>
      <c r="BN235" s="173">
        <f t="shared" si="650"/>
        <v>8.4312500000000012E-3</v>
      </c>
      <c r="BQ235" s="460">
        <f t="shared" si="700"/>
        <v>716.65625</v>
      </c>
      <c r="BR235" s="528">
        <f t="shared" si="701"/>
        <v>4.1653920641349261E-3</v>
      </c>
      <c r="BS235" s="528">
        <f t="shared" si="702"/>
        <v>0.30683944125955553</v>
      </c>
      <c r="BT235" s="528">
        <f t="shared" si="703"/>
        <v>1.856669993815809E-5</v>
      </c>
      <c r="BU235" s="528">
        <f t="shared" si="704"/>
        <v>0.33062267126114214</v>
      </c>
      <c r="BV235" s="528"/>
      <c r="BW235" s="625">
        <f t="shared" si="705"/>
        <v>2.0425000000000002E-2</v>
      </c>
      <c r="BX235" s="460">
        <f t="shared" si="706"/>
        <v>662.07107128477071</v>
      </c>
      <c r="BY235" s="173">
        <f t="shared" si="707"/>
        <v>2.3701685789629185</v>
      </c>
      <c r="BZ235" s="5">
        <f t="shared" si="708"/>
        <v>4.902000000000001</v>
      </c>
      <c r="CA235" s="173">
        <f t="shared" si="709"/>
        <v>0.6740767828430998</v>
      </c>
      <c r="CB235" s="5">
        <f t="shared" si="710"/>
        <v>67.407678284309981</v>
      </c>
      <c r="CC235">
        <f t="shared" si="711"/>
        <v>19.000000000000004</v>
      </c>
      <c r="CE235" s="562">
        <f t="shared" si="651"/>
        <v>-50</v>
      </c>
      <c r="CG235" s="173">
        <f t="shared" si="652"/>
        <v>0.38681390874682886</v>
      </c>
      <c r="CH235" s="173">
        <f t="shared" si="653"/>
        <v>9.2660378545663974E-2</v>
      </c>
      <c r="CI235" s="170">
        <v>19</v>
      </c>
      <c r="CJ235" s="217">
        <f t="shared" si="712"/>
        <v>1.1400000000000001</v>
      </c>
      <c r="CK235" s="217">
        <f t="shared" si="654"/>
        <v>1.9000000000000003E-2</v>
      </c>
      <c r="CL235" s="217">
        <f t="shared" si="655"/>
        <v>4.5600000000000005</v>
      </c>
      <c r="CM235" s="217">
        <f t="shared" si="656"/>
        <v>0.34200000000000008</v>
      </c>
      <c r="CN235" s="541">
        <f t="shared" si="657"/>
        <v>36</v>
      </c>
      <c r="CO235" s="443">
        <f t="shared" si="658"/>
        <v>18.8</v>
      </c>
      <c r="CP235" s="443">
        <f t="shared" si="659"/>
        <v>54.8</v>
      </c>
      <c r="CQ235" s="443"/>
      <c r="CR235" s="217">
        <f t="shared" si="660"/>
        <v>0.34306569343065696</v>
      </c>
      <c r="CS235" s="172">
        <f t="shared" si="661"/>
        <v>38.295705313189622</v>
      </c>
      <c r="CT235" s="172">
        <f t="shared" si="662"/>
        <v>3.0875912408759132</v>
      </c>
      <c r="CU235" s="217">
        <f t="shared" si="663"/>
        <v>9.5739263282974054</v>
      </c>
      <c r="CV235" s="217">
        <f t="shared" si="664"/>
        <v>2.12753918406609</v>
      </c>
      <c r="CW235" s="217">
        <f t="shared" si="665"/>
        <v>4</v>
      </c>
      <c r="CX235" s="217">
        <f t="shared" si="666"/>
        <v>0.7938226950354611</v>
      </c>
      <c r="CY235" s="217">
        <f t="shared" si="667"/>
        <v>0.26460756501182031</v>
      </c>
      <c r="CZ235" s="217">
        <f t="shared" si="668"/>
        <v>0.50669533725667726</v>
      </c>
      <c r="DA235" s="197">
        <f t="shared" si="669"/>
        <v>350</v>
      </c>
      <c r="DB235" s="443">
        <f t="shared" si="670"/>
        <v>350</v>
      </c>
      <c r="DD235" s="217">
        <f t="shared" si="671"/>
        <v>2.940563086548488</v>
      </c>
      <c r="DE235" s="173">
        <f t="shared" si="672"/>
        <v>1.8769551616266944</v>
      </c>
      <c r="DF235" s="173">
        <f t="shared" si="673"/>
        <v>3.5939660877863036</v>
      </c>
      <c r="DG235" s="173"/>
      <c r="DH235" s="173">
        <f t="shared" si="674"/>
        <v>0.85106382978723416</v>
      </c>
      <c r="DI235" s="545">
        <f t="shared" si="675"/>
        <v>502.31249999999994</v>
      </c>
      <c r="DJ235" s="528">
        <f t="shared" si="676"/>
        <v>0.79432624113475192</v>
      </c>
      <c r="DL235" s="173">
        <f t="shared" si="677"/>
        <v>1.5278369396914431</v>
      </c>
      <c r="DM235" s="173">
        <f t="shared" si="678"/>
        <v>1.5278369396914431</v>
      </c>
      <c r="DN235" s="173">
        <f t="shared" si="679"/>
        <v>1.3440767454504514</v>
      </c>
      <c r="DP235" s="545">
        <f t="shared" si="680"/>
        <v>1140.0000000000002</v>
      </c>
      <c r="DQ235" s="460">
        <f t="shared" si="681"/>
        <v>350</v>
      </c>
      <c r="DS235">
        <f t="shared" si="682"/>
        <v>1140.0000000000002</v>
      </c>
      <c r="DT235">
        <f t="shared" si="683"/>
        <v>350</v>
      </c>
      <c r="DV235" s="5">
        <f t="shared" si="684"/>
        <v>2.8571428571428572</v>
      </c>
      <c r="DW235" s="5">
        <f t="shared" si="685"/>
        <v>0.50927897989714765</v>
      </c>
      <c r="DX235" s="5">
        <f t="shared" si="686"/>
        <v>2.3478638772457097</v>
      </c>
      <c r="DY235" s="173">
        <f t="shared" si="687"/>
        <v>0.17824764296400167</v>
      </c>
      <c r="EA235" s="5">
        <f t="shared" si="713"/>
        <v>14.514450927068708</v>
      </c>
      <c r="EB235" s="5">
        <f t="shared" si="714"/>
        <v>5.3757225655810044E-2</v>
      </c>
      <c r="EC235" s="5">
        <f t="shared" si="715"/>
        <v>0.24783007593149156</v>
      </c>
      <c r="ED235" s="5"/>
      <c r="EE235" s="173">
        <f t="shared" si="716"/>
        <v>0.37241595319211268</v>
      </c>
      <c r="EF235" s="173">
        <f t="shared" si="717"/>
        <v>3.1985036398997537</v>
      </c>
      <c r="EG235" s="173">
        <f t="shared" si="718"/>
        <v>6.0944461246738545E-2</v>
      </c>
      <c r="EH235" s="173"/>
      <c r="EI235" s="528">
        <f t="shared" si="719"/>
        <v>1.6920624347422763E-3</v>
      </c>
      <c r="EJ235" s="528">
        <f t="shared" si="720"/>
        <v>0.58607825006563752</v>
      </c>
      <c r="EK235" s="528">
        <f t="shared" si="721"/>
        <v>4.3749999999999997E-2</v>
      </c>
      <c r="EL235" s="528">
        <f t="shared" si="722"/>
        <v>0.10510639999999997</v>
      </c>
      <c r="EM235">
        <f t="shared" si="723"/>
        <v>1.6199999999999999E-2</v>
      </c>
      <c r="EN235" s="460">
        <f t="shared" si="724"/>
        <v>59.949999999999996</v>
      </c>
      <c r="EP235" s="460">
        <f t="shared" si="725"/>
        <v>752.8267125003797</v>
      </c>
      <c r="EQ235" s="173">
        <f t="shared" si="726"/>
        <v>0.79800000000000004</v>
      </c>
      <c r="ER235" s="173">
        <f t="shared" si="688"/>
        <v>8.4312500000000012E-3</v>
      </c>
      <c r="ES235" s="528"/>
      <c r="EU235" s="460">
        <f t="shared" si="727"/>
        <v>806.43125000000009</v>
      </c>
      <c r="EV235" s="528">
        <f t="shared" si="728"/>
        <v>4.1608092657596961E-3</v>
      </c>
      <c r="EW235" s="528">
        <f t="shared" si="729"/>
        <v>0.30691276603355916</v>
      </c>
      <c r="EX235" s="528">
        <f t="shared" si="730"/>
        <v>1.857113678327608E-5</v>
      </c>
      <c r="EY235" s="528">
        <f t="shared" si="731"/>
        <v>0.33062267126114214</v>
      </c>
      <c r="EZ235" s="528"/>
      <c r="FA235" s="625">
        <f t="shared" si="732"/>
        <v>2.0425000000000002E-2</v>
      </c>
      <c r="FB235" s="460">
        <f t="shared" si="733"/>
        <v>662.13981769724433</v>
      </c>
      <c r="FC235" s="173">
        <f t="shared" si="734"/>
        <v>2.2213977801976239</v>
      </c>
      <c r="FD235" s="5">
        <f t="shared" si="735"/>
        <v>4.902000000000001</v>
      </c>
      <c r="FE235" s="173">
        <f t="shared" si="736"/>
        <v>0.68815474739135019</v>
      </c>
      <c r="FF235" s="5">
        <f t="shared" si="737"/>
        <v>68.815474739135013</v>
      </c>
      <c r="FG235">
        <f t="shared" si="738"/>
        <v>19.000000000000004</v>
      </c>
      <c r="FI235" s="562">
        <f t="shared" si="689"/>
        <v>-50</v>
      </c>
    </row>
    <row r="236" spans="5:165">
      <c r="E236" s="170">
        <v>20</v>
      </c>
      <c r="F236" s="217">
        <f t="shared" si="690"/>
        <v>1.2000000000000002</v>
      </c>
      <c r="G236" s="217">
        <f t="shared" si="617"/>
        <v>2.0000000000000004E-2</v>
      </c>
      <c r="H236" s="217">
        <f t="shared" si="618"/>
        <v>4.8000000000000007</v>
      </c>
      <c r="I236" s="217">
        <f t="shared" si="619"/>
        <v>0.3600000000000001</v>
      </c>
      <c r="J236" s="541">
        <f t="shared" si="620"/>
        <v>35.959363568496748</v>
      </c>
      <c r="K236" s="443">
        <f t="shared" si="621"/>
        <v>19.162845894088861</v>
      </c>
      <c r="L236" s="172">
        <f t="shared" si="622"/>
        <v>55.122209462585602</v>
      </c>
      <c r="M236" s="443"/>
      <c r="N236" s="217">
        <f t="shared" si="623"/>
        <v>0.34764292071956421</v>
      </c>
      <c r="O236" s="172">
        <f t="shared" si="624"/>
        <v>38.762847064089613</v>
      </c>
      <c r="P236" s="172">
        <f t="shared" si="625"/>
        <v>3.1252545445422251</v>
      </c>
      <c r="Q236" s="217">
        <f t="shared" si="626"/>
        <v>9.6907117660224031</v>
      </c>
      <c r="R236" s="217">
        <f t="shared" si="627"/>
        <v>2.153491503560534</v>
      </c>
      <c r="S236" s="217">
        <f t="shared" si="628"/>
        <v>4</v>
      </c>
      <c r="T236" s="217">
        <f t="shared" si="629"/>
        <v>0.82553275684554162</v>
      </c>
      <c r="U236" s="217">
        <f t="shared" si="630"/>
        <v>0.27548855427534003</v>
      </c>
      <c r="V236" s="217">
        <f t="shared" si="631"/>
        <v>0.51695834412582276</v>
      </c>
      <c r="W236" s="197">
        <f t="shared" si="632"/>
        <v>350</v>
      </c>
      <c r="X236" s="443">
        <f t="shared" si="691"/>
        <v>350</v>
      </c>
      <c r="Z236" s="217">
        <f t="shared" si="633"/>
        <v>2.9764328995640237</v>
      </c>
      <c r="AA236" s="173">
        <f t="shared" si="634"/>
        <v>1.8638773693726736</v>
      </c>
      <c r="AB236" s="173">
        <f t="shared" si="635"/>
        <v>3.6124596707605301</v>
      </c>
      <c r="AC236" s="173"/>
      <c r="AD236" s="173">
        <f t="shared" si="636"/>
        <v>0.8349490513272616</v>
      </c>
      <c r="AE236" s="545">
        <f t="shared" si="637"/>
        <v>538.95504077124906</v>
      </c>
      <c r="AF236" s="528">
        <f t="shared" si="638"/>
        <v>0.77928578123877756</v>
      </c>
      <c r="AH236" s="173">
        <f t="shared" si="639"/>
        <v>1.5675276256394519</v>
      </c>
      <c r="AI236" s="173">
        <f t="shared" si="640"/>
        <v>1.5675276256394519</v>
      </c>
      <c r="AJ236" s="173">
        <f t="shared" si="641"/>
        <v>1.3734772535600877</v>
      </c>
      <c r="AL236" s="545">
        <f t="shared" si="642"/>
        <v>1200.0000000000002</v>
      </c>
      <c r="AM236" s="460">
        <f t="shared" si="643"/>
        <v>350</v>
      </c>
      <c r="AO236">
        <f t="shared" si="644"/>
        <v>1200.0000000000002</v>
      </c>
      <c r="AP236">
        <f t="shared" si="645"/>
        <v>350</v>
      </c>
      <c r="AR236" s="5">
        <f t="shared" si="616"/>
        <v>2.8571428571428572</v>
      </c>
      <c r="AS236" s="5">
        <f t="shared" si="604"/>
        <v>0.52309967810867386</v>
      </c>
      <c r="AT236" s="5">
        <f t="shared" si="605"/>
        <v>2.3340431790341833</v>
      </c>
      <c r="AU236" s="173">
        <f t="shared" si="606"/>
        <v>0.18308488733803585</v>
      </c>
      <c r="BA236" s="173">
        <f t="shared" si="692"/>
        <v>0.38724054676366199</v>
      </c>
      <c r="BB236" s="173">
        <f t="shared" si="693"/>
        <v>3.2719226836581563</v>
      </c>
      <c r="BC236" s="173">
        <f t="shared" si="694"/>
        <v>6.234339167510812E-2</v>
      </c>
      <c r="BD236" s="173"/>
      <c r="BE236" s="528">
        <f t="shared" si="695"/>
        <v>1.8294539409054024E-3</v>
      </c>
      <c r="BF236" s="528">
        <f t="shared" si="646"/>
        <v>0.56703665890519817</v>
      </c>
      <c r="BG236" s="528">
        <f t="shared" si="647"/>
        <v>0.31464443122434654</v>
      </c>
      <c r="BH236" s="528">
        <f t="shared" si="696"/>
        <v>0.10634602916130066</v>
      </c>
      <c r="BI236">
        <f t="shared" si="697"/>
        <v>1.6181713605823538E-2</v>
      </c>
      <c r="BJ236" s="460">
        <f t="shared" si="698"/>
        <v>330.82614483017011</v>
      </c>
      <c r="BK236">
        <f t="shared" si="648"/>
        <v>0.67599993704538242</v>
      </c>
      <c r="BL236" s="460">
        <f t="shared" si="699"/>
        <v>1006.0382868375741</v>
      </c>
      <c r="BM236" s="173">
        <f t="shared" si="649"/>
        <v>0.74550000000000005</v>
      </c>
      <c r="BN236" s="173">
        <f t="shared" si="650"/>
        <v>8.8750000000000009E-3</v>
      </c>
      <c r="BQ236" s="460">
        <f t="shared" si="700"/>
        <v>754.375</v>
      </c>
      <c r="BR236" s="528">
        <f t="shared" si="701"/>
        <v>4.4986572317345964E-3</v>
      </c>
      <c r="BS236" s="528">
        <f t="shared" si="702"/>
        <v>0.32116434143510375</v>
      </c>
      <c r="BT236" s="528">
        <f t="shared" si="703"/>
        <v>1.9433492427779703E-5</v>
      </c>
      <c r="BU236" s="528">
        <f t="shared" si="704"/>
        <v>0.35251542393098156</v>
      </c>
      <c r="BV236" s="528"/>
      <c r="BW236" s="625">
        <f t="shared" si="705"/>
        <v>2.1500000000000009E-2</v>
      </c>
      <c r="BX236" s="460">
        <f t="shared" si="706"/>
        <v>699.69785609024768</v>
      </c>
      <c r="BY236" s="173">
        <f t="shared" si="707"/>
        <v>2.4601111429278215</v>
      </c>
      <c r="BZ236" s="5">
        <f t="shared" si="708"/>
        <v>5.160000000000001</v>
      </c>
      <c r="CA236" s="173">
        <f t="shared" si="709"/>
        <v>0.67715547755349537</v>
      </c>
      <c r="CB236" s="5">
        <f t="shared" si="710"/>
        <v>67.715547755349533</v>
      </c>
      <c r="CC236">
        <f t="shared" si="711"/>
        <v>20.000000000000004</v>
      </c>
      <c r="CE236" s="562">
        <f t="shared" si="651"/>
        <v>-50</v>
      </c>
      <c r="CG236" s="173">
        <f t="shared" si="652"/>
        <v>0.39686269665968865</v>
      </c>
      <c r="CH236" s="173">
        <f t="shared" si="653"/>
        <v>9.5067542483866896E-2</v>
      </c>
      <c r="CI236" s="170">
        <v>20</v>
      </c>
      <c r="CJ236" s="217">
        <f t="shared" si="712"/>
        <v>1.2000000000000002</v>
      </c>
      <c r="CK236" s="217">
        <f t="shared" si="654"/>
        <v>2.0000000000000004E-2</v>
      </c>
      <c r="CL236" s="217">
        <f t="shared" si="655"/>
        <v>4.8000000000000007</v>
      </c>
      <c r="CM236" s="217">
        <f t="shared" si="656"/>
        <v>0.3600000000000001</v>
      </c>
      <c r="CN236" s="541">
        <f t="shared" si="657"/>
        <v>36</v>
      </c>
      <c r="CO236" s="443">
        <f t="shared" si="658"/>
        <v>18.8</v>
      </c>
      <c r="CP236" s="443">
        <f t="shared" si="659"/>
        <v>54.8</v>
      </c>
      <c r="CQ236" s="443"/>
      <c r="CR236" s="217">
        <f t="shared" si="660"/>
        <v>0.34306569343065696</v>
      </c>
      <c r="CS236" s="172">
        <f t="shared" si="661"/>
        <v>38.295705313189622</v>
      </c>
      <c r="CT236" s="172">
        <f t="shared" si="662"/>
        <v>3.0875912408759132</v>
      </c>
      <c r="CU236" s="217">
        <f t="shared" si="663"/>
        <v>9.5739263282974054</v>
      </c>
      <c r="CV236" s="217">
        <f t="shared" si="664"/>
        <v>2.12753918406609</v>
      </c>
      <c r="CW236" s="217">
        <f t="shared" si="665"/>
        <v>4</v>
      </c>
      <c r="CX236" s="217">
        <f t="shared" si="666"/>
        <v>0.83560283687943271</v>
      </c>
      <c r="CY236" s="217">
        <f t="shared" si="667"/>
        <v>0.27853427895981092</v>
      </c>
      <c r="CZ236" s="217">
        <f t="shared" si="668"/>
        <v>0.53336351290176565</v>
      </c>
      <c r="DA236" s="197">
        <f t="shared" si="669"/>
        <v>350</v>
      </c>
      <c r="DB236" s="443">
        <f t="shared" si="670"/>
        <v>350</v>
      </c>
      <c r="DD236" s="217">
        <f t="shared" si="671"/>
        <v>2.940563086548488</v>
      </c>
      <c r="DE236" s="173">
        <f t="shared" si="672"/>
        <v>1.8769551616266944</v>
      </c>
      <c r="DF236" s="173">
        <f t="shared" si="673"/>
        <v>3.5939660877863036</v>
      </c>
      <c r="DG236" s="173"/>
      <c r="DH236" s="173">
        <f t="shared" si="674"/>
        <v>0.85106382978723416</v>
      </c>
      <c r="DI236" s="545">
        <f t="shared" si="675"/>
        <v>528.75</v>
      </c>
      <c r="DJ236" s="528">
        <f t="shared" si="676"/>
        <v>0.79432624113475192</v>
      </c>
      <c r="DL236" s="173">
        <f t="shared" si="677"/>
        <v>1.5675276256394519</v>
      </c>
      <c r="DM236" s="173">
        <f t="shared" si="678"/>
        <v>1.5675276256394519</v>
      </c>
      <c r="DN236" s="173">
        <f t="shared" si="679"/>
        <v>1.3734772535600877</v>
      </c>
      <c r="DP236" s="545">
        <f t="shared" si="680"/>
        <v>1200.0000000000002</v>
      </c>
      <c r="DQ236" s="460">
        <f t="shared" si="681"/>
        <v>350</v>
      </c>
      <c r="DS236">
        <f t="shared" si="682"/>
        <v>1200.0000000000002</v>
      </c>
      <c r="DT236">
        <f t="shared" si="683"/>
        <v>350</v>
      </c>
      <c r="DV236" s="5">
        <f t="shared" si="684"/>
        <v>2.8571428571428572</v>
      </c>
      <c r="DW236" s="5">
        <f t="shared" si="685"/>
        <v>0.52250920854648397</v>
      </c>
      <c r="DX236" s="5">
        <f t="shared" si="686"/>
        <v>2.3346336485963732</v>
      </c>
      <c r="DY236" s="173">
        <f t="shared" si="687"/>
        <v>0.18287822299126938</v>
      </c>
      <c r="EA236" s="5">
        <f t="shared" si="713"/>
        <v>15.675276256394522</v>
      </c>
      <c r="EB236" s="5">
        <f t="shared" si="714"/>
        <v>5.805657872738712E-2</v>
      </c>
      <c r="EC236" s="5">
        <f t="shared" si="715"/>
        <v>0.25940373873293038</v>
      </c>
      <c r="ED236" s="5"/>
      <c r="EE236" s="173">
        <f t="shared" si="716"/>
        <v>0.38702192847002709</v>
      </c>
      <c r="EF236" s="173">
        <f t="shared" si="717"/>
        <v>3.2723365253126651</v>
      </c>
      <c r="EG236" s="173">
        <f t="shared" si="718"/>
        <v>6.2351277036362951E-2</v>
      </c>
      <c r="EH236" s="173"/>
      <c r="EI236" s="528">
        <f t="shared" si="719"/>
        <v>1.8273888720232367E-3</v>
      </c>
      <c r="EJ236" s="528">
        <f t="shared" si="720"/>
        <v>0.60130359719529369</v>
      </c>
      <c r="EK236" s="528">
        <f t="shared" si="721"/>
        <v>4.3749999999999997E-2</v>
      </c>
      <c r="EL236" s="528">
        <f t="shared" si="722"/>
        <v>0.10510639999999997</v>
      </c>
      <c r="EM236">
        <f t="shared" si="723"/>
        <v>1.6199999999999999E-2</v>
      </c>
      <c r="EN236" s="460">
        <f t="shared" si="724"/>
        <v>59.949999999999996</v>
      </c>
      <c r="EP236" s="460">
        <f t="shared" si="725"/>
        <v>768.18738606731688</v>
      </c>
      <c r="EQ236" s="173">
        <f t="shared" si="726"/>
        <v>0.84000000000000008</v>
      </c>
      <c r="ER236" s="173">
        <f t="shared" si="688"/>
        <v>8.8750000000000009E-3</v>
      </c>
      <c r="ES236" s="528"/>
      <c r="EU236" s="460">
        <f t="shared" si="727"/>
        <v>848.875</v>
      </c>
      <c r="EV236" s="528">
        <f t="shared" si="728"/>
        <v>4.4935791934997624E-3</v>
      </c>
      <c r="EW236" s="528">
        <f t="shared" si="729"/>
        <v>0.32124559004686098</v>
      </c>
      <c r="EX236" s="528">
        <f t="shared" si="730"/>
        <v>1.9438408740326412E-5</v>
      </c>
      <c r="EY236" s="528">
        <f t="shared" si="731"/>
        <v>0.35251542393098156</v>
      </c>
      <c r="EZ236" s="528"/>
      <c r="FA236" s="625">
        <f t="shared" si="732"/>
        <v>2.1500000000000009E-2</v>
      </c>
      <c r="FB236" s="460">
        <f t="shared" si="733"/>
        <v>699.77403158008258</v>
      </c>
      <c r="FC236" s="173">
        <f t="shared" si="734"/>
        <v>2.3168364176473992</v>
      </c>
      <c r="FD236" s="5">
        <f t="shared" si="735"/>
        <v>5.160000000000001</v>
      </c>
      <c r="FE236" s="173">
        <f t="shared" si="736"/>
        <v>0.69013145557404132</v>
      </c>
      <c r="FF236" s="5">
        <f t="shared" si="737"/>
        <v>69.01314555740413</v>
      </c>
      <c r="FG236">
        <f t="shared" si="738"/>
        <v>20.000000000000004</v>
      </c>
      <c r="FI236" s="562">
        <f t="shared" si="689"/>
        <v>-50</v>
      </c>
    </row>
    <row r="237" spans="5:165">
      <c r="E237" s="170">
        <v>21</v>
      </c>
      <c r="F237" s="217">
        <f t="shared" si="690"/>
        <v>1.26</v>
      </c>
      <c r="G237" s="217">
        <f t="shared" si="617"/>
        <v>2.1000000000000001E-2</v>
      </c>
      <c r="H237" s="217">
        <f t="shared" si="618"/>
        <v>5.04</v>
      </c>
      <c r="I237" s="217">
        <f t="shared" si="619"/>
        <v>0.378</v>
      </c>
      <c r="J237" s="541">
        <f t="shared" si="620"/>
        <v>35.958360048708187</v>
      </c>
      <c r="K237" s="443">
        <f t="shared" si="621"/>
        <v>19.171806401235912</v>
      </c>
      <c r="L237" s="172">
        <f t="shared" si="622"/>
        <v>55.130166449944099</v>
      </c>
      <c r="M237" s="443"/>
      <c r="N237" s="217">
        <f t="shared" si="623"/>
        <v>0.34775527874821704</v>
      </c>
      <c r="O237" s="172">
        <f t="shared" si="624"/>
        <v>38.77429309168145</v>
      </c>
      <c r="P237" s="172">
        <f t="shared" si="625"/>
        <v>3.1261773805168169</v>
      </c>
      <c r="Q237" s="217">
        <f t="shared" si="626"/>
        <v>9.6935732729203625</v>
      </c>
      <c r="R237" s="217">
        <f t="shared" si="627"/>
        <v>2.1541273939823027</v>
      </c>
      <c r="S237" s="217">
        <f t="shared" si="628"/>
        <v>4</v>
      </c>
      <c r="T237" s="217">
        <f t="shared" si="629"/>
        <v>0.86655351576760198</v>
      </c>
      <c r="U237" s="217">
        <f t="shared" si="630"/>
        <v>0.28918566294807424</v>
      </c>
      <c r="V237" s="217">
        <f t="shared" si="631"/>
        <v>0.54239240536775268</v>
      </c>
      <c r="W237" s="197">
        <f t="shared" si="632"/>
        <v>350</v>
      </c>
      <c r="X237" s="443">
        <f t="shared" si="691"/>
        <v>350</v>
      </c>
      <c r="Z237" s="217">
        <f t="shared" si="633"/>
        <v>2.9773117909683968</v>
      </c>
      <c r="AA237" s="173">
        <f t="shared" si="634"/>
        <v>1.8635563464336657</v>
      </c>
      <c r="AB237" s="173">
        <f t="shared" si="635"/>
        <v>3.6129039984741</v>
      </c>
      <c r="AC237" s="173"/>
      <c r="AD237" s="173">
        <f t="shared" si="636"/>
        <v>0.8345588133504499</v>
      </c>
      <c r="AE237" s="545">
        <f t="shared" si="637"/>
        <v>566.16740778649785</v>
      </c>
      <c r="AF237" s="528">
        <f t="shared" si="638"/>
        <v>0.77892155912708683</v>
      </c>
      <c r="AH237" s="173">
        <f t="shared" si="639"/>
        <v>1.606237840420901</v>
      </c>
      <c r="AI237" s="173">
        <f t="shared" si="640"/>
        <v>1.606237840420901</v>
      </c>
      <c r="AJ237" s="173">
        <f t="shared" si="641"/>
        <v>1.4021514867315314</v>
      </c>
      <c r="AL237" s="545">
        <f t="shared" si="642"/>
        <v>1260</v>
      </c>
      <c r="AM237" s="460">
        <f t="shared" si="643"/>
        <v>350</v>
      </c>
      <c r="AO237">
        <f t="shared" si="644"/>
        <v>1260</v>
      </c>
      <c r="AP237">
        <f t="shared" si="645"/>
        <v>350</v>
      </c>
      <c r="AR237" s="5">
        <f t="shared" si="616"/>
        <v>2.8571428571428572</v>
      </c>
      <c r="AS237" s="5">
        <f t="shared" si="604"/>
        <v>0.53603262381659333</v>
      </c>
      <c r="AT237" s="5">
        <f t="shared" si="605"/>
        <v>2.3211102333262641</v>
      </c>
      <c r="AU237" s="173">
        <f t="shared" si="606"/>
        <v>0.18761141833580766</v>
      </c>
      <c r="BA237" s="173">
        <f t="shared" si="692"/>
        <v>0.40167875195085256</v>
      </c>
      <c r="BB237" s="173">
        <f t="shared" si="693"/>
        <v>3.3434214337560388</v>
      </c>
      <c r="BC237" s="173">
        <f t="shared" si="694"/>
        <v>6.3705732724270464E-2</v>
      </c>
      <c r="BD237" s="173"/>
      <c r="BE237" s="528">
        <f t="shared" si="695"/>
        <v>1.9684190011792931E-3</v>
      </c>
      <c r="BF237" s="528">
        <f t="shared" si="646"/>
        <v>0.58112354672270738</v>
      </c>
      <c r="BG237" s="528">
        <f t="shared" si="647"/>
        <v>0.31463565042619662</v>
      </c>
      <c r="BH237" s="528">
        <f t="shared" si="696"/>
        <v>0.10637673384794898</v>
      </c>
      <c r="BI237">
        <f t="shared" si="697"/>
        <v>1.6181262021918684E-2</v>
      </c>
      <c r="BJ237" s="460">
        <f t="shared" si="698"/>
        <v>330.81691244811526</v>
      </c>
      <c r="BK237">
        <f t="shared" si="648"/>
        <v>0.69032303426883346</v>
      </c>
      <c r="BL237" s="460">
        <f t="shared" si="699"/>
        <v>1020.2856120199508</v>
      </c>
      <c r="BM237" s="173">
        <f t="shared" si="649"/>
        <v>0.78277499999999989</v>
      </c>
      <c r="BN237" s="173">
        <f t="shared" si="650"/>
        <v>9.3187500000000006E-3</v>
      </c>
      <c r="BQ237" s="460">
        <f t="shared" si="700"/>
        <v>792.09374999999989</v>
      </c>
      <c r="BR237" s="528">
        <f t="shared" si="701"/>
        <v>4.8403745930638356E-3</v>
      </c>
      <c r="BS237" s="528">
        <f t="shared" si="702"/>
        <v>0.33535400651097858</v>
      </c>
      <c r="BT237" s="528">
        <f t="shared" si="703"/>
        <v>2.0292101909680925E-5</v>
      </c>
      <c r="BU237" s="528">
        <f t="shared" si="704"/>
        <v>0.37468365464598036</v>
      </c>
      <c r="BV237" s="528"/>
      <c r="BW237" s="625">
        <f t="shared" si="705"/>
        <v>2.2575000000000001E-2</v>
      </c>
      <c r="BX237" s="460">
        <f t="shared" si="706"/>
        <v>737.47332785193248</v>
      </c>
      <c r="BY237" s="173">
        <f t="shared" si="707"/>
        <v>2.5498526898718827</v>
      </c>
      <c r="BZ237" s="5">
        <f t="shared" si="708"/>
        <v>5.4180000000000001</v>
      </c>
      <c r="CA237" s="173">
        <f t="shared" si="709"/>
        <v>0.67998245084110831</v>
      </c>
      <c r="CB237" s="5">
        <f t="shared" si="710"/>
        <v>67.998245084110835</v>
      </c>
      <c r="CC237">
        <f t="shared" si="711"/>
        <v>21</v>
      </c>
      <c r="CE237" s="562">
        <f t="shared" si="651"/>
        <v>-50</v>
      </c>
      <c r="CG237" s="173">
        <f t="shared" si="652"/>
        <v>0.40666325135177878</v>
      </c>
      <c r="CH237" s="173">
        <f t="shared" si="653"/>
        <v>9.7415242727295639E-2</v>
      </c>
      <c r="CI237" s="170">
        <v>21</v>
      </c>
      <c r="CJ237" s="217">
        <f t="shared" si="712"/>
        <v>1.26</v>
      </c>
      <c r="CK237" s="217">
        <f t="shared" si="654"/>
        <v>2.1000000000000001E-2</v>
      </c>
      <c r="CL237" s="217">
        <f t="shared" si="655"/>
        <v>5.04</v>
      </c>
      <c r="CM237" s="217">
        <f t="shared" si="656"/>
        <v>0.378</v>
      </c>
      <c r="CN237" s="541">
        <f t="shared" si="657"/>
        <v>36</v>
      </c>
      <c r="CO237" s="443">
        <f t="shared" si="658"/>
        <v>18.8</v>
      </c>
      <c r="CP237" s="443">
        <f t="shared" si="659"/>
        <v>54.8</v>
      </c>
      <c r="CQ237" s="443"/>
      <c r="CR237" s="217">
        <f t="shared" si="660"/>
        <v>0.34306569343065696</v>
      </c>
      <c r="CS237" s="172">
        <f t="shared" si="661"/>
        <v>38.295705313189622</v>
      </c>
      <c r="CT237" s="172">
        <f t="shared" si="662"/>
        <v>3.0875912408759132</v>
      </c>
      <c r="CU237" s="217">
        <f t="shared" si="663"/>
        <v>9.5739263282974054</v>
      </c>
      <c r="CV237" s="217">
        <f t="shared" si="664"/>
        <v>2.12753918406609</v>
      </c>
      <c r="CW237" s="217">
        <f t="shared" si="665"/>
        <v>4</v>
      </c>
      <c r="CX237" s="217">
        <f t="shared" si="666"/>
        <v>0.87738297872340421</v>
      </c>
      <c r="CY237" s="217">
        <f t="shared" si="667"/>
        <v>0.29246099290780142</v>
      </c>
      <c r="CZ237" s="217">
        <f t="shared" si="668"/>
        <v>0.56003168854685381</v>
      </c>
      <c r="DA237" s="197">
        <f t="shared" si="669"/>
        <v>350</v>
      </c>
      <c r="DB237" s="443">
        <f t="shared" si="670"/>
        <v>350</v>
      </c>
      <c r="DD237" s="217">
        <f t="shared" si="671"/>
        <v>2.940563086548488</v>
      </c>
      <c r="DE237" s="173">
        <f t="shared" si="672"/>
        <v>1.8769551616266944</v>
      </c>
      <c r="DF237" s="173">
        <f t="shared" si="673"/>
        <v>3.5939660877863036</v>
      </c>
      <c r="DG237" s="173"/>
      <c r="DH237" s="173">
        <f t="shared" si="674"/>
        <v>0.85106382978723416</v>
      </c>
      <c r="DI237" s="545">
        <f t="shared" si="675"/>
        <v>555.18749999999989</v>
      </c>
      <c r="DJ237" s="528">
        <f t="shared" si="676"/>
        <v>0.79432624113475192</v>
      </c>
      <c r="DL237" s="173">
        <f t="shared" si="677"/>
        <v>1.606237840420901</v>
      </c>
      <c r="DM237" s="173">
        <f t="shared" si="678"/>
        <v>1.606237840420901</v>
      </c>
      <c r="DN237" s="173">
        <f t="shared" si="679"/>
        <v>1.4021514867315314</v>
      </c>
      <c r="DP237" s="545">
        <f t="shared" si="680"/>
        <v>1260</v>
      </c>
      <c r="DQ237" s="460">
        <f t="shared" si="681"/>
        <v>350</v>
      </c>
      <c r="DS237">
        <f t="shared" si="682"/>
        <v>1260</v>
      </c>
      <c r="DT237">
        <f t="shared" si="683"/>
        <v>350</v>
      </c>
      <c r="DV237" s="5">
        <f t="shared" si="684"/>
        <v>2.8571428571428572</v>
      </c>
      <c r="DW237" s="5">
        <f t="shared" si="685"/>
        <v>0.53541261347363367</v>
      </c>
      <c r="DX237" s="5">
        <f t="shared" si="686"/>
        <v>2.3217302436692235</v>
      </c>
      <c r="DY237" s="173">
        <f t="shared" si="687"/>
        <v>0.18739441471577178</v>
      </c>
      <c r="EA237" s="5">
        <f t="shared" si="713"/>
        <v>16.865497324419461</v>
      </c>
      <c r="EB237" s="5">
        <f t="shared" si="714"/>
        <v>6.2464804905257264E-2</v>
      </c>
      <c r="EC237" s="5">
        <f t="shared" si="715"/>
        <v>0.27086852842807607</v>
      </c>
      <c r="ED237" s="5"/>
      <c r="EE237" s="173">
        <f t="shared" si="716"/>
        <v>0.40144638079768974</v>
      </c>
      <c r="EF237" s="173">
        <f t="shared" si="717"/>
        <v>3.3438679479774587</v>
      </c>
      <c r="EG237" s="173">
        <f t="shared" si="718"/>
        <v>6.3714240630381308E-2</v>
      </c>
      <c r="EH237" s="173"/>
      <c r="EI237" s="528">
        <f t="shared" si="719"/>
        <v>1.9661421991978771E-3</v>
      </c>
      <c r="EJ237" s="528">
        <f t="shared" si="720"/>
        <v>0.61615283558545764</v>
      </c>
      <c r="EK237" s="528">
        <f t="shared" si="721"/>
        <v>4.3749999999999997E-2</v>
      </c>
      <c r="EL237" s="528">
        <f t="shared" si="722"/>
        <v>0.10510639999999997</v>
      </c>
      <c r="EM237">
        <f t="shared" si="723"/>
        <v>1.6199999999999999E-2</v>
      </c>
      <c r="EN237" s="460">
        <f t="shared" si="724"/>
        <v>59.949999999999996</v>
      </c>
      <c r="EP237" s="460">
        <f t="shared" si="725"/>
        <v>783.17537778465544</v>
      </c>
      <c r="EQ237" s="173">
        <f t="shared" si="726"/>
        <v>0.8819999999999999</v>
      </c>
      <c r="ER237" s="173">
        <f t="shared" si="688"/>
        <v>9.3187500000000006E-3</v>
      </c>
      <c r="ES237" s="528"/>
      <c r="EU237" s="460">
        <f t="shared" si="727"/>
        <v>891.31874999999991</v>
      </c>
      <c r="EV237" s="528">
        <f t="shared" si="728"/>
        <v>4.8347758996669116E-3</v>
      </c>
      <c r="EW237" s="528">
        <f t="shared" si="729"/>
        <v>0.33544358560532944</v>
      </c>
      <c r="EX237" s="528">
        <f t="shared" si="730"/>
        <v>2.0297522295530663E-5</v>
      </c>
      <c r="EY237" s="528">
        <f t="shared" si="731"/>
        <v>0.37468365464598036</v>
      </c>
      <c r="EZ237" s="528"/>
      <c r="FA237" s="625">
        <f t="shared" si="732"/>
        <v>2.2575000000000001E-2</v>
      </c>
      <c r="FB237" s="460">
        <f t="shared" si="733"/>
        <v>737.55731367327223</v>
      </c>
      <c r="FC237" s="173">
        <f t="shared" si="734"/>
        <v>2.412051441457927</v>
      </c>
      <c r="FD237" s="5">
        <f t="shared" si="735"/>
        <v>5.4180000000000001</v>
      </c>
      <c r="FE237" s="173">
        <f t="shared" si="736"/>
        <v>0.69194947702555432</v>
      </c>
      <c r="FF237" s="5">
        <f t="shared" si="737"/>
        <v>69.194947702555424</v>
      </c>
      <c r="FG237">
        <f t="shared" si="738"/>
        <v>21</v>
      </c>
      <c r="FI237" s="562">
        <f t="shared" si="689"/>
        <v>-50</v>
      </c>
    </row>
    <row r="238" spans="5:165">
      <c r="E238" s="170">
        <v>22</v>
      </c>
      <c r="F238" s="217">
        <f t="shared" si="690"/>
        <v>1.32</v>
      </c>
      <c r="G238" s="217">
        <f t="shared" si="617"/>
        <v>2.2000000000000002E-2</v>
      </c>
      <c r="H238" s="217">
        <f t="shared" si="618"/>
        <v>5.28</v>
      </c>
      <c r="I238" s="217">
        <f t="shared" si="619"/>
        <v>0.39600000000000002</v>
      </c>
      <c r="J238" s="541">
        <f t="shared" si="620"/>
        <v>35.957380151081331</v>
      </c>
      <c r="K238" s="443">
        <f t="shared" si="621"/>
        <v>19.180555984242606</v>
      </c>
      <c r="L238" s="172">
        <f t="shared" si="622"/>
        <v>55.13793613532394</v>
      </c>
      <c r="M238" s="443"/>
      <c r="N238" s="217">
        <f t="shared" si="623"/>
        <v>0.34786496065373479</v>
      </c>
      <c r="O238" s="172">
        <f t="shared" si="624"/>
        <v>38.785465523929581</v>
      </c>
      <c r="P238" s="172">
        <f t="shared" si="625"/>
        <v>3.1270781578668227</v>
      </c>
      <c r="Q238" s="217">
        <f t="shared" si="626"/>
        <v>9.6963663809823952</v>
      </c>
      <c r="R238" s="217">
        <f t="shared" si="627"/>
        <v>2.1547480846627547</v>
      </c>
      <c r="S238" s="217">
        <f t="shared" si="628"/>
        <v>4</v>
      </c>
      <c r="T238" s="217">
        <f t="shared" si="629"/>
        <v>0.90755646540538626</v>
      </c>
      <c r="U238" s="217">
        <f t="shared" si="630"/>
        <v>0.30287739371181982</v>
      </c>
      <c r="V238" s="217">
        <f t="shared" si="631"/>
        <v>0.56779780491304055</v>
      </c>
      <c r="W238" s="197">
        <f t="shared" si="632"/>
        <v>350</v>
      </c>
      <c r="X238" s="443">
        <f t="shared" si="691"/>
        <v>350</v>
      </c>
      <c r="Z238" s="217">
        <f t="shared" si="633"/>
        <v>2.9781696741588797</v>
      </c>
      <c r="AA238" s="173">
        <f t="shared" si="634"/>
        <v>1.863242969560758</v>
      </c>
      <c r="AB238" s="173">
        <f t="shared" si="635"/>
        <v>3.6133372979301495</v>
      </c>
      <c r="AC238" s="173"/>
      <c r="AD238" s="173">
        <f t="shared" si="636"/>
        <v>0.83417811314460732</v>
      </c>
      <c r="AE238" s="545">
        <f t="shared" si="637"/>
        <v>593.39845076250538</v>
      </c>
      <c r="AF238" s="528">
        <f t="shared" si="638"/>
        <v>0.77856623893496701</v>
      </c>
      <c r="AH238" s="173">
        <f t="shared" si="639"/>
        <v>1.6440368435218058</v>
      </c>
      <c r="AI238" s="173">
        <f t="shared" si="640"/>
        <v>1.6440368435218058</v>
      </c>
      <c r="AJ238" s="173">
        <f t="shared" si="641"/>
        <v>1.4301507482877573</v>
      </c>
      <c r="AL238" s="545">
        <f t="shared" si="642"/>
        <v>1320</v>
      </c>
      <c r="AM238" s="460">
        <f t="shared" si="643"/>
        <v>350</v>
      </c>
      <c r="AO238">
        <f t="shared" si="644"/>
        <v>1320</v>
      </c>
      <c r="AP238">
        <f t="shared" si="645"/>
        <v>350</v>
      </c>
      <c r="AR238" s="5">
        <f t="shared" si="616"/>
        <v>2.8571428571428572</v>
      </c>
      <c r="AS238" s="5">
        <f t="shared" si="604"/>
        <v>0.54866183351982567</v>
      </c>
      <c r="AT238" s="5">
        <f t="shared" si="605"/>
        <v>2.3084810236230315</v>
      </c>
      <c r="AU238" s="173">
        <f t="shared" si="606"/>
        <v>0.19203164173193898</v>
      </c>
      <c r="BA238" s="173">
        <f t="shared" si="692"/>
        <v>0.41594634850733453</v>
      </c>
      <c r="BB238" s="173">
        <f t="shared" si="693"/>
        <v>3.412778378074488</v>
      </c>
      <c r="BC238" s="173">
        <f t="shared" si="694"/>
        <v>6.5027263690338219E-2</v>
      </c>
      <c r="BD238" s="173"/>
      <c r="BE238" s="528">
        <f t="shared" si="695"/>
        <v>2.110738651006337E-3</v>
      </c>
      <c r="BF238" s="528">
        <f t="shared" si="646"/>
        <v>0.59488274003960084</v>
      </c>
      <c r="BG238" s="528">
        <f t="shared" si="647"/>
        <v>0.31462707632196163</v>
      </c>
      <c r="BH238" s="528">
        <f t="shared" si="696"/>
        <v>0.10640672004420716</v>
      </c>
      <c r="BI238">
        <f t="shared" si="697"/>
        <v>1.6180821067986597E-2</v>
      </c>
      <c r="BJ238" s="460">
        <f t="shared" si="698"/>
        <v>330.80789738994821</v>
      </c>
      <c r="BK238">
        <f t="shared" si="648"/>
        <v>0.70432332441995138</v>
      </c>
      <c r="BL238" s="460">
        <f t="shared" si="699"/>
        <v>1034.2080961247625</v>
      </c>
      <c r="BM238" s="173">
        <f t="shared" si="649"/>
        <v>0.82004999999999995</v>
      </c>
      <c r="BN238" s="173">
        <f t="shared" si="650"/>
        <v>9.7625000000000003E-3</v>
      </c>
      <c r="BQ238" s="460">
        <f t="shared" si="700"/>
        <v>829.8125</v>
      </c>
      <c r="BR238" s="528">
        <f t="shared" si="701"/>
        <v>5.1903409450975496E-3</v>
      </c>
      <c r="BS238" s="528">
        <f t="shared" si="702"/>
        <v>0.34941168773558201</v>
      </c>
      <c r="BT238" s="528">
        <f t="shared" si="703"/>
        <v>2.11427251152639E-5</v>
      </c>
      <c r="BU238" s="528">
        <f t="shared" si="704"/>
        <v>0.39711745838723694</v>
      </c>
      <c r="BV238" s="528"/>
      <c r="BW238" s="625">
        <f t="shared" si="705"/>
        <v>2.3649999999999997E-2</v>
      </c>
      <c r="BX238" s="460">
        <f t="shared" si="706"/>
        <v>775.39062979303174</v>
      </c>
      <c r="BY238" s="173">
        <f t="shared" si="707"/>
        <v>2.6394112259177938</v>
      </c>
      <c r="BZ238" s="5">
        <f t="shared" si="708"/>
        <v>5.6760000000000002</v>
      </c>
      <c r="CA238" s="173">
        <f t="shared" si="709"/>
        <v>0.68258800987602686</v>
      </c>
      <c r="CB238" s="5">
        <f t="shared" si="710"/>
        <v>68.258800987602683</v>
      </c>
      <c r="CC238">
        <f t="shared" si="711"/>
        <v>22</v>
      </c>
      <c r="CE238" s="562">
        <f t="shared" si="651"/>
        <v>-50</v>
      </c>
      <c r="CG238" s="173">
        <f t="shared" si="652"/>
        <v>0.41623310776534828</v>
      </c>
      <c r="CH238" s="173">
        <f t="shared" si="653"/>
        <v>9.9707679730871371E-2</v>
      </c>
      <c r="CI238" s="170">
        <v>22</v>
      </c>
      <c r="CJ238" s="217">
        <f t="shared" si="712"/>
        <v>1.32</v>
      </c>
      <c r="CK238" s="217">
        <f t="shared" si="654"/>
        <v>2.2000000000000002E-2</v>
      </c>
      <c r="CL238" s="217">
        <f t="shared" si="655"/>
        <v>5.28</v>
      </c>
      <c r="CM238" s="217">
        <f t="shared" si="656"/>
        <v>0.39600000000000002</v>
      </c>
      <c r="CN238" s="541">
        <f t="shared" si="657"/>
        <v>36</v>
      </c>
      <c r="CO238" s="443">
        <f t="shared" si="658"/>
        <v>18.8</v>
      </c>
      <c r="CP238" s="443">
        <f t="shared" si="659"/>
        <v>54.8</v>
      </c>
      <c r="CQ238" s="443"/>
      <c r="CR238" s="217">
        <f t="shared" si="660"/>
        <v>0.34306569343065696</v>
      </c>
      <c r="CS238" s="172">
        <f t="shared" si="661"/>
        <v>38.295705313189622</v>
      </c>
      <c r="CT238" s="172">
        <f t="shared" si="662"/>
        <v>3.0875912408759132</v>
      </c>
      <c r="CU238" s="217">
        <f t="shared" si="663"/>
        <v>9.5739263282974054</v>
      </c>
      <c r="CV238" s="217">
        <f t="shared" si="664"/>
        <v>2.12753918406609</v>
      </c>
      <c r="CW238" s="217">
        <f t="shared" si="665"/>
        <v>4</v>
      </c>
      <c r="CX238" s="217">
        <f t="shared" si="666"/>
        <v>0.91916312056737581</v>
      </c>
      <c r="CY238" s="217">
        <f t="shared" si="667"/>
        <v>0.30638770685579192</v>
      </c>
      <c r="CZ238" s="217">
        <f t="shared" si="668"/>
        <v>0.58669986419194198</v>
      </c>
      <c r="DA238" s="197">
        <f t="shared" si="669"/>
        <v>350</v>
      </c>
      <c r="DB238" s="443">
        <f t="shared" si="670"/>
        <v>350</v>
      </c>
      <c r="DD238" s="217">
        <f t="shared" si="671"/>
        <v>2.940563086548488</v>
      </c>
      <c r="DE238" s="173">
        <f t="shared" si="672"/>
        <v>1.8769551616266944</v>
      </c>
      <c r="DF238" s="173">
        <f t="shared" si="673"/>
        <v>3.5939660877863036</v>
      </c>
      <c r="DG238" s="173"/>
      <c r="DH238" s="173">
        <f t="shared" si="674"/>
        <v>0.85106382978723416</v>
      </c>
      <c r="DI238" s="545">
        <f t="shared" si="675"/>
        <v>581.62499999999989</v>
      </c>
      <c r="DJ238" s="528">
        <f t="shared" si="676"/>
        <v>0.79432624113475192</v>
      </c>
      <c r="DL238" s="173">
        <f t="shared" si="677"/>
        <v>1.6440368435218058</v>
      </c>
      <c r="DM238" s="173">
        <f t="shared" si="678"/>
        <v>1.6440368435218058</v>
      </c>
      <c r="DN238" s="173">
        <f t="shared" si="679"/>
        <v>1.4301507482877573</v>
      </c>
      <c r="DP238" s="545">
        <f t="shared" si="680"/>
        <v>1320</v>
      </c>
      <c r="DQ238" s="460">
        <f t="shared" si="681"/>
        <v>350</v>
      </c>
      <c r="DS238">
        <f t="shared" si="682"/>
        <v>1320</v>
      </c>
      <c r="DT238">
        <f t="shared" si="683"/>
        <v>350</v>
      </c>
      <c r="DV238" s="5">
        <f t="shared" si="684"/>
        <v>2.8571428571428572</v>
      </c>
      <c r="DW238" s="5">
        <f t="shared" si="685"/>
        <v>0.5480122811739353</v>
      </c>
      <c r="DX238" s="5">
        <f t="shared" si="686"/>
        <v>2.309130575968922</v>
      </c>
      <c r="DY238" s="173">
        <f t="shared" si="687"/>
        <v>0.19180429841087734</v>
      </c>
      <c r="EA238" s="5">
        <f t="shared" si="713"/>
        <v>18.084405278739865</v>
      </c>
      <c r="EB238" s="5">
        <f t="shared" si="714"/>
        <v>6.697927881014766E-2</v>
      </c>
      <c r="EC238" s="5">
        <f t="shared" si="715"/>
        <v>0.28222707039620154</v>
      </c>
      <c r="ED238" s="5"/>
      <c r="EE238" s="173">
        <f t="shared" si="716"/>
        <v>0.41570005933386744</v>
      </c>
      <c r="EF238" s="173">
        <f t="shared" si="717"/>
        <v>3.4132584821479899</v>
      </c>
      <c r="EG238" s="173">
        <f t="shared" si="718"/>
        <v>6.5036411619306289E-2</v>
      </c>
      <c r="EH238" s="173"/>
      <c r="EI238" s="528">
        <f t="shared" si="719"/>
        <v>2.1082397798282073E-3</v>
      </c>
      <c r="EJ238" s="528">
        <f t="shared" si="720"/>
        <v>0.63065253317496461</v>
      </c>
      <c r="EK238" s="528">
        <f t="shared" si="721"/>
        <v>4.3749999999999997E-2</v>
      </c>
      <c r="EL238" s="528">
        <f t="shared" si="722"/>
        <v>0.10510639999999997</v>
      </c>
      <c r="EM238">
        <f t="shared" si="723"/>
        <v>1.6199999999999999E-2</v>
      </c>
      <c r="EN238" s="460">
        <f t="shared" si="724"/>
        <v>59.949999999999996</v>
      </c>
      <c r="EP238" s="460">
        <f t="shared" si="725"/>
        <v>797.81717295479268</v>
      </c>
      <c r="EQ238" s="173">
        <f t="shared" si="726"/>
        <v>0.92399999999999993</v>
      </c>
      <c r="ER238" s="173">
        <f t="shared" si="688"/>
        <v>9.7625000000000003E-3</v>
      </c>
      <c r="ES238" s="528"/>
      <c r="EU238" s="460">
        <f t="shared" si="727"/>
        <v>933.76249999999993</v>
      </c>
      <c r="EV238" s="528">
        <f t="shared" si="728"/>
        <v>5.1841961799054277E-3</v>
      </c>
      <c r="EW238" s="528">
        <f t="shared" si="729"/>
        <v>0.34951000397865595</v>
      </c>
      <c r="EX238" s="528">
        <f t="shared" si="730"/>
        <v>2.1148674181579193E-5</v>
      </c>
      <c r="EY238" s="528">
        <f t="shared" si="731"/>
        <v>0.39711745838723694</v>
      </c>
      <c r="EZ238" s="528"/>
      <c r="FA238" s="625">
        <f t="shared" si="732"/>
        <v>2.3649999999999997E-2</v>
      </c>
      <c r="FB238" s="460">
        <f t="shared" si="733"/>
        <v>775.48280721997992</v>
      </c>
      <c r="FC238" s="173">
        <f t="shared" si="734"/>
        <v>2.5070624801747723</v>
      </c>
      <c r="FD238" s="5">
        <f t="shared" si="735"/>
        <v>5.6760000000000002</v>
      </c>
      <c r="FE238" s="173">
        <f t="shared" si="736"/>
        <v>0.69362784577917258</v>
      </c>
      <c r="FF238" s="5">
        <f t="shared" si="737"/>
        <v>69.362784577917253</v>
      </c>
      <c r="FG238">
        <f t="shared" si="738"/>
        <v>22</v>
      </c>
      <c r="FI238" s="562">
        <f t="shared" si="689"/>
        <v>-50</v>
      </c>
    </row>
    <row r="239" spans="5:165">
      <c r="E239" s="170">
        <v>23</v>
      </c>
      <c r="F239" s="217">
        <f t="shared" si="690"/>
        <v>1.3800000000000001</v>
      </c>
      <c r="G239" s="217">
        <f t="shared" si="617"/>
        <v>2.3000000000000003E-2</v>
      </c>
      <c r="H239" s="217">
        <f t="shared" si="618"/>
        <v>5.5200000000000005</v>
      </c>
      <c r="I239" s="217">
        <f t="shared" si="619"/>
        <v>0.41400000000000003</v>
      </c>
      <c r="J239" s="541">
        <f t="shared" si="620"/>
        <v>35.956422282068509</v>
      </c>
      <c r="K239" s="443">
        <f t="shared" si="621"/>
        <v>19.189108872021333</v>
      </c>
      <c r="L239" s="172">
        <f t="shared" si="622"/>
        <v>55.145531154089838</v>
      </c>
      <c r="M239" s="443"/>
      <c r="N239" s="217">
        <f t="shared" si="623"/>
        <v>0.34797214697964124</v>
      </c>
      <c r="O239" s="172">
        <f t="shared" si="624"/>
        <v>38.796382819218579</v>
      </c>
      <c r="P239" s="172">
        <f t="shared" si="625"/>
        <v>3.1279583647994982</v>
      </c>
      <c r="Q239" s="217">
        <f t="shared" si="626"/>
        <v>9.6990957048046447</v>
      </c>
      <c r="R239" s="217">
        <f t="shared" si="627"/>
        <v>2.1553546010676987</v>
      </c>
      <c r="S239" s="217">
        <f t="shared" si="628"/>
        <v>4</v>
      </c>
      <c r="T239" s="217">
        <f t="shared" si="629"/>
        <v>0.94854203732030329</v>
      </c>
      <c r="U239" s="217">
        <f t="shared" si="630"/>
        <v>0.31656387719976531</v>
      </c>
      <c r="V239" s="217">
        <f t="shared" si="631"/>
        <v>0.59317524976055003</v>
      </c>
      <c r="W239" s="197">
        <f t="shared" si="632"/>
        <v>350</v>
      </c>
      <c r="X239" s="443">
        <f t="shared" si="691"/>
        <v>350</v>
      </c>
      <c r="Z239" s="217">
        <f t="shared" si="633"/>
        <v>2.9790079664757116</v>
      </c>
      <c r="AA239" s="173">
        <f t="shared" si="634"/>
        <v>1.8629367229153109</v>
      </c>
      <c r="AB239" s="173">
        <f t="shared" si="635"/>
        <v>3.6137603135101455</v>
      </c>
      <c r="AC239" s="173"/>
      <c r="AD239" s="173">
        <f t="shared" si="636"/>
        <v>0.83380630683318457</v>
      </c>
      <c r="AE239" s="545">
        <f t="shared" si="637"/>
        <v>620.64774007943981</v>
      </c>
      <c r="AF239" s="528">
        <f t="shared" si="638"/>
        <v>0.7782192197109723</v>
      </c>
      <c r="AH239" s="173">
        <f t="shared" si="639"/>
        <v>1.680986105152058</v>
      </c>
      <c r="AI239" s="173">
        <f t="shared" si="640"/>
        <v>1.680986105152058</v>
      </c>
      <c r="AJ239" s="173">
        <f t="shared" si="641"/>
        <v>1.4575205717175737</v>
      </c>
      <c r="AL239" s="545">
        <f t="shared" si="642"/>
        <v>1380.0000000000002</v>
      </c>
      <c r="AM239" s="460">
        <f t="shared" si="643"/>
        <v>350</v>
      </c>
      <c r="AO239">
        <f t="shared" si="644"/>
        <v>1380.0000000000002</v>
      </c>
      <c r="AP239">
        <f t="shared" si="645"/>
        <v>350</v>
      </c>
      <c r="AR239" s="5">
        <f t="shared" si="616"/>
        <v>2.8571428571428572</v>
      </c>
      <c r="AS239" s="5">
        <f t="shared" si="604"/>
        <v>0.56100779726030769</v>
      </c>
      <c r="AT239" s="5">
        <f t="shared" si="605"/>
        <v>2.2961350598825496</v>
      </c>
      <c r="AU239" s="173">
        <f t="shared" si="606"/>
        <v>0.19635272904110768</v>
      </c>
      <c r="BA239" s="173">
        <f t="shared" si="692"/>
        <v>0.43005298568526967</v>
      </c>
      <c r="BB239" s="173">
        <f t="shared" si="693"/>
        <v>3.4801360695419876</v>
      </c>
      <c r="BC239" s="173">
        <f t="shared" si="694"/>
        <v>6.6310700784516244E-2</v>
      </c>
      <c r="BD239" s="173"/>
      <c r="BE239" s="528">
        <f t="shared" si="695"/>
        <v>2.2563359600611399E-3</v>
      </c>
      <c r="BF239" s="528">
        <f t="shared" si="646"/>
        <v>0.60833634508011059</v>
      </c>
      <c r="BG239" s="528">
        <f t="shared" si="647"/>
        <v>0.31461869496809941</v>
      </c>
      <c r="BH239" s="528">
        <f t="shared" si="696"/>
        <v>0.10643603621933424</v>
      </c>
      <c r="BI239">
        <f t="shared" si="697"/>
        <v>1.6180390026930828E-2</v>
      </c>
      <c r="BJ239" s="460">
        <f t="shared" si="698"/>
        <v>330.79908499503023</v>
      </c>
      <c r="BK239">
        <f t="shared" si="648"/>
        <v>0.7180228639207058</v>
      </c>
      <c r="BL239" s="460">
        <f t="shared" si="699"/>
        <v>1047.8278022545362</v>
      </c>
      <c r="BM239" s="173">
        <f t="shared" si="649"/>
        <v>0.85732499999999989</v>
      </c>
      <c r="BN239" s="173">
        <f t="shared" si="650"/>
        <v>1.020625E-2</v>
      </c>
      <c r="BQ239" s="460">
        <f t="shared" si="700"/>
        <v>867.53124999999989</v>
      </c>
      <c r="BR239" s="528">
        <f t="shared" si="701"/>
        <v>5.548367114904443E-3</v>
      </c>
      <c r="BS239" s="528">
        <f t="shared" si="702"/>
        <v>0.36334041187581462</v>
      </c>
      <c r="BT239" s="528">
        <f t="shared" si="703"/>
        <v>2.1985545192668216E-5</v>
      </c>
      <c r="BU239" s="528">
        <f t="shared" si="704"/>
        <v>0.41980772342972644</v>
      </c>
      <c r="BV239" s="528"/>
      <c r="BW239" s="625">
        <f t="shared" si="705"/>
        <v>2.4725000000000004E-2</v>
      </c>
      <c r="BX239" s="460">
        <f t="shared" si="706"/>
        <v>813.44348796563816</v>
      </c>
      <c r="BY239" s="173">
        <f t="shared" si="707"/>
        <v>2.7288025402201743</v>
      </c>
      <c r="BZ239" s="5">
        <f t="shared" si="708"/>
        <v>5.9340000000000002</v>
      </c>
      <c r="CA239" s="173">
        <f t="shared" si="709"/>
        <v>0.68499772128583947</v>
      </c>
      <c r="CB239" s="5">
        <f t="shared" si="710"/>
        <v>68.499772128583942</v>
      </c>
      <c r="CC239">
        <f t="shared" si="711"/>
        <v>23</v>
      </c>
      <c r="CE239" s="562">
        <f t="shared" si="651"/>
        <v>-50</v>
      </c>
      <c r="CG239" s="173">
        <f t="shared" si="652"/>
        <v>0.42558782877333329</v>
      </c>
      <c r="CH239" s="173">
        <f t="shared" si="653"/>
        <v>0.10194858154486558</v>
      </c>
      <c r="CI239" s="170">
        <v>23</v>
      </c>
      <c r="CJ239" s="217">
        <f t="shared" si="712"/>
        <v>1.3800000000000001</v>
      </c>
      <c r="CK239" s="217">
        <f t="shared" si="654"/>
        <v>2.3000000000000003E-2</v>
      </c>
      <c r="CL239" s="217">
        <f t="shared" si="655"/>
        <v>5.5200000000000005</v>
      </c>
      <c r="CM239" s="217">
        <f t="shared" si="656"/>
        <v>0.41400000000000003</v>
      </c>
      <c r="CN239" s="541">
        <f t="shared" si="657"/>
        <v>36</v>
      </c>
      <c r="CO239" s="443">
        <f t="shared" si="658"/>
        <v>18.8</v>
      </c>
      <c r="CP239" s="443">
        <f t="shared" si="659"/>
        <v>54.8</v>
      </c>
      <c r="CQ239" s="443"/>
      <c r="CR239" s="217">
        <f t="shared" si="660"/>
        <v>0.34306569343065696</v>
      </c>
      <c r="CS239" s="172">
        <f t="shared" si="661"/>
        <v>38.295705313189622</v>
      </c>
      <c r="CT239" s="172">
        <f t="shared" si="662"/>
        <v>3.0875912408759132</v>
      </c>
      <c r="CU239" s="217">
        <f t="shared" si="663"/>
        <v>9.5739263282974054</v>
      </c>
      <c r="CV239" s="217">
        <f t="shared" si="664"/>
        <v>2.12753918406609</v>
      </c>
      <c r="CW239" s="217">
        <f t="shared" si="665"/>
        <v>4</v>
      </c>
      <c r="CX239" s="217">
        <f t="shared" si="666"/>
        <v>0.96094326241134742</v>
      </c>
      <c r="CY239" s="217">
        <f t="shared" si="667"/>
        <v>0.32031442080378247</v>
      </c>
      <c r="CZ239" s="217">
        <f t="shared" si="668"/>
        <v>0.61336803983703025</v>
      </c>
      <c r="DA239" s="197">
        <f t="shared" si="669"/>
        <v>350</v>
      </c>
      <c r="DB239" s="443">
        <f t="shared" si="670"/>
        <v>350</v>
      </c>
      <c r="DD239" s="217">
        <f t="shared" si="671"/>
        <v>2.940563086548488</v>
      </c>
      <c r="DE239" s="173">
        <f t="shared" si="672"/>
        <v>1.8769551616266944</v>
      </c>
      <c r="DF239" s="173">
        <f t="shared" si="673"/>
        <v>3.5939660877863036</v>
      </c>
      <c r="DG239" s="173"/>
      <c r="DH239" s="173">
        <f t="shared" si="674"/>
        <v>0.85106382978723416</v>
      </c>
      <c r="DI239" s="545">
        <f t="shared" si="675"/>
        <v>608.06249999999989</v>
      </c>
      <c r="DJ239" s="528">
        <f t="shared" si="676"/>
        <v>0.79432624113475192</v>
      </c>
      <c r="DL239" s="173">
        <f t="shared" si="677"/>
        <v>1.680986105152058</v>
      </c>
      <c r="DM239" s="173">
        <f t="shared" si="678"/>
        <v>1.680986105152058</v>
      </c>
      <c r="DN239" s="173">
        <f t="shared" si="679"/>
        <v>1.4575205717175737</v>
      </c>
      <c r="DP239" s="545">
        <f t="shared" si="680"/>
        <v>1380.0000000000002</v>
      </c>
      <c r="DQ239" s="460">
        <f t="shared" si="681"/>
        <v>350</v>
      </c>
      <c r="DS239">
        <f t="shared" si="682"/>
        <v>1380.0000000000002</v>
      </c>
      <c r="DT239">
        <f t="shared" si="683"/>
        <v>350</v>
      </c>
      <c r="DV239" s="5">
        <f t="shared" si="684"/>
        <v>2.8571428571428572</v>
      </c>
      <c r="DW239" s="5">
        <f t="shared" si="685"/>
        <v>0.56032870171735272</v>
      </c>
      <c r="DX239" s="5">
        <f t="shared" si="686"/>
        <v>2.2968141554255044</v>
      </c>
      <c r="DY239" s="173">
        <f t="shared" si="687"/>
        <v>0.19611504560107346</v>
      </c>
      <c r="EA239" s="5">
        <f t="shared" si="713"/>
        <v>19.331340209248669</v>
      </c>
      <c r="EB239" s="5">
        <f t="shared" si="714"/>
        <v>7.1597556330550635E-2</v>
      </c>
      <c r="EC239" s="5">
        <f t="shared" si="715"/>
        <v>0.29348180874881441</v>
      </c>
      <c r="ED239" s="5"/>
      <c r="EE239" s="173">
        <f t="shared" si="716"/>
        <v>0.42979261898364501</v>
      </c>
      <c r="EF239" s="173">
        <f t="shared" si="717"/>
        <v>3.4806506669229336</v>
      </c>
      <c r="EG239" s="173">
        <f t="shared" si="718"/>
        <v>6.6320505950828876E-2</v>
      </c>
      <c r="EH239" s="173"/>
      <c r="EI239" s="528">
        <f t="shared" si="719"/>
        <v>2.2536046830604118E-3</v>
      </c>
      <c r="EJ239" s="528">
        <f t="shared" si="720"/>
        <v>0.64482626993632941</v>
      </c>
      <c r="EK239" s="528">
        <f t="shared" si="721"/>
        <v>4.3749999999999997E-2</v>
      </c>
      <c r="EL239" s="528">
        <f t="shared" si="722"/>
        <v>0.10510639999999997</v>
      </c>
      <c r="EM239">
        <f t="shared" si="723"/>
        <v>1.6199999999999999E-2</v>
      </c>
      <c r="EN239" s="460">
        <f t="shared" si="724"/>
        <v>59.949999999999996</v>
      </c>
      <c r="EP239" s="460">
        <f t="shared" si="725"/>
        <v>812.13627461938972</v>
      </c>
      <c r="EQ239" s="173">
        <f t="shared" si="726"/>
        <v>0.96599999999999997</v>
      </c>
      <c r="ER239" s="173">
        <f t="shared" si="688"/>
        <v>1.020625E-2</v>
      </c>
      <c r="ES239" s="528"/>
      <c r="EU239" s="460">
        <f t="shared" si="727"/>
        <v>976.20624999999995</v>
      </c>
      <c r="EV239" s="528">
        <f t="shared" si="728"/>
        <v>5.5416508599846195E-3</v>
      </c>
      <c r="EW239" s="528">
        <f t="shared" si="729"/>
        <v>0.36344787195453182</v>
      </c>
      <c r="EX239" s="528">
        <f t="shared" si="730"/>
        <v>2.1992047547869639E-5</v>
      </c>
      <c r="EY239" s="528">
        <f t="shared" si="731"/>
        <v>0.41980772342972644</v>
      </c>
      <c r="EZ239" s="528"/>
      <c r="FA239" s="625">
        <f t="shared" si="732"/>
        <v>2.4725000000000004E-2</v>
      </c>
      <c r="FB239" s="460">
        <f t="shared" si="733"/>
        <v>813.54423829179063</v>
      </c>
      <c r="FC239" s="173">
        <f t="shared" si="734"/>
        <v>2.6018867629111808</v>
      </c>
      <c r="FD239" s="5">
        <f t="shared" si="735"/>
        <v>5.9340000000000002</v>
      </c>
      <c r="FE239" s="173">
        <f t="shared" si="736"/>
        <v>0.69518260548903976</v>
      </c>
      <c r="FF239" s="5">
        <f t="shared" si="737"/>
        <v>69.518260548903982</v>
      </c>
      <c r="FG239">
        <f t="shared" si="738"/>
        <v>23</v>
      </c>
      <c r="FI239" s="562">
        <f t="shared" si="689"/>
        <v>-50</v>
      </c>
    </row>
    <row r="240" spans="5:165">
      <c r="E240" s="170">
        <v>24</v>
      </c>
      <c r="F240" s="217">
        <f t="shared" si="690"/>
        <v>1.44</v>
      </c>
      <c r="G240" s="217">
        <f t="shared" si="617"/>
        <v>2.4E-2</v>
      </c>
      <c r="H240" s="217">
        <f t="shared" si="618"/>
        <v>5.76</v>
      </c>
      <c r="I240" s="217">
        <f t="shared" si="619"/>
        <v>0.432</v>
      </c>
      <c r="J240" s="541">
        <f t="shared" si="620"/>
        <v>35.955485019618308</v>
      </c>
      <c r="K240" s="443">
        <f t="shared" si="621"/>
        <v>19.197477762181197</v>
      </c>
      <c r="L240" s="172">
        <f t="shared" si="622"/>
        <v>55.152962781799502</v>
      </c>
      <c r="M240" s="443"/>
      <c r="N240" s="217">
        <f t="shared" si="623"/>
        <v>0.34807699883924226</v>
      </c>
      <c r="O240" s="172">
        <f t="shared" si="624"/>
        <v>38.807061449420381</v>
      </c>
      <c r="P240" s="172">
        <f t="shared" si="625"/>
        <v>3.1288193293595183</v>
      </c>
      <c r="Q240" s="217">
        <f t="shared" si="626"/>
        <v>9.7017653623550952</v>
      </c>
      <c r="R240" s="217">
        <f t="shared" si="627"/>
        <v>2.1559478583011322</v>
      </c>
      <c r="S240" s="217">
        <f t="shared" si="628"/>
        <v>4</v>
      </c>
      <c r="T240" s="217">
        <f t="shared" si="629"/>
        <v>0.98951063455420529</v>
      </c>
      <c r="U240" s="217">
        <f t="shared" si="630"/>
        <v>0.33024523541183248</v>
      </c>
      <c r="V240" s="217">
        <f t="shared" si="631"/>
        <v>0.6185254001461773</v>
      </c>
      <c r="W240" s="197">
        <f t="shared" si="632"/>
        <v>350</v>
      </c>
      <c r="X240" s="443">
        <f t="shared" si="691"/>
        <v>350</v>
      </c>
      <c r="Z240" s="217">
        <f t="shared" si="633"/>
        <v>2.9798279327233508</v>
      </c>
      <c r="AA240" s="173">
        <f t="shared" si="634"/>
        <v>1.8626371461735935</v>
      </c>
      <c r="AB240" s="173">
        <f t="shared" si="635"/>
        <v>3.6141737094765829</v>
      </c>
      <c r="AC240" s="173"/>
      <c r="AD240" s="173">
        <f t="shared" si="636"/>
        <v>0.83344281984375113</v>
      </c>
      <c r="AE240" s="545">
        <f t="shared" si="637"/>
        <v>647.91487447361521</v>
      </c>
      <c r="AF240" s="528">
        <f t="shared" si="638"/>
        <v>0.77787996518750124</v>
      </c>
      <c r="AH240" s="173">
        <f t="shared" si="639"/>
        <v>1.7171404801504822</v>
      </c>
      <c r="AI240" s="173">
        <f t="shared" si="640"/>
        <v>1.7171404801504822</v>
      </c>
      <c r="AJ240" s="173">
        <f t="shared" si="641"/>
        <v>1.4843015902349248</v>
      </c>
      <c r="AL240" s="545">
        <f t="shared" si="642"/>
        <v>1440</v>
      </c>
      <c r="AM240" s="460">
        <f t="shared" si="643"/>
        <v>350</v>
      </c>
      <c r="AO240">
        <f t="shared" si="644"/>
        <v>1440</v>
      </c>
      <c r="AP240">
        <f t="shared" si="645"/>
        <v>350</v>
      </c>
      <c r="AR240" s="5">
        <f t="shared" si="616"/>
        <v>2.8571428571428572</v>
      </c>
      <c r="AS240" s="5">
        <f t="shared" si="604"/>
        <v>0.57308879995813578</v>
      </c>
      <c r="AT240" s="5">
        <f t="shared" si="605"/>
        <v>2.2840540571847212</v>
      </c>
      <c r="AU240" s="173">
        <f t="shared" si="606"/>
        <v>0.20058107998534752</v>
      </c>
      <c r="BA240" s="173">
        <f t="shared" si="692"/>
        <v>0.4440073728955396</v>
      </c>
      <c r="BB240" s="173">
        <f t="shared" si="693"/>
        <v>3.5456217410694992</v>
      </c>
      <c r="BC240" s="173">
        <f t="shared" si="694"/>
        <v>6.7558468309567493E-2</v>
      </c>
      <c r="BD240" s="173"/>
      <c r="BE240" s="528">
        <f t="shared" si="695"/>
        <v>2.4051390756643048E-3</v>
      </c>
      <c r="BF240" s="528">
        <f t="shared" si="646"/>
        <v>0.62150408901564935</v>
      </c>
      <c r="BG240" s="528">
        <f t="shared" si="647"/>
        <v>0.31461049392166018</v>
      </c>
      <c r="BH240" s="528">
        <f t="shared" si="696"/>
        <v>0.10646472562636963</v>
      </c>
      <c r="BI240">
        <f t="shared" si="697"/>
        <v>1.617996825882824E-2</v>
      </c>
      <c r="BJ240" s="460">
        <f t="shared" si="698"/>
        <v>330.79046218048842</v>
      </c>
      <c r="BK240">
        <f t="shared" si="648"/>
        <v>0.7314413314953101</v>
      </c>
      <c r="BL240" s="460">
        <f t="shared" si="699"/>
        <v>1061.1644158981717</v>
      </c>
      <c r="BM240" s="173">
        <f t="shared" si="649"/>
        <v>0.89459999999999995</v>
      </c>
      <c r="BN240" s="173">
        <f t="shared" si="650"/>
        <v>1.065E-2</v>
      </c>
      <c r="BQ240" s="460">
        <f t="shared" si="700"/>
        <v>905.25</v>
      </c>
      <c r="BR240" s="528">
        <f t="shared" si="701"/>
        <v>5.9142764155679624E-3</v>
      </c>
      <c r="BS240" s="528">
        <f t="shared" si="702"/>
        <v>0.37714300592234123</v>
      </c>
      <c r="BT240" s="528">
        <f t="shared" si="703"/>
        <v>2.2820733201674178E-5</v>
      </c>
      <c r="BU240" s="528">
        <f t="shared" si="704"/>
        <v>0.44274603583664407</v>
      </c>
      <c r="BV240" s="528"/>
      <c r="BW240" s="625">
        <f t="shared" si="705"/>
        <v>2.58E-2</v>
      </c>
      <c r="BX240" s="460">
        <f t="shared" si="706"/>
        <v>851.62613890775503</v>
      </c>
      <c r="BY240" s="173">
        <f t="shared" si="707"/>
        <v>2.8180405548059264</v>
      </c>
      <c r="BZ240" s="5">
        <f t="shared" si="708"/>
        <v>6.1920000000000002</v>
      </c>
      <c r="CA240" s="173">
        <f t="shared" si="709"/>
        <v>0.6872333106977202</v>
      </c>
      <c r="CB240" s="5">
        <f t="shared" si="710"/>
        <v>68.723331069772016</v>
      </c>
      <c r="CC240">
        <f t="shared" si="711"/>
        <v>24</v>
      </c>
      <c r="CE240" s="562">
        <f t="shared" si="651"/>
        <v>-50</v>
      </c>
      <c r="CG240" s="173">
        <f t="shared" si="652"/>
        <v>0.43474130238568315</v>
      </c>
      <c r="CH240" s="173">
        <f t="shared" si="653"/>
        <v>0.1041412750099892</v>
      </c>
      <c r="CI240" s="170">
        <v>24</v>
      </c>
      <c r="CJ240" s="217">
        <f t="shared" si="712"/>
        <v>1.44</v>
      </c>
      <c r="CK240" s="217">
        <f t="shared" si="654"/>
        <v>2.4E-2</v>
      </c>
      <c r="CL240" s="217">
        <f t="shared" si="655"/>
        <v>5.76</v>
      </c>
      <c r="CM240" s="217">
        <f t="shared" si="656"/>
        <v>0.432</v>
      </c>
      <c r="CN240" s="541">
        <f t="shared" si="657"/>
        <v>36</v>
      </c>
      <c r="CO240" s="443">
        <f t="shared" si="658"/>
        <v>18.8</v>
      </c>
      <c r="CP240" s="443">
        <f t="shared" si="659"/>
        <v>54.8</v>
      </c>
      <c r="CQ240" s="443"/>
      <c r="CR240" s="217">
        <f t="shared" si="660"/>
        <v>0.34306569343065696</v>
      </c>
      <c r="CS240" s="172">
        <f t="shared" si="661"/>
        <v>38.295705313189622</v>
      </c>
      <c r="CT240" s="172">
        <f t="shared" si="662"/>
        <v>3.0875912408759132</v>
      </c>
      <c r="CU240" s="217">
        <f t="shared" si="663"/>
        <v>9.5739263282974054</v>
      </c>
      <c r="CV240" s="217">
        <f t="shared" si="664"/>
        <v>2.12753918406609</v>
      </c>
      <c r="CW240" s="217">
        <f t="shared" si="665"/>
        <v>4</v>
      </c>
      <c r="CX240" s="217">
        <f t="shared" si="666"/>
        <v>1.002723404255319</v>
      </c>
      <c r="CY240" s="217">
        <f t="shared" si="667"/>
        <v>0.33424113475177303</v>
      </c>
      <c r="CZ240" s="217">
        <f t="shared" si="668"/>
        <v>0.64003621548211853</v>
      </c>
      <c r="DA240" s="197">
        <f t="shared" si="669"/>
        <v>350</v>
      </c>
      <c r="DB240" s="443">
        <f t="shared" si="670"/>
        <v>350</v>
      </c>
      <c r="DD240" s="217">
        <f t="shared" si="671"/>
        <v>2.940563086548488</v>
      </c>
      <c r="DE240" s="173">
        <f t="shared" si="672"/>
        <v>1.8769551616266944</v>
      </c>
      <c r="DF240" s="173">
        <f t="shared" si="673"/>
        <v>3.5939660877863036</v>
      </c>
      <c r="DG240" s="173"/>
      <c r="DH240" s="173">
        <f t="shared" si="674"/>
        <v>0.85106382978723416</v>
      </c>
      <c r="DI240" s="545">
        <f t="shared" si="675"/>
        <v>634.49999999999989</v>
      </c>
      <c r="DJ240" s="528">
        <f t="shared" si="676"/>
        <v>0.79432624113475192</v>
      </c>
      <c r="DL240" s="173">
        <f t="shared" si="677"/>
        <v>1.7171404801504822</v>
      </c>
      <c r="DM240" s="173">
        <f t="shared" si="678"/>
        <v>1.7171404801504822</v>
      </c>
      <c r="DN240" s="173">
        <f t="shared" si="679"/>
        <v>1.4843015902349248</v>
      </c>
      <c r="DP240" s="545">
        <f t="shared" si="680"/>
        <v>1440</v>
      </c>
      <c r="DQ240" s="460">
        <f t="shared" si="681"/>
        <v>350</v>
      </c>
      <c r="DS240">
        <f t="shared" si="682"/>
        <v>1440</v>
      </c>
      <c r="DT240">
        <f t="shared" si="683"/>
        <v>350</v>
      </c>
      <c r="DV240" s="5">
        <f t="shared" si="684"/>
        <v>2.8571428571428572</v>
      </c>
      <c r="DW240" s="5">
        <f t="shared" si="685"/>
        <v>0.57238016005016068</v>
      </c>
      <c r="DX240" s="5">
        <f t="shared" si="686"/>
        <v>2.2847626970926966</v>
      </c>
      <c r="DY240" s="173">
        <f t="shared" si="687"/>
        <v>0.20033305601755624</v>
      </c>
      <c r="EA240" s="5">
        <f t="shared" si="713"/>
        <v>20.605685761805784</v>
      </c>
      <c r="EB240" s="5">
        <f t="shared" si="714"/>
        <v>7.6317354673354765E-2</v>
      </c>
      <c r="EC240" s="5">
        <f t="shared" si="715"/>
        <v>0.30463502627902617</v>
      </c>
      <c r="ED240" s="5"/>
      <c r="EE240" s="173">
        <f t="shared" si="716"/>
        <v>0.44373277437806558</v>
      </c>
      <c r="EF240" s="173">
        <f t="shared" si="717"/>
        <v>3.5461717224068834</v>
      </c>
      <c r="EG240" s="173">
        <f t="shared" si="718"/>
        <v>6.7568947683698727E-2</v>
      </c>
      <c r="EH240" s="173"/>
      <c r="EI240" s="528">
        <f t="shared" si="719"/>
        <v>2.4021650556985139E-3</v>
      </c>
      <c r="EJ240" s="528">
        <f t="shared" si="720"/>
        <v>0.65869508818572498</v>
      </c>
      <c r="EK240" s="528">
        <f t="shared" si="721"/>
        <v>4.3749999999999997E-2</v>
      </c>
      <c r="EL240" s="528">
        <f t="shared" si="722"/>
        <v>0.10510639999999997</v>
      </c>
      <c r="EM240">
        <f t="shared" si="723"/>
        <v>1.6199999999999999E-2</v>
      </c>
      <c r="EN240" s="460">
        <f t="shared" si="724"/>
        <v>59.949999999999996</v>
      </c>
      <c r="EP240" s="460">
        <f t="shared" si="725"/>
        <v>826.1536532414234</v>
      </c>
      <c r="EQ240" s="173">
        <f t="shared" si="726"/>
        <v>1.008</v>
      </c>
      <c r="ER240" s="173">
        <f t="shared" si="688"/>
        <v>1.065E-2</v>
      </c>
      <c r="ES240" s="528"/>
      <c r="EU240" s="460">
        <f t="shared" si="727"/>
        <v>1018.6500000000001</v>
      </c>
      <c r="EV240" s="528">
        <f t="shared" si="728"/>
        <v>5.9069632517176575E-3</v>
      </c>
      <c r="EW240" s="528">
        <f t="shared" si="729"/>
        <v>0.37726001654394603</v>
      </c>
      <c r="EX240" s="528">
        <f t="shared" si="730"/>
        <v>2.2827813455412079E-5</v>
      </c>
      <c r="EY240" s="528">
        <f t="shared" si="731"/>
        <v>0.44274603583664407</v>
      </c>
      <c r="EZ240" s="528"/>
      <c r="FA240" s="625">
        <f t="shared" si="732"/>
        <v>2.58E-2</v>
      </c>
      <c r="FB240" s="460">
        <f t="shared" si="733"/>
        <v>851.73584344576318</v>
      </c>
      <c r="FC240" s="173">
        <f t="shared" si="734"/>
        <v>2.6965394966871865</v>
      </c>
      <c r="FD240" s="5">
        <f t="shared" si="735"/>
        <v>6.1920000000000002</v>
      </c>
      <c r="FE240" s="173">
        <f t="shared" si="736"/>
        <v>0.69662738206966357</v>
      </c>
      <c r="FF240" s="5">
        <f t="shared" si="737"/>
        <v>69.662738206966353</v>
      </c>
      <c r="FG240">
        <f t="shared" si="738"/>
        <v>24</v>
      </c>
      <c r="FI240" s="562">
        <f t="shared" si="689"/>
        <v>-50</v>
      </c>
    </row>
    <row r="241" spans="5:165">
      <c r="E241" s="170">
        <v>25</v>
      </c>
      <c r="F241" s="217">
        <f t="shared" si="690"/>
        <v>1.5</v>
      </c>
      <c r="G241" s="217">
        <f t="shared" si="617"/>
        <v>2.5000000000000001E-2</v>
      </c>
      <c r="H241" s="217">
        <f t="shared" si="618"/>
        <v>6</v>
      </c>
      <c r="I241" s="217">
        <f t="shared" si="619"/>
        <v>0.45</v>
      </c>
      <c r="J241" s="541">
        <f t="shared" si="620"/>
        <v>35.954567088397859</v>
      </c>
      <c r="K241" s="443">
        <f t="shared" si="621"/>
        <v>19.205674042269688</v>
      </c>
      <c r="L241" s="172">
        <f t="shared" si="622"/>
        <v>55.160241130667544</v>
      </c>
      <c r="M241" s="443"/>
      <c r="N241" s="217">
        <f t="shared" si="623"/>
        <v>0.34817966072290923</v>
      </c>
      <c r="O241" s="172">
        <f t="shared" si="624"/>
        <v>38.817516186906808</v>
      </c>
      <c r="P241" s="172">
        <f t="shared" si="625"/>
        <v>3.1296622425693612</v>
      </c>
      <c r="Q241" s="217">
        <f t="shared" si="626"/>
        <v>9.7043790467267019</v>
      </c>
      <c r="R241" s="217">
        <f t="shared" si="627"/>
        <v>2.1565286770503782</v>
      </c>
      <c r="S241" s="217">
        <f t="shared" si="628"/>
        <v>4</v>
      </c>
      <c r="T241" s="217">
        <f t="shared" si="629"/>
        <v>1.0304626346363719</v>
      </c>
      <c r="U241" s="217">
        <f t="shared" si="630"/>
        <v>0.34392158262494255</v>
      </c>
      <c r="V241" s="217">
        <f t="shared" si="631"/>
        <v>0.64384887447434402</v>
      </c>
      <c r="W241" s="197">
        <f t="shared" si="632"/>
        <v>350</v>
      </c>
      <c r="X241" s="443">
        <f t="shared" si="691"/>
        <v>350</v>
      </c>
      <c r="Z241" s="217">
        <f t="shared" si="633"/>
        <v>2.9806307072089155</v>
      </c>
      <c r="AA241" s="173">
        <f t="shared" si="634"/>
        <v>1.8623438265059737</v>
      </c>
      <c r="AB241" s="173">
        <f t="shared" si="635"/>
        <v>3.6145780815490798</v>
      </c>
      <c r="AC241" s="173"/>
      <c r="AD241" s="173">
        <f t="shared" si="636"/>
        <v>0.83308713689431935</v>
      </c>
      <c r="AE241" s="545">
        <f t="shared" si="637"/>
        <v>675.19947804854348</v>
      </c>
      <c r="AF241" s="528">
        <f t="shared" si="638"/>
        <v>0.77754799443469813</v>
      </c>
      <c r="AH241" s="173">
        <f t="shared" si="639"/>
        <v>1.752549163769328</v>
      </c>
      <c r="AI241" s="173">
        <f t="shared" si="640"/>
        <v>1.752549163769328</v>
      </c>
      <c r="AJ241" s="173">
        <f t="shared" si="641"/>
        <v>1.5105302447674034</v>
      </c>
      <c r="AL241" s="545">
        <f t="shared" si="642"/>
        <v>1500</v>
      </c>
      <c r="AM241" s="460">
        <f t="shared" si="643"/>
        <v>350</v>
      </c>
      <c r="AO241">
        <f t="shared" si="644"/>
        <v>1500</v>
      </c>
      <c r="AP241">
        <f t="shared" si="645"/>
        <v>350</v>
      </c>
      <c r="AR241" s="5">
        <f t="shared" si="616"/>
        <v>2.8571428571428572</v>
      </c>
      <c r="AS241" s="5">
        <f t="shared" si="604"/>
        <v>0.58492124000620427</v>
      </c>
      <c r="AT241" s="5">
        <f t="shared" si="605"/>
        <v>2.2722216171366529</v>
      </c>
      <c r="AU241" s="173">
        <f t="shared" si="606"/>
        <v>0.20472243400217149</v>
      </c>
      <c r="BA241" s="173">
        <f t="shared" si="692"/>
        <v>0.45781740647215446</v>
      </c>
      <c r="BB241" s="173">
        <f t="shared" si="693"/>
        <v>3.6093495173299779</v>
      </c>
      <c r="BC241" s="173">
        <f t="shared" si="694"/>
        <v>6.87727408031793E-2</v>
      </c>
      <c r="BD241" s="173"/>
      <c r="BE241" s="528">
        <f t="shared" si="695"/>
        <v>2.5570806875604567E-3</v>
      </c>
      <c r="BF241" s="528">
        <f t="shared" si="646"/>
        <v>0.63440366368880741</v>
      </c>
      <c r="BG241" s="528">
        <f t="shared" si="647"/>
        <v>0.31460246202348124</v>
      </c>
      <c r="BH241" s="528">
        <f t="shared" si="696"/>
        <v>0.10649282705576855</v>
      </c>
      <c r="BI241">
        <f t="shared" si="697"/>
        <v>1.6179555189779034E-2</v>
      </c>
      <c r="BJ241" s="460">
        <f t="shared" si="698"/>
        <v>330.7820172132603</v>
      </c>
      <c r="BK241">
        <f t="shared" si="648"/>
        <v>0.74459637195523221</v>
      </c>
      <c r="BL241" s="460">
        <f t="shared" si="699"/>
        <v>1074.2355886453968</v>
      </c>
      <c r="BM241" s="173">
        <f t="shared" si="649"/>
        <v>0.93187499999999979</v>
      </c>
      <c r="BN241" s="173">
        <f t="shared" si="650"/>
        <v>1.1093749999999999E-2</v>
      </c>
      <c r="BQ241" s="460">
        <f t="shared" si="700"/>
        <v>942.96874999999977</v>
      </c>
      <c r="BR241" s="528">
        <f t="shared" si="701"/>
        <v>6.2879033300666971E-3</v>
      </c>
      <c r="BS241" s="528">
        <f t="shared" si="702"/>
        <v>0.39082211814750428</v>
      </c>
      <c r="BT241" s="528">
        <f t="shared" si="703"/>
        <v>2.3648449387906419E-5</v>
      </c>
      <c r="BU241" s="528">
        <f t="shared" si="704"/>
        <v>0.46592459898023475</v>
      </c>
      <c r="BV241" s="528"/>
      <c r="BW241" s="625">
        <f t="shared" si="705"/>
        <v>2.6874999999999996E-2</v>
      </c>
      <c r="BX241" s="460">
        <f t="shared" si="706"/>
        <v>889.93326890719356</v>
      </c>
      <c r="BY241" s="173">
        <f t="shared" si="707"/>
        <v>2.9071376075525905</v>
      </c>
      <c r="BZ241" s="5">
        <f t="shared" si="708"/>
        <v>6.45</v>
      </c>
      <c r="CA241" s="173">
        <f t="shared" si="709"/>
        <v>0.68931336382120723</v>
      </c>
      <c r="CB241" s="5">
        <f t="shared" si="710"/>
        <v>68.931336382120719</v>
      </c>
      <c r="CC241">
        <f t="shared" si="711"/>
        <v>25</v>
      </c>
      <c r="CE241" s="562">
        <f t="shared" si="651"/>
        <v>-50</v>
      </c>
      <c r="CG241" s="173">
        <f t="shared" si="652"/>
        <v>0.44370598373247122</v>
      </c>
      <c r="CH241" s="173">
        <f t="shared" si="653"/>
        <v>0.10628874372388777</v>
      </c>
      <c r="CI241" s="170">
        <v>25</v>
      </c>
      <c r="CJ241" s="217">
        <f t="shared" si="712"/>
        <v>1.5</v>
      </c>
      <c r="CK241" s="217">
        <f t="shared" si="654"/>
        <v>2.5000000000000001E-2</v>
      </c>
      <c r="CL241" s="217">
        <f t="shared" si="655"/>
        <v>6</v>
      </c>
      <c r="CM241" s="217">
        <f t="shared" si="656"/>
        <v>0.45</v>
      </c>
      <c r="CN241" s="541">
        <f t="shared" si="657"/>
        <v>36</v>
      </c>
      <c r="CO241" s="443">
        <f t="shared" si="658"/>
        <v>18.8</v>
      </c>
      <c r="CP241" s="443">
        <f t="shared" si="659"/>
        <v>54.8</v>
      </c>
      <c r="CQ241" s="443"/>
      <c r="CR241" s="217">
        <f t="shared" si="660"/>
        <v>0.34306569343065696</v>
      </c>
      <c r="CS241" s="172">
        <f t="shared" si="661"/>
        <v>38.295705313189622</v>
      </c>
      <c r="CT241" s="172">
        <f t="shared" si="662"/>
        <v>3.0875912408759132</v>
      </c>
      <c r="CU241" s="217">
        <f t="shared" si="663"/>
        <v>9.5739263282974054</v>
      </c>
      <c r="CV241" s="217">
        <f t="shared" si="664"/>
        <v>2.12753918406609</v>
      </c>
      <c r="CW241" s="217">
        <f t="shared" si="665"/>
        <v>4</v>
      </c>
      <c r="CX241" s="217">
        <f t="shared" si="666"/>
        <v>1.0445035460992906</v>
      </c>
      <c r="CY241" s="217">
        <f t="shared" si="667"/>
        <v>0.34816784869976353</v>
      </c>
      <c r="CZ241" s="217">
        <f t="shared" si="668"/>
        <v>0.6667043911272067</v>
      </c>
      <c r="DA241" s="197">
        <f t="shared" si="669"/>
        <v>350</v>
      </c>
      <c r="DB241" s="443">
        <f t="shared" si="670"/>
        <v>350</v>
      </c>
      <c r="DD241" s="217">
        <f t="shared" si="671"/>
        <v>2.940563086548488</v>
      </c>
      <c r="DE241" s="173">
        <f t="shared" si="672"/>
        <v>1.8769551616266944</v>
      </c>
      <c r="DF241" s="173">
        <f t="shared" si="673"/>
        <v>3.5939660877863036</v>
      </c>
      <c r="DG241" s="173"/>
      <c r="DH241" s="173">
        <f t="shared" si="674"/>
        <v>0.85106382978723416</v>
      </c>
      <c r="DI241" s="545">
        <f t="shared" si="675"/>
        <v>660.93749999999989</v>
      </c>
      <c r="DJ241" s="528">
        <f t="shared" si="676"/>
        <v>0.79432624113475192</v>
      </c>
      <c r="DL241" s="173">
        <f t="shared" si="677"/>
        <v>1.752549163769328</v>
      </c>
      <c r="DM241" s="173">
        <f t="shared" si="678"/>
        <v>1.752549163769328</v>
      </c>
      <c r="DN241" s="173">
        <f t="shared" si="679"/>
        <v>1.5105302447674034</v>
      </c>
      <c r="DP241" s="545">
        <f t="shared" si="680"/>
        <v>1500</v>
      </c>
      <c r="DQ241" s="460">
        <f t="shared" si="681"/>
        <v>350</v>
      </c>
      <c r="DS241">
        <f t="shared" si="682"/>
        <v>1500</v>
      </c>
      <c r="DT241">
        <f t="shared" si="683"/>
        <v>350</v>
      </c>
      <c r="DV241" s="5">
        <f t="shared" si="684"/>
        <v>2.8571428571428572</v>
      </c>
      <c r="DW241" s="5">
        <f t="shared" si="685"/>
        <v>0.58418305458977604</v>
      </c>
      <c r="DX241" s="5">
        <f t="shared" si="686"/>
        <v>2.2729598025530811</v>
      </c>
      <c r="DY241" s="173">
        <f t="shared" si="687"/>
        <v>0.20446406910642162</v>
      </c>
      <c r="EA241" s="5">
        <f t="shared" si="713"/>
        <v>21.906864547116601</v>
      </c>
      <c r="EB241" s="5">
        <f t="shared" si="714"/>
        <v>8.113653535969112E-2</v>
      </c>
      <c r="EC241" s="5">
        <f t="shared" si="715"/>
        <v>0.31568886146570563</v>
      </c>
      <c r="ED241" s="5"/>
      <c r="EE241" s="173">
        <f t="shared" si="716"/>
        <v>0.45752842668844418</v>
      </c>
      <c r="EF241" s="173">
        <f t="shared" si="717"/>
        <v>3.6099357613819572</v>
      </c>
      <c r="EG241" s="173">
        <f t="shared" si="718"/>
        <v>6.8783911129034578E-2</v>
      </c>
      <c r="EH241" s="173"/>
      <c r="EI241" s="528">
        <f t="shared" si="719"/>
        <v>2.5538535869816369E-3</v>
      </c>
      <c r="EJ241" s="528">
        <f t="shared" si="720"/>
        <v>0.6722778592219143</v>
      </c>
      <c r="EK241" s="528">
        <f t="shared" si="721"/>
        <v>4.3749999999999997E-2</v>
      </c>
      <c r="EL241" s="528">
        <f t="shared" si="722"/>
        <v>0.10510639999999997</v>
      </c>
      <c r="EM241">
        <f t="shared" si="723"/>
        <v>1.6199999999999999E-2</v>
      </c>
      <c r="EN241" s="460">
        <f t="shared" si="724"/>
        <v>59.949999999999996</v>
      </c>
      <c r="EP241" s="460">
        <f t="shared" si="725"/>
        <v>839.88811280889581</v>
      </c>
      <c r="EQ241" s="173">
        <f t="shared" si="726"/>
        <v>1.0499999999999998</v>
      </c>
      <c r="ER241" s="173">
        <f t="shared" si="688"/>
        <v>1.1093749999999999E-2</v>
      </c>
      <c r="ES241" s="528"/>
      <c r="EU241" s="460">
        <f t="shared" si="727"/>
        <v>1061.0937499999998</v>
      </c>
      <c r="EV241" s="528">
        <f t="shared" si="728"/>
        <v>6.2799678368400912E-3</v>
      </c>
      <c r="EW241" s="528">
        <f t="shared" si="729"/>
        <v>0.39094908603912987</v>
      </c>
      <c r="EX241" s="528">
        <f t="shared" si="730"/>
        <v>2.3656132151034638E-5</v>
      </c>
      <c r="EY241" s="528">
        <f t="shared" si="731"/>
        <v>0.46592459898023475</v>
      </c>
      <c r="EZ241" s="528"/>
      <c r="FA241" s="625">
        <f t="shared" si="732"/>
        <v>2.6874999999999996E-2</v>
      </c>
      <c r="FB241" s="460">
        <f t="shared" si="733"/>
        <v>890.05230898835578</v>
      </c>
      <c r="FC241" s="173">
        <f t="shared" si="734"/>
        <v>2.7910341717972513</v>
      </c>
      <c r="FD241" s="5">
        <f t="shared" si="735"/>
        <v>6.45</v>
      </c>
      <c r="FE241" s="173">
        <f t="shared" si="736"/>
        <v>0.69797382847958522</v>
      </c>
      <c r="FF241" s="5">
        <f t="shared" si="737"/>
        <v>69.797382847958517</v>
      </c>
      <c r="FG241">
        <f t="shared" si="738"/>
        <v>25</v>
      </c>
      <c r="FI241" s="562">
        <f t="shared" si="689"/>
        <v>-50</v>
      </c>
    </row>
    <row r="242" spans="5:165">
      <c r="E242" s="170">
        <v>26</v>
      </c>
      <c r="F242" s="217">
        <f t="shared" si="690"/>
        <v>1.56</v>
      </c>
      <c r="G242" s="217">
        <f t="shared" si="617"/>
        <v>2.6000000000000002E-2</v>
      </c>
      <c r="H242" s="217">
        <f t="shared" si="618"/>
        <v>6.24</v>
      </c>
      <c r="I242" s="217">
        <f t="shared" si="619"/>
        <v>0.46800000000000003</v>
      </c>
      <c r="J242" s="541">
        <f t="shared" si="620"/>
        <v>35.953667339436265</v>
      </c>
      <c r="K242" s="443">
        <f t="shared" si="621"/>
        <v>19.213707971538241</v>
      </c>
      <c r="L242" s="172">
        <f t="shared" si="622"/>
        <v>55.167375310974506</v>
      </c>
      <c r="M242" s="443"/>
      <c r="N242" s="217">
        <f t="shared" si="623"/>
        <v>0.34828026280445568</v>
      </c>
      <c r="O242" s="172">
        <f t="shared" si="624"/>
        <v>38.827760340349883</v>
      </c>
      <c r="P242" s="172">
        <f t="shared" si="625"/>
        <v>3.1304881774407094</v>
      </c>
      <c r="Q242" s="217">
        <f t="shared" si="626"/>
        <v>9.7069400850874707</v>
      </c>
      <c r="R242" s="217">
        <f t="shared" si="627"/>
        <v>2.1570977966861045</v>
      </c>
      <c r="S242" s="217">
        <f t="shared" si="628"/>
        <v>4</v>
      </c>
      <c r="T242" s="217">
        <f t="shared" si="629"/>
        <v>1.0713983921645154</v>
      </c>
      <c r="U242" s="217">
        <f t="shared" si="630"/>
        <v>0.35759302617432998</v>
      </c>
      <c r="V242" s="217">
        <f t="shared" si="631"/>
        <v>0.66914625355081192</v>
      </c>
      <c r="W242" s="197">
        <f t="shared" si="632"/>
        <v>350</v>
      </c>
      <c r="X242" s="443">
        <f t="shared" si="691"/>
        <v>350</v>
      </c>
      <c r="Z242" s="217">
        <f t="shared" si="633"/>
        <v>2.9814173118482947</v>
      </c>
      <c r="AA242" s="173">
        <f t="shared" si="634"/>
        <v>1.8620563919872697</v>
      </c>
      <c r="AB242" s="173">
        <f t="shared" si="635"/>
        <v>3.6149739664149156</v>
      </c>
      <c r="AC242" s="173"/>
      <c r="AD242" s="173">
        <f t="shared" si="636"/>
        <v>0.83273879376647197</v>
      </c>
      <c r="AE242" s="545">
        <f t="shared" si="637"/>
        <v>702.50119770936681</v>
      </c>
      <c r="AF242" s="528">
        <f t="shared" si="638"/>
        <v>0.77722287418204061</v>
      </c>
      <c r="AH242" s="173">
        <f t="shared" si="639"/>
        <v>1.7872564769181043</v>
      </c>
      <c r="AI242" s="173">
        <f t="shared" si="640"/>
        <v>1.7872564769181043</v>
      </c>
      <c r="AJ242" s="173">
        <f t="shared" si="641"/>
        <v>1.5362393656183486</v>
      </c>
      <c r="AL242" s="545">
        <f t="shared" si="642"/>
        <v>1560</v>
      </c>
      <c r="AM242" s="460">
        <f t="shared" si="643"/>
        <v>350</v>
      </c>
      <c r="AO242">
        <f t="shared" si="644"/>
        <v>1560</v>
      </c>
      <c r="AP242">
        <f t="shared" si="645"/>
        <v>350</v>
      </c>
      <c r="AR242" s="5">
        <f t="shared" si="616"/>
        <v>2.8571428571428572</v>
      </c>
      <c r="AS242" s="5">
        <f t="shared" si="604"/>
        <v>0.59651989101798064</v>
      </c>
      <c r="AT242" s="5">
        <f t="shared" si="605"/>
        <v>2.2606229661248767</v>
      </c>
      <c r="AU242" s="173">
        <f t="shared" si="606"/>
        <v>0.20878196185629322</v>
      </c>
      <c r="BA242" s="173">
        <f t="shared" si="692"/>
        <v>0.47149027496443036</v>
      </c>
      <c r="BB242" s="173">
        <f t="shared" si="693"/>
        <v>3.6714222320531227</v>
      </c>
      <c r="BC242" s="173">
        <f t="shared" si="694"/>
        <v>6.9955477664795984E-2</v>
      </c>
      <c r="BD242" s="173"/>
      <c r="BE242" s="528">
        <f t="shared" si="695"/>
        <v>2.7120975685096162E-3</v>
      </c>
      <c r="BF242" s="528">
        <f t="shared" si="646"/>
        <v>0.64705100800666648</v>
      </c>
      <c r="BG242" s="528">
        <f t="shared" si="647"/>
        <v>0.31459458922006728</v>
      </c>
      <c r="BH242" s="528">
        <f t="shared" si="696"/>
        <v>0.10652037545456719</v>
      </c>
      <c r="BI242">
        <f t="shared" si="697"/>
        <v>1.6179150302746317E-2</v>
      </c>
      <c r="BJ242" s="460">
        <f t="shared" si="698"/>
        <v>330.77373952281357</v>
      </c>
      <c r="BK242">
        <f t="shared" si="648"/>
        <v>0.7575038786171755</v>
      </c>
      <c r="BL242" s="460">
        <f t="shared" si="699"/>
        <v>1087.0572205525571</v>
      </c>
      <c r="BM242" s="173">
        <f t="shared" si="649"/>
        <v>0.96914999999999984</v>
      </c>
      <c r="BN242" s="173">
        <f t="shared" si="650"/>
        <v>1.1537500000000001E-2</v>
      </c>
      <c r="BQ242" s="460">
        <f t="shared" si="700"/>
        <v>980.68749999999977</v>
      </c>
      <c r="BR242" s="528">
        <f t="shared" si="701"/>
        <v>6.6690923815810235E-3</v>
      </c>
      <c r="BS242" s="528">
        <f t="shared" si="702"/>
        <v>0.40438023618041796</v>
      </c>
      <c r="BT242" s="528">
        <f t="shared" si="703"/>
        <v>2.446884427654885E-5</v>
      </c>
      <c r="BU242" s="528">
        <f t="shared" si="704"/>
        <v>0.48933616521415857</v>
      </c>
      <c r="BV242" s="528"/>
      <c r="BW242" s="625">
        <f t="shared" si="705"/>
        <v>2.7950000000000003E-2</v>
      </c>
      <c r="BX242" s="460">
        <f t="shared" si="706"/>
        <v>928.35996262043409</v>
      </c>
      <c r="BY242" s="173">
        <f t="shared" si="707"/>
        <v>2.9961046831729914</v>
      </c>
      <c r="BZ242" s="5">
        <f t="shared" si="708"/>
        <v>6.7080000000000002</v>
      </c>
      <c r="CA242" s="173">
        <f t="shared" si="709"/>
        <v>0.69125387853984466</v>
      </c>
      <c r="CB242" s="5">
        <f t="shared" si="710"/>
        <v>69.125387853984464</v>
      </c>
      <c r="CC242">
        <f t="shared" si="711"/>
        <v>26</v>
      </c>
      <c r="CE242" s="562">
        <f t="shared" si="651"/>
        <v>-50</v>
      </c>
      <c r="CG242" s="173">
        <f t="shared" si="652"/>
        <v>0.45249309386995068</v>
      </c>
      <c r="CH242" s="173">
        <f t="shared" si="653"/>
        <v>0.10839367566467328</v>
      </c>
      <c r="CI242" s="170">
        <v>26</v>
      </c>
      <c r="CJ242" s="217">
        <f t="shared" si="712"/>
        <v>1.56</v>
      </c>
      <c r="CK242" s="217">
        <f t="shared" si="654"/>
        <v>2.6000000000000002E-2</v>
      </c>
      <c r="CL242" s="217">
        <f t="shared" si="655"/>
        <v>6.24</v>
      </c>
      <c r="CM242" s="217">
        <f t="shared" si="656"/>
        <v>0.46800000000000003</v>
      </c>
      <c r="CN242" s="541">
        <f t="shared" si="657"/>
        <v>36</v>
      </c>
      <c r="CO242" s="443">
        <f t="shared" si="658"/>
        <v>18.8</v>
      </c>
      <c r="CP242" s="443">
        <f t="shared" si="659"/>
        <v>54.8</v>
      </c>
      <c r="CQ242" s="443"/>
      <c r="CR242" s="217">
        <f t="shared" si="660"/>
        <v>0.34306569343065696</v>
      </c>
      <c r="CS242" s="172">
        <f t="shared" si="661"/>
        <v>38.295705313189622</v>
      </c>
      <c r="CT242" s="172">
        <f t="shared" si="662"/>
        <v>3.0875912408759132</v>
      </c>
      <c r="CU242" s="217">
        <f t="shared" si="663"/>
        <v>9.5739263282974054</v>
      </c>
      <c r="CV242" s="217">
        <f t="shared" si="664"/>
        <v>2.12753918406609</v>
      </c>
      <c r="CW242" s="217">
        <f t="shared" si="665"/>
        <v>4</v>
      </c>
      <c r="CX242" s="217">
        <f t="shared" si="666"/>
        <v>1.0862836879432622</v>
      </c>
      <c r="CY242" s="217">
        <f t="shared" si="667"/>
        <v>0.36209456264775414</v>
      </c>
      <c r="CZ242" s="217">
        <f t="shared" si="668"/>
        <v>0.69337256677229497</v>
      </c>
      <c r="DA242" s="197">
        <f t="shared" si="669"/>
        <v>350</v>
      </c>
      <c r="DB242" s="443">
        <f t="shared" si="670"/>
        <v>350</v>
      </c>
      <c r="DD242" s="217">
        <f t="shared" si="671"/>
        <v>2.940563086548488</v>
      </c>
      <c r="DE242" s="173">
        <f t="shared" si="672"/>
        <v>1.8769551616266944</v>
      </c>
      <c r="DF242" s="173">
        <f t="shared" si="673"/>
        <v>3.5939660877863036</v>
      </c>
      <c r="DG242" s="173"/>
      <c r="DH242" s="173">
        <f t="shared" si="674"/>
        <v>0.85106382978723416</v>
      </c>
      <c r="DI242" s="545">
        <f t="shared" si="675"/>
        <v>687.37499999999989</v>
      </c>
      <c r="DJ242" s="528">
        <f t="shared" si="676"/>
        <v>0.79432624113475192</v>
      </c>
      <c r="DL242" s="173">
        <f t="shared" si="677"/>
        <v>1.7872564769181043</v>
      </c>
      <c r="DM242" s="173">
        <f t="shared" si="678"/>
        <v>1.7872564769181043</v>
      </c>
      <c r="DN242" s="173">
        <f t="shared" si="679"/>
        <v>1.5362393656183486</v>
      </c>
      <c r="DP242" s="545">
        <f t="shared" si="680"/>
        <v>1560</v>
      </c>
      <c r="DQ242" s="460">
        <f t="shared" si="681"/>
        <v>350</v>
      </c>
      <c r="DS242">
        <f t="shared" si="682"/>
        <v>1560</v>
      </c>
      <c r="DT242">
        <f t="shared" si="683"/>
        <v>350</v>
      </c>
      <c r="DV242" s="5">
        <f t="shared" si="684"/>
        <v>2.8571428571428572</v>
      </c>
      <c r="DW242" s="5">
        <f t="shared" si="685"/>
        <v>0.59575215897270151</v>
      </c>
      <c r="DX242" s="5">
        <f t="shared" si="686"/>
        <v>2.2613906981701559</v>
      </c>
      <c r="DY242" s="173">
        <f t="shared" si="687"/>
        <v>0.20851325564044551</v>
      </c>
      <c r="EA242" s="5">
        <f t="shared" si="713"/>
        <v>23.234334199935361</v>
      </c>
      <c r="EB242" s="5">
        <f t="shared" si="714"/>
        <v>8.605308962939022E-2</v>
      </c>
      <c r="EC242" s="5">
        <f t="shared" si="715"/>
        <v>0.3266453230690225</v>
      </c>
      <c r="ED242" s="5"/>
      <c r="EE242" s="173">
        <f t="shared" si="716"/>
        <v>0.4711867689609151</v>
      </c>
      <c r="EF242" s="173">
        <f t="shared" si="717"/>
        <v>3.6720456065099798</v>
      </c>
      <c r="EG242" s="173">
        <f t="shared" si="718"/>
        <v>6.9967355475392859E-2</v>
      </c>
      <c r="EH242" s="173"/>
      <c r="EI242" s="528">
        <f t="shared" si="719"/>
        <v>2.7086070491746869E-3</v>
      </c>
      <c r="EJ242" s="528">
        <f t="shared" si="720"/>
        <v>0.68559158454578473</v>
      </c>
      <c r="EK242" s="528">
        <f t="shared" si="721"/>
        <v>4.3749999999999997E-2</v>
      </c>
      <c r="EL242" s="528">
        <f t="shared" si="722"/>
        <v>0.10510639999999997</v>
      </c>
      <c r="EM242">
        <f t="shared" si="723"/>
        <v>1.6199999999999999E-2</v>
      </c>
      <c r="EN242" s="460">
        <f t="shared" si="724"/>
        <v>59.949999999999996</v>
      </c>
      <c r="EP242" s="460">
        <f t="shared" si="725"/>
        <v>853.35659159495924</v>
      </c>
      <c r="EQ242" s="173">
        <f t="shared" si="726"/>
        <v>1.0919999999999999</v>
      </c>
      <c r="ER242" s="173">
        <f t="shared" si="688"/>
        <v>1.1537500000000001E-2</v>
      </c>
      <c r="ES242" s="528"/>
      <c r="EU242" s="460">
        <f t="shared" si="727"/>
        <v>1103.5374999999999</v>
      </c>
      <c r="EV242" s="528">
        <f t="shared" si="728"/>
        <v>6.6605091373148038E-3</v>
      </c>
      <c r="EW242" s="528">
        <f t="shared" si="729"/>
        <v>0.40451756808867739</v>
      </c>
      <c r="EX242" s="528">
        <f t="shared" si="730"/>
        <v>2.4477154161099938E-5</v>
      </c>
      <c r="EY242" s="528">
        <f t="shared" si="731"/>
        <v>0.48933616521415857</v>
      </c>
      <c r="EZ242" s="528"/>
      <c r="FA242" s="625">
        <f t="shared" si="732"/>
        <v>2.7950000000000003E-2</v>
      </c>
      <c r="FB242" s="460">
        <f t="shared" si="733"/>
        <v>928.48871959431187</v>
      </c>
      <c r="FC242" s="173">
        <f t="shared" si="734"/>
        <v>2.8853828111892712</v>
      </c>
      <c r="FD242" s="5">
        <f t="shared" si="735"/>
        <v>6.7080000000000002</v>
      </c>
      <c r="FE242" s="173">
        <f t="shared" si="736"/>
        <v>0.69923197395772674</v>
      </c>
      <c r="FF242" s="5">
        <f t="shared" si="737"/>
        <v>69.923197395772675</v>
      </c>
      <c r="FG242">
        <f t="shared" si="738"/>
        <v>26</v>
      </c>
      <c r="FI242" s="562">
        <f t="shared" si="689"/>
        <v>-50</v>
      </c>
    </row>
    <row r="243" spans="5:165">
      <c r="E243" s="170">
        <v>27</v>
      </c>
      <c r="F243" s="217">
        <f t="shared" si="690"/>
        <v>1.62</v>
      </c>
      <c r="G243" s="217">
        <f t="shared" si="617"/>
        <v>2.7000000000000003E-2</v>
      </c>
      <c r="H243" s="217">
        <f t="shared" si="618"/>
        <v>6.48</v>
      </c>
      <c r="I243" s="217">
        <f t="shared" si="619"/>
        <v>0.48600000000000004</v>
      </c>
      <c r="J243" s="541">
        <f t="shared" si="620"/>
        <v>35.952784733261581</v>
      </c>
      <c r="K243" s="443">
        <f t="shared" si="621"/>
        <v>19.221588831513767</v>
      </c>
      <c r="L243" s="172">
        <f t="shared" si="622"/>
        <v>55.174373564775351</v>
      </c>
      <c r="M243" s="443"/>
      <c r="N243" s="217">
        <f t="shared" si="623"/>
        <v>0.34837892285170036</v>
      </c>
      <c r="O243" s="172">
        <f t="shared" si="624"/>
        <v>38.837805950054971</v>
      </c>
      <c r="P243" s="172">
        <f t="shared" si="625"/>
        <v>3.1312981047231818</v>
      </c>
      <c r="Q243" s="217">
        <f t="shared" si="626"/>
        <v>9.7094514875137428</v>
      </c>
      <c r="R243" s="217">
        <f t="shared" si="627"/>
        <v>2.1576558861141653</v>
      </c>
      <c r="S243" s="217">
        <f t="shared" si="628"/>
        <v>4</v>
      </c>
      <c r="T243" s="217">
        <f t="shared" si="629"/>
        <v>1.1123182410343873</v>
      </c>
      <c r="U243" s="217">
        <f t="shared" si="630"/>
        <v>0.37125966712848157</v>
      </c>
      <c r="V243" s="217">
        <f t="shared" si="631"/>
        <v>0.69441808423916129</v>
      </c>
      <c r="W243" s="197">
        <f t="shared" si="632"/>
        <v>350</v>
      </c>
      <c r="X243" s="443">
        <f t="shared" si="691"/>
        <v>350</v>
      </c>
      <c r="Z243" s="217">
        <f t="shared" si="633"/>
        <v>2.982188671164935</v>
      </c>
      <c r="AA243" s="173">
        <f t="shared" si="634"/>
        <v>1.8617745061379989</v>
      </c>
      <c r="AB243" s="173">
        <f t="shared" si="635"/>
        <v>3.6153618496073507</v>
      </c>
      <c r="AC243" s="173"/>
      <c r="AD243" s="173">
        <f t="shared" si="636"/>
        <v>0.83239737049041573</v>
      </c>
      <c r="AE243" s="545">
        <f t="shared" si="637"/>
        <v>729.81970094653809</v>
      </c>
      <c r="AF243" s="528">
        <f t="shared" si="638"/>
        <v>0.77690421245772145</v>
      </c>
      <c r="AH243" s="173">
        <f t="shared" si="639"/>
        <v>1.8213025166464953</v>
      </c>
      <c r="AI243" s="173">
        <f t="shared" si="640"/>
        <v>1.8213025166464953</v>
      </c>
      <c r="AJ243" s="173">
        <f t="shared" si="641"/>
        <v>1.5614586543060458</v>
      </c>
      <c r="AL243" s="545">
        <f t="shared" si="642"/>
        <v>1620</v>
      </c>
      <c r="AM243" s="460">
        <f t="shared" si="643"/>
        <v>350</v>
      </c>
      <c r="AO243">
        <f t="shared" si="644"/>
        <v>1620</v>
      </c>
      <c r="AP243">
        <f t="shared" si="645"/>
        <v>350</v>
      </c>
      <c r="AR243" s="5">
        <f t="shared" si="616"/>
        <v>2.8571428571428572</v>
      </c>
      <c r="AS243" s="5">
        <f t="shared" ref="AS243:AS306" si="739">L*AI243/J243*1000000</f>
        <v>0.60789811865500076</v>
      </c>
      <c r="AT243" s="5">
        <f t="shared" ref="AT243:AT306" si="740">AR243-AS243</f>
        <v>2.2492447384878567</v>
      </c>
      <c r="AU243" s="173">
        <f t="shared" ref="AU243:AU306" si="741">AS243/AR243</f>
        <v>0.21276434152925025</v>
      </c>
      <c r="BA243" s="173">
        <f t="shared" si="692"/>
        <v>0.48503254727851547</v>
      </c>
      <c r="BB243" s="173">
        <f t="shared" si="693"/>
        <v>3.7319329335770237</v>
      </c>
      <c r="BC243" s="173">
        <f t="shared" si="694"/>
        <v>7.110845184248113E-2</v>
      </c>
      <c r="BD243" s="173"/>
      <c r="BE243" s="528">
        <f t="shared" si="695"/>
        <v>2.870130177417721E-3</v>
      </c>
      <c r="BF243" s="528">
        <f t="shared" si="646"/>
        <v>0.6594605418707199</v>
      </c>
      <c r="BG243" s="528">
        <f t="shared" si="647"/>
        <v>0.31458686641603878</v>
      </c>
      <c r="BH243" s="528">
        <f t="shared" si="696"/>
        <v>0.10654740243928836</v>
      </c>
      <c r="BI243">
        <f t="shared" si="697"/>
        <v>1.6178753129967711E-2</v>
      </c>
      <c r="BJ243" s="460">
        <f t="shared" si="698"/>
        <v>330.76561954600646</v>
      </c>
      <c r="BK243">
        <f t="shared" si="648"/>
        <v>0.77017822723234874</v>
      </c>
      <c r="BL243" s="460">
        <f t="shared" si="699"/>
        <v>1099.6436940334324</v>
      </c>
      <c r="BM243" s="173">
        <f t="shared" si="649"/>
        <v>1.0064249999999999</v>
      </c>
      <c r="BN243" s="173">
        <f t="shared" si="650"/>
        <v>1.1981250000000001E-2</v>
      </c>
      <c r="BQ243" s="460">
        <f t="shared" si="700"/>
        <v>1018.40625</v>
      </c>
      <c r="BR243" s="528">
        <f t="shared" si="701"/>
        <v>7.0576971575845599E-3</v>
      </c>
      <c r="BS243" s="528">
        <f t="shared" si="702"/>
        <v>0.41781970262150431</v>
      </c>
      <c r="BT243" s="528">
        <f t="shared" si="703"/>
        <v>2.5282059617172289E-5</v>
      </c>
      <c r="BU243" s="528">
        <f t="shared" si="704"/>
        <v>0.51297397746268658</v>
      </c>
      <c r="BV243" s="528"/>
      <c r="BW243" s="625">
        <f t="shared" si="705"/>
        <v>2.9025000000000009E-2</v>
      </c>
      <c r="BX243" s="460">
        <f t="shared" si="706"/>
        <v>966.90165930139256</v>
      </c>
      <c r="BY243" s="173">
        <f t="shared" si="707"/>
        <v>3.0849516033348245</v>
      </c>
      <c r="BZ243" s="5">
        <f t="shared" si="708"/>
        <v>6.9660000000000002</v>
      </c>
      <c r="CA243" s="173">
        <f t="shared" si="709"/>
        <v>0.69306870383185781</v>
      </c>
      <c r="CB243" s="5">
        <f t="shared" si="710"/>
        <v>69.306870383185782</v>
      </c>
      <c r="CC243">
        <f t="shared" si="711"/>
        <v>27</v>
      </c>
      <c r="CE243" s="562">
        <f t="shared" si="651"/>
        <v>-50</v>
      </c>
      <c r="CG243" s="173">
        <f t="shared" si="652"/>
        <v>0.46111278446818199</v>
      </c>
      <c r="CH243" s="173">
        <f t="shared" si="653"/>
        <v>0.11045850264146476</v>
      </c>
      <c r="CI243" s="170">
        <v>27</v>
      </c>
      <c r="CJ243" s="217">
        <f t="shared" si="712"/>
        <v>1.62</v>
      </c>
      <c r="CK243" s="217">
        <f t="shared" si="654"/>
        <v>2.7000000000000003E-2</v>
      </c>
      <c r="CL243" s="217">
        <f t="shared" si="655"/>
        <v>6.48</v>
      </c>
      <c r="CM243" s="217">
        <f t="shared" si="656"/>
        <v>0.48600000000000004</v>
      </c>
      <c r="CN243" s="541">
        <f t="shared" si="657"/>
        <v>36</v>
      </c>
      <c r="CO243" s="443">
        <f t="shared" si="658"/>
        <v>18.8</v>
      </c>
      <c r="CP243" s="443">
        <f t="shared" si="659"/>
        <v>54.8</v>
      </c>
      <c r="CQ243" s="443"/>
      <c r="CR243" s="217">
        <f t="shared" si="660"/>
        <v>0.34306569343065696</v>
      </c>
      <c r="CS243" s="172">
        <f t="shared" si="661"/>
        <v>38.295705313189622</v>
      </c>
      <c r="CT243" s="172">
        <f t="shared" si="662"/>
        <v>3.0875912408759132</v>
      </c>
      <c r="CU243" s="217">
        <f t="shared" si="663"/>
        <v>9.5739263282974054</v>
      </c>
      <c r="CV243" s="217">
        <f t="shared" si="664"/>
        <v>2.12753918406609</v>
      </c>
      <c r="CW243" s="217">
        <f t="shared" si="665"/>
        <v>4</v>
      </c>
      <c r="CX243" s="217">
        <f t="shared" si="666"/>
        <v>1.1280638297872339</v>
      </c>
      <c r="CY243" s="217">
        <f t="shared" si="667"/>
        <v>0.37602127659574464</v>
      </c>
      <c r="CZ243" s="217">
        <f t="shared" si="668"/>
        <v>0.72004074241738325</v>
      </c>
      <c r="DA243" s="197">
        <f t="shared" si="669"/>
        <v>350</v>
      </c>
      <c r="DB243" s="443">
        <f t="shared" si="670"/>
        <v>350</v>
      </c>
      <c r="DD243" s="217">
        <f t="shared" si="671"/>
        <v>2.940563086548488</v>
      </c>
      <c r="DE243" s="173">
        <f t="shared" si="672"/>
        <v>1.8769551616266944</v>
      </c>
      <c r="DF243" s="173">
        <f t="shared" si="673"/>
        <v>3.5939660877863036</v>
      </c>
      <c r="DG243" s="173"/>
      <c r="DH243" s="173">
        <f t="shared" si="674"/>
        <v>0.85106382978723416</v>
      </c>
      <c r="DI243" s="545">
        <f t="shared" si="675"/>
        <v>713.81249999999989</v>
      </c>
      <c r="DJ243" s="528">
        <f t="shared" si="676"/>
        <v>0.79432624113475192</v>
      </c>
      <c r="DL243" s="173">
        <f t="shared" si="677"/>
        <v>1.8213025166464953</v>
      </c>
      <c r="DM243" s="173">
        <f t="shared" si="678"/>
        <v>1.8213025166464953</v>
      </c>
      <c r="DN243" s="173">
        <f t="shared" si="679"/>
        <v>1.5614586543060458</v>
      </c>
      <c r="DP243" s="545">
        <f t="shared" si="680"/>
        <v>1620</v>
      </c>
      <c r="DQ243" s="460">
        <f t="shared" si="681"/>
        <v>350</v>
      </c>
      <c r="DS243">
        <f t="shared" si="682"/>
        <v>1620</v>
      </c>
      <c r="DT243">
        <f t="shared" si="683"/>
        <v>350</v>
      </c>
      <c r="DV243" s="5">
        <f t="shared" si="684"/>
        <v>2.8571428571428572</v>
      </c>
      <c r="DW243" s="5">
        <f t="shared" si="685"/>
        <v>0.60710083888216515</v>
      </c>
      <c r="DX243" s="5">
        <f t="shared" si="686"/>
        <v>2.2500420182606922</v>
      </c>
      <c r="DY243" s="173">
        <f t="shared" si="687"/>
        <v>0.21248529360875779</v>
      </c>
      <c r="EA243" s="5">
        <f t="shared" si="713"/>
        <v>24.587583974727689</v>
      </c>
      <c r="EB243" s="5">
        <f t="shared" si="714"/>
        <v>9.1065125832324775E-2</v>
      </c>
      <c r="EC243" s="5">
        <f t="shared" si="715"/>
        <v>0.33750630273910381</v>
      </c>
      <c r="ED243" s="5"/>
      <c r="EE243" s="173">
        <f t="shared" si="716"/>
        <v>0.48471437429417952</v>
      </c>
      <c r="EF243" s="173">
        <f t="shared" si="717"/>
        <v>3.7325942958042204</v>
      </c>
      <c r="EG243" s="173">
        <f t="shared" si="718"/>
        <v>7.1121053474107451E-2</v>
      </c>
      <c r="EH243" s="173"/>
      <c r="EI243" s="528">
        <f t="shared" si="719"/>
        <v>2.8663659006982548E-3</v>
      </c>
      <c r="EJ243" s="528">
        <f t="shared" si="720"/>
        <v>0.69865164538559543</v>
      </c>
      <c r="EK243" s="528">
        <f t="shared" si="721"/>
        <v>4.3749999999999997E-2</v>
      </c>
      <c r="EL243" s="528">
        <f t="shared" si="722"/>
        <v>0.10510639999999997</v>
      </c>
      <c r="EM243">
        <f t="shared" si="723"/>
        <v>1.6199999999999999E-2</v>
      </c>
      <c r="EN243" s="460">
        <f t="shared" si="724"/>
        <v>59.949999999999996</v>
      </c>
      <c r="EP243" s="460">
        <f t="shared" si="725"/>
        <v>866.57441128629353</v>
      </c>
      <c r="EQ243" s="173">
        <f t="shared" si="726"/>
        <v>1.1339999999999999</v>
      </c>
      <c r="ER243" s="173">
        <f t="shared" si="688"/>
        <v>1.1981250000000001E-2</v>
      </c>
      <c r="ES243" s="528"/>
      <c r="EU243" s="460">
        <f t="shared" si="727"/>
        <v>1145.98125</v>
      </c>
      <c r="EV243" s="528">
        <f t="shared" si="728"/>
        <v>7.0484407394219382E-3</v>
      </c>
      <c r="EW243" s="528">
        <f t="shared" si="729"/>
        <v>0.41796780531210609</v>
      </c>
      <c r="EX243" s="528">
        <f t="shared" si="730"/>
        <v>2.5291021236334257E-5</v>
      </c>
      <c r="EY243" s="528">
        <f t="shared" si="731"/>
        <v>0.51297397746268658</v>
      </c>
      <c r="EZ243" s="528"/>
      <c r="FA243" s="625">
        <f t="shared" si="732"/>
        <v>2.9025000000000009E-2</v>
      </c>
      <c r="FB243" s="460">
        <f t="shared" si="733"/>
        <v>967.04051453545094</v>
      </c>
      <c r="FC243" s="173">
        <f t="shared" si="734"/>
        <v>2.9795961758217437</v>
      </c>
      <c r="FD243" s="5">
        <f t="shared" si="735"/>
        <v>6.9660000000000002</v>
      </c>
      <c r="FE243" s="173">
        <f t="shared" si="736"/>
        <v>0.70041050097476354</v>
      </c>
      <c r="FF243" s="5">
        <f t="shared" si="737"/>
        <v>70.041050097476358</v>
      </c>
      <c r="FG243">
        <f t="shared" si="738"/>
        <v>27</v>
      </c>
      <c r="FI243" s="562">
        <f t="shared" si="689"/>
        <v>-50</v>
      </c>
    </row>
    <row r="244" spans="5:165">
      <c r="E244" s="170">
        <v>28</v>
      </c>
      <c r="F244" s="217">
        <f t="shared" si="690"/>
        <v>1.6800000000000002</v>
      </c>
      <c r="G244" s="217">
        <f t="shared" si="617"/>
        <v>2.8000000000000004E-2</v>
      </c>
      <c r="H244" s="217">
        <f t="shared" si="618"/>
        <v>6.7200000000000006</v>
      </c>
      <c r="I244" s="217">
        <f t="shared" si="619"/>
        <v>0.50400000000000011</v>
      </c>
      <c r="J244" s="541">
        <f t="shared" si="620"/>
        <v>35.951918325825261</v>
      </c>
      <c r="K244" s="443">
        <f t="shared" si="621"/>
        <v>19.229325051679961</v>
      </c>
      <c r="L244" s="172">
        <f t="shared" si="622"/>
        <v>55.181243377505226</v>
      </c>
      <c r="M244" s="443"/>
      <c r="N244" s="217">
        <f t="shared" si="623"/>
        <v>0.34847574782120339</v>
      </c>
      <c r="O244" s="172">
        <f t="shared" si="624"/>
        <v>38.847663951003987</v>
      </c>
      <c r="P244" s="172">
        <f t="shared" si="625"/>
        <v>3.1320929060496963</v>
      </c>
      <c r="Q244" s="217">
        <f t="shared" si="626"/>
        <v>9.7119159877509968</v>
      </c>
      <c r="R244" s="217">
        <f t="shared" si="627"/>
        <v>2.1582035528335548</v>
      </c>
      <c r="S244" s="217">
        <f t="shared" si="628"/>
        <v>4</v>
      </c>
      <c r="T244" s="217">
        <f t="shared" si="629"/>
        <v>1.1532224963772162</v>
      </c>
      <c r="U244" s="217">
        <f t="shared" si="630"/>
        <v>0.38492160087563099</v>
      </c>
      <c r="V244" s="217">
        <f t="shared" si="631"/>
        <v>0.71966488263807193</v>
      </c>
      <c r="W244" s="197">
        <f t="shared" si="632"/>
        <v>350</v>
      </c>
      <c r="X244" s="443">
        <f t="shared" si="691"/>
        <v>350</v>
      </c>
      <c r="Z244" s="217">
        <f t="shared" si="633"/>
        <v>2.9829456248092345</v>
      </c>
      <c r="AA244" s="173">
        <f t="shared" si="634"/>
        <v>1.8614978633679902</v>
      </c>
      <c r="AB244" s="173">
        <f t="shared" si="635"/>
        <v>3.6157421720815801</v>
      </c>
      <c r="AC244" s="173"/>
      <c r="AD244" s="173">
        <f t="shared" si="636"/>
        <v>0.83206248565662322</v>
      </c>
      <c r="AE244" s="545">
        <f t="shared" si="637"/>
        <v>757.15467390989818</v>
      </c>
      <c r="AF244" s="528">
        <f t="shared" si="638"/>
        <v>0.77659165327951507</v>
      </c>
      <c r="AH244" s="173">
        <f t="shared" si="639"/>
        <v>1.8547236990991409</v>
      </c>
      <c r="AI244" s="173">
        <f t="shared" si="640"/>
        <v>1.8547236990991409</v>
      </c>
      <c r="AJ244" s="173">
        <f t="shared" si="641"/>
        <v>1.58621508575245</v>
      </c>
      <c r="AL244" s="545">
        <f t="shared" si="642"/>
        <v>1680.0000000000002</v>
      </c>
      <c r="AM244" s="460">
        <f t="shared" si="643"/>
        <v>350</v>
      </c>
      <c r="AO244">
        <f t="shared" si="644"/>
        <v>1680.0000000000002</v>
      </c>
      <c r="AP244">
        <f t="shared" si="645"/>
        <v>350</v>
      </c>
      <c r="AR244" s="5">
        <f t="shared" si="616"/>
        <v>2.8571428571428572</v>
      </c>
      <c r="AS244" s="5">
        <f t="shared" si="739"/>
        <v>0.61906806161166916</v>
      </c>
      <c r="AT244" s="5">
        <f t="shared" si="740"/>
        <v>2.2380747955311882</v>
      </c>
      <c r="AU244" s="173">
        <f t="shared" si="741"/>
        <v>0.21667382156408421</v>
      </c>
      <c r="BA244" s="173">
        <f t="shared" si="692"/>
        <v>0.49845024699243212</v>
      </c>
      <c r="BB244" s="173">
        <f t="shared" si="693"/>
        <v>3.7909661416369316</v>
      </c>
      <c r="BC244" s="173">
        <f t="shared" si="694"/>
        <v>7.2233273779838833E-2</v>
      </c>
      <c r="BD244" s="173"/>
      <c r="BE244" s="528">
        <f t="shared" si="695"/>
        <v>3.0311223144671622E-3</v>
      </c>
      <c r="BF244" s="528">
        <f t="shared" si="646"/>
        <v>0.67164536143698295</v>
      </c>
      <c r="BG244" s="528">
        <f t="shared" si="647"/>
        <v>0.31457928535097102</v>
      </c>
      <c r="BH244" s="528">
        <f t="shared" si="696"/>
        <v>0.10657393672406125</v>
      </c>
      <c r="BI244">
        <f t="shared" si="697"/>
        <v>1.6178363246621367E-2</v>
      </c>
      <c r="BJ244" s="460">
        <f t="shared" si="698"/>
        <v>330.75764859759238</v>
      </c>
      <c r="BK244">
        <f t="shared" si="648"/>
        <v>0.78263247122843949</v>
      </c>
      <c r="BL244" s="460">
        <f t="shared" si="699"/>
        <v>1112.0080690731038</v>
      </c>
      <c r="BM244" s="173">
        <f t="shared" si="649"/>
        <v>1.0436999999999999</v>
      </c>
      <c r="BN244" s="173">
        <f t="shared" si="650"/>
        <v>1.2425000000000002E-2</v>
      </c>
      <c r="BQ244" s="460">
        <f t="shared" si="700"/>
        <v>1056.1249999999998</v>
      </c>
      <c r="BR244" s="528">
        <f t="shared" si="701"/>
        <v>7.4535794618044967E-3</v>
      </c>
      <c r="BS244" s="528">
        <f t="shared" si="702"/>
        <v>0.43114272861112807</v>
      </c>
      <c r="BT244" s="528">
        <f t="shared" si="703"/>
        <v>2.6088229204765764E-5</v>
      </c>
      <c r="BU244" s="528">
        <f t="shared" si="704"/>
        <v>0.53683171897110227</v>
      </c>
      <c r="BV244" s="528"/>
      <c r="BW244" s="625">
        <f t="shared" si="705"/>
        <v>3.0100000000000009E-2</v>
      </c>
      <c r="BX244" s="460">
        <f t="shared" si="706"/>
        <v>1005.5541152732394</v>
      </c>
      <c r="BY244" s="173">
        <f t="shared" si="707"/>
        <v>3.1736871843463437</v>
      </c>
      <c r="BZ244" s="5">
        <f t="shared" si="708"/>
        <v>7.2240000000000011</v>
      </c>
      <c r="CA244" s="173">
        <f t="shared" si="709"/>
        <v>0.69476989179629189</v>
      </c>
      <c r="CB244" s="5">
        <f t="shared" si="710"/>
        <v>69.476989179629186</v>
      </c>
      <c r="CC244">
        <f t="shared" si="711"/>
        <v>28.000000000000004</v>
      </c>
      <c r="CE244" s="562">
        <f t="shared" si="651"/>
        <v>-50</v>
      </c>
      <c r="CG244" s="173">
        <f t="shared" si="652"/>
        <v>0.46957427527495588</v>
      </c>
      <c r="CH244" s="173">
        <f t="shared" si="653"/>
        <v>0.11248543322355374</v>
      </c>
      <c r="CI244" s="170">
        <v>28</v>
      </c>
      <c r="CJ244" s="217">
        <f t="shared" si="712"/>
        <v>1.6800000000000002</v>
      </c>
      <c r="CK244" s="217">
        <f t="shared" si="654"/>
        <v>2.8000000000000004E-2</v>
      </c>
      <c r="CL244" s="217">
        <f t="shared" si="655"/>
        <v>6.7200000000000006</v>
      </c>
      <c r="CM244" s="217">
        <f t="shared" si="656"/>
        <v>0.50400000000000011</v>
      </c>
      <c r="CN244" s="541">
        <f t="shared" si="657"/>
        <v>36</v>
      </c>
      <c r="CO244" s="443">
        <f t="shared" si="658"/>
        <v>18.8</v>
      </c>
      <c r="CP244" s="443">
        <f t="shared" si="659"/>
        <v>54.8</v>
      </c>
      <c r="CQ244" s="443"/>
      <c r="CR244" s="217">
        <f t="shared" si="660"/>
        <v>0.34306569343065696</v>
      </c>
      <c r="CS244" s="172">
        <f t="shared" si="661"/>
        <v>38.295705313189622</v>
      </c>
      <c r="CT244" s="172">
        <f t="shared" si="662"/>
        <v>3.0875912408759132</v>
      </c>
      <c r="CU244" s="217">
        <f t="shared" si="663"/>
        <v>9.5739263282974054</v>
      </c>
      <c r="CV244" s="217">
        <f t="shared" si="664"/>
        <v>2.12753918406609</v>
      </c>
      <c r="CW244" s="217">
        <f t="shared" si="665"/>
        <v>4</v>
      </c>
      <c r="CX244" s="217">
        <f t="shared" si="666"/>
        <v>1.1698439716312057</v>
      </c>
      <c r="CY244" s="217">
        <f t="shared" si="667"/>
        <v>0.38994799054373525</v>
      </c>
      <c r="CZ244" s="217">
        <f t="shared" si="668"/>
        <v>0.74670891806247164</v>
      </c>
      <c r="DA244" s="197">
        <f t="shared" si="669"/>
        <v>350</v>
      </c>
      <c r="DB244" s="443">
        <f t="shared" si="670"/>
        <v>350</v>
      </c>
      <c r="DD244" s="217">
        <f t="shared" si="671"/>
        <v>2.940563086548488</v>
      </c>
      <c r="DE244" s="173">
        <f t="shared" si="672"/>
        <v>1.8769551616266944</v>
      </c>
      <c r="DF244" s="173">
        <f t="shared" si="673"/>
        <v>3.5939660877863036</v>
      </c>
      <c r="DG244" s="173"/>
      <c r="DH244" s="173">
        <f t="shared" si="674"/>
        <v>0.85106382978723416</v>
      </c>
      <c r="DI244" s="545">
        <f t="shared" si="675"/>
        <v>740.24999999999989</v>
      </c>
      <c r="DJ244" s="528">
        <f t="shared" si="676"/>
        <v>0.79432624113475192</v>
      </c>
      <c r="DL244" s="173">
        <f t="shared" si="677"/>
        <v>1.8547236990991409</v>
      </c>
      <c r="DM244" s="173">
        <f t="shared" si="678"/>
        <v>1.8547236990991409</v>
      </c>
      <c r="DN244" s="173">
        <f t="shared" si="679"/>
        <v>1.58621508575245</v>
      </c>
      <c r="DP244" s="545">
        <f t="shared" si="680"/>
        <v>1680.0000000000002</v>
      </c>
      <c r="DQ244" s="460">
        <f t="shared" si="681"/>
        <v>350</v>
      </c>
      <c r="DS244">
        <f t="shared" si="682"/>
        <v>1680.0000000000002</v>
      </c>
      <c r="DT244">
        <f t="shared" si="683"/>
        <v>350</v>
      </c>
      <c r="DV244" s="5">
        <f t="shared" si="684"/>
        <v>2.8571428571428572</v>
      </c>
      <c r="DW244" s="5">
        <f t="shared" si="685"/>
        <v>0.6182412330330469</v>
      </c>
      <c r="DX244" s="5">
        <f t="shared" si="686"/>
        <v>2.2389016241098103</v>
      </c>
      <c r="DY244" s="173">
        <f t="shared" si="687"/>
        <v>0.21638443156156642</v>
      </c>
      <c r="EA244" s="5">
        <f t="shared" si="713"/>
        <v>25.966131787387972</v>
      </c>
      <c r="EB244" s="5">
        <f t="shared" si="714"/>
        <v>9.6170858471807313E-2</v>
      </c>
      <c r="EC244" s="5">
        <f t="shared" si="715"/>
        <v>0.34827358597263713</v>
      </c>
      <c r="ED244" s="5"/>
      <c r="EE244" s="173">
        <f t="shared" si="716"/>
        <v>0.49811727018570928</v>
      </c>
      <c r="EF244" s="173">
        <f t="shared" si="717"/>
        <v>3.7916663393487648</v>
      </c>
      <c r="EG244" s="173">
        <f t="shared" si="718"/>
        <v>7.2246615384888635E-2</v>
      </c>
      <c r="EH244" s="173"/>
      <c r="EI244" s="528">
        <f t="shared" si="719"/>
        <v>3.027073941258607E-3</v>
      </c>
      <c r="EJ244" s="528">
        <f t="shared" si="720"/>
        <v>0.71147201097443047</v>
      </c>
      <c r="EK244" s="528">
        <f t="shared" si="721"/>
        <v>4.3749999999999997E-2</v>
      </c>
      <c r="EL244" s="528">
        <f t="shared" si="722"/>
        <v>0.10510639999999997</v>
      </c>
      <c r="EM244">
        <f t="shared" si="723"/>
        <v>1.6199999999999999E-2</v>
      </c>
      <c r="EN244" s="460">
        <f t="shared" si="724"/>
        <v>59.949999999999996</v>
      </c>
      <c r="EP244" s="460">
        <f t="shared" si="725"/>
        <v>879.55548491568891</v>
      </c>
      <c r="EQ244" s="173">
        <f t="shared" si="726"/>
        <v>1.1759999999999999</v>
      </c>
      <c r="ER244" s="173">
        <f t="shared" si="688"/>
        <v>1.2425000000000002E-2</v>
      </c>
      <c r="ES244" s="528"/>
      <c r="EU244" s="460">
        <f t="shared" si="727"/>
        <v>1188.425</v>
      </c>
      <c r="EV244" s="528">
        <f t="shared" si="728"/>
        <v>7.4436244457178865E-3</v>
      </c>
      <c r="EW244" s="528">
        <f t="shared" si="729"/>
        <v>0.43130200886851389</v>
      </c>
      <c r="EX244" s="528">
        <f t="shared" si="730"/>
        <v>2.6097867172860139E-5</v>
      </c>
      <c r="EY244" s="528">
        <f t="shared" si="731"/>
        <v>0.53683171897110227</v>
      </c>
      <c r="EZ244" s="528"/>
      <c r="FA244" s="625">
        <f t="shared" si="732"/>
        <v>3.0100000000000009E-2</v>
      </c>
      <c r="FB244" s="460">
        <f t="shared" si="733"/>
        <v>1005.7034501525069</v>
      </c>
      <c r="FC244" s="173">
        <f t="shared" si="734"/>
        <v>3.0736839350681953</v>
      </c>
      <c r="FD244" s="5">
        <f t="shared" si="735"/>
        <v>7.2240000000000011</v>
      </c>
      <c r="FE244" s="173">
        <f t="shared" si="736"/>
        <v>0.7015169668782576</v>
      </c>
      <c r="FF244" s="5">
        <f t="shared" si="737"/>
        <v>70.151696687825762</v>
      </c>
      <c r="FG244">
        <f t="shared" si="738"/>
        <v>28.000000000000004</v>
      </c>
      <c r="FI244" s="562">
        <f t="shared" si="689"/>
        <v>-50</v>
      </c>
    </row>
    <row r="245" spans="5:165">
      <c r="E245" s="170">
        <v>29</v>
      </c>
      <c r="F245" s="217">
        <f t="shared" si="690"/>
        <v>1.7399999999999998</v>
      </c>
      <c r="G245" s="217">
        <f t="shared" si="617"/>
        <v>2.8999999999999998E-2</v>
      </c>
      <c r="H245" s="217">
        <f t="shared" si="618"/>
        <v>6.9599999999999991</v>
      </c>
      <c r="I245" s="217">
        <f t="shared" si="619"/>
        <v>0.52200000000000002</v>
      </c>
      <c r="J245" s="541">
        <f t="shared" si="620"/>
        <v>35.951067256670896</v>
      </c>
      <c r="K245" s="443">
        <f t="shared" si="621"/>
        <v>19.236924315119744</v>
      </c>
      <c r="L245" s="172">
        <f t="shared" si="622"/>
        <v>55.18799157179064</v>
      </c>
      <c r="M245" s="443"/>
      <c r="N245" s="217">
        <f t="shared" si="623"/>
        <v>0.34857083519873377</v>
      </c>
      <c r="O245" s="172">
        <f t="shared" si="624"/>
        <v>38.857344309902714</v>
      </c>
      <c r="P245" s="172">
        <f t="shared" si="625"/>
        <v>3.1328733849859063</v>
      </c>
      <c r="Q245" s="217">
        <f t="shared" si="626"/>
        <v>9.7143360774756786</v>
      </c>
      <c r="R245" s="217">
        <f t="shared" si="627"/>
        <v>2.1587413505501507</v>
      </c>
      <c r="S245" s="217">
        <f t="shared" si="628"/>
        <v>4</v>
      </c>
      <c r="T245" s="217">
        <f t="shared" si="629"/>
        <v>1.1941114562524298</v>
      </c>
      <c r="U245" s="217">
        <f t="shared" si="630"/>
        <v>0.39857891763617337</v>
      </c>
      <c r="V245" s="217">
        <f t="shared" si="631"/>
        <v>0.74488713685724983</v>
      </c>
      <c r="W245" s="197">
        <f t="shared" si="632"/>
        <v>350</v>
      </c>
      <c r="X245" s="443">
        <f t="shared" si="691"/>
        <v>350</v>
      </c>
      <c r="Z245" s="217">
        <f t="shared" si="633"/>
        <v>2.9836889380818152</v>
      </c>
      <c r="AA245" s="173">
        <f t="shared" si="634"/>
        <v>1.8612261851464746</v>
      </c>
      <c r="AB245" s="173">
        <f t="shared" si="635"/>
        <v>3.6161153357421645</v>
      </c>
      <c r="AC245" s="173"/>
      <c r="AD245" s="173">
        <f t="shared" si="636"/>
        <v>0.83173379163447669</v>
      </c>
      <c r="AE245" s="545">
        <f t="shared" si="637"/>
        <v>784.50581972597672</v>
      </c>
      <c r="AF245" s="528">
        <f t="shared" si="638"/>
        <v>0.77628487219217845</v>
      </c>
      <c r="AH245" s="173">
        <f t="shared" si="639"/>
        <v>1.887553215900718</v>
      </c>
      <c r="AI245" s="173">
        <f t="shared" si="640"/>
        <v>1.887553215900718</v>
      </c>
      <c r="AJ245" s="173">
        <f t="shared" si="641"/>
        <v>1.6105332463462108</v>
      </c>
      <c r="AL245" s="545">
        <f t="shared" si="642"/>
        <v>1739.9999999999998</v>
      </c>
      <c r="AM245" s="460">
        <f t="shared" si="643"/>
        <v>350</v>
      </c>
      <c r="AO245">
        <f t="shared" si="644"/>
        <v>1739.9999999999998</v>
      </c>
      <c r="AP245">
        <f t="shared" si="645"/>
        <v>350</v>
      </c>
      <c r="AR245" s="5">
        <f t="shared" si="616"/>
        <v>2.8571428571428572</v>
      </c>
      <c r="AS245" s="5">
        <f t="shared" si="739"/>
        <v>0.63004078374351125</v>
      </c>
      <c r="AT245" s="5">
        <f t="shared" si="740"/>
        <v>2.2271020733993461</v>
      </c>
      <c r="AU245" s="173">
        <f t="shared" si="741"/>
        <v>0.22051427431022894</v>
      </c>
      <c r="BA245" s="173">
        <f t="shared" si="692"/>
        <v>0.51174891542896261</v>
      </c>
      <c r="BB245" s="173">
        <f t="shared" si="693"/>
        <v>3.8485989038637487</v>
      </c>
      <c r="BC245" s="173">
        <f t="shared" si="694"/>
        <v>7.3331411546593048E-2</v>
      </c>
      <c r="BD245" s="173"/>
      <c r="BE245" s="528">
        <f t="shared" si="695"/>
        <v>3.1950208198011781E-3</v>
      </c>
      <c r="BF245" s="528">
        <f t="shared" si="646"/>
        <v>0.68361740324348064</v>
      </c>
      <c r="BG245" s="528">
        <f t="shared" si="647"/>
        <v>0.31457183849587034</v>
      </c>
      <c r="BH245" s="528">
        <f t="shared" si="696"/>
        <v>0.10660000448048121</v>
      </c>
      <c r="BI245">
        <f t="shared" si="697"/>
        <v>1.6177980265501903E-2</v>
      </c>
      <c r="BJ245" s="460">
        <f t="shared" si="698"/>
        <v>330.74981876137224</v>
      </c>
      <c r="BK245">
        <f t="shared" si="648"/>
        <v>0.79487850580707264</v>
      </c>
      <c r="BL245" s="460">
        <f t="shared" si="699"/>
        <v>1124.1622473051352</v>
      </c>
      <c r="BM245" s="173">
        <f t="shared" si="649"/>
        <v>1.0809749999999998</v>
      </c>
      <c r="BN245" s="173">
        <f t="shared" si="650"/>
        <v>1.2868749999999998E-2</v>
      </c>
      <c r="BQ245" s="460">
        <f t="shared" si="700"/>
        <v>1093.8437499999998</v>
      </c>
      <c r="BR245" s="528">
        <f t="shared" si="701"/>
        <v>7.8566085732815864E-3</v>
      </c>
      <c r="BS245" s="528">
        <f t="shared" si="702"/>
        <v>0.44435140568463743</v>
      </c>
      <c r="BT245" s="528">
        <f t="shared" si="703"/>
        <v>2.6887479597078999E-5</v>
      </c>
      <c r="BU245" s="528">
        <f t="shared" si="704"/>
        <v>0.56090346982448236</v>
      </c>
      <c r="BV245" s="528"/>
      <c r="BW245" s="625">
        <f t="shared" si="705"/>
        <v>3.1174999999999998E-2</v>
      </c>
      <c r="BX245" s="460">
        <f t="shared" si="706"/>
        <v>1044.3133715619983</v>
      </c>
      <c r="BY245" s="173">
        <f t="shared" si="707"/>
        <v>3.2623193688671339</v>
      </c>
      <c r="BZ245" s="5">
        <f t="shared" si="708"/>
        <v>7.4819999999999993</v>
      </c>
      <c r="CA245" s="173">
        <f t="shared" si="709"/>
        <v>0.69636798229210595</v>
      </c>
      <c r="CB245" s="5">
        <f t="shared" si="710"/>
        <v>69.636798229210598</v>
      </c>
      <c r="CC245">
        <f t="shared" si="711"/>
        <v>28.999999999999996</v>
      </c>
      <c r="CE245" s="562">
        <f t="shared" si="651"/>
        <v>-50</v>
      </c>
      <c r="CG245" s="173">
        <f t="shared" si="652"/>
        <v>0.47788596966221969</v>
      </c>
      <c r="CH245" s="173">
        <f t="shared" si="653"/>
        <v>0.11447648041928377</v>
      </c>
      <c r="CI245" s="170">
        <v>29</v>
      </c>
      <c r="CJ245" s="217">
        <f t="shared" si="712"/>
        <v>1.7399999999999998</v>
      </c>
      <c r="CK245" s="217">
        <f t="shared" si="654"/>
        <v>2.8999999999999998E-2</v>
      </c>
      <c r="CL245" s="217">
        <f t="shared" si="655"/>
        <v>6.9599999999999991</v>
      </c>
      <c r="CM245" s="217">
        <f t="shared" si="656"/>
        <v>0.52200000000000002</v>
      </c>
      <c r="CN245" s="541">
        <f t="shared" si="657"/>
        <v>36</v>
      </c>
      <c r="CO245" s="443">
        <f t="shared" si="658"/>
        <v>18.8</v>
      </c>
      <c r="CP245" s="443">
        <f t="shared" si="659"/>
        <v>54.8</v>
      </c>
      <c r="CQ245" s="443"/>
      <c r="CR245" s="217">
        <f t="shared" si="660"/>
        <v>0.34306569343065696</v>
      </c>
      <c r="CS245" s="172">
        <f t="shared" si="661"/>
        <v>38.295705313189622</v>
      </c>
      <c r="CT245" s="172">
        <f t="shared" si="662"/>
        <v>3.0875912408759132</v>
      </c>
      <c r="CU245" s="217">
        <f t="shared" si="663"/>
        <v>9.5739263282974054</v>
      </c>
      <c r="CV245" s="217">
        <f t="shared" si="664"/>
        <v>2.12753918406609</v>
      </c>
      <c r="CW245" s="217">
        <f t="shared" si="665"/>
        <v>4</v>
      </c>
      <c r="CX245" s="217">
        <f t="shared" si="666"/>
        <v>1.2116241134751771</v>
      </c>
      <c r="CY245" s="217">
        <f t="shared" si="667"/>
        <v>0.40387470449172569</v>
      </c>
      <c r="CZ245" s="217">
        <f t="shared" si="668"/>
        <v>0.77337709370755992</v>
      </c>
      <c r="DA245" s="197">
        <f t="shared" si="669"/>
        <v>350</v>
      </c>
      <c r="DB245" s="443">
        <f t="shared" si="670"/>
        <v>350</v>
      </c>
      <c r="DD245" s="217">
        <f t="shared" si="671"/>
        <v>2.940563086548488</v>
      </c>
      <c r="DE245" s="173">
        <f t="shared" si="672"/>
        <v>1.8769551616266944</v>
      </c>
      <c r="DF245" s="173">
        <f t="shared" si="673"/>
        <v>3.5939660877863036</v>
      </c>
      <c r="DG245" s="173"/>
      <c r="DH245" s="173">
        <f t="shared" si="674"/>
        <v>0.85106382978723416</v>
      </c>
      <c r="DI245" s="545">
        <f t="shared" si="675"/>
        <v>766.68749999999966</v>
      </c>
      <c r="DJ245" s="528">
        <f t="shared" si="676"/>
        <v>0.79432624113475192</v>
      </c>
      <c r="DL245" s="173">
        <f t="shared" si="677"/>
        <v>1.887553215900718</v>
      </c>
      <c r="DM245" s="173">
        <f t="shared" si="678"/>
        <v>1.887553215900718</v>
      </c>
      <c r="DN245" s="173">
        <f t="shared" si="679"/>
        <v>1.6105332463462108</v>
      </c>
      <c r="DP245" s="545">
        <f t="shared" si="680"/>
        <v>1739.9999999999998</v>
      </c>
      <c r="DQ245" s="460">
        <f t="shared" si="681"/>
        <v>350</v>
      </c>
      <c r="DS245">
        <f t="shared" si="682"/>
        <v>1739.9999999999998</v>
      </c>
      <c r="DT245">
        <f t="shared" si="683"/>
        <v>350</v>
      </c>
      <c r="DV245" s="5">
        <f t="shared" si="684"/>
        <v>2.8571428571428572</v>
      </c>
      <c r="DW245" s="5">
        <f t="shared" si="685"/>
        <v>0.62918440530023945</v>
      </c>
      <c r="DX245" s="5">
        <f t="shared" si="686"/>
        <v>2.2279584518426176</v>
      </c>
      <c r="DY245" s="173">
        <f t="shared" si="687"/>
        <v>0.2202145418550838</v>
      </c>
      <c r="EA245" s="5">
        <f t="shared" si="713"/>
        <v>27.36952163056041</v>
      </c>
      <c r="EB245" s="5">
        <f t="shared" si="714"/>
        <v>0.10136859863170523</v>
      </c>
      <c r="EC245" s="5">
        <f t="shared" si="715"/>
        <v>0.35894886168575496</v>
      </c>
      <c r="ED245" s="5"/>
      <c r="EE245" s="173">
        <f t="shared" si="716"/>
        <v>0.51140100163159585</v>
      </c>
      <c r="EF245" s="173">
        <f t="shared" si="717"/>
        <v>3.8493387757364204</v>
      </c>
      <c r="EG245" s="173">
        <f t="shared" si="718"/>
        <v>7.3345509105248008E-2</v>
      </c>
      <c r="EH245" s="173"/>
      <c r="EI245" s="528">
        <f t="shared" si="719"/>
        <v>3.1906780105315537E-3</v>
      </c>
      <c r="EJ245" s="528">
        <f t="shared" si="720"/>
        <v>0.72406541361951526</v>
      </c>
      <c r="EK245" s="528">
        <f t="shared" si="721"/>
        <v>4.3749999999999997E-2</v>
      </c>
      <c r="EL245" s="528">
        <f t="shared" si="722"/>
        <v>0.10510639999999997</v>
      </c>
      <c r="EM245">
        <f t="shared" si="723"/>
        <v>1.6199999999999999E-2</v>
      </c>
      <c r="EN245" s="460">
        <f t="shared" si="724"/>
        <v>59.949999999999996</v>
      </c>
      <c r="EP245" s="460">
        <f t="shared" si="725"/>
        <v>892.31249163004668</v>
      </c>
      <c r="EQ245" s="173">
        <f t="shared" si="726"/>
        <v>1.2179999999999997</v>
      </c>
      <c r="ER245" s="173">
        <f t="shared" si="688"/>
        <v>1.2868749999999998E-2</v>
      </c>
      <c r="ES245" s="528"/>
      <c r="EU245" s="460">
        <f t="shared" si="727"/>
        <v>1230.8687499999996</v>
      </c>
      <c r="EV245" s="528">
        <f t="shared" si="728"/>
        <v>7.8459295340939841E-3</v>
      </c>
      <c r="EW245" s="528">
        <f t="shared" si="729"/>
        <v>0.44452227031163888</v>
      </c>
      <c r="EX245" s="528">
        <f t="shared" si="730"/>
        <v>2.689781852954009E-5</v>
      </c>
      <c r="EY245" s="528">
        <f t="shared" si="731"/>
        <v>0.56090346982448236</v>
      </c>
      <c r="EZ245" s="528"/>
      <c r="FA245" s="625">
        <f t="shared" si="732"/>
        <v>3.1174999999999998E-2</v>
      </c>
      <c r="FB245" s="460">
        <f t="shared" si="733"/>
        <v>1044.4735674887447</v>
      </c>
      <c r="FC245" s="173">
        <f t="shared" si="734"/>
        <v>3.1676548091187913</v>
      </c>
      <c r="FD245" s="5">
        <f t="shared" si="735"/>
        <v>7.4819999999999993</v>
      </c>
      <c r="FE245" s="173">
        <f t="shared" si="736"/>
        <v>0.70255798278020432</v>
      </c>
      <c r="FF245" s="5">
        <f t="shared" si="737"/>
        <v>70.255798278020436</v>
      </c>
      <c r="FG245">
        <f t="shared" si="738"/>
        <v>28.999999999999996</v>
      </c>
      <c r="FI245" s="562">
        <f t="shared" si="689"/>
        <v>-50</v>
      </c>
    </row>
    <row r="246" spans="5:165">
      <c r="E246" s="170">
        <v>30</v>
      </c>
      <c r="F246" s="217">
        <f t="shared" si="690"/>
        <v>1.7999999999999998</v>
      </c>
      <c r="G246" s="217">
        <f t="shared" si="617"/>
        <v>0.03</v>
      </c>
      <c r="H246" s="217">
        <f t="shared" si="618"/>
        <v>7.1999999999999993</v>
      </c>
      <c r="I246" s="217">
        <f t="shared" si="619"/>
        <v>0.54</v>
      </c>
      <c r="J246" s="541">
        <f t="shared" si="620"/>
        <v>35.950230738924738</v>
      </c>
      <c r="K246" s="443">
        <f t="shared" si="621"/>
        <v>19.244393647890824</v>
      </c>
      <c r="L246" s="172">
        <f t="shared" si="622"/>
        <v>55.194624386815562</v>
      </c>
      <c r="M246" s="443"/>
      <c r="N246" s="217">
        <f t="shared" si="623"/>
        <v>0.34866427413332968</v>
      </c>
      <c r="O246" s="172">
        <f t="shared" si="624"/>
        <v>38.866856141125311</v>
      </c>
      <c r="P246" s="172">
        <f t="shared" si="625"/>
        <v>3.1336402763782281</v>
      </c>
      <c r="Q246" s="217">
        <f t="shared" si="626"/>
        <v>9.7167140352813277</v>
      </c>
      <c r="R246" s="217">
        <f t="shared" si="627"/>
        <v>2.1592697856180729</v>
      </c>
      <c r="S246" s="217">
        <f t="shared" si="628"/>
        <v>4</v>
      </c>
      <c r="T246" s="217">
        <f t="shared" si="629"/>
        <v>1.2349854031340304</v>
      </c>
      <c r="U246" s="217">
        <f t="shared" si="630"/>
        <v>0.41223170291261452</v>
      </c>
      <c r="V246" s="217">
        <f t="shared" si="631"/>
        <v>0.77008530945492326</v>
      </c>
      <c r="W246" s="197">
        <f t="shared" si="632"/>
        <v>350</v>
      </c>
      <c r="X246" s="443">
        <f t="shared" si="691"/>
        <v>350</v>
      </c>
      <c r="Z246" s="217">
        <f t="shared" si="633"/>
        <v>2.9844193108364072</v>
      </c>
      <c r="AA246" s="173">
        <f t="shared" si="634"/>
        <v>1.8609592167619156</v>
      </c>
      <c r="AB246" s="173">
        <f t="shared" si="635"/>
        <v>3.6164817081193297</v>
      </c>
      <c r="AC246" s="173"/>
      <c r="AD246" s="173">
        <f t="shared" si="636"/>
        <v>0.83141097052717972</v>
      </c>
      <c r="AE246" s="545">
        <f t="shared" si="637"/>
        <v>811.87285702039378</v>
      </c>
      <c r="AF246" s="528">
        <f t="shared" si="638"/>
        <v>0.77598357249203453</v>
      </c>
      <c r="AH246" s="173">
        <f t="shared" si="639"/>
        <v>1.9198214202665531</v>
      </c>
      <c r="AI246" s="173">
        <f t="shared" si="640"/>
        <v>1.9198214202665531</v>
      </c>
      <c r="AJ246" s="173">
        <f t="shared" si="641"/>
        <v>1.634435619950533</v>
      </c>
      <c r="AL246" s="545">
        <f t="shared" si="642"/>
        <v>1799.9999999999998</v>
      </c>
      <c r="AM246" s="460">
        <f t="shared" si="643"/>
        <v>350</v>
      </c>
      <c r="AO246">
        <f t="shared" si="644"/>
        <v>1799.9999999999998</v>
      </c>
      <c r="AP246">
        <f t="shared" si="645"/>
        <v>350</v>
      </c>
      <c r="AR246" s="5">
        <f t="shared" si="616"/>
        <v>2.8571428571428572</v>
      </c>
      <c r="AS246" s="5">
        <f t="shared" si="739"/>
        <v>0.64082640277061254</v>
      </c>
      <c r="AT246" s="5">
        <f t="shared" si="740"/>
        <v>2.2163164543722447</v>
      </c>
      <c r="AU246" s="173">
        <f t="shared" si="741"/>
        <v>0.22428924096971439</v>
      </c>
      <c r="BA246" s="173">
        <f t="shared" si="692"/>
        <v>0.52493366551533283</v>
      </c>
      <c r="BB246" s="173">
        <f t="shared" si="693"/>
        <v>3.9049016896819624</v>
      </c>
      <c r="BC246" s="173">
        <f t="shared" si="694"/>
        <v>7.4404207870967118E-2</v>
      </c>
      <c r="BD246" s="173"/>
      <c r="BE246" s="528">
        <f t="shared" si="695"/>
        <v>3.3617753089346322E-3</v>
      </c>
      <c r="BF246" s="528">
        <f t="shared" si="646"/>
        <v>0.69538758306527459</v>
      </c>
      <c r="BG246" s="528">
        <f t="shared" si="647"/>
        <v>0.31456451896559146</v>
      </c>
      <c r="BH246" s="528">
        <f t="shared" si="696"/>
        <v>0.10662562964205795</v>
      </c>
      <c r="BI246">
        <f t="shared" si="697"/>
        <v>1.6177603832516131E-2</v>
      </c>
      <c r="BJ246" s="460">
        <f t="shared" si="698"/>
        <v>330.74212279810763</v>
      </c>
      <c r="BK246">
        <f t="shared" si="648"/>
        <v>0.80692720676092711</v>
      </c>
      <c r="BL246" s="460">
        <f t="shared" si="699"/>
        <v>1136.1171108143749</v>
      </c>
      <c r="BM246" s="173">
        <f t="shared" si="649"/>
        <v>1.1182499999999997</v>
      </c>
      <c r="BN246" s="173">
        <f t="shared" si="650"/>
        <v>1.33125E-2</v>
      </c>
      <c r="BQ246" s="460">
        <f t="shared" si="700"/>
        <v>1131.5624999999998</v>
      </c>
      <c r="BR246" s="528">
        <f t="shared" si="701"/>
        <v>8.2666605957408996E-3</v>
      </c>
      <c r="BS246" s="528">
        <f t="shared" si="702"/>
        <v>0.4574477161824313</v>
      </c>
      <c r="BT246" s="528">
        <f t="shared" si="703"/>
        <v>2.7679930744530425E-5</v>
      </c>
      <c r="BU246" s="528">
        <f t="shared" si="704"/>
        <v>0.58518366911986663</v>
      </c>
      <c r="BV246" s="528"/>
      <c r="BW246" s="625">
        <f t="shared" si="705"/>
        <v>3.2250000000000001E-2</v>
      </c>
      <c r="BX246" s="460">
        <f t="shared" si="706"/>
        <v>1083.1757258287835</v>
      </c>
      <c r="BY246" s="173">
        <f t="shared" si="707"/>
        <v>3.3508553366431584</v>
      </c>
      <c r="BZ246" s="5">
        <f t="shared" si="708"/>
        <v>7.7399999999999993</v>
      </c>
      <c r="CA246" s="173">
        <f t="shared" si="709"/>
        <v>0.69787223483366134</v>
      </c>
      <c r="CB246" s="5">
        <f t="shared" si="710"/>
        <v>69.787223483366134</v>
      </c>
      <c r="CC246">
        <f t="shared" si="711"/>
        <v>30</v>
      </c>
      <c r="CE246" s="562">
        <f t="shared" si="651"/>
        <v>-50</v>
      </c>
      <c r="CG246" s="173">
        <f t="shared" si="652"/>
        <v>0.48605555238058951</v>
      </c>
      <c r="CH246" s="173">
        <f t="shared" si="653"/>
        <v>0.11643348509291797</v>
      </c>
      <c r="CI246" s="170">
        <v>30</v>
      </c>
      <c r="CJ246" s="217">
        <f t="shared" si="712"/>
        <v>1.7999999999999998</v>
      </c>
      <c r="CK246" s="217">
        <f t="shared" si="654"/>
        <v>0.03</v>
      </c>
      <c r="CL246" s="217">
        <f t="shared" si="655"/>
        <v>7.1999999999999993</v>
      </c>
      <c r="CM246" s="217">
        <f t="shared" si="656"/>
        <v>0.54</v>
      </c>
      <c r="CN246" s="541">
        <f t="shared" si="657"/>
        <v>36</v>
      </c>
      <c r="CO246" s="443">
        <f t="shared" si="658"/>
        <v>18.8</v>
      </c>
      <c r="CP246" s="443">
        <f t="shared" si="659"/>
        <v>54.8</v>
      </c>
      <c r="CQ246" s="443"/>
      <c r="CR246" s="217">
        <f t="shared" si="660"/>
        <v>0.34306569343065696</v>
      </c>
      <c r="CS246" s="172">
        <f t="shared" si="661"/>
        <v>38.295705313189622</v>
      </c>
      <c r="CT246" s="172">
        <f t="shared" si="662"/>
        <v>3.0875912408759132</v>
      </c>
      <c r="CU246" s="217">
        <f t="shared" si="663"/>
        <v>9.5739263282974054</v>
      </c>
      <c r="CV246" s="217">
        <f t="shared" si="664"/>
        <v>2.12753918406609</v>
      </c>
      <c r="CW246" s="217">
        <f t="shared" si="665"/>
        <v>4</v>
      </c>
      <c r="CX246" s="217">
        <f t="shared" si="666"/>
        <v>1.2534042553191487</v>
      </c>
      <c r="CY246" s="217">
        <f t="shared" si="667"/>
        <v>0.41780141843971624</v>
      </c>
      <c r="CZ246" s="217">
        <f t="shared" si="668"/>
        <v>0.80004526935264819</v>
      </c>
      <c r="DA246" s="197">
        <f t="shared" si="669"/>
        <v>350</v>
      </c>
      <c r="DB246" s="443">
        <f t="shared" si="670"/>
        <v>350</v>
      </c>
      <c r="DD246" s="217">
        <f t="shared" si="671"/>
        <v>2.940563086548488</v>
      </c>
      <c r="DE246" s="173">
        <f t="shared" si="672"/>
        <v>1.8769551616266944</v>
      </c>
      <c r="DF246" s="173">
        <f t="shared" si="673"/>
        <v>3.5939660877863036</v>
      </c>
      <c r="DG246" s="173"/>
      <c r="DH246" s="173">
        <f t="shared" si="674"/>
        <v>0.85106382978723416</v>
      </c>
      <c r="DI246" s="545">
        <f t="shared" si="675"/>
        <v>793.12499999999966</v>
      </c>
      <c r="DJ246" s="528">
        <f t="shared" si="676"/>
        <v>0.79432624113475192</v>
      </c>
      <c r="DL246" s="173">
        <f t="shared" si="677"/>
        <v>1.9198214202665531</v>
      </c>
      <c r="DM246" s="173">
        <f t="shared" si="678"/>
        <v>1.9198214202665531</v>
      </c>
      <c r="DN246" s="173">
        <f t="shared" si="679"/>
        <v>1.634435619950533</v>
      </c>
      <c r="DP246" s="545">
        <f t="shared" si="680"/>
        <v>1799.9999999999998</v>
      </c>
      <c r="DQ246" s="460">
        <f t="shared" si="681"/>
        <v>350</v>
      </c>
      <c r="DS246">
        <f t="shared" si="682"/>
        <v>1799.9999999999998</v>
      </c>
      <c r="DT246">
        <f t="shared" si="683"/>
        <v>350</v>
      </c>
      <c r="DV246" s="5">
        <f t="shared" si="684"/>
        <v>2.8571428571428572</v>
      </c>
      <c r="DW246" s="5">
        <f t="shared" si="685"/>
        <v>0.63994047342218441</v>
      </c>
      <c r="DX246" s="5">
        <f t="shared" si="686"/>
        <v>2.2172023837206729</v>
      </c>
      <c r="DY246" s="173">
        <f t="shared" si="687"/>
        <v>0.22397916569776455</v>
      </c>
      <c r="EA246" s="5">
        <f t="shared" si="713"/>
        <v>28.797321303998295</v>
      </c>
      <c r="EB246" s="5">
        <f t="shared" si="714"/>
        <v>0.10665674557036406</v>
      </c>
      <c r="EC246" s="5">
        <f t="shared" si="715"/>
        <v>0.36953373062011208</v>
      </c>
      <c r="ED246" s="5"/>
      <c r="EE246" s="173">
        <f t="shared" si="716"/>
        <v>0.52457068500969362</v>
      </c>
      <c r="EF246" s="173">
        <f t="shared" si="717"/>
        <v>3.9056820659134845</v>
      </c>
      <c r="EG246" s="173">
        <f t="shared" si="718"/>
        <v>7.4419077201865053E-2</v>
      </c>
      <c r="EH246" s="173"/>
      <c r="EI246" s="528">
        <f t="shared" si="719"/>
        <v>3.3571277235727782E-3</v>
      </c>
      <c r="EJ246" s="528">
        <f t="shared" si="720"/>
        <v>0.73644349681424981</v>
      </c>
      <c r="EK246" s="528">
        <f t="shared" si="721"/>
        <v>4.3749999999999997E-2</v>
      </c>
      <c r="EL246" s="528">
        <f t="shared" si="722"/>
        <v>0.10510639999999997</v>
      </c>
      <c r="EM246">
        <f t="shared" si="723"/>
        <v>1.6199999999999999E-2</v>
      </c>
      <c r="EN246" s="460">
        <f t="shared" si="724"/>
        <v>59.949999999999996</v>
      </c>
      <c r="EP246" s="460">
        <f t="shared" si="725"/>
        <v>904.85702453782244</v>
      </c>
      <c r="EQ246" s="173">
        <f t="shared" si="726"/>
        <v>1.2599999999999998</v>
      </c>
      <c r="ER246" s="173">
        <f t="shared" si="688"/>
        <v>1.33125E-2</v>
      </c>
      <c r="ES246" s="528"/>
      <c r="EU246" s="460">
        <f t="shared" si="727"/>
        <v>1273.3124999999998</v>
      </c>
      <c r="EV246" s="528">
        <f t="shared" si="728"/>
        <v>8.2552321071461768E-3</v>
      </c>
      <c r="EW246" s="528">
        <f t="shared" si="729"/>
        <v>0.45763057199994672</v>
      </c>
      <c r="EX246" s="528">
        <f t="shared" si="730"/>
        <v>2.7690995257885756E-5</v>
      </c>
      <c r="EY246" s="528">
        <f t="shared" si="731"/>
        <v>0.58518366911986663</v>
      </c>
      <c r="EZ246" s="528"/>
      <c r="FA246" s="625">
        <f t="shared" si="732"/>
        <v>3.2250000000000001E-2</v>
      </c>
      <c r="FB246" s="460">
        <f t="shared" si="733"/>
        <v>1083.3471642222175</v>
      </c>
      <c r="FC246" s="173">
        <f t="shared" si="734"/>
        <v>3.2615166887600391</v>
      </c>
      <c r="FD246" s="5">
        <f t="shared" si="735"/>
        <v>7.7399999999999993</v>
      </c>
      <c r="FE246" s="173">
        <f t="shared" si="736"/>
        <v>0.70353935906925946</v>
      </c>
      <c r="FF246" s="5">
        <f t="shared" si="737"/>
        <v>70.35393590692594</v>
      </c>
      <c r="FG246">
        <f t="shared" si="738"/>
        <v>30</v>
      </c>
      <c r="FI246" s="562">
        <f t="shared" si="689"/>
        <v>-50</v>
      </c>
    </row>
    <row r="247" spans="5:165">
      <c r="E247" s="170">
        <v>31</v>
      </c>
      <c r="F247" s="217">
        <f t="shared" si="690"/>
        <v>1.8599999999999999</v>
      </c>
      <c r="G247" s="217">
        <f t="shared" si="617"/>
        <v>3.1E-2</v>
      </c>
      <c r="H247" s="217">
        <f t="shared" si="618"/>
        <v>7.4399999999999995</v>
      </c>
      <c r="I247" s="217">
        <f t="shared" si="619"/>
        <v>0.55800000000000005</v>
      </c>
      <c r="J247" s="541">
        <f t="shared" si="620"/>
        <v>35.949408050776398</v>
      </c>
      <c r="K247" s="443">
        <f t="shared" si="621"/>
        <v>19.251739495094874</v>
      </c>
      <c r="L247" s="172">
        <f t="shared" si="622"/>
        <v>55.201147545871272</v>
      </c>
      <c r="M247" s="443"/>
      <c r="N247" s="217">
        <f t="shared" si="623"/>
        <v>0.3487561464025179</v>
      </c>
      <c r="O247" s="172">
        <f t="shared" si="624"/>
        <v>38.876207805396675</v>
      </c>
      <c r="P247" s="172">
        <f t="shared" si="625"/>
        <v>3.1343942543101071</v>
      </c>
      <c r="Q247" s="217">
        <f t="shared" si="626"/>
        <v>9.7190519513491687</v>
      </c>
      <c r="R247" s="217">
        <f t="shared" si="627"/>
        <v>2.1597893225220375</v>
      </c>
      <c r="S247" s="217">
        <f t="shared" si="628"/>
        <v>4</v>
      </c>
      <c r="T247" s="217">
        <f t="shared" si="629"/>
        <v>1.2758446052218775</v>
      </c>
      <c r="U247" s="217">
        <f t="shared" si="630"/>
        <v>0.42588003788651757</v>
      </c>
      <c r="V247" s="217">
        <f t="shared" si="631"/>
        <v>0.79525983958817748</v>
      </c>
      <c r="W247" s="197">
        <f t="shared" si="632"/>
        <v>350</v>
      </c>
      <c r="X247" s="443">
        <f t="shared" si="691"/>
        <v>350</v>
      </c>
      <c r="Z247" s="217">
        <f t="shared" si="633"/>
        <v>2.9851373850572456</v>
      </c>
      <c r="AA247" s="173">
        <f t="shared" si="634"/>
        <v>1.8606967245642347</v>
      </c>
      <c r="AB247" s="173">
        <f t="shared" si="635"/>
        <v>3.6168416263490077</v>
      </c>
      <c r="AC247" s="173"/>
      <c r="AD247" s="173">
        <f t="shared" si="636"/>
        <v>0.831093730728936</v>
      </c>
      <c r="AE247" s="545">
        <f t="shared" si="637"/>
        <v>839.25551861429187</v>
      </c>
      <c r="AF247" s="528">
        <f t="shared" si="638"/>
        <v>0.77568748201367377</v>
      </c>
      <c r="AH247" s="173">
        <f t="shared" si="639"/>
        <v>1.9515561556284842</v>
      </c>
      <c r="AI247" s="173">
        <f t="shared" si="640"/>
        <v>1.9515561556284842</v>
      </c>
      <c r="AJ247" s="173">
        <f t="shared" si="641"/>
        <v>1.6579428313297413</v>
      </c>
      <c r="AL247" s="545">
        <f t="shared" si="642"/>
        <v>1859.9999999999998</v>
      </c>
      <c r="AM247" s="460">
        <f t="shared" si="643"/>
        <v>350</v>
      </c>
      <c r="AO247">
        <f t="shared" si="644"/>
        <v>1859.9999999999998</v>
      </c>
      <c r="AP247">
        <f t="shared" si="645"/>
        <v>350</v>
      </c>
      <c r="AR247" s="5">
        <f t="shared" si="616"/>
        <v>2.8571428571428572</v>
      </c>
      <c r="AS247" s="5">
        <f t="shared" si="739"/>
        <v>0.6514341998194888</v>
      </c>
      <c r="AT247" s="5">
        <f t="shared" si="740"/>
        <v>2.2057086573233686</v>
      </c>
      <c r="AU247" s="173">
        <f t="shared" si="741"/>
        <v>0.22800196993682106</v>
      </c>
      <c r="BA247" s="173">
        <f t="shared" si="692"/>
        <v>0.53800922803714635</v>
      </c>
      <c r="BB247" s="173">
        <f t="shared" si="693"/>
        <v>3.9599391511904489</v>
      </c>
      <c r="BC247" s="173">
        <f t="shared" si="694"/>
        <v>7.5452894637547743E-2</v>
      </c>
      <c r="BD247" s="173"/>
      <c r="BE247" s="528">
        <f t="shared" si="695"/>
        <v>3.5313379393281386E-3</v>
      </c>
      <c r="BF247" s="528">
        <f t="shared" si="646"/>
        <v>0.70696591409653953</v>
      </c>
      <c r="BG247" s="528">
        <f t="shared" si="647"/>
        <v>0.31455732044429346</v>
      </c>
      <c r="BH247" s="528">
        <f t="shared" si="696"/>
        <v>0.10665083416333676</v>
      </c>
      <c r="BI247">
        <f t="shared" si="697"/>
        <v>1.6177233622849379E-2</v>
      </c>
      <c r="BJ247" s="460">
        <f t="shared" si="698"/>
        <v>330.73455406714288</v>
      </c>
      <c r="BK247">
        <f t="shared" si="648"/>
        <v>0.81878854861290562</v>
      </c>
      <c r="BL247" s="460">
        <f t="shared" si="699"/>
        <v>1147.8826402663474</v>
      </c>
      <c r="BM247" s="173">
        <f t="shared" si="649"/>
        <v>1.1555249999999997</v>
      </c>
      <c r="BN247" s="173">
        <f t="shared" si="650"/>
        <v>1.3756249999999999E-2</v>
      </c>
      <c r="BQ247" s="460">
        <f t="shared" si="700"/>
        <v>1169.2812499999995</v>
      </c>
      <c r="BR247" s="528">
        <f t="shared" si="701"/>
        <v>8.6836178835937843E-3</v>
      </c>
      <c r="BS247" s="528">
        <f t="shared" si="702"/>
        <v>0.47043354243392799</v>
      </c>
      <c r="BT247" s="528">
        <f t="shared" si="703"/>
        <v>2.8465696545924403E-5</v>
      </c>
      <c r="BU247" s="528">
        <f t="shared" si="704"/>
        <v>0.60966708189176799</v>
      </c>
      <c r="BV247" s="528"/>
      <c r="BW247" s="625">
        <f t="shared" si="705"/>
        <v>3.3325E-2</v>
      </c>
      <c r="BX247" s="460">
        <f t="shared" si="706"/>
        <v>1122.1377079058357</v>
      </c>
      <c r="BY247" s="173">
        <f t="shared" si="707"/>
        <v>3.4393015981721828</v>
      </c>
      <c r="BZ247" s="5">
        <f t="shared" si="708"/>
        <v>7.9979999999999993</v>
      </c>
      <c r="CA247" s="173">
        <f t="shared" si="709"/>
        <v>0.69929081884823041</v>
      </c>
      <c r="CB247" s="5">
        <f t="shared" si="710"/>
        <v>69.929081884823034</v>
      </c>
      <c r="CC247">
        <f t="shared" si="711"/>
        <v>31</v>
      </c>
      <c r="CE247" s="562">
        <f t="shared" si="651"/>
        <v>-50</v>
      </c>
      <c r="CG247" s="173">
        <f t="shared" si="652"/>
        <v>0.4940900727600181</v>
      </c>
      <c r="CH247" s="173">
        <f t="shared" si="653"/>
        <v>0.11835813589516711</v>
      </c>
      <c r="CI247" s="170">
        <v>31</v>
      </c>
      <c r="CJ247" s="217">
        <f t="shared" si="712"/>
        <v>1.8599999999999999</v>
      </c>
      <c r="CK247" s="217">
        <f t="shared" si="654"/>
        <v>3.1E-2</v>
      </c>
      <c r="CL247" s="217">
        <f t="shared" si="655"/>
        <v>7.4399999999999995</v>
      </c>
      <c r="CM247" s="217">
        <f t="shared" si="656"/>
        <v>0.55800000000000005</v>
      </c>
      <c r="CN247" s="541">
        <f t="shared" si="657"/>
        <v>36</v>
      </c>
      <c r="CO247" s="443">
        <f t="shared" si="658"/>
        <v>18.8</v>
      </c>
      <c r="CP247" s="443">
        <f t="shared" si="659"/>
        <v>54.8</v>
      </c>
      <c r="CQ247" s="443"/>
      <c r="CR247" s="217">
        <f t="shared" si="660"/>
        <v>0.34306569343065696</v>
      </c>
      <c r="CS247" s="172">
        <f t="shared" si="661"/>
        <v>38.295705313189622</v>
      </c>
      <c r="CT247" s="172">
        <f t="shared" si="662"/>
        <v>3.0875912408759132</v>
      </c>
      <c r="CU247" s="217">
        <f t="shared" si="663"/>
        <v>9.5739263282974054</v>
      </c>
      <c r="CV247" s="217">
        <f t="shared" si="664"/>
        <v>2.12753918406609</v>
      </c>
      <c r="CW247" s="217">
        <f t="shared" si="665"/>
        <v>4</v>
      </c>
      <c r="CX247" s="217">
        <f t="shared" si="666"/>
        <v>1.2951843971631203</v>
      </c>
      <c r="CY247" s="217">
        <f t="shared" si="667"/>
        <v>0.4317281323877068</v>
      </c>
      <c r="CZ247" s="217">
        <f t="shared" si="668"/>
        <v>0.82671344499773647</v>
      </c>
      <c r="DA247" s="197">
        <f t="shared" si="669"/>
        <v>350</v>
      </c>
      <c r="DB247" s="443">
        <f t="shared" si="670"/>
        <v>350</v>
      </c>
      <c r="DD247" s="217">
        <f t="shared" si="671"/>
        <v>2.940563086548488</v>
      </c>
      <c r="DE247" s="173">
        <f t="shared" si="672"/>
        <v>1.8769551616266944</v>
      </c>
      <c r="DF247" s="173">
        <f t="shared" si="673"/>
        <v>3.5939660877863036</v>
      </c>
      <c r="DG247" s="173"/>
      <c r="DH247" s="173">
        <f t="shared" si="674"/>
        <v>0.85106382978723416</v>
      </c>
      <c r="DI247" s="545">
        <f t="shared" si="675"/>
        <v>819.56249999999966</v>
      </c>
      <c r="DJ247" s="528">
        <f t="shared" si="676"/>
        <v>0.79432624113475192</v>
      </c>
      <c r="DL247" s="173">
        <f t="shared" si="677"/>
        <v>1.9515561556284842</v>
      </c>
      <c r="DM247" s="173">
        <f t="shared" si="678"/>
        <v>1.9515561556284842</v>
      </c>
      <c r="DN247" s="173">
        <f t="shared" si="679"/>
        <v>1.6579428313297413</v>
      </c>
      <c r="DP247" s="545">
        <f t="shared" si="680"/>
        <v>1859.9999999999998</v>
      </c>
      <c r="DQ247" s="460">
        <f t="shared" si="681"/>
        <v>350</v>
      </c>
      <c r="DS247">
        <f t="shared" si="682"/>
        <v>1859.9999999999998</v>
      </c>
      <c r="DT247">
        <f t="shared" si="683"/>
        <v>350</v>
      </c>
      <c r="DV247" s="5">
        <f t="shared" si="684"/>
        <v>2.8571428571428572</v>
      </c>
      <c r="DW247" s="5">
        <f t="shared" si="685"/>
        <v>0.65051871854282806</v>
      </c>
      <c r="DX247" s="5">
        <f t="shared" si="686"/>
        <v>2.2066241386000289</v>
      </c>
      <c r="DY247" s="173">
        <f t="shared" si="687"/>
        <v>0.22768155148998981</v>
      </c>
      <c r="EA247" s="5">
        <f t="shared" si="713"/>
        <v>30.249120412241503</v>
      </c>
      <c r="EB247" s="5">
        <f t="shared" si="714"/>
        <v>0.11203377930459817</v>
      </c>
      <c r="EC247" s="5">
        <f t="shared" si="715"/>
        <v>0.3800297127588938</v>
      </c>
      <c r="ED247" s="5"/>
      <c r="EE247" s="173">
        <f t="shared" si="716"/>
        <v>0.53763105435406466</v>
      </c>
      <c r="EF247" s="173">
        <f t="shared" si="717"/>
        <v>3.9607608540136754</v>
      </c>
      <c r="EG247" s="173">
        <f t="shared" si="718"/>
        <v>7.5468551407557857E-2</v>
      </c>
      <c r="EH247" s="173"/>
      <c r="EI247" s="528">
        <f t="shared" si="719"/>
        <v>3.5263752373915309E-3</v>
      </c>
      <c r="EJ247" s="528">
        <f t="shared" si="720"/>
        <v>0.74861694129908651</v>
      </c>
      <c r="EK247" s="528">
        <f t="shared" si="721"/>
        <v>4.3749999999999997E-2</v>
      </c>
      <c r="EL247" s="528">
        <f t="shared" si="722"/>
        <v>0.10510639999999997</v>
      </c>
      <c r="EM247">
        <f t="shared" si="723"/>
        <v>1.6199999999999999E-2</v>
      </c>
      <c r="EN247" s="460">
        <f t="shared" si="724"/>
        <v>59.949999999999996</v>
      </c>
      <c r="EP247" s="460">
        <f t="shared" si="725"/>
        <v>917.19971653647792</v>
      </c>
      <c r="EQ247" s="173">
        <f t="shared" si="726"/>
        <v>1.3019999999999998</v>
      </c>
      <c r="ER247" s="173">
        <f t="shared" si="688"/>
        <v>1.3756249999999999E-2</v>
      </c>
      <c r="ES247" s="528"/>
      <c r="EU247" s="460">
        <f t="shared" si="727"/>
        <v>1315.7562499999997</v>
      </c>
      <c r="EV247" s="528">
        <f t="shared" si="728"/>
        <v>8.6714145181758968E-3</v>
      </c>
      <c r="EW247" s="528">
        <f t="shared" si="729"/>
        <v>0.47062879628061416</v>
      </c>
      <c r="EX247" s="528">
        <f t="shared" si="730"/>
        <v>2.8477511257776015E-5</v>
      </c>
      <c r="EY247" s="528">
        <f t="shared" si="731"/>
        <v>0.60966708189176799</v>
      </c>
      <c r="EZ247" s="528"/>
      <c r="FA247" s="625">
        <f t="shared" si="732"/>
        <v>3.3325E-2</v>
      </c>
      <c r="FB247" s="460">
        <f t="shared" si="733"/>
        <v>1122.3207702018158</v>
      </c>
      <c r="FC247" s="173">
        <f t="shared" si="734"/>
        <v>3.3552767367382939</v>
      </c>
      <c r="FD247" s="5">
        <f t="shared" si="735"/>
        <v>7.9979999999999993</v>
      </c>
      <c r="FE247" s="173">
        <f t="shared" si="736"/>
        <v>0.7044662246379596</v>
      </c>
      <c r="FF247" s="5">
        <f t="shared" si="737"/>
        <v>70.446622463795961</v>
      </c>
      <c r="FG247">
        <f t="shared" si="738"/>
        <v>31</v>
      </c>
      <c r="FI247" s="562">
        <f t="shared" si="689"/>
        <v>-50</v>
      </c>
    </row>
    <row r="248" spans="5:165">
      <c r="E248" s="170">
        <v>32</v>
      </c>
      <c r="F248" s="217">
        <f t="shared" si="690"/>
        <v>1.92</v>
      </c>
      <c r="G248" s="217">
        <f t="shared" ref="G248:G279" si="742">IF(PLOT_TYPE=1, E248/100*Iout2, min_I*EXP(Q248*rr/100))</f>
        <v>3.2000000000000001E-2</v>
      </c>
      <c r="H248" s="217">
        <f t="shared" ref="H248:H279" si="743">F248*Vout</f>
        <v>7.68</v>
      </c>
      <c r="I248" s="217">
        <f t="shared" ref="I248:I279" si="744">Vout2*G248</f>
        <v>0.57600000000000007</v>
      </c>
      <c r="J248" s="541">
        <f t="shared" ref="J248:J279" si="745">VIN_max-(F248/CG248/Nps+G248/CH248/(Nps/Nsec1sec2))*(Rdcr_pri+RON/1000)</f>
        <v>35.948598528187318</v>
      </c>
      <c r="K248" s="443">
        <f t="shared" ref="K248:K279" si="746">MAX((S248+Vfwd2+Rdcr_sec*F248/CG248)*Nps,(Vout2+Vfwd22+Rdcr_sec2*G248/CH248)*Nps/Nsec1sec2)</f>
        <v>19.258967785984407</v>
      </c>
      <c r="L248" s="172">
        <f t="shared" ref="L248:L279" si="747">MAX((Vout+Vfwd2+F248/CG248*Rdcr_sec)*Nps+J248, (Vout2+Vfwd22+G248/CH248*Rdcr_sec2)*Nps/Nsec1sec2+J248)</f>
        <v>55.207566314171729</v>
      </c>
      <c r="M248" s="443"/>
      <c r="N248" s="217">
        <f t="shared" ref="N248:N279" si="748">MAX((Vout+Vfwd2+F248/CG248*Rdcr_sec)*Nps/((Vout+Vfwd2+F248/CG248*Rdcr_sec)*Nps+J248), (Vout2+Vfwd22+G248/CH248*Rdcr_sec2)*Nps/Nsec1sec2/((Vout2+Vfwd22+G248/CH248*Rdcr_sec2)*Nps/Nsec1sec2+J248))</f>
        <v>0.34884652723843484</v>
      </c>
      <c r="O248" s="172">
        <f t="shared" ref="O248:O279" si="749">N248*J248*Isw_max*0.5*Efficiency*Pout/(Pout+Pout2)</f>
        <v>38.88540699425382</v>
      </c>
      <c r="P248" s="172">
        <f t="shared" ref="P248:P279" si="750">N248*J248*Isw_max*0.5*Efficiency*(Pout2/Pout_total)</f>
        <v>3.1351359389117142</v>
      </c>
      <c r="Q248" s="217">
        <f t="shared" si="626"/>
        <v>9.7213517485634551</v>
      </c>
      <c r="R248" s="217">
        <f t="shared" ref="R248:R279" si="751">O248/Vout2</f>
        <v>2.1603003885696568</v>
      </c>
      <c r="S248" s="217">
        <f t="shared" ref="S248:S279" si="752">MIN(Vout,O248/F248)</f>
        <v>4</v>
      </c>
      <c r="T248" s="217">
        <f t="shared" ref="T248:T279" si="753">MIN(2*(Vout*F248+Vout2*G248)/(Efficiency*J248*N248), Isw_max)</f>
        <v>1.3166893176035406</v>
      </c>
      <c r="U248" s="217">
        <f t="shared" si="630"/>
        <v>0.43952399977021317</v>
      </c>
      <c r="V248" s="217">
        <f t="shared" si="631"/>
        <v>0.8204111449182151</v>
      </c>
      <c r="W248" s="197">
        <f t="shared" si="632"/>
        <v>350</v>
      </c>
      <c r="X248" s="443">
        <f t="shared" si="691"/>
        <v>350</v>
      </c>
      <c r="Z248" s="217">
        <f t="shared" si="633"/>
        <v>2.9858437513444893</v>
      </c>
      <c r="AA248" s="173">
        <f t="shared" si="634"/>
        <v>1.8604384936044716</v>
      </c>
      <c r="AB248" s="173">
        <f t="shared" ref="AB248:AB279" si="754">0.5*AA248*Z248*Nps*W248/1000*(Pout/(Pout+Pout2))</f>
        <v>3.6171954005793174</v>
      </c>
      <c r="AC248" s="173"/>
      <c r="AD248" s="173">
        <f t="shared" si="636"/>
        <v>0.83078180397829537</v>
      </c>
      <c r="AE248" s="545">
        <f t="shared" ref="AE248:AE279" si="755">MAX(10, F248/(0.5*AD248/1000000*Isw_min*Nps)/1000*Pout_total/Pout)</f>
        <v>866.65355036929793</v>
      </c>
      <c r="AF248" s="528">
        <f t="shared" ref="AF248:AF279" si="756">0.5*AD248/1000000*Isw_min*Nps*W248*1000*(Pout/Pout_total)</f>
        <v>0.77539635037974253</v>
      </c>
      <c r="AH248" s="173">
        <f t="shared" ref="AH248:AH279" si="757">SQRT((H248+I248)/(0.5*L*Fsw_DCM))</f>
        <v>1.9827830369025683</v>
      </c>
      <c r="AI248" s="173">
        <f t="shared" ref="AI248:AI279" si="758">MAX(IF(F248&gt;AB248,T248,AH248),Isw_min)</f>
        <v>1.9827830369025683</v>
      </c>
      <c r="AJ248" s="173">
        <f t="shared" ref="AJ248:AJ279" si="759">IF(F248&gt;AF248, (AI248-Isw_min)/1.08*0.8+1.2, AE248*0.2/350+1)</f>
        <v>1.6810738544957295</v>
      </c>
      <c r="AL248" s="545">
        <f t="shared" ref="AL248:AL279" si="760">F248*1000</f>
        <v>1920</v>
      </c>
      <c r="AM248" s="460">
        <f t="shared" ref="AM248:AM279" si="761">IF(F248&gt;AF248, X248, AE248)</f>
        <v>350</v>
      </c>
      <c r="AO248">
        <f t="shared" si="644"/>
        <v>1920</v>
      </c>
      <c r="AP248">
        <f t="shared" si="645"/>
        <v>350</v>
      </c>
      <c r="AR248" s="5">
        <f t="shared" si="616"/>
        <v>2.8571428571428572</v>
      </c>
      <c r="AS248" s="5">
        <f t="shared" si="739"/>
        <v>0.66187271317891305</v>
      </c>
      <c r="AT248" s="5">
        <f t="shared" si="740"/>
        <v>2.1952701439639442</v>
      </c>
      <c r="AU248" s="173">
        <f t="shared" si="741"/>
        <v>0.23165544961261955</v>
      </c>
      <c r="BA248" s="173">
        <f t="shared" si="692"/>
        <v>0.55097999157083266</v>
      </c>
      <c r="BB248" s="173">
        <f t="shared" si="693"/>
        <v>4.0137707744509692</v>
      </c>
      <c r="BC248" s="173">
        <f t="shared" si="694"/>
        <v>7.6478605296971161E-2</v>
      </c>
      <c r="BD248" s="173"/>
      <c r="BE248" s="528">
        <f t="shared" si="695"/>
        <v>3.7036632035590167E-3</v>
      </c>
      <c r="BF248" s="528">
        <f t="shared" ref="BF248:BF279" si="762">0.5*L248*AI248*AM248*1000*Tfall</f>
        <v>0.71836160810146255</v>
      </c>
      <c r="BG248" s="528">
        <f t="shared" ref="BG248:BG279" si="763">Qg*Vdd*AM248*1000*0+Qg*J248*AM248*1000</f>
        <v>0.31455023712163904</v>
      </c>
      <c r="BH248" s="528">
        <f t="shared" si="696"/>
        <v>0.10667563824167842</v>
      </c>
      <c r="BI248">
        <f t="shared" si="697"/>
        <v>1.6176869337684294E-2</v>
      </c>
      <c r="BJ248" s="460">
        <f t="shared" si="698"/>
        <v>330.72710645932335</v>
      </c>
      <c r="BK248">
        <f t="shared" ref="BK248:BK279" si="764">(BF248+BG248*0+BH248+BI248*0+BE248*(1+RdsonTC*(Ta-25)))/(1-BE248*RdsonTC*ThetaJA)</f>
        <v>0.83047170572120399</v>
      </c>
      <c r="BL248" s="460">
        <f t="shared" si="699"/>
        <v>1159.4680160060234</v>
      </c>
      <c r="BM248" s="173">
        <f t="shared" ref="BM248:BM279" si="765">Vfwd2*F248*(1+Diode_TC/1000*(Ta-25))</f>
        <v>1.1927999999999999</v>
      </c>
      <c r="BN248" s="173">
        <f t="shared" ref="BN248:BN279" si="766">Vfwd22*G248*(1+Diode_TC/1000*(Ta-25))</f>
        <v>1.4199999999999999E-2</v>
      </c>
      <c r="BQ248" s="460">
        <f t="shared" si="700"/>
        <v>1206.9999999999998</v>
      </c>
      <c r="BR248" s="528">
        <f t="shared" si="701"/>
        <v>9.107368533341844E-3</v>
      </c>
      <c r="BS248" s="528">
        <f t="shared" si="702"/>
        <v>0.48331067489510204</v>
      </c>
      <c r="BT248" s="528">
        <f t="shared" si="703"/>
        <v>2.9244885340849528E-5</v>
      </c>
      <c r="BU248" s="528">
        <f t="shared" si="704"/>
        <v>0.63434877005883472</v>
      </c>
      <c r="BV248" s="528"/>
      <c r="BW248" s="625">
        <f t="shared" si="705"/>
        <v>3.44E-2</v>
      </c>
      <c r="BX248" s="460">
        <f t="shared" si="706"/>
        <v>1161.1960583726193</v>
      </c>
      <c r="BY248" s="173">
        <f t="shared" si="707"/>
        <v>3.5276640743786429</v>
      </c>
      <c r="BZ248" s="5">
        <f t="shared" si="708"/>
        <v>8.2560000000000002</v>
      </c>
      <c r="CA248" s="173">
        <f t="shared" si="709"/>
        <v>0.70063097079889747</v>
      </c>
      <c r="CB248" s="5">
        <f t="shared" si="710"/>
        <v>70.063097079889744</v>
      </c>
      <c r="CC248">
        <f t="shared" si="711"/>
        <v>32</v>
      </c>
      <c r="CE248" s="562">
        <f t="shared" ref="CE248:CE279" si="767">IF(ABS(F248-Ioutmax_Vinmax)&lt;Iout/200, AM248, -50)</f>
        <v>-50</v>
      </c>
      <c r="CG248" s="173">
        <f t="shared" ref="CG248:CG279" si="768">MIN(SQRT(2*DT248*1000*Ls1_*CL248)/CW248, 1-DY248)</f>
        <v>0.50199601592044529</v>
      </c>
      <c r="CH248" s="173">
        <f t="shared" ref="CH248:CH279" si="769">MIN(SQRT(2*DT248*1000*Ls2_*CM248)/Vout2, 1-DY248)</f>
        <v>0.12025198632153623</v>
      </c>
      <c r="CI248" s="170">
        <v>32</v>
      </c>
      <c r="CJ248" s="217">
        <f t="shared" si="712"/>
        <v>1.92</v>
      </c>
      <c r="CK248" s="217">
        <f t="shared" si="654"/>
        <v>3.2000000000000001E-2</v>
      </c>
      <c r="CL248" s="217">
        <f t="shared" si="655"/>
        <v>7.68</v>
      </c>
      <c r="CM248" s="217">
        <f t="shared" si="656"/>
        <v>0.57600000000000007</v>
      </c>
      <c r="CN248" s="541">
        <f t="shared" si="657"/>
        <v>36</v>
      </c>
      <c r="CO248" s="443">
        <f t="shared" ref="CO248:CO279" si="770">(CW248+Vfwd2)*Nps</f>
        <v>18.8</v>
      </c>
      <c r="CP248" s="443">
        <f t="shared" ref="CP248:CP279" si="771">(Vout+Vfwd2)*Nps+CN248</f>
        <v>54.8</v>
      </c>
      <c r="CQ248" s="443"/>
      <c r="CR248" s="217">
        <f t="shared" si="660"/>
        <v>0.34306569343065696</v>
      </c>
      <c r="CS248" s="172">
        <f t="shared" si="661"/>
        <v>38.295705313189622</v>
      </c>
      <c r="CT248" s="172">
        <f t="shared" si="662"/>
        <v>3.0875912408759132</v>
      </c>
      <c r="CU248" s="217">
        <f t="shared" si="663"/>
        <v>9.5739263282974054</v>
      </c>
      <c r="CV248" s="217">
        <f t="shared" si="664"/>
        <v>2.12753918406609</v>
      </c>
      <c r="CW248" s="217">
        <f t="shared" si="665"/>
        <v>4</v>
      </c>
      <c r="CX248" s="217">
        <f t="shared" si="666"/>
        <v>1.3369645390070921</v>
      </c>
      <c r="CY248" s="217">
        <f t="shared" si="667"/>
        <v>0.44565484633569741</v>
      </c>
      <c r="CZ248" s="217">
        <f t="shared" si="668"/>
        <v>0.85338162064282486</v>
      </c>
      <c r="DA248" s="197">
        <f t="shared" si="669"/>
        <v>350</v>
      </c>
      <c r="DB248" s="443">
        <f t="shared" si="670"/>
        <v>350</v>
      </c>
      <c r="DD248" s="217">
        <f t="shared" si="671"/>
        <v>2.940563086548488</v>
      </c>
      <c r="DE248" s="173">
        <f t="shared" si="672"/>
        <v>1.8769551616266944</v>
      </c>
      <c r="DF248" s="173">
        <f t="shared" si="673"/>
        <v>3.5939660877863036</v>
      </c>
      <c r="DG248" s="173"/>
      <c r="DH248" s="173">
        <f t="shared" si="674"/>
        <v>0.85106382978723416</v>
      </c>
      <c r="DI248" s="545">
        <f t="shared" si="675"/>
        <v>845.99999999999966</v>
      </c>
      <c r="DJ248" s="528">
        <f t="shared" si="676"/>
        <v>0.79432624113475192</v>
      </c>
      <c r="DL248" s="173">
        <f t="shared" si="677"/>
        <v>1.9827830369025683</v>
      </c>
      <c r="DM248" s="173">
        <f t="shared" si="678"/>
        <v>1.9827830369025683</v>
      </c>
      <c r="DN248" s="173">
        <f t="shared" si="679"/>
        <v>1.6810738544957295</v>
      </c>
      <c r="DP248" s="545">
        <f t="shared" si="680"/>
        <v>1920</v>
      </c>
      <c r="DQ248" s="460">
        <f t="shared" si="681"/>
        <v>350</v>
      </c>
      <c r="DS248">
        <f t="shared" si="682"/>
        <v>1920</v>
      </c>
      <c r="DT248">
        <f t="shared" si="683"/>
        <v>350</v>
      </c>
      <c r="DV248" s="5">
        <f t="shared" si="684"/>
        <v>2.8571428571428572</v>
      </c>
      <c r="DW248" s="5">
        <f t="shared" si="685"/>
        <v>0.6609276789675228</v>
      </c>
      <c r="DX248" s="5">
        <f t="shared" si="686"/>
        <v>2.1962151781753345</v>
      </c>
      <c r="DY248" s="173">
        <f t="shared" si="687"/>
        <v>0.23132468763863298</v>
      </c>
      <c r="EA248" s="5">
        <f t="shared" si="713"/>
        <v>31.724528590441093</v>
      </c>
      <c r="EB248" s="5">
        <f t="shared" si="714"/>
        <v>0.11749825403867072</v>
      </c>
      <c r="EC248" s="5">
        <f t="shared" si="715"/>
        <v>0.39043825389783715</v>
      </c>
      <c r="ED248" s="5"/>
      <c r="EE248" s="173">
        <f t="shared" si="716"/>
        <v>0.55058650130544473</v>
      </c>
      <c r="EF248" s="173">
        <f t="shared" si="717"/>
        <v>4.0146346186051254</v>
      </c>
      <c r="EG248" s="173">
        <f t="shared" si="718"/>
        <v>7.6495065030178763E-2</v>
      </c>
      <c r="EH248" s="173"/>
      <c r="EI248" s="528">
        <f t="shared" si="719"/>
        <v>3.6983750441211996E-3</v>
      </c>
      <c r="EJ248" s="528">
        <f t="shared" si="720"/>
        <v>0.76059557295582525</v>
      </c>
      <c r="EK248" s="528">
        <f t="shared" si="721"/>
        <v>4.3749999999999997E-2</v>
      </c>
      <c r="EL248" s="528">
        <f t="shared" si="722"/>
        <v>0.10510639999999997</v>
      </c>
      <c r="EM248">
        <f t="shared" si="723"/>
        <v>1.6199999999999999E-2</v>
      </c>
      <c r="EN248" s="460">
        <f t="shared" si="724"/>
        <v>59.949999999999996</v>
      </c>
      <c r="EP248" s="460">
        <f t="shared" si="725"/>
        <v>929.35034799994628</v>
      </c>
      <c r="EQ248" s="173">
        <f t="shared" si="726"/>
        <v>1.3439999999999999</v>
      </c>
      <c r="ER248" s="173">
        <f t="shared" ref="ER248:ER279" si="772">Vfwd22*CK248*(1+Diode_TC/1000*(Ta-25))</f>
        <v>1.4199999999999999E-2</v>
      </c>
      <c r="ES248" s="528"/>
      <c r="EU248" s="460">
        <f t="shared" si="727"/>
        <v>1358.1999999999998</v>
      </c>
      <c r="EV248" s="528">
        <f t="shared" si="728"/>
        <v>9.0943648625931139E-3</v>
      </c>
      <c r="EW248" s="528">
        <f t="shared" si="729"/>
        <v>0.48351873362708159</v>
      </c>
      <c r="EX248" s="528">
        <f t="shared" si="730"/>
        <v>2.925747486985639E-5</v>
      </c>
      <c r="EY248" s="528">
        <f t="shared" si="731"/>
        <v>0.63434877005883472</v>
      </c>
      <c r="EZ248" s="528"/>
      <c r="FA248" s="625">
        <f t="shared" si="732"/>
        <v>3.44E-2</v>
      </c>
      <c r="FB248" s="460">
        <f t="shared" si="733"/>
        <v>1161.3911260233795</v>
      </c>
      <c r="FC248" s="173">
        <f t="shared" si="734"/>
        <v>3.4489414740233255</v>
      </c>
      <c r="FD248" s="5">
        <f t="shared" si="735"/>
        <v>8.2560000000000002</v>
      </c>
      <c r="FE248" s="173">
        <f t="shared" si="736"/>
        <v>0.70534312523667619</v>
      </c>
      <c r="FF248" s="5">
        <f t="shared" si="737"/>
        <v>70.534312523667623</v>
      </c>
      <c r="FG248">
        <f t="shared" si="738"/>
        <v>32</v>
      </c>
      <c r="FI248" s="562">
        <f t="shared" si="689"/>
        <v>-50</v>
      </c>
    </row>
    <row r="249" spans="5:165">
      <c r="E249" s="170">
        <v>33</v>
      </c>
      <c r="F249" s="217">
        <f t="shared" ref="F249:F280" si="773">IF(PLOT_TYPE=1, E249/100*Iout_max, min_I*EXP(O249*rr/100))</f>
        <v>1.98</v>
      </c>
      <c r="G249" s="217">
        <f t="shared" si="742"/>
        <v>3.3000000000000002E-2</v>
      </c>
      <c r="H249" s="217">
        <f t="shared" si="743"/>
        <v>7.92</v>
      </c>
      <c r="I249" s="217">
        <f t="shared" si="744"/>
        <v>0.59400000000000008</v>
      </c>
      <c r="J249" s="541">
        <f t="shared" si="745"/>
        <v>35.947801558617371</v>
      </c>
      <c r="K249" s="443">
        <f t="shared" si="746"/>
        <v>19.266083989978508</v>
      </c>
      <c r="L249" s="172">
        <f t="shared" si="747"/>
        <v>55.213885548595883</v>
      </c>
      <c r="M249" s="443"/>
      <c r="N249" s="217">
        <f t="shared" si="748"/>
        <v>0.34893548603859226</v>
      </c>
      <c r="O249" s="172">
        <f t="shared" si="749"/>
        <v>38.894460802713233</v>
      </c>
      <c r="P249" s="172">
        <f t="shared" si="750"/>
        <v>3.1358659022187543</v>
      </c>
      <c r="Q249" s="217">
        <f t="shared" si="626"/>
        <v>9.7236152006783083</v>
      </c>
      <c r="R249" s="217">
        <f t="shared" si="751"/>
        <v>2.160803377928513</v>
      </c>
      <c r="S249" s="217">
        <f t="shared" si="752"/>
        <v>4</v>
      </c>
      <c r="T249" s="217">
        <f t="shared" si="753"/>
        <v>1.357519783287926</v>
      </c>
      <c r="U249" s="217">
        <f t="shared" si="630"/>
        <v>0.45316366211969461</v>
      </c>
      <c r="V249" s="217">
        <f t="shared" si="631"/>
        <v>0.84553962330532151</v>
      </c>
      <c r="W249" s="197">
        <f t="shared" si="632"/>
        <v>350</v>
      </c>
      <c r="X249" s="443">
        <f t="shared" si="691"/>
        <v>350</v>
      </c>
      <c r="Z249" s="217">
        <f t="shared" si="633"/>
        <v>2.9865389544940513</v>
      </c>
      <c r="AA249" s="173">
        <f t="shared" si="634"/>
        <v>1.8601843256040222</v>
      </c>
      <c r="AB249" s="173">
        <f t="shared" si="754"/>
        <v>3.6175433169013584</v>
      </c>
      <c r="AC249" s="173"/>
      <c r="AD249" s="173">
        <f t="shared" si="636"/>
        <v>0.83047494282297329</v>
      </c>
      <c r="AE249" s="545">
        <f t="shared" si="755"/>
        <v>894.06671015993982</v>
      </c>
      <c r="AF249" s="528">
        <f t="shared" si="756"/>
        <v>0.77510994663477506</v>
      </c>
      <c r="AH249" s="173">
        <f t="shared" si="757"/>
        <v>2.0135256924821481</v>
      </c>
      <c r="AI249" s="173">
        <f t="shared" si="758"/>
        <v>2.0135256924821481</v>
      </c>
      <c r="AJ249" s="173">
        <f t="shared" si="759"/>
        <v>1.7038461919620849</v>
      </c>
      <c r="AL249" s="545">
        <f t="shared" si="760"/>
        <v>1980</v>
      </c>
      <c r="AM249" s="460">
        <f t="shared" si="761"/>
        <v>350</v>
      </c>
      <c r="AO249">
        <f t="shared" si="644"/>
        <v>1980</v>
      </c>
      <c r="AP249">
        <f t="shared" si="645"/>
        <v>350</v>
      </c>
      <c r="AR249" s="5">
        <f t="shared" si="616"/>
        <v>2.8571428571428572</v>
      </c>
      <c r="AS249" s="5">
        <f t="shared" si="739"/>
        <v>0.67214981896420356</v>
      </c>
      <c r="AT249" s="5">
        <f t="shared" si="740"/>
        <v>2.1849930381786535</v>
      </c>
      <c r="AU249" s="173">
        <f t="shared" si="741"/>
        <v>0.23525243663747125</v>
      </c>
      <c r="BA249" s="173">
        <f t="shared" si="692"/>
        <v>0.56385003712872828</v>
      </c>
      <c r="BB249" s="173">
        <f t="shared" si="693"/>
        <v>4.0664514398841707</v>
      </c>
      <c r="BC249" s="173">
        <f t="shared" si="694"/>
        <v>7.7482385543738944E-2</v>
      </c>
      <c r="BD249" s="173"/>
      <c r="BE249" s="528">
        <f t="shared" si="695"/>
        <v>3.8787077453148319E-3</v>
      </c>
      <c r="BF249" s="528">
        <f t="shared" si="762"/>
        <v>0.72958316244099952</v>
      </c>
      <c r="BG249" s="528">
        <f t="shared" si="763"/>
        <v>0.31454326363790203</v>
      </c>
      <c r="BH249" s="528">
        <f t="shared" si="696"/>
        <v>0.10670006050807057</v>
      </c>
      <c r="BI249">
        <f t="shared" si="697"/>
        <v>1.6176510701377815E-2</v>
      </c>
      <c r="BJ249" s="460">
        <f t="shared" si="698"/>
        <v>330.71977433927987</v>
      </c>
      <c r="BK249">
        <f t="shared" si="764"/>
        <v>0.84198513925880525</v>
      </c>
      <c r="BL249" s="460">
        <f t="shared" si="699"/>
        <v>1170.8817050336647</v>
      </c>
      <c r="BM249" s="173">
        <f t="shared" si="765"/>
        <v>1.2300749999999998</v>
      </c>
      <c r="BN249" s="173">
        <f t="shared" si="766"/>
        <v>1.4643750000000001E-2</v>
      </c>
      <c r="BQ249" s="460">
        <f t="shared" si="700"/>
        <v>1244.7187499999998</v>
      </c>
      <c r="BR249" s="528">
        <f t="shared" si="701"/>
        <v>9.5378059311020461E-3</v>
      </c>
      <c r="BS249" s="528">
        <f t="shared" si="702"/>
        <v>0.49608081938808135</v>
      </c>
      <c r="BT249" s="528">
        <f t="shared" si="703"/>
        <v>3.0017600347743029E-5</v>
      </c>
      <c r="BU249" s="528">
        <f t="shared" si="704"/>
        <v>0.65922406679174994</v>
      </c>
      <c r="BV249" s="528"/>
      <c r="BW249" s="625">
        <f t="shared" si="705"/>
        <v>3.5475E-2</v>
      </c>
      <c r="BX249" s="460">
        <f t="shared" si="706"/>
        <v>1200.3477097112811</v>
      </c>
      <c r="BY249" s="173">
        <f t="shared" si="707"/>
        <v>3.6159481647449456</v>
      </c>
      <c r="BZ249" s="5">
        <f t="shared" si="708"/>
        <v>8.5139999999999993</v>
      </c>
      <c r="CA249" s="173">
        <f t="shared" si="709"/>
        <v>0.70189912474197469</v>
      </c>
      <c r="CB249" s="5">
        <f t="shared" si="710"/>
        <v>70.18991247419747</v>
      </c>
      <c r="CC249">
        <f t="shared" si="711"/>
        <v>33</v>
      </c>
      <c r="CE249" s="562">
        <f t="shared" si="767"/>
        <v>-50</v>
      </c>
      <c r="CG249" s="173">
        <f t="shared" si="768"/>
        <v>0.50977936403899282</v>
      </c>
      <c r="CH249" s="173">
        <f t="shared" si="769"/>
        <v>0.12211646938873982</v>
      </c>
      <c r="CI249" s="170">
        <v>33</v>
      </c>
      <c r="CJ249" s="217">
        <f t="shared" si="712"/>
        <v>1.98</v>
      </c>
      <c r="CK249" s="217">
        <f t="shared" si="654"/>
        <v>3.3000000000000002E-2</v>
      </c>
      <c r="CL249" s="217">
        <f t="shared" si="655"/>
        <v>7.92</v>
      </c>
      <c r="CM249" s="217">
        <f t="shared" si="656"/>
        <v>0.59400000000000008</v>
      </c>
      <c r="CN249" s="541">
        <f t="shared" si="657"/>
        <v>36</v>
      </c>
      <c r="CO249" s="443">
        <f t="shared" si="770"/>
        <v>18.8</v>
      </c>
      <c r="CP249" s="443">
        <f t="shared" si="771"/>
        <v>54.8</v>
      </c>
      <c r="CQ249" s="443"/>
      <c r="CR249" s="217">
        <f t="shared" si="660"/>
        <v>0.34306569343065696</v>
      </c>
      <c r="CS249" s="172">
        <f t="shared" si="661"/>
        <v>38.295705313189622</v>
      </c>
      <c r="CT249" s="172">
        <f t="shared" si="662"/>
        <v>3.0875912408759132</v>
      </c>
      <c r="CU249" s="217">
        <f t="shared" si="663"/>
        <v>9.5739263282974054</v>
      </c>
      <c r="CV249" s="217">
        <f t="shared" si="664"/>
        <v>2.12753918406609</v>
      </c>
      <c r="CW249" s="217">
        <f t="shared" si="665"/>
        <v>4</v>
      </c>
      <c r="CX249" s="217">
        <f t="shared" si="666"/>
        <v>1.3787446808510635</v>
      </c>
      <c r="CY249" s="217">
        <f t="shared" si="667"/>
        <v>0.45958156028368785</v>
      </c>
      <c r="CZ249" s="217">
        <f t="shared" si="668"/>
        <v>0.8800497962879128</v>
      </c>
      <c r="DA249" s="197">
        <f t="shared" si="669"/>
        <v>350</v>
      </c>
      <c r="DB249" s="443">
        <f t="shared" si="670"/>
        <v>350</v>
      </c>
      <c r="DD249" s="217">
        <f t="shared" si="671"/>
        <v>2.940563086548488</v>
      </c>
      <c r="DE249" s="173">
        <f t="shared" si="672"/>
        <v>1.8769551616266944</v>
      </c>
      <c r="DF249" s="173">
        <f t="shared" si="673"/>
        <v>3.5939660877863036</v>
      </c>
      <c r="DG249" s="173"/>
      <c r="DH249" s="173">
        <f t="shared" si="674"/>
        <v>0.85106382978723416</v>
      </c>
      <c r="DI249" s="545">
        <f t="shared" si="675"/>
        <v>872.43749999999966</v>
      </c>
      <c r="DJ249" s="528">
        <f t="shared" si="676"/>
        <v>0.79432624113475192</v>
      </c>
      <c r="DL249" s="173">
        <f t="shared" si="677"/>
        <v>2.0135256924821481</v>
      </c>
      <c r="DM249" s="173">
        <f t="shared" si="678"/>
        <v>2.0135256924821481</v>
      </c>
      <c r="DN249" s="173">
        <f t="shared" si="679"/>
        <v>1.7038461919620849</v>
      </c>
      <c r="DP249" s="545">
        <f t="shared" si="680"/>
        <v>1980</v>
      </c>
      <c r="DQ249" s="460">
        <f t="shared" si="681"/>
        <v>350</v>
      </c>
      <c r="DS249">
        <f t="shared" si="682"/>
        <v>1980</v>
      </c>
      <c r="DT249">
        <f t="shared" si="683"/>
        <v>350</v>
      </c>
      <c r="DV249" s="5">
        <f t="shared" si="684"/>
        <v>2.8571428571428572</v>
      </c>
      <c r="DW249" s="5">
        <f t="shared" si="685"/>
        <v>0.67117523082738284</v>
      </c>
      <c r="DX249" s="5">
        <f t="shared" si="686"/>
        <v>2.1859676263154744</v>
      </c>
      <c r="DY249" s="173">
        <f t="shared" si="687"/>
        <v>0.23491133078958398</v>
      </c>
      <c r="EA249" s="5">
        <f t="shared" si="713"/>
        <v>33.22317392595545</v>
      </c>
      <c r="EB249" s="5">
        <f t="shared" si="714"/>
        <v>0.12304879231835351</v>
      </c>
      <c r="EC249" s="5">
        <f t="shared" si="715"/>
        <v>0.4007607314911702</v>
      </c>
      <c r="ED249" s="5"/>
      <c r="EE249" s="173">
        <f t="shared" si="716"/>
        <v>0.56344110977222106</v>
      </c>
      <c r="EF249" s="173">
        <f t="shared" si="717"/>
        <v>4.0673582330494948</v>
      </c>
      <c r="EG249" s="173">
        <f t="shared" si="718"/>
        <v>7.749966362972685E-2</v>
      </c>
      <c r="EH249" s="173"/>
      <c r="EI249" s="528">
        <f t="shared" si="719"/>
        <v>3.8730837870124949E-3</v>
      </c>
      <c r="EJ249" s="528">
        <f t="shared" si="720"/>
        <v>0.77238845563615188</v>
      </c>
      <c r="EK249" s="528">
        <f t="shared" si="721"/>
        <v>4.3749999999999997E-2</v>
      </c>
      <c r="EL249" s="528">
        <f t="shared" si="722"/>
        <v>0.10510639999999997</v>
      </c>
      <c r="EM249">
        <f t="shared" si="723"/>
        <v>1.6199999999999999E-2</v>
      </c>
      <c r="EN249" s="460">
        <f t="shared" si="724"/>
        <v>59.949999999999996</v>
      </c>
      <c r="EP249" s="460">
        <f t="shared" si="725"/>
        <v>941.31793942316426</v>
      </c>
      <c r="EQ249" s="173">
        <f t="shared" si="726"/>
        <v>1.3859999999999999</v>
      </c>
      <c r="ER249" s="173">
        <f t="shared" si="772"/>
        <v>1.4643750000000001E-2</v>
      </c>
      <c r="ES249" s="528"/>
      <c r="EU249" s="460">
        <f t="shared" si="727"/>
        <v>1400.64375</v>
      </c>
      <c r="EV249" s="528">
        <f t="shared" si="728"/>
        <v>9.5239765254405626E-3</v>
      </c>
      <c r="EW249" s="528">
        <f t="shared" si="729"/>
        <v>0.49630208987866531</v>
      </c>
      <c r="EX249" s="528">
        <f t="shared" si="730"/>
        <v>3.0030989313604033E-5</v>
      </c>
      <c r="EY249" s="528">
        <f t="shared" si="731"/>
        <v>0.65922406679174994</v>
      </c>
      <c r="EZ249" s="528"/>
      <c r="FA249" s="625">
        <f t="shared" si="732"/>
        <v>3.5475E-2</v>
      </c>
      <c r="FB249" s="460">
        <f t="shared" si="733"/>
        <v>1200.5551641851696</v>
      </c>
      <c r="FC249" s="173">
        <f t="shared" si="734"/>
        <v>3.5425168536083333</v>
      </c>
      <c r="FD249" s="5">
        <f t="shared" si="735"/>
        <v>8.5139999999999993</v>
      </c>
      <c r="FE249" s="173">
        <f t="shared" si="736"/>
        <v>0.70617410512322953</v>
      </c>
      <c r="FF249" s="5">
        <f t="shared" si="737"/>
        <v>70.617410512322948</v>
      </c>
      <c r="FG249">
        <f t="shared" si="738"/>
        <v>33</v>
      </c>
      <c r="FI249" s="562">
        <f t="shared" si="689"/>
        <v>-50</v>
      </c>
    </row>
    <row r="250" spans="5:165">
      <c r="E250" s="170">
        <v>34</v>
      </c>
      <c r="F250" s="217">
        <f t="shared" si="773"/>
        <v>2.04</v>
      </c>
      <c r="G250" s="217">
        <f t="shared" si="742"/>
        <v>3.4000000000000002E-2</v>
      </c>
      <c r="H250" s="217">
        <f t="shared" si="743"/>
        <v>8.16</v>
      </c>
      <c r="I250" s="217">
        <f t="shared" si="744"/>
        <v>0.6120000000000001</v>
      </c>
      <c r="J250" s="541">
        <f t="shared" si="745"/>
        <v>35.947016575601026</v>
      </c>
      <c r="K250" s="443">
        <f t="shared" si="746"/>
        <v>19.273093165092398</v>
      </c>
      <c r="L250" s="172">
        <f t="shared" si="747"/>
        <v>55.220109740693424</v>
      </c>
      <c r="M250" s="443"/>
      <c r="N250" s="217">
        <f t="shared" si="748"/>
        <v>0.34902308698038415</v>
      </c>
      <c r="O250" s="172">
        <f t="shared" si="749"/>
        <v>38.90337579209708</v>
      </c>
      <c r="P250" s="172">
        <f t="shared" si="750"/>
        <v>3.1365846732378269</v>
      </c>
      <c r="Q250" s="217">
        <f t="shared" si="626"/>
        <v>9.72584394802427</v>
      </c>
      <c r="R250" s="217">
        <f t="shared" si="751"/>
        <v>2.1612986551165045</v>
      </c>
      <c r="S250" s="217">
        <f t="shared" si="752"/>
        <v>4</v>
      </c>
      <c r="T250" s="217">
        <f t="shared" si="753"/>
        <v>1.3983362341283232</v>
      </c>
      <c r="U250" s="217">
        <f t="shared" si="630"/>
        <v>0.46679909511403789</v>
      </c>
      <c r="V250" s="217">
        <f t="shared" si="631"/>
        <v>0.87064565432247432</v>
      </c>
      <c r="W250" s="197">
        <f t="shared" si="632"/>
        <v>350</v>
      </c>
      <c r="X250" s="443">
        <f t="shared" si="691"/>
        <v>350</v>
      </c>
      <c r="Z250" s="217">
        <f t="shared" si="633"/>
        <v>2.9872234983217396</v>
      </c>
      <c r="AA250" s="173">
        <f t="shared" si="634"/>
        <v>1.8599340371989024</v>
      </c>
      <c r="AB250" s="173">
        <f t="shared" si="754"/>
        <v>3.6178856398830579</v>
      </c>
      <c r="AC250" s="173"/>
      <c r="AD250" s="173">
        <f t="shared" si="636"/>
        <v>0.83017291842802632</v>
      </c>
      <c r="AE250" s="545">
        <f t="shared" si="755"/>
        <v>921.49476695598014</v>
      </c>
      <c r="AF250" s="528">
        <f t="shared" si="756"/>
        <v>0.77482805719949133</v>
      </c>
      <c r="AH250" s="173">
        <f t="shared" si="757"/>
        <v>2.043805973458062</v>
      </c>
      <c r="AI250" s="173">
        <f t="shared" si="758"/>
        <v>2.043805973458062</v>
      </c>
      <c r="AJ250" s="173">
        <f t="shared" si="759"/>
        <v>1.7262760297220212</v>
      </c>
      <c r="AL250" s="545">
        <f t="shared" si="760"/>
        <v>2040</v>
      </c>
      <c r="AM250" s="460">
        <f t="shared" si="761"/>
        <v>350</v>
      </c>
      <c r="AO250">
        <f t="shared" si="644"/>
        <v>2040</v>
      </c>
      <c r="AP250">
        <f t="shared" si="645"/>
        <v>350</v>
      </c>
      <c r="AR250" s="5">
        <f t="shared" si="616"/>
        <v>2.8571428571428572</v>
      </c>
      <c r="AS250" s="5">
        <f t="shared" si="739"/>
        <v>0.68227280085723441</v>
      </c>
      <c r="AT250" s="5">
        <f t="shared" si="740"/>
        <v>2.1748700562856227</v>
      </c>
      <c r="AU250" s="173">
        <f t="shared" si="741"/>
        <v>0.23879548030003203</v>
      </c>
      <c r="BA250" s="173">
        <f t="shared" si="692"/>
        <v>0.57662316835557825</v>
      </c>
      <c r="BB250" s="173">
        <f t="shared" si="693"/>
        <v>4.1180319068147622</v>
      </c>
      <c r="BC250" s="173">
        <f t="shared" si="694"/>
        <v>7.8465202548767751E-2</v>
      </c>
      <c r="BD250" s="173"/>
      <c r="BE250" s="528">
        <f t="shared" si="695"/>
        <v>4.0564301950699912E-3</v>
      </c>
      <c r="BF250" s="528">
        <f t="shared" si="762"/>
        <v>0.74063843531369289</v>
      </c>
      <c r="BG250" s="528">
        <f t="shared" si="763"/>
        <v>0.31453639503650893</v>
      </c>
      <c r="BH250" s="528">
        <f t="shared" si="696"/>
        <v>0.10672411819209787</v>
      </c>
      <c r="BI250">
        <f t="shared" si="697"/>
        <v>1.6176157459020461E-2</v>
      </c>
      <c r="BJ250" s="460">
        <f t="shared" si="698"/>
        <v>330.71255249552939</v>
      </c>
      <c r="BK250">
        <f t="shared" si="764"/>
        <v>0.85333667240666544</v>
      </c>
      <c r="BL250" s="460">
        <f t="shared" si="699"/>
        <v>1182.1315361963902</v>
      </c>
      <c r="BM250" s="173">
        <f t="shared" si="765"/>
        <v>1.26735</v>
      </c>
      <c r="BN250" s="173">
        <f t="shared" si="766"/>
        <v>1.50875E-2</v>
      </c>
      <c r="BQ250" s="460">
        <f t="shared" si="700"/>
        <v>1282.4375</v>
      </c>
      <c r="BR250" s="528">
        <f t="shared" si="701"/>
        <v>9.974828348532765E-3</v>
      </c>
      <c r="BS250" s="528">
        <f t="shared" si="702"/>
        <v>0.5087456035663328</v>
      </c>
      <c r="BT250" s="528">
        <f t="shared" si="703"/>
        <v>3.0783940055095744E-5</v>
      </c>
      <c r="BU250" s="528">
        <f t="shared" si="704"/>
        <v>0.6842885538075073</v>
      </c>
      <c r="BV250" s="528"/>
      <c r="BW250" s="625">
        <f t="shared" si="705"/>
        <v>3.6549999999999992E-2</v>
      </c>
      <c r="BX250" s="460">
        <f t="shared" si="706"/>
        <v>1239.5897696624281</v>
      </c>
      <c r="BY250" s="173">
        <f t="shared" si="707"/>
        <v>3.704158805858818</v>
      </c>
      <c r="BZ250" s="5">
        <f t="shared" si="708"/>
        <v>8.7720000000000002</v>
      </c>
      <c r="CA250" s="173">
        <f t="shared" si="709"/>
        <v>0.70310102143623399</v>
      </c>
      <c r="CB250" s="5">
        <f t="shared" si="710"/>
        <v>70.310102143623396</v>
      </c>
      <c r="CC250">
        <f t="shared" si="711"/>
        <v>34</v>
      </c>
      <c r="CE250" s="562">
        <f t="shared" si="767"/>
        <v>-50</v>
      </c>
      <c r="CG250" s="173">
        <f t="shared" si="768"/>
        <v>0.5174456493198103</v>
      </c>
      <c r="CH250" s="173">
        <f t="shared" si="769"/>
        <v>0.123952910323506</v>
      </c>
      <c r="CI250" s="170">
        <v>34</v>
      </c>
      <c r="CJ250" s="217">
        <f t="shared" si="712"/>
        <v>2.04</v>
      </c>
      <c r="CK250" s="217">
        <f t="shared" si="654"/>
        <v>3.4000000000000002E-2</v>
      </c>
      <c r="CL250" s="217">
        <f t="shared" si="655"/>
        <v>8.16</v>
      </c>
      <c r="CM250" s="217">
        <f t="shared" si="656"/>
        <v>0.6120000000000001</v>
      </c>
      <c r="CN250" s="541">
        <f t="shared" si="657"/>
        <v>36</v>
      </c>
      <c r="CO250" s="443">
        <f t="shared" si="770"/>
        <v>18.8</v>
      </c>
      <c r="CP250" s="443">
        <f t="shared" si="771"/>
        <v>54.8</v>
      </c>
      <c r="CQ250" s="443"/>
      <c r="CR250" s="217">
        <f t="shared" si="660"/>
        <v>0.34306569343065696</v>
      </c>
      <c r="CS250" s="172">
        <f t="shared" si="661"/>
        <v>38.295705313189622</v>
      </c>
      <c r="CT250" s="172">
        <f t="shared" si="662"/>
        <v>3.0875912408759132</v>
      </c>
      <c r="CU250" s="217">
        <f t="shared" si="663"/>
        <v>9.5739263282974054</v>
      </c>
      <c r="CV250" s="217">
        <f t="shared" si="664"/>
        <v>2.12753918406609</v>
      </c>
      <c r="CW250" s="217">
        <f t="shared" si="665"/>
        <v>4</v>
      </c>
      <c r="CX250" s="217">
        <f t="shared" si="666"/>
        <v>1.4205248226950353</v>
      </c>
      <c r="CY250" s="217">
        <f t="shared" si="667"/>
        <v>0.47350827423167846</v>
      </c>
      <c r="CZ250" s="217">
        <f t="shared" si="668"/>
        <v>0.90671797193300119</v>
      </c>
      <c r="DA250" s="197">
        <f t="shared" si="669"/>
        <v>350</v>
      </c>
      <c r="DB250" s="443">
        <f t="shared" si="670"/>
        <v>350</v>
      </c>
      <c r="DD250" s="217">
        <f t="shared" si="671"/>
        <v>2.940563086548488</v>
      </c>
      <c r="DE250" s="173">
        <f t="shared" si="672"/>
        <v>1.8769551616266944</v>
      </c>
      <c r="DF250" s="173">
        <f t="shared" si="673"/>
        <v>3.5939660877863036</v>
      </c>
      <c r="DG250" s="173"/>
      <c r="DH250" s="173">
        <f t="shared" si="674"/>
        <v>0.85106382978723416</v>
      </c>
      <c r="DI250" s="545">
        <f t="shared" si="675"/>
        <v>898.87499999999966</v>
      </c>
      <c r="DJ250" s="528">
        <f t="shared" si="676"/>
        <v>0.79432624113475192</v>
      </c>
      <c r="DL250" s="173">
        <f t="shared" si="677"/>
        <v>2.043805973458062</v>
      </c>
      <c r="DM250" s="173">
        <f t="shared" si="678"/>
        <v>2.043805973458062</v>
      </c>
      <c r="DN250" s="173">
        <f t="shared" si="679"/>
        <v>1.7262760297220212</v>
      </c>
      <c r="DP250" s="545">
        <f t="shared" si="680"/>
        <v>2040</v>
      </c>
      <c r="DQ250" s="460">
        <f t="shared" si="681"/>
        <v>350</v>
      </c>
      <c r="DS250">
        <f t="shared" si="682"/>
        <v>2040</v>
      </c>
      <c r="DT250">
        <f t="shared" si="683"/>
        <v>350</v>
      </c>
      <c r="DV250" s="5">
        <f t="shared" si="684"/>
        <v>2.8571428571428572</v>
      </c>
      <c r="DW250" s="5">
        <f t="shared" si="685"/>
        <v>0.68126865781935397</v>
      </c>
      <c r="DX250" s="5">
        <f t="shared" si="686"/>
        <v>2.1758741993235033</v>
      </c>
      <c r="DY250" s="173">
        <f t="shared" si="687"/>
        <v>0.23844403023677388</v>
      </c>
      <c r="EA250" s="5">
        <f t="shared" si="713"/>
        <v>34.744701548787056</v>
      </c>
      <c r="EB250" s="5">
        <f t="shared" si="714"/>
        <v>0.12868407981032243</v>
      </c>
      <c r="EC250" s="5">
        <f t="shared" si="715"/>
        <v>0.41099845987221723</v>
      </c>
      <c r="ED250" s="5"/>
      <c r="EE250" s="173">
        <f t="shared" si="716"/>
        <v>0.57619868614101477</v>
      </c>
      <c r="EF250" s="173">
        <f t="shared" si="717"/>
        <v>4.1189824500142178</v>
      </c>
      <c r="EG250" s="173">
        <f t="shared" si="718"/>
        <v>7.8483314250270927E-2</v>
      </c>
      <c r="EH250" s="173"/>
      <c r="EI250" s="528">
        <f t="shared" si="719"/>
        <v>4.0504600961097058E-3</v>
      </c>
      <c r="EJ250" s="528">
        <f t="shared" si="720"/>
        <v>0.78400397141851252</v>
      </c>
      <c r="EK250" s="528">
        <f t="shared" si="721"/>
        <v>4.3749999999999997E-2</v>
      </c>
      <c r="EL250" s="528">
        <f t="shared" si="722"/>
        <v>0.10510639999999997</v>
      </c>
      <c r="EM250">
        <f t="shared" si="723"/>
        <v>1.6199999999999999E-2</v>
      </c>
      <c r="EN250" s="460">
        <f t="shared" si="724"/>
        <v>59.949999999999996</v>
      </c>
      <c r="EP250" s="460">
        <f t="shared" si="725"/>
        <v>953.11083151462208</v>
      </c>
      <c r="EQ250" s="173">
        <f t="shared" si="726"/>
        <v>1.4279999999999999</v>
      </c>
      <c r="ER250" s="173">
        <f t="shared" si="772"/>
        <v>1.50875E-2</v>
      </c>
      <c r="ES250" s="528"/>
      <c r="EU250" s="460">
        <f t="shared" si="727"/>
        <v>1443.0874999999999</v>
      </c>
      <c r="EV250" s="528">
        <f t="shared" si="728"/>
        <v>9.9601477773189478E-3</v>
      </c>
      <c r="EW250" s="528">
        <f t="shared" si="729"/>
        <v>0.50898049270575385</v>
      </c>
      <c r="EX250" s="528">
        <f t="shared" si="730"/>
        <v>3.0798153078533897E-5</v>
      </c>
      <c r="EY250" s="528">
        <f t="shared" si="731"/>
        <v>0.6842885538075073</v>
      </c>
      <c r="EZ250" s="528"/>
      <c r="FA250" s="625">
        <f t="shared" si="732"/>
        <v>3.6549999999999992E-2</v>
      </c>
      <c r="FB250" s="460">
        <f t="shared" si="733"/>
        <v>1239.8099924436585</v>
      </c>
      <c r="FC250" s="173">
        <f t="shared" si="734"/>
        <v>3.6360083239582806</v>
      </c>
      <c r="FD250" s="5">
        <f t="shared" si="735"/>
        <v>8.7720000000000002</v>
      </c>
      <c r="FE250" s="173">
        <f t="shared" si="736"/>
        <v>0.70696277524753004</v>
      </c>
      <c r="FF250" s="5">
        <f t="shared" si="737"/>
        <v>70.696277524753</v>
      </c>
      <c r="FG250">
        <f t="shared" si="738"/>
        <v>34</v>
      </c>
      <c r="FI250" s="562">
        <f t="shared" si="689"/>
        <v>-50</v>
      </c>
    </row>
    <row r="251" spans="5:165">
      <c r="E251" s="170">
        <v>35</v>
      </c>
      <c r="F251" s="217">
        <f t="shared" si="773"/>
        <v>2.0999999999999996</v>
      </c>
      <c r="G251" s="217">
        <f t="shared" si="742"/>
        <v>3.4999999999999996E-2</v>
      </c>
      <c r="H251" s="217">
        <f t="shared" si="743"/>
        <v>8.3999999999999986</v>
      </c>
      <c r="I251" s="217">
        <f t="shared" si="744"/>
        <v>0.62999999999999989</v>
      </c>
      <c r="J251" s="541">
        <f t="shared" si="745"/>
        <v>35.946243054036643</v>
      </c>
      <c r="K251" s="443">
        <f t="shared" si="746"/>
        <v>19.28</v>
      </c>
      <c r="L251" s="172">
        <f t="shared" si="747"/>
        <v>55.226243054036644</v>
      </c>
      <c r="M251" s="443"/>
      <c r="N251" s="217">
        <f t="shared" si="748"/>
        <v>0.34910938955480464</v>
      </c>
      <c r="O251" s="172">
        <f t="shared" si="749"/>
        <v>38.912158044599593</v>
      </c>
      <c r="P251" s="172">
        <f t="shared" si="750"/>
        <v>3.1372927423458421</v>
      </c>
      <c r="Q251" s="217">
        <f t="shared" si="626"/>
        <v>9.7280395111498983</v>
      </c>
      <c r="R251" s="217">
        <f t="shared" si="751"/>
        <v>2.1617865580333109</v>
      </c>
      <c r="S251" s="217">
        <f t="shared" si="752"/>
        <v>4</v>
      </c>
      <c r="T251" s="217">
        <f t="shared" si="753"/>
        <v>1.4391388916496222</v>
      </c>
      <c r="U251" s="217">
        <f t="shared" si="630"/>
        <v>0.48043036580581233</v>
      </c>
      <c r="V251" s="217">
        <f t="shared" si="631"/>
        <v>0.89572960061179785</v>
      </c>
      <c r="W251" s="197">
        <f t="shared" si="632"/>
        <v>350</v>
      </c>
      <c r="X251" s="443">
        <f t="shared" si="691"/>
        <v>350</v>
      </c>
      <c r="Z251" s="217">
        <f t="shared" si="633"/>
        <v>2.9878978498531827</v>
      </c>
      <c r="AA251" s="173">
        <f t="shared" si="634"/>
        <v>1.859687458414844</v>
      </c>
      <c r="AB251" s="173">
        <f t="shared" si="754"/>
        <v>3.6182226147699064</v>
      </c>
      <c r="AC251" s="173"/>
      <c r="AD251" s="173">
        <f t="shared" si="636"/>
        <v>0.82987551867219922</v>
      </c>
      <c r="AE251" s="545">
        <f t="shared" si="755"/>
        <v>948.93749999999966</v>
      </c>
      <c r="AF251" s="528">
        <f t="shared" si="756"/>
        <v>0.77455048409405269</v>
      </c>
      <c r="AH251" s="173">
        <f t="shared" si="757"/>
        <v>2.0736441353327719</v>
      </c>
      <c r="AI251" s="173">
        <f t="shared" si="758"/>
        <v>2.0736441353327719</v>
      </c>
      <c r="AJ251" s="173">
        <f t="shared" si="759"/>
        <v>1.7483783718514356</v>
      </c>
      <c r="AL251" s="545">
        <f t="shared" si="760"/>
        <v>2099.9999999999995</v>
      </c>
      <c r="AM251" s="460">
        <f t="shared" si="761"/>
        <v>350</v>
      </c>
      <c r="AO251">
        <f t="shared" si="644"/>
        <v>2099.9999999999995</v>
      </c>
      <c r="AP251">
        <f t="shared" si="645"/>
        <v>350</v>
      </c>
      <c r="AR251" s="5">
        <f t="shared" si="616"/>
        <v>2.8571428571428572</v>
      </c>
      <c r="AS251" s="5">
        <f t="shared" si="739"/>
        <v>0.692248410677758</v>
      </c>
      <c r="AT251" s="5">
        <f t="shared" si="740"/>
        <v>2.164894446465099</v>
      </c>
      <c r="AU251" s="173">
        <f t="shared" si="741"/>
        <v>0.24228694373721529</v>
      </c>
      <c r="BA251" s="173">
        <f t="shared" si="692"/>
        <v>0.58930293796146016</v>
      </c>
      <c r="BB251" s="173">
        <f t="shared" si="693"/>
        <v>4.168559234351024</v>
      </c>
      <c r="BC251" s="173">
        <f t="shared" si="694"/>
        <v>7.9427952978850608E-2</v>
      </c>
      <c r="BD251" s="173"/>
      <c r="BE251" s="528">
        <f t="shared" si="695"/>
        <v>4.2367910228181043E-3</v>
      </c>
      <c r="BF251" s="528">
        <f t="shared" si="762"/>
        <v>0.75153471110461612</v>
      </c>
      <c r="BG251" s="528">
        <f t="shared" si="763"/>
        <v>0.31452962672282059</v>
      </c>
      <c r="BH251" s="528">
        <f t="shared" si="696"/>
        <v>0.10674782726522358</v>
      </c>
      <c r="BI251">
        <f t="shared" si="697"/>
        <v>1.617580937431649E-2</v>
      </c>
      <c r="BJ251" s="460">
        <f t="shared" si="698"/>
        <v>330.70543609713707</v>
      </c>
      <c r="BK251">
        <f t="shared" si="764"/>
        <v>0.86453355565540679</v>
      </c>
      <c r="BL251" s="460">
        <f t="shared" si="699"/>
        <v>1193.2247654897949</v>
      </c>
      <c r="BM251" s="173">
        <f t="shared" si="765"/>
        <v>1.3046249999999997</v>
      </c>
      <c r="BN251" s="173">
        <f t="shared" si="766"/>
        <v>1.5531249999999998E-2</v>
      </c>
      <c r="BQ251" s="460">
        <f t="shared" si="700"/>
        <v>1320.1562499999998</v>
      </c>
      <c r="BR251" s="528">
        <f t="shared" si="701"/>
        <v>1.0418338580700256E-2</v>
      </c>
      <c r="BS251" s="528">
        <f t="shared" si="702"/>
        <v>0.52130658270879582</v>
      </c>
      <c r="BT251" s="528">
        <f t="shared" si="703"/>
        <v>3.154399857205252E-5</v>
      </c>
      <c r="BU251" s="528">
        <f t="shared" si="704"/>
        <v>0.70953804117930508</v>
      </c>
      <c r="BV251" s="528"/>
      <c r="BW251" s="625">
        <f t="shared" si="705"/>
        <v>3.7624999999999992E-2</v>
      </c>
      <c r="BX251" s="460">
        <f t="shared" si="706"/>
        <v>1278.9195064673734</v>
      </c>
      <c r="BY251" s="173">
        <f t="shared" si="707"/>
        <v>3.7923005219571677</v>
      </c>
      <c r="BZ251" s="5">
        <f t="shared" si="708"/>
        <v>9.0299999999999976</v>
      </c>
      <c r="CA251" s="173">
        <f t="shared" si="709"/>
        <v>0.70424180002152059</v>
      </c>
      <c r="CB251" s="5">
        <f t="shared" si="710"/>
        <v>70.424180002152056</v>
      </c>
      <c r="CC251">
        <f t="shared" si="711"/>
        <v>34.999999999999993</v>
      </c>
      <c r="CE251" s="562">
        <f t="shared" si="767"/>
        <v>-50</v>
      </c>
      <c r="CG251" s="173">
        <f t="shared" si="768"/>
        <v>0.52499999999999991</v>
      </c>
      <c r="CH251" s="173">
        <f t="shared" si="769"/>
        <v>0.12576253758318973</v>
      </c>
      <c r="CI251" s="170">
        <v>35</v>
      </c>
      <c r="CJ251" s="217">
        <f t="shared" si="712"/>
        <v>2.0999999999999996</v>
      </c>
      <c r="CK251" s="217">
        <f t="shared" si="654"/>
        <v>3.4999999999999996E-2</v>
      </c>
      <c r="CL251" s="217">
        <f t="shared" si="655"/>
        <v>8.3999999999999986</v>
      </c>
      <c r="CM251" s="217">
        <f t="shared" si="656"/>
        <v>0.62999999999999989</v>
      </c>
      <c r="CN251" s="541">
        <f t="shared" si="657"/>
        <v>36</v>
      </c>
      <c r="CO251" s="443">
        <f t="shared" si="770"/>
        <v>18.8</v>
      </c>
      <c r="CP251" s="443">
        <f t="shared" si="771"/>
        <v>54.8</v>
      </c>
      <c r="CQ251" s="443"/>
      <c r="CR251" s="217">
        <f t="shared" si="660"/>
        <v>0.34306569343065696</v>
      </c>
      <c r="CS251" s="172">
        <f t="shared" si="661"/>
        <v>38.295705313189622</v>
      </c>
      <c r="CT251" s="172">
        <f t="shared" si="662"/>
        <v>3.0875912408759132</v>
      </c>
      <c r="CU251" s="217">
        <f t="shared" si="663"/>
        <v>9.5739263282974054</v>
      </c>
      <c r="CV251" s="217">
        <f t="shared" si="664"/>
        <v>2.12753918406609</v>
      </c>
      <c r="CW251" s="217">
        <f t="shared" si="665"/>
        <v>4</v>
      </c>
      <c r="CX251" s="217">
        <f t="shared" si="666"/>
        <v>1.4623049645390065</v>
      </c>
      <c r="CY251" s="217">
        <f t="shared" si="667"/>
        <v>0.48743498817966885</v>
      </c>
      <c r="CZ251" s="217">
        <f t="shared" si="668"/>
        <v>0.93338614757808924</v>
      </c>
      <c r="DA251" s="197">
        <f t="shared" si="669"/>
        <v>350</v>
      </c>
      <c r="DB251" s="443">
        <f t="shared" si="670"/>
        <v>350</v>
      </c>
      <c r="DD251" s="217">
        <f t="shared" si="671"/>
        <v>2.940563086548488</v>
      </c>
      <c r="DE251" s="173">
        <f t="shared" si="672"/>
        <v>1.8769551616266944</v>
      </c>
      <c r="DF251" s="173">
        <f t="shared" si="673"/>
        <v>3.5939660877863036</v>
      </c>
      <c r="DG251" s="173"/>
      <c r="DH251" s="173">
        <f t="shared" si="674"/>
        <v>0.85106382978723416</v>
      </c>
      <c r="DI251" s="545">
        <f t="shared" si="675"/>
        <v>925.31249999999966</v>
      </c>
      <c r="DJ251" s="528">
        <f t="shared" si="676"/>
        <v>0.79432624113475192</v>
      </c>
      <c r="DL251" s="173">
        <f t="shared" si="677"/>
        <v>2.0736441353327719</v>
      </c>
      <c r="DM251" s="173">
        <f t="shared" si="678"/>
        <v>2.0736441353327719</v>
      </c>
      <c r="DN251" s="173">
        <f t="shared" si="679"/>
        <v>1.7483783718514356</v>
      </c>
      <c r="DP251" s="545">
        <f t="shared" si="680"/>
        <v>2099.9999999999995</v>
      </c>
      <c r="DQ251" s="460">
        <f t="shared" si="681"/>
        <v>350</v>
      </c>
      <c r="DS251">
        <f t="shared" si="682"/>
        <v>2099.9999999999995</v>
      </c>
      <c r="DT251">
        <f t="shared" si="683"/>
        <v>350</v>
      </c>
      <c r="DV251" s="5">
        <f t="shared" si="684"/>
        <v>2.8571428571428572</v>
      </c>
      <c r="DW251" s="5">
        <f t="shared" si="685"/>
        <v>0.69121471177759064</v>
      </c>
      <c r="DX251" s="5">
        <f t="shared" si="686"/>
        <v>2.1659281453652666</v>
      </c>
      <c r="DY251" s="173">
        <f t="shared" si="687"/>
        <v>0.24192514912215671</v>
      </c>
      <c r="EA251" s="5">
        <f t="shared" si="713"/>
        <v>36.2887723683235</v>
      </c>
      <c r="EB251" s="5">
        <f t="shared" si="714"/>
        <v>0.13440286062342038</v>
      </c>
      <c r="EC251" s="5">
        <f t="shared" si="715"/>
        <v>0.42115269493213503</v>
      </c>
      <c r="ED251" s="5"/>
      <c r="EE251" s="173">
        <f t="shared" si="716"/>
        <v>0.5888627857221278</v>
      </c>
      <c r="EF251" s="173">
        <f t="shared" si="717"/>
        <v>4.1695543223225355</v>
      </c>
      <c r="EG251" s="173">
        <f t="shared" si="718"/>
        <v>7.9446913438848327E-2</v>
      </c>
      <c r="EH251" s="173"/>
      <c r="EI251" s="528">
        <f t="shared" si="719"/>
        <v>4.2304644409827796E-3</v>
      </c>
      <c r="EJ251" s="528">
        <f t="shared" si="720"/>
        <v>0.79544989031365132</v>
      </c>
      <c r="EK251" s="528">
        <f t="shared" si="721"/>
        <v>4.3749999999999997E-2</v>
      </c>
      <c r="EL251" s="528">
        <f t="shared" si="722"/>
        <v>0.10510639999999997</v>
      </c>
      <c r="EM251">
        <f t="shared" si="723"/>
        <v>1.6199999999999999E-2</v>
      </c>
      <c r="EN251" s="460">
        <f t="shared" si="724"/>
        <v>59.949999999999996</v>
      </c>
      <c r="EP251" s="460">
        <f t="shared" si="725"/>
        <v>964.73675475463392</v>
      </c>
      <c r="EQ251" s="173">
        <f t="shared" si="726"/>
        <v>1.4699999999999998</v>
      </c>
      <c r="ER251" s="173">
        <f t="shared" si="772"/>
        <v>1.5531249999999998E-2</v>
      </c>
      <c r="ES251" s="528"/>
      <c r="EU251" s="460">
        <f t="shared" si="727"/>
        <v>1485.5312499999998</v>
      </c>
      <c r="EV251" s="528">
        <f t="shared" si="728"/>
        <v>1.0402781412252737E-2</v>
      </c>
      <c r="EW251" s="528">
        <f t="shared" si="729"/>
        <v>0.52155549740395613</v>
      </c>
      <c r="EX251" s="528">
        <f t="shared" si="730"/>
        <v>3.1559060274799292E-5</v>
      </c>
      <c r="EY251" s="528">
        <f t="shared" si="731"/>
        <v>0.70953804117930508</v>
      </c>
      <c r="EZ251" s="528"/>
      <c r="FA251" s="625">
        <f t="shared" si="732"/>
        <v>3.7624999999999992E-2</v>
      </c>
      <c r="FB251" s="460">
        <f t="shared" si="733"/>
        <v>1279.1528790557886</v>
      </c>
      <c r="FC251" s="173">
        <f t="shared" si="734"/>
        <v>3.7294208838104224</v>
      </c>
      <c r="FD251" s="5">
        <f t="shared" si="735"/>
        <v>9.0299999999999976</v>
      </c>
      <c r="FE251" s="173">
        <f t="shared" si="736"/>
        <v>0.70771237050872449</v>
      </c>
      <c r="FF251" s="5">
        <f t="shared" si="737"/>
        <v>70.771237050872443</v>
      </c>
      <c r="FG251">
        <f t="shared" si="738"/>
        <v>34.999999999999993</v>
      </c>
      <c r="FI251" s="562">
        <f t="shared" si="689"/>
        <v>-50</v>
      </c>
    </row>
    <row r="252" spans="5:165">
      <c r="E252" s="170">
        <v>36</v>
      </c>
      <c r="F252" s="217">
        <f t="shared" si="773"/>
        <v>2.16</v>
      </c>
      <c r="G252" s="217">
        <f t="shared" si="742"/>
        <v>3.5999999999999997E-2</v>
      </c>
      <c r="H252" s="217">
        <f t="shared" si="743"/>
        <v>8.64</v>
      </c>
      <c r="I252" s="217">
        <f t="shared" si="744"/>
        <v>0.64799999999999991</v>
      </c>
      <c r="J252" s="541">
        <f t="shared" si="745"/>
        <v>35.945480506077431</v>
      </c>
      <c r="K252" s="443">
        <f t="shared" si="746"/>
        <v>19.286808850723627</v>
      </c>
      <c r="L252" s="172">
        <f t="shared" si="747"/>
        <v>55.232289356801061</v>
      </c>
      <c r="M252" s="443"/>
      <c r="N252" s="217">
        <f t="shared" si="748"/>
        <v>0.34919444903199065</v>
      </c>
      <c r="O252" s="172">
        <f t="shared" si="749"/>
        <v>38.920813210883317</v>
      </c>
      <c r="P252" s="172">
        <f t="shared" si="750"/>
        <v>3.1379905651274673</v>
      </c>
      <c r="Q252" s="217">
        <f t="shared" si="626"/>
        <v>9.7302033027208292</v>
      </c>
      <c r="R252" s="217">
        <f t="shared" si="751"/>
        <v>2.1622674006046285</v>
      </c>
      <c r="S252" s="217">
        <f t="shared" si="752"/>
        <v>4</v>
      </c>
      <c r="T252" s="217">
        <f t="shared" si="753"/>
        <v>1.4799279677921395</v>
      </c>
      <c r="U252" s="217">
        <f t="shared" si="630"/>
        <v>0.49405753834624844</v>
      </c>
      <c r="V252" s="217">
        <f t="shared" si="631"/>
        <v>0.9207918091042504</v>
      </c>
      <c r="W252" s="197">
        <f t="shared" si="632"/>
        <v>350</v>
      </c>
      <c r="X252" s="443">
        <f t="shared" si="691"/>
        <v>350</v>
      </c>
      <c r="Z252" s="217">
        <f t="shared" si="633"/>
        <v>2.9885624429785405</v>
      </c>
      <c r="AA252" s="173">
        <f t="shared" si="634"/>
        <v>1.8594444313371699</v>
      </c>
      <c r="AB252" s="173">
        <f t="shared" si="754"/>
        <v>3.6185544694045571</v>
      </c>
      <c r="AC252" s="173"/>
      <c r="AD252" s="173">
        <f t="shared" si="636"/>
        <v>0.82958254648745033</v>
      </c>
      <c r="AE252" s="545">
        <f t="shared" si="755"/>
        <v>976.3946980678835</v>
      </c>
      <c r="AF252" s="528">
        <f t="shared" si="756"/>
        <v>0.77427704338828707</v>
      </c>
      <c r="AH252" s="173">
        <f t="shared" si="757"/>
        <v>2.1030589965231936</v>
      </c>
      <c r="AI252" s="173">
        <f t="shared" si="758"/>
        <v>2.1030589965231936</v>
      </c>
      <c r="AJ252" s="173">
        <f t="shared" si="759"/>
        <v>1.7701671579184148</v>
      </c>
      <c r="AL252" s="545">
        <f t="shared" si="760"/>
        <v>2160</v>
      </c>
      <c r="AM252" s="460">
        <f t="shared" si="761"/>
        <v>350</v>
      </c>
      <c r="AO252">
        <f t="shared" si="644"/>
        <v>2160</v>
      </c>
      <c r="AP252">
        <f t="shared" si="645"/>
        <v>350</v>
      </c>
      <c r="AR252" s="5">
        <f t="shared" si="616"/>
        <v>2.8571428571428572</v>
      </c>
      <c r="AS252" s="5">
        <f t="shared" si="739"/>
        <v>0.70208292121763305</v>
      </c>
      <c r="AT252" s="5">
        <f t="shared" si="740"/>
        <v>2.155059935925224</v>
      </c>
      <c r="AU252" s="173">
        <f t="shared" si="741"/>
        <v>0.24572902242617156</v>
      </c>
      <c r="BA252" s="173">
        <f t="shared" si="692"/>
        <v>0.60189267095413168</v>
      </c>
      <c r="BB252" s="173">
        <f t="shared" si="693"/>
        <v>4.2180771485356505</v>
      </c>
      <c r="BC252" s="173">
        <f t="shared" si="694"/>
        <v>8.037146999236848E-2</v>
      </c>
      <c r="BD252" s="173"/>
      <c r="BE252" s="528">
        <f t="shared" si="695"/>
        <v>4.4197524056492432E-3</v>
      </c>
      <c r="BF252" s="528">
        <f t="shared" si="762"/>
        <v>0.76227875738695217</v>
      </c>
      <c r="BG252" s="528">
        <f t="shared" si="763"/>
        <v>0.31452295442817751</v>
      </c>
      <c r="BH252" s="528">
        <f t="shared" si="696"/>
        <v>0.106771202565769</v>
      </c>
      <c r="BI252">
        <f t="shared" si="697"/>
        <v>1.6175466227734844E-2</v>
      </c>
      <c r="BJ252" s="460">
        <f t="shared" si="698"/>
        <v>330.6984206559124</v>
      </c>
      <c r="BK252">
        <f t="shared" si="764"/>
        <v>0.87558252376055445</v>
      </c>
      <c r="BL252" s="460">
        <f t="shared" si="699"/>
        <v>1204.1681330142828</v>
      </c>
      <c r="BM252" s="173">
        <f t="shared" si="765"/>
        <v>1.3418999999999999</v>
      </c>
      <c r="BN252" s="173">
        <f t="shared" si="766"/>
        <v>1.5975E-2</v>
      </c>
      <c r="BQ252" s="460">
        <f t="shared" si="700"/>
        <v>1357.875</v>
      </c>
      <c r="BR252" s="528">
        <f t="shared" si="701"/>
        <v>1.0868243620448959E-2</v>
      </c>
      <c r="BS252" s="528">
        <f t="shared" si="702"/>
        <v>0.53376524492995925</v>
      </c>
      <c r="BT252" s="528">
        <f t="shared" si="703"/>
        <v>3.2297865943670935E-5</v>
      </c>
      <c r="BU252" s="528">
        <f t="shared" si="704"/>
        <v>0.7349685493191066</v>
      </c>
      <c r="BV252" s="528"/>
      <c r="BW252" s="625">
        <f t="shared" si="705"/>
        <v>3.8699999999999991E-2</v>
      </c>
      <c r="BX252" s="460">
        <f t="shared" si="706"/>
        <v>1318.3343357354584</v>
      </c>
      <c r="BY252" s="173">
        <f t="shared" si="707"/>
        <v>3.880377468749741</v>
      </c>
      <c r="BZ252" s="5">
        <f t="shared" si="708"/>
        <v>9.2880000000000003</v>
      </c>
      <c r="CA252" s="173">
        <f t="shared" si="709"/>
        <v>0.70532607544411774</v>
      </c>
      <c r="CB252" s="5">
        <f t="shared" si="710"/>
        <v>70.532607544411775</v>
      </c>
      <c r="CC252">
        <f t="shared" si="711"/>
        <v>36.000000000000007</v>
      </c>
      <c r="CE252" s="562">
        <f t="shared" si="767"/>
        <v>-50</v>
      </c>
      <c r="CG252" s="173">
        <f t="shared" si="768"/>
        <v>0.53244718047896544</v>
      </c>
      <c r="CH252" s="173">
        <f t="shared" si="769"/>
        <v>0.12754649246866531</v>
      </c>
      <c r="CI252" s="170">
        <v>36</v>
      </c>
      <c r="CJ252" s="217">
        <f t="shared" si="712"/>
        <v>2.16</v>
      </c>
      <c r="CK252" s="217">
        <f t="shared" si="654"/>
        <v>3.5999999999999997E-2</v>
      </c>
      <c r="CL252" s="217">
        <f t="shared" si="655"/>
        <v>8.64</v>
      </c>
      <c r="CM252" s="217">
        <f t="shared" si="656"/>
        <v>0.64799999999999991</v>
      </c>
      <c r="CN252" s="541">
        <f t="shared" si="657"/>
        <v>36</v>
      </c>
      <c r="CO252" s="443">
        <f t="shared" si="770"/>
        <v>18.8</v>
      </c>
      <c r="CP252" s="443">
        <f t="shared" si="771"/>
        <v>54.8</v>
      </c>
      <c r="CQ252" s="443"/>
      <c r="CR252" s="217">
        <f t="shared" si="660"/>
        <v>0.34306569343065696</v>
      </c>
      <c r="CS252" s="172">
        <f t="shared" si="661"/>
        <v>38.295705313189622</v>
      </c>
      <c r="CT252" s="172">
        <f t="shared" si="662"/>
        <v>3.0875912408759132</v>
      </c>
      <c r="CU252" s="217">
        <f t="shared" si="663"/>
        <v>9.5739263282974054</v>
      </c>
      <c r="CV252" s="217">
        <f t="shared" si="664"/>
        <v>2.12753918406609</v>
      </c>
      <c r="CW252" s="217">
        <f t="shared" si="665"/>
        <v>4</v>
      </c>
      <c r="CX252" s="217">
        <f t="shared" si="666"/>
        <v>1.5040851063829785</v>
      </c>
      <c r="CY252" s="217">
        <f t="shared" si="667"/>
        <v>0.50136170212765951</v>
      </c>
      <c r="CZ252" s="217">
        <f t="shared" si="668"/>
        <v>0.96005432322317785</v>
      </c>
      <c r="DA252" s="197">
        <f t="shared" si="669"/>
        <v>350</v>
      </c>
      <c r="DB252" s="443">
        <f t="shared" si="670"/>
        <v>350</v>
      </c>
      <c r="DD252" s="217">
        <f t="shared" si="671"/>
        <v>2.940563086548488</v>
      </c>
      <c r="DE252" s="173">
        <f t="shared" si="672"/>
        <v>1.8769551616266944</v>
      </c>
      <c r="DF252" s="173">
        <f t="shared" si="673"/>
        <v>3.5939660877863036</v>
      </c>
      <c r="DG252" s="173"/>
      <c r="DH252" s="173">
        <f t="shared" si="674"/>
        <v>0.85106382978723416</v>
      </c>
      <c r="DI252" s="545">
        <f t="shared" si="675"/>
        <v>951.74999999999989</v>
      </c>
      <c r="DJ252" s="528">
        <f t="shared" si="676"/>
        <v>0.79432624113475192</v>
      </c>
      <c r="DL252" s="173">
        <f t="shared" si="677"/>
        <v>2.1030589965231936</v>
      </c>
      <c r="DM252" s="173">
        <f t="shared" si="678"/>
        <v>2.1030589965231936</v>
      </c>
      <c r="DN252" s="173">
        <f t="shared" si="679"/>
        <v>1.7701671579184148</v>
      </c>
      <c r="DP252" s="545">
        <f t="shared" si="680"/>
        <v>2160</v>
      </c>
      <c r="DQ252" s="460">
        <f t="shared" si="681"/>
        <v>350</v>
      </c>
      <c r="DS252">
        <f t="shared" si="682"/>
        <v>2160</v>
      </c>
      <c r="DT252">
        <f t="shared" si="683"/>
        <v>350</v>
      </c>
      <c r="DV252" s="5">
        <f t="shared" si="684"/>
        <v>2.8571428571428572</v>
      </c>
      <c r="DW252" s="5">
        <f t="shared" si="685"/>
        <v>0.7010196655077312</v>
      </c>
      <c r="DX252" s="5">
        <f t="shared" si="686"/>
        <v>2.156123191635126</v>
      </c>
      <c r="DY252" s="173">
        <f t="shared" si="687"/>
        <v>0.24535688292770591</v>
      </c>
      <c r="EA252" s="5">
        <f t="shared" si="713"/>
        <v>37.855061937417489</v>
      </c>
      <c r="EB252" s="5">
        <f t="shared" si="714"/>
        <v>0.14020393310154625</v>
      </c>
      <c r="EC252" s="5">
        <f t="shared" si="715"/>
        <v>0.43122463832702523</v>
      </c>
      <c r="ED252" s="5"/>
      <c r="EE252" s="173">
        <f t="shared" si="716"/>
        <v>0.6014367359930628</v>
      </c>
      <c r="EF252" s="173">
        <f t="shared" si="717"/>
        <v>4.2191175700778469</v>
      </c>
      <c r="EG252" s="173">
        <f t="shared" si="718"/>
        <v>8.0391294240672484E-2</v>
      </c>
      <c r="EH252" s="173"/>
      <c r="EI252" s="528">
        <f t="shared" si="719"/>
        <v>4.4130589983042666E-3</v>
      </c>
      <c r="EJ252" s="528">
        <f t="shared" si="720"/>
        <v>0.80673343106629702</v>
      </c>
      <c r="EK252" s="528">
        <f t="shared" si="721"/>
        <v>4.3749999999999997E-2</v>
      </c>
      <c r="EL252" s="528">
        <f t="shared" si="722"/>
        <v>0.10510639999999997</v>
      </c>
      <c r="EM252">
        <f t="shared" si="723"/>
        <v>1.6199999999999999E-2</v>
      </c>
      <c r="EN252" s="460">
        <f t="shared" si="724"/>
        <v>59.949999999999996</v>
      </c>
      <c r="EP252" s="460">
        <f t="shared" si="725"/>
        <v>976.20289006460109</v>
      </c>
      <c r="EQ252" s="173">
        <f t="shared" si="726"/>
        <v>1.512</v>
      </c>
      <c r="ER252" s="173">
        <f t="shared" si="772"/>
        <v>1.5975E-2</v>
      </c>
      <c r="ES252" s="528"/>
      <c r="EU252" s="460">
        <f t="shared" si="727"/>
        <v>1527.9750000000001</v>
      </c>
      <c r="EV252" s="528">
        <f t="shared" si="728"/>
        <v>1.0851784422059673E-2</v>
      </c>
      <c r="EW252" s="528">
        <f t="shared" si="729"/>
        <v>0.53402859210418785</v>
      </c>
      <c r="EX252" s="528">
        <f t="shared" si="730"/>
        <v>3.2313800948451904E-5</v>
      </c>
      <c r="EY252" s="528">
        <f t="shared" si="731"/>
        <v>0.7349685493191066</v>
      </c>
      <c r="EZ252" s="528"/>
      <c r="FA252" s="625">
        <f t="shared" si="732"/>
        <v>3.8699999999999991E-2</v>
      </c>
      <c r="FB252" s="460">
        <f t="shared" si="733"/>
        <v>1318.5812396463025</v>
      </c>
      <c r="FC252" s="173">
        <f t="shared" si="734"/>
        <v>3.8227591297109034</v>
      </c>
      <c r="FD252" s="5">
        <f t="shared" si="735"/>
        <v>9.2880000000000003</v>
      </c>
      <c r="FE252" s="173">
        <f t="shared" si="736"/>
        <v>0.7084257980876203</v>
      </c>
      <c r="FF252" s="5">
        <f t="shared" si="737"/>
        <v>70.842579808762025</v>
      </c>
      <c r="FG252">
        <f t="shared" si="738"/>
        <v>36.000000000000007</v>
      </c>
      <c r="FI252" s="562">
        <f t="shared" si="689"/>
        <v>-50</v>
      </c>
    </row>
    <row r="253" spans="5:165">
      <c r="E253" s="170">
        <v>37</v>
      </c>
      <c r="F253" s="217">
        <f t="shared" si="773"/>
        <v>2.2199999999999998</v>
      </c>
      <c r="G253" s="217">
        <f t="shared" si="742"/>
        <v>3.6999999999999998E-2</v>
      </c>
      <c r="H253" s="217">
        <f t="shared" si="743"/>
        <v>8.879999999999999</v>
      </c>
      <c r="I253" s="217">
        <f t="shared" si="744"/>
        <v>0.66599999999999993</v>
      </c>
      <c r="J253" s="541">
        <f t="shared" si="745"/>
        <v>35.944728477532827</v>
      </c>
      <c r="K253" s="443">
        <f t="shared" si="746"/>
        <v>19.293523772766534</v>
      </c>
      <c r="L253" s="172">
        <f t="shared" si="747"/>
        <v>55.238252250299361</v>
      </c>
      <c r="M253" s="443"/>
      <c r="N253" s="217">
        <f t="shared" si="748"/>
        <v>0.34927831686894062</v>
      </c>
      <c r="O253" s="172">
        <f t="shared" si="749"/>
        <v>38.929346551763551</v>
      </c>
      <c r="P253" s="172">
        <f t="shared" si="750"/>
        <v>3.138678565735936</v>
      </c>
      <c r="Q253" s="217">
        <f t="shared" si="626"/>
        <v>9.7323366379408878</v>
      </c>
      <c r="R253" s="217">
        <f t="shared" si="751"/>
        <v>2.1627414750979752</v>
      </c>
      <c r="S253" s="217">
        <f t="shared" si="752"/>
        <v>4</v>
      </c>
      <c r="T253" s="217">
        <f t="shared" si="753"/>
        <v>1.5207036655825441</v>
      </c>
      <c r="U253" s="217">
        <f t="shared" si="630"/>
        <v>0.50768067418833551</v>
      </c>
      <c r="V253" s="217">
        <f t="shared" si="631"/>
        <v>0.94583261211976377</v>
      </c>
      <c r="W253" s="197">
        <f t="shared" si="632"/>
        <v>350</v>
      </c>
      <c r="X253" s="443">
        <f t="shared" si="691"/>
        <v>350</v>
      </c>
      <c r="Z253" s="217">
        <f t="shared" si="633"/>
        <v>2.9892176816532721</v>
      </c>
      <c r="AA253" s="173">
        <f t="shared" si="634"/>
        <v>1.8592048089458837</v>
      </c>
      <c r="AB253" s="173">
        <f t="shared" si="754"/>
        <v>3.6188814159079814</v>
      </c>
      <c r="AC253" s="173"/>
      <c r="AD253" s="173">
        <f t="shared" si="636"/>
        <v>0.8292938184047306</v>
      </c>
      <c r="AE253" s="545">
        <f t="shared" si="755"/>
        <v>1003.8661588017582</v>
      </c>
      <c r="AF253" s="528">
        <f t="shared" si="756"/>
        <v>0.77400756384441549</v>
      </c>
      <c r="AH253" s="173">
        <f t="shared" si="757"/>
        <v>2.1320680771763096</v>
      </c>
      <c r="AI253" s="173">
        <f t="shared" si="758"/>
        <v>2.1320680771763096</v>
      </c>
      <c r="AJ253" s="173">
        <f t="shared" si="759"/>
        <v>1.7916553658096119</v>
      </c>
      <c r="AL253" s="545">
        <f t="shared" si="760"/>
        <v>2219.9999999999995</v>
      </c>
      <c r="AM253" s="460">
        <f t="shared" si="761"/>
        <v>350</v>
      </c>
      <c r="AO253">
        <f t="shared" si="644"/>
        <v>2219.9999999999995</v>
      </c>
      <c r="AP253">
        <f t="shared" si="645"/>
        <v>350</v>
      </c>
      <c r="AR253" s="5">
        <f t="shared" si="616"/>
        <v>2.8571428571428572</v>
      </c>
      <c r="AS253" s="5">
        <f t="shared" si="739"/>
        <v>0.7117821725126523</v>
      </c>
      <c r="AT253" s="5">
        <f t="shared" si="740"/>
        <v>2.1453606846302051</v>
      </c>
      <c r="AU253" s="173">
        <f t="shared" si="741"/>
        <v>0.24912376037942829</v>
      </c>
      <c r="BA253" s="173">
        <f t="shared" si="692"/>
        <v>0.61439548513630582</v>
      </c>
      <c r="BB253" s="173">
        <f t="shared" si="693"/>
        <v>4.2666263639221444</v>
      </c>
      <c r="BC253" s="173">
        <f t="shared" si="694"/>
        <v>8.129652936662464E-2</v>
      </c>
      <c r="BD253" s="173"/>
      <c r="BE253" s="528">
        <f t="shared" si="695"/>
        <v>4.605278108301694E-3</v>
      </c>
      <c r="BF253" s="528">
        <f t="shared" si="762"/>
        <v>0.77287687484355927</v>
      </c>
      <c r="BG253" s="528">
        <f t="shared" si="763"/>
        <v>0.31451637417841222</v>
      </c>
      <c r="BH253" s="528">
        <f t="shared" si="696"/>
        <v>0.10679425790836958</v>
      </c>
      <c r="BI253">
        <f t="shared" si="697"/>
        <v>1.6175127814889771E-2</v>
      </c>
      <c r="BJ253" s="460">
        <f t="shared" si="698"/>
        <v>330.69150199330198</v>
      </c>
      <c r="BK253">
        <f t="shared" si="764"/>
        <v>0.88648984561902444</v>
      </c>
      <c r="BL253" s="460">
        <f t="shared" si="699"/>
        <v>1214.9679128535327</v>
      </c>
      <c r="BM253" s="173">
        <f t="shared" si="765"/>
        <v>1.3791749999999998</v>
      </c>
      <c r="BN253" s="173">
        <f t="shared" si="766"/>
        <v>1.6418749999999999E-2</v>
      </c>
      <c r="BQ253" s="460">
        <f t="shared" si="700"/>
        <v>1395.5937499999998</v>
      </c>
      <c r="BR253" s="528">
        <f t="shared" si="701"/>
        <v>1.1324454364676297E-2</v>
      </c>
      <c r="BS253" s="528">
        <f t="shared" si="702"/>
        <v>0.54612301587946499</v>
      </c>
      <c r="BT253" s="528">
        <f t="shared" si="703"/>
        <v>3.3045628435292316E-5</v>
      </c>
      <c r="BU253" s="528">
        <f t="shared" si="704"/>
        <v>0.76057629284493422</v>
      </c>
      <c r="BV253" s="528"/>
      <c r="BW253" s="625">
        <f t="shared" si="705"/>
        <v>3.9775000000000012E-2</v>
      </c>
      <c r="BX253" s="460">
        <f t="shared" si="706"/>
        <v>1357.831808717511</v>
      </c>
      <c r="BY253" s="173">
        <f t="shared" si="707"/>
        <v>3.9683934715710438</v>
      </c>
      <c r="BZ253" s="5">
        <f t="shared" si="708"/>
        <v>9.5459999999999994</v>
      </c>
      <c r="CA253" s="173">
        <f t="shared" si="709"/>
        <v>0.70635800415912264</v>
      </c>
      <c r="CB253" s="5">
        <f t="shared" si="710"/>
        <v>70.635800415912257</v>
      </c>
      <c r="CC253">
        <f t="shared" si="711"/>
        <v>36.999999999999993</v>
      </c>
      <c r="CE253" s="562">
        <f t="shared" si="767"/>
        <v>-50</v>
      </c>
      <c r="CG253" s="173">
        <f t="shared" si="768"/>
        <v>0.5397916264633974</v>
      </c>
      <c r="CH253" s="173">
        <f t="shared" si="769"/>
        <v>0.12930583754322691</v>
      </c>
      <c r="CI253" s="170">
        <v>37</v>
      </c>
      <c r="CJ253" s="217">
        <f t="shared" si="712"/>
        <v>2.2199999999999998</v>
      </c>
      <c r="CK253" s="217">
        <f t="shared" si="654"/>
        <v>3.6999999999999998E-2</v>
      </c>
      <c r="CL253" s="217">
        <f t="shared" si="655"/>
        <v>8.879999999999999</v>
      </c>
      <c r="CM253" s="217">
        <f t="shared" si="656"/>
        <v>0.66599999999999993</v>
      </c>
      <c r="CN253" s="541">
        <f t="shared" si="657"/>
        <v>36</v>
      </c>
      <c r="CO253" s="443">
        <f t="shared" si="770"/>
        <v>18.8</v>
      </c>
      <c r="CP253" s="443">
        <f t="shared" si="771"/>
        <v>54.8</v>
      </c>
      <c r="CQ253" s="443"/>
      <c r="CR253" s="217">
        <f t="shared" si="660"/>
        <v>0.34306569343065696</v>
      </c>
      <c r="CS253" s="172">
        <f t="shared" si="661"/>
        <v>38.295705313189622</v>
      </c>
      <c r="CT253" s="172">
        <f t="shared" si="662"/>
        <v>3.0875912408759132</v>
      </c>
      <c r="CU253" s="217">
        <f t="shared" si="663"/>
        <v>9.5739263282974054</v>
      </c>
      <c r="CV253" s="217">
        <f t="shared" si="664"/>
        <v>2.12753918406609</v>
      </c>
      <c r="CW253" s="217">
        <f t="shared" si="665"/>
        <v>4</v>
      </c>
      <c r="CX253" s="217">
        <f t="shared" si="666"/>
        <v>1.5458652482269502</v>
      </c>
      <c r="CY253" s="217">
        <f t="shared" si="667"/>
        <v>0.51528841607565012</v>
      </c>
      <c r="CZ253" s="217">
        <f t="shared" si="668"/>
        <v>0.98672249886826602</v>
      </c>
      <c r="DA253" s="197">
        <f t="shared" si="669"/>
        <v>350</v>
      </c>
      <c r="DB253" s="443">
        <f t="shared" si="670"/>
        <v>350</v>
      </c>
      <c r="DD253" s="217">
        <f t="shared" si="671"/>
        <v>2.940563086548488</v>
      </c>
      <c r="DE253" s="173">
        <f t="shared" si="672"/>
        <v>1.8769551616266944</v>
      </c>
      <c r="DF253" s="173">
        <f t="shared" si="673"/>
        <v>3.5939660877863036</v>
      </c>
      <c r="DG253" s="173"/>
      <c r="DH253" s="173">
        <f t="shared" si="674"/>
        <v>0.85106382978723416</v>
      </c>
      <c r="DI253" s="545">
        <f t="shared" si="675"/>
        <v>978.18749999999966</v>
      </c>
      <c r="DJ253" s="528">
        <f t="shared" si="676"/>
        <v>0.79432624113475192</v>
      </c>
      <c r="DL253" s="173">
        <f t="shared" si="677"/>
        <v>2.1320680771763096</v>
      </c>
      <c r="DM253" s="173">
        <f t="shared" si="678"/>
        <v>2.1320680771763096</v>
      </c>
      <c r="DN253" s="173">
        <f t="shared" si="679"/>
        <v>1.7916553658096119</v>
      </c>
      <c r="DP253" s="545">
        <f t="shared" si="680"/>
        <v>2219.9999999999995</v>
      </c>
      <c r="DQ253" s="460">
        <f t="shared" si="681"/>
        <v>350</v>
      </c>
      <c r="DS253">
        <f t="shared" si="682"/>
        <v>2219.9999999999995</v>
      </c>
      <c r="DT253">
        <f t="shared" si="683"/>
        <v>350</v>
      </c>
      <c r="DV253" s="5">
        <f t="shared" si="684"/>
        <v>2.8571428571428572</v>
      </c>
      <c r="DW253" s="5">
        <f t="shared" si="685"/>
        <v>0.71068935905876995</v>
      </c>
      <c r="DX253" s="5">
        <f t="shared" si="686"/>
        <v>2.146453498084087</v>
      </c>
      <c r="DY253" s="173">
        <f t="shared" si="687"/>
        <v>0.24874127567056947</v>
      </c>
      <c r="EA253" s="5">
        <f t="shared" si="713"/>
        <v>39.443259427761731</v>
      </c>
      <c r="EB253" s="5">
        <f t="shared" si="714"/>
        <v>0.14608614602874714</v>
      </c>
      <c r="EC253" s="5">
        <f t="shared" si="715"/>
        <v>0.44121544127284001</v>
      </c>
      <c r="ED253" s="5"/>
      <c r="EE253" s="173">
        <f t="shared" si="716"/>
        <v>0.61392365710580632</v>
      </c>
      <c r="EF253" s="173">
        <f t="shared" si="717"/>
        <v>4.2677129022162266</v>
      </c>
      <c r="EG253" s="173">
        <f t="shared" si="718"/>
        <v>8.1317232326011873E-2</v>
      </c>
      <c r="EH253" s="173"/>
      <c r="EI253" s="528">
        <f t="shared" si="719"/>
        <v>4.5982075324008448E-3</v>
      </c>
      <c r="EJ253" s="528">
        <f t="shared" si="720"/>
        <v>0.81786131440483234</v>
      </c>
      <c r="EK253" s="528">
        <f t="shared" si="721"/>
        <v>4.3749999999999997E-2</v>
      </c>
      <c r="EL253" s="528">
        <f t="shared" si="722"/>
        <v>0.10510639999999997</v>
      </c>
      <c r="EM253">
        <f t="shared" si="723"/>
        <v>1.6199999999999999E-2</v>
      </c>
      <c r="EN253" s="460">
        <f t="shared" si="724"/>
        <v>59.949999999999996</v>
      </c>
      <c r="EP253" s="460">
        <f t="shared" si="725"/>
        <v>987.51592193723309</v>
      </c>
      <c r="EQ253" s="173">
        <f t="shared" si="726"/>
        <v>1.5539999999999998</v>
      </c>
      <c r="ER253" s="173">
        <f t="shared" si="772"/>
        <v>1.6418749999999999E-2</v>
      </c>
      <c r="ES253" s="528"/>
      <c r="EU253" s="460">
        <f t="shared" si="727"/>
        <v>1570.4187499999998</v>
      </c>
      <c r="EV253" s="528">
        <f t="shared" si="728"/>
        <v>1.130706770262503E-2</v>
      </c>
      <c r="EW253" s="528">
        <f t="shared" si="729"/>
        <v>0.54640120247228541</v>
      </c>
      <c r="EX253" s="528">
        <f t="shared" si="730"/>
        <v>3.3062461365812954E-5</v>
      </c>
      <c r="EY253" s="528">
        <f t="shared" si="731"/>
        <v>0.76057629284493422</v>
      </c>
      <c r="EZ253" s="528"/>
      <c r="FA253" s="625">
        <f t="shared" si="732"/>
        <v>3.9775000000000012E-2</v>
      </c>
      <c r="FB253" s="460">
        <f t="shared" si="733"/>
        <v>1358.0926254812105</v>
      </c>
      <c r="FC253" s="173">
        <f t="shared" si="734"/>
        <v>3.9160272974184438</v>
      </c>
      <c r="FD253" s="5">
        <f t="shared" si="735"/>
        <v>9.5459999999999994</v>
      </c>
      <c r="FE253" s="173">
        <f t="shared" si="736"/>
        <v>0.70910567844641026</v>
      </c>
      <c r="FF253" s="5">
        <f t="shared" si="737"/>
        <v>70.910567844641022</v>
      </c>
      <c r="FG253">
        <f t="shared" si="738"/>
        <v>36.999999999999993</v>
      </c>
      <c r="FI253" s="562">
        <f t="shared" si="689"/>
        <v>-50</v>
      </c>
    </row>
    <row r="254" spans="5:165">
      <c r="E254" s="170">
        <v>38</v>
      </c>
      <c r="F254" s="217">
        <f t="shared" si="773"/>
        <v>2.2800000000000002</v>
      </c>
      <c r="G254" s="217">
        <f t="shared" si="742"/>
        <v>3.8000000000000006E-2</v>
      </c>
      <c r="H254" s="217">
        <f t="shared" si="743"/>
        <v>9.120000000000001</v>
      </c>
      <c r="I254" s="217">
        <f t="shared" si="744"/>
        <v>0.68400000000000016</v>
      </c>
      <c r="J254" s="541">
        <f t="shared" si="745"/>
        <v>35.943986544704821</v>
      </c>
      <c r="K254" s="443">
        <f t="shared" si="746"/>
        <v>19.300148549361658</v>
      </c>
      <c r="L254" s="172">
        <f t="shared" si="747"/>
        <v>55.244135094066479</v>
      </c>
      <c r="M254" s="443"/>
      <c r="N254" s="217">
        <f t="shared" si="748"/>
        <v>0.34936104106795218</v>
      </c>
      <c r="O254" s="172">
        <f t="shared" si="749"/>
        <v>38.937762974854394</v>
      </c>
      <c r="P254" s="172">
        <f t="shared" si="750"/>
        <v>3.1393571398476356</v>
      </c>
      <c r="Q254" s="217">
        <f t="shared" si="626"/>
        <v>9.7344407437135985</v>
      </c>
      <c r="R254" s="217">
        <f t="shared" si="751"/>
        <v>2.1632090541585773</v>
      </c>
      <c r="S254" s="217">
        <f t="shared" si="752"/>
        <v>4</v>
      </c>
      <c r="T254" s="217">
        <f t="shared" si="753"/>
        <v>1.5614661797408349</v>
      </c>
      <c r="U254" s="217">
        <f t="shared" si="630"/>
        <v>0.52129983227056365</v>
      </c>
      <c r="V254" s="217">
        <f t="shared" si="631"/>
        <v>0.97085232836250657</v>
      </c>
      <c r="W254" s="197">
        <f t="shared" si="632"/>
        <v>350</v>
      </c>
      <c r="X254" s="443">
        <f t="shared" si="691"/>
        <v>350</v>
      </c>
      <c r="Z254" s="217">
        <f t="shared" si="633"/>
        <v>2.9898639427120335</v>
      </c>
      <c r="AA254" s="173">
        <f t="shared" si="634"/>
        <v>1.8589684540915652</v>
      </c>
      <c r="AB254" s="173">
        <f t="shared" si="754"/>
        <v>3.6192036521574424</v>
      </c>
      <c r="AC254" s="173"/>
      <c r="AD254" s="173">
        <f t="shared" si="636"/>
        <v>0.82900916327554341</v>
      </c>
      <c r="AE254" s="545">
        <f t="shared" si="755"/>
        <v>1031.3516881065134</v>
      </c>
      <c r="AF254" s="528">
        <f t="shared" si="756"/>
        <v>0.77374188572384073</v>
      </c>
      <c r="AH254" s="173">
        <f t="shared" si="757"/>
        <v>2.1606877212062434</v>
      </c>
      <c r="AI254" s="173">
        <f t="shared" si="758"/>
        <v>2.1606877212062434</v>
      </c>
      <c r="AJ254" s="173">
        <f t="shared" si="759"/>
        <v>1.8128551021280814</v>
      </c>
      <c r="AL254" s="545">
        <f t="shared" si="760"/>
        <v>2280.0000000000005</v>
      </c>
      <c r="AM254" s="460">
        <f t="shared" si="761"/>
        <v>350</v>
      </c>
      <c r="AO254">
        <f t="shared" si="644"/>
        <v>2280.0000000000005</v>
      </c>
      <c r="AP254">
        <f t="shared" si="645"/>
        <v>350</v>
      </c>
      <c r="AR254" s="5">
        <f t="shared" si="616"/>
        <v>2.8571428571428572</v>
      </c>
      <c r="AS254" s="5">
        <f t="shared" si="739"/>
        <v>0.7213516125215278</v>
      </c>
      <c r="AT254" s="5">
        <f t="shared" si="740"/>
        <v>2.1357912446213296</v>
      </c>
      <c r="AU254" s="173">
        <f t="shared" si="741"/>
        <v>0.2524730643825347</v>
      </c>
      <c r="BA254" s="173">
        <f t="shared" si="692"/>
        <v>0.62681430925492243</v>
      </c>
      <c r="BB254" s="173">
        <f t="shared" si="693"/>
        <v>4.3142448663074298</v>
      </c>
      <c r="BC254" s="173">
        <f t="shared" si="694"/>
        <v>8.2203854885046987E-2</v>
      </c>
      <c r="BD254" s="173"/>
      <c r="BE254" s="528">
        <f t="shared" si="695"/>
        <v>4.793333375098051E-3</v>
      </c>
      <c r="BF254" s="528">
        <f t="shared" si="762"/>
        <v>0.78333494115455482</v>
      </c>
      <c r="BG254" s="528">
        <f t="shared" si="763"/>
        <v>0.31450988226616716</v>
      </c>
      <c r="BH254" s="528">
        <f t="shared" si="696"/>
        <v>0.10681700618020136</v>
      </c>
      <c r="BI254">
        <f t="shared" si="697"/>
        <v>1.6174793945117168E-2</v>
      </c>
      <c r="BJ254" s="460">
        <f t="shared" si="698"/>
        <v>330.68467621128434</v>
      </c>
      <c r="BK254">
        <f t="shared" si="764"/>
        <v>0.89726136811313317</v>
      </c>
      <c r="BL254" s="460">
        <f t="shared" si="699"/>
        <v>1225.6299569211387</v>
      </c>
      <c r="BM254" s="173">
        <f t="shared" si="765"/>
        <v>1.41645</v>
      </c>
      <c r="BN254" s="173">
        <f t="shared" si="766"/>
        <v>1.6862500000000002E-2</v>
      </c>
      <c r="BQ254" s="460">
        <f t="shared" si="700"/>
        <v>1433.3125</v>
      </c>
      <c r="BR254" s="528">
        <f t="shared" si="701"/>
        <v>1.1786885348601766E-2</v>
      </c>
      <c r="BS254" s="528">
        <f t="shared" si="702"/>
        <v>0.55838126299380042</v>
      </c>
      <c r="BT254" s="528">
        <f t="shared" si="703"/>
        <v>3.3787368789809319E-5</v>
      </c>
      <c r="BU254" s="528">
        <f t="shared" si="704"/>
        <v>0.78635766608991187</v>
      </c>
      <c r="BV254" s="528"/>
      <c r="BW254" s="625">
        <f t="shared" si="705"/>
        <v>4.0850000000000011E-2</v>
      </c>
      <c r="BX254" s="460">
        <f t="shared" si="706"/>
        <v>1397.4096018011039</v>
      </c>
      <c r="BY254" s="173">
        <f t="shared" si="707"/>
        <v>4.0563520587222426</v>
      </c>
      <c r="BZ254" s="5">
        <f t="shared" si="708"/>
        <v>9.804000000000002</v>
      </c>
      <c r="CA254" s="173">
        <f t="shared" si="709"/>
        <v>0.70734134013792216</v>
      </c>
      <c r="CB254" s="5">
        <f t="shared" si="710"/>
        <v>70.734134013792215</v>
      </c>
      <c r="CC254">
        <f t="shared" si="711"/>
        <v>38.000000000000007</v>
      </c>
      <c r="CE254" s="562">
        <f t="shared" si="767"/>
        <v>-50</v>
      </c>
      <c r="CG254" s="173">
        <f t="shared" si="768"/>
        <v>0.54703747586431417</v>
      </c>
      <c r="CH254" s="173">
        <f t="shared" si="769"/>
        <v>0.13104156403390296</v>
      </c>
      <c r="CI254" s="170">
        <v>38</v>
      </c>
      <c r="CJ254" s="217">
        <f t="shared" si="712"/>
        <v>2.2800000000000002</v>
      </c>
      <c r="CK254" s="217">
        <f t="shared" si="654"/>
        <v>3.8000000000000006E-2</v>
      </c>
      <c r="CL254" s="217">
        <f t="shared" si="655"/>
        <v>9.120000000000001</v>
      </c>
      <c r="CM254" s="217">
        <f t="shared" si="656"/>
        <v>0.68400000000000016</v>
      </c>
      <c r="CN254" s="541">
        <f t="shared" si="657"/>
        <v>36</v>
      </c>
      <c r="CO254" s="443">
        <f t="shared" si="770"/>
        <v>18.8</v>
      </c>
      <c r="CP254" s="443">
        <f t="shared" si="771"/>
        <v>54.8</v>
      </c>
      <c r="CQ254" s="443"/>
      <c r="CR254" s="217">
        <f t="shared" si="660"/>
        <v>0.34306569343065696</v>
      </c>
      <c r="CS254" s="172">
        <f t="shared" si="661"/>
        <v>38.295705313189622</v>
      </c>
      <c r="CT254" s="172">
        <f t="shared" si="662"/>
        <v>3.0875912408759132</v>
      </c>
      <c r="CU254" s="217">
        <f t="shared" si="663"/>
        <v>9.5739263282974054</v>
      </c>
      <c r="CV254" s="217">
        <f t="shared" si="664"/>
        <v>2.12753918406609</v>
      </c>
      <c r="CW254" s="217">
        <f t="shared" si="665"/>
        <v>4</v>
      </c>
      <c r="CX254" s="217">
        <f t="shared" si="666"/>
        <v>1.5876453900709222</v>
      </c>
      <c r="CY254" s="217">
        <f t="shared" si="667"/>
        <v>0.52921513002364062</v>
      </c>
      <c r="CZ254" s="217">
        <f t="shared" si="668"/>
        <v>1.0133906745133545</v>
      </c>
      <c r="DA254" s="197">
        <f t="shared" si="669"/>
        <v>350</v>
      </c>
      <c r="DB254" s="443">
        <f t="shared" si="670"/>
        <v>350</v>
      </c>
      <c r="DD254" s="217">
        <f t="shared" si="671"/>
        <v>2.940563086548488</v>
      </c>
      <c r="DE254" s="173">
        <f t="shared" si="672"/>
        <v>1.8769551616266944</v>
      </c>
      <c r="DF254" s="173">
        <f t="shared" si="673"/>
        <v>3.5939660877863036</v>
      </c>
      <c r="DG254" s="173"/>
      <c r="DH254" s="173">
        <f t="shared" si="674"/>
        <v>0.85106382978723416</v>
      </c>
      <c r="DI254" s="545">
        <f t="shared" si="675"/>
        <v>1004.6249999999999</v>
      </c>
      <c r="DJ254" s="528">
        <f t="shared" si="676"/>
        <v>0.79432624113475192</v>
      </c>
      <c r="DL254" s="173">
        <f t="shared" si="677"/>
        <v>2.1606877212062434</v>
      </c>
      <c r="DM254" s="173">
        <f t="shared" si="678"/>
        <v>2.1606877212062434</v>
      </c>
      <c r="DN254" s="173">
        <f t="shared" si="679"/>
        <v>1.8128551021280814</v>
      </c>
      <c r="DP254" s="545">
        <f t="shared" si="680"/>
        <v>2280.0000000000005</v>
      </c>
      <c r="DQ254" s="460">
        <f t="shared" si="681"/>
        <v>350</v>
      </c>
      <c r="DS254">
        <f t="shared" si="682"/>
        <v>2280.0000000000005</v>
      </c>
      <c r="DT254">
        <f t="shared" si="683"/>
        <v>350</v>
      </c>
      <c r="DV254" s="5">
        <f t="shared" si="684"/>
        <v>2.8571428571428572</v>
      </c>
      <c r="DW254" s="5">
        <f t="shared" si="685"/>
        <v>0.72022924040208114</v>
      </c>
      <c r="DX254" s="5">
        <f t="shared" si="686"/>
        <v>2.1369136167407761</v>
      </c>
      <c r="DY254" s="173">
        <f t="shared" si="687"/>
        <v>0.25208023414072839</v>
      </c>
      <c r="EA254" s="5">
        <f t="shared" si="713"/>
        <v>41.053066702918628</v>
      </c>
      <c r="EB254" s="5">
        <f t="shared" si="714"/>
        <v>0.15204839519599495</v>
      </c>
      <c r="EC254" s="5">
        <f t="shared" si="715"/>
        <v>0.45112620797860825</v>
      </c>
      <c r="ED254" s="5"/>
      <c r="EE254" s="173">
        <f t="shared" si="716"/>
        <v>0.62632648004508551</v>
      </c>
      <c r="EF254" s="173">
        <f t="shared" si="717"/>
        <v>4.315378299217457</v>
      </c>
      <c r="EG254" s="173">
        <f t="shared" si="718"/>
        <v>8.2225451376981271E-2</v>
      </c>
      <c r="EH254" s="173"/>
      <c r="EI254" s="528">
        <f t="shared" si="719"/>
        <v>4.7858752871891355E-3</v>
      </c>
      <c r="EJ254" s="528">
        <f t="shared" si="720"/>
        <v>0.82883980985471506</v>
      </c>
      <c r="EK254" s="528">
        <f t="shared" si="721"/>
        <v>4.3749999999999997E-2</v>
      </c>
      <c r="EL254" s="528">
        <f t="shared" si="722"/>
        <v>0.10510639999999997</v>
      </c>
      <c r="EM254">
        <f t="shared" si="723"/>
        <v>1.6199999999999999E-2</v>
      </c>
      <c r="EN254" s="460">
        <f t="shared" si="724"/>
        <v>59.949999999999996</v>
      </c>
      <c r="EP254" s="460">
        <f t="shared" si="725"/>
        <v>998.68208514190405</v>
      </c>
      <c r="EQ254" s="173">
        <f t="shared" si="726"/>
        <v>1.5960000000000001</v>
      </c>
      <c r="ER254" s="173">
        <f t="shared" si="772"/>
        <v>1.6862500000000002E-2</v>
      </c>
      <c r="ES254" s="528"/>
      <c r="EU254" s="460">
        <f t="shared" si="727"/>
        <v>1612.8625000000002</v>
      </c>
      <c r="EV254" s="528">
        <f t="shared" si="728"/>
        <v>1.1768545788170007E-2</v>
      </c>
      <c r="EW254" s="528">
        <f t="shared" si="729"/>
        <v>0.55867469596070851</v>
      </c>
      <c r="EX254" s="528">
        <f t="shared" si="730"/>
        <v>3.3805124270741557E-5</v>
      </c>
      <c r="EY254" s="528">
        <f t="shared" si="731"/>
        <v>0.78635766608991187</v>
      </c>
      <c r="EZ254" s="528"/>
      <c r="FA254" s="625">
        <f t="shared" si="732"/>
        <v>4.0850000000000011E-2</v>
      </c>
      <c r="FB254" s="460">
        <f t="shared" si="733"/>
        <v>1397.6847129630612</v>
      </c>
      <c r="FC254" s="173">
        <f t="shared" si="734"/>
        <v>4.0092292981049651</v>
      </c>
      <c r="FD254" s="5">
        <f t="shared" si="735"/>
        <v>9.804000000000002</v>
      </c>
      <c r="FE254" s="173">
        <f t="shared" si="736"/>
        <v>0.70975438026971793</v>
      </c>
      <c r="FF254" s="5">
        <f t="shared" si="737"/>
        <v>70.975438026971787</v>
      </c>
      <c r="FG254">
        <f t="shared" si="738"/>
        <v>38.000000000000007</v>
      </c>
      <c r="FI254" s="562">
        <f t="shared" si="689"/>
        <v>-50</v>
      </c>
    </row>
    <row r="255" spans="5:165">
      <c r="E255" s="170">
        <v>39</v>
      </c>
      <c r="F255" s="217">
        <f t="shared" si="773"/>
        <v>2.34</v>
      </c>
      <c r="G255" s="217">
        <f t="shared" si="742"/>
        <v>3.9000000000000007E-2</v>
      </c>
      <c r="H255" s="217">
        <f t="shared" si="743"/>
        <v>9.36</v>
      </c>
      <c r="I255" s="217">
        <f t="shared" si="744"/>
        <v>0.70200000000000018</v>
      </c>
      <c r="J255" s="541">
        <f t="shared" si="745"/>
        <v>35.94325431159664</v>
      </c>
      <c r="K255" s="443">
        <f t="shared" si="746"/>
        <v>19.30668671639528</v>
      </c>
      <c r="L255" s="172">
        <f t="shared" si="747"/>
        <v>55.249941027991923</v>
      </c>
      <c r="M255" s="443"/>
      <c r="N255" s="217">
        <f t="shared" si="748"/>
        <v>0.34944266649286931</v>
      </c>
      <c r="O255" s="172">
        <f t="shared" si="749"/>
        <v>38.946067066901243</v>
      </c>
      <c r="P255" s="172">
        <f t="shared" si="750"/>
        <v>3.1400266572689128</v>
      </c>
      <c r="Q255" s="217">
        <f t="shared" si="626"/>
        <v>9.7365167667253107</v>
      </c>
      <c r="R255" s="217">
        <f t="shared" si="751"/>
        <v>2.1636703926056247</v>
      </c>
      <c r="S255" s="217">
        <f t="shared" si="752"/>
        <v>4</v>
      </c>
      <c r="T255" s="217">
        <f t="shared" si="753"/>
        <v>1.602215697230988</v>
      </c>
      <c r="U255" s="217">
        <f t="shared" si="630"/>
        <v>0.53491506918361142</v>
      </c>
      <c r="V255" s="217">
        <f t="shared" si="631"/>
        <v>0.99585126382377132</v>
      </c>
      <c r="W255" s="197">
        <f t="shared" si="632"/>
        <v>350</v>
      </c>
      <c r="X255" s="443">
        <f t="shared" si="691"/>
        <v>350</v>
      </c>
      <c r="Z255" s="217">
        <f t="shared" si="633"/>
        <v>2.990501578351346</v>
      </c>
      <c r="AA255" s="173">
        <f t="shared" si="634"/>
        <v>1.8587352385918019</v>
      </c>
      <c r="AB255" s="173">
        <f t="shared" si="754"/>
        <v>3.6195213630904508</v>
      </c>
      <c r="AC255" s="173"/>
      <c r="AD255" s="173">
        <f t="shared" si="636"/>
        <v>0.82872842114399503</v>
      </c>
      <c r="AE255" s="545">
        <f t="shared" si="755"/>
        <v>1058.8510996023033</v>
      </c>
      <c r="AF255" s="528">
        <f t="shared" si="756"/>
        <v>0.77347985973439548</v>
      </c>
      <c r="AH255" s="173">
        <f t="shared" si="757"/>
        <v>2.1889332039668479</v>
      </c>
      <c r="AI255" s="173">
        <f t="shared" si="758"/>
        <v>2.1889332039668479</v>
      </c>
      <c r="AJ255" s="173">
        <f t="shared" si="759"/>
        <v>1.8337776819507514</v>
      </c>
      <c r="AL255" s="545">
        <f t="shared" si="760"/>
        <v>2340</v>
      </c>
      <c r="AM255" s="460">
        <f t="shared" si="761"/>
        <v>350</v>
      </c>
      <c r="AO255">
        <f t="shared" si="644"/>
        <v>2340</v>
      </c>
      <c r="AP255">
        <f t="shared" si="645"/>
        <v>350</v>
      </c>
      <c r="AR255" s="5">
        <f t="shared" si="616"/>
        <v>2.8571428571428572</v>
      </c>
      <c r="AS255" s="5">
        <f t="shared" si="739"/>
        <v>0.73079633301671842</v>
      </c>
      <c r="AT255" s="5">
        <f t="shared" si="740"/>
        <v>2.1263465241261388</v>
      </c>
      <c r="AU255" s="173">
        <f t="shared" si="741"/>
        <v>0.25577871655585144</v>
      </c>
      <c r="BA255" s="173">
        <f t="shared" si="692"/>
        <v>0.63915189912597881</v>
      </c>
      <c r="BB255" s="173">
        <f t="shared" si="693"/>
        <v>4.3609681622071239</v>
      </c>
      <c r="BC255" s="173">
        <f t="shared" si="694"/>
        <v>8.3094123090703312E-2</v>
      </c>
      <c r="BD255" s="173"/>
      <c r="BE255" s="528">
        <f t="shared" si="695"/>
        <v>4.9838848319074128E-3</v>
      </c>
      <c r="BF255" s="528">
        <f t="shared" si="762"/>
        <v>0.79365844971906785</v>
      </c>
      <c r="BG255" s="528">
        <f t="shared" si="763"/>
        <v>0.3145034752264706</v>
      </c>
      <c r="BH255" s="528">
        <f t="shared" si="696"/>
        <v>0.1068394594258805</v>
      </c>
      <c r="BI255">
        <f t="shared" si="697"/>
        <v>1.6174464440218486E-2</v>
      </c>
      <c r="BJ255" s="460">
        <f t="shared" si="698"/>
        <v>330.67793966668904</v>
      </c>
      <c r="BK255">
        <f t="shared" si="764"/>
        <v>0.90790255479041948</v>
      </c>
      <c r="BL255" s="460">
        <f t="shared" si="699"/>
        <v>1236.1597336435448</v>
      </c>
      <c r="BM255" s="173">
        <f t="shared" si="765"/>
        <v>1.4537249999999999</v>
      </c>
      <c r="BN255" s="173">
        <f t="shared" si="766"/>
        <v>1.7306250000000002E-2</v>
      </c>
      <c r="BQ255" s="460">
        <f t="shared" si="700"/>
        <v>1471.03125</v>
      </c>
      <c r="BR255" s="528">
        <f t="shared" si="701"/>
        <v>1.2255454504690361E-2</v>
      </c>
      <c r="BS255" s="528">
        <f t="shared" si="702"/>
        <v>0.57054129935352538</v>
      </c>
      <c r="BT255" s="528">
        <f t="shared" si="703"/>
        <v>3.4523166461064769E-5</v>
      </c>
      <c r="BU255" s="528">
        <f t="shared" si="704"/>
        <v>0.81230923004699795</v>
      </c>
      <c r="BV255" s="528"/>
      <c r="BW255" s="625">
        <f t="shared" si="705"/>
        <v>4.192499999999999E-2</v>
      </c>
      <c r="BX255" s="460">
        <f t="shared" si="706"/>
        <v>1437.0655070716746</v>
      </c>
      <c r="BY255" s="173">
        <f t="shared" si="707"/>
        <v>4.14425649071522</v>
      </c>
      <c r="BZ255" s="5">
        <f t="shared" si="708"/>
        <v>10.061999999999999</v>
      </c>
      <c r="CA255" s="173">
        <f t="shared" si="709"/>
        <v>0.70827948281633657</v>
      </c>
      <c r="CB255" s="5">
        <f t="shared" si="710"/>
        <v>70.827948281633653</v>
      </c>
      <c r="CC255">
        <f t="shared" si="711"/>
        <v>38.999999999999993</v>
      </c>
      <c r="CE255" s="562">
        <f t="shared" si="767"/>
        <v>-50</v>
      </c>
      <c r="CG255" s="173">
        <f t="shared" si="768"/>
        <v>0.55418859605733495</v>
      </c>
      <c r="CH255" s="173">
        <f t="shared" si="769"/>
        <v>0.1327545983615919</v>
      </c>
      <c r="CI255" s="170">
        <v>39</v>
      </c>
      <c r="CJ255" s="217">
        <f t="shared" si="712"/>
        <v>2.34</v>
      </c>
      <c r="CK255" s="217">
        <f t="shared" si="654"/>
        <v>3.9000000000000007E-2</v>
      </c>
      <c r="CL255" s="217">
        <f t="shared" si="655"/>
        <v>9.36</v>
      </c>
      <c r="CM255" s="217">
        <f t="shared" si="656"/>
        <v>0.70200000000000018</v>
      </c>
      <c r="CN255" s="541">
        <f t="shared" si="657"/>
        <v>36</v>
      </c>
      <c r="CO255" s="443">
        <f t="shared" si="770"/>
        <v>18.8</v>
      </c>
      <c r="CP255" s="443">
        <f t="shared" si="771"/>
        <v>54.8</v>
      </c>
      <c r="CQ255" s="443"/>
      <c r="CR255" s="217">
        <f t="shared" si="660"/>
        <v>0.34306569343065696</v>
      </c>
      <c r="CS255" s="172">
        <f t="shared" si="661"/>
        <v>38.295705313189622</v>
      </c>
      <c r="CT255" s="172">
        <f t="shared" si="662"/>
        <v>3.0875912408759132</v>
      </c>
      <c r="CU255" s="217">
        <f t="shared" si="663"/>
        <v>9.5739263282974054</v>
      </c>
      <c r="CV255" s="217">
        <f t="shared" si="664"/>
        <v>2.12753918406609</v>
      </c>
      <c r="CW255" s="217">
        <f t="shared" si="665"/>
        <v>4</v>
      </c>
      <c r="CX255" s="217">
        <f t="shared" si="666"/>
        <v>1.6294255319148934</v>
      </c>
      <c r="CY255" s="217">
        <f t="shared" si="667"/>
        <v>0.54314184397163112</v>
      </c>
      <c r="CZ255" s="217">
        <f t="shared" si="668"/>
        <v>1.0400588501584427</v>
      </c>
      <c r="DA255" s="197">
        <f t="shared" si="669"/>
        <v>350</v>
      </c>
      <c r="DB255" s="443">
        <f t="shared" si="670"/>
        <v>350</v>
      </c>
      <c r="DD255" s="217">
        <f t="shared" si="671"/>
        <v>2.940563086548488</v>
      </c>
      <c r="DE255" s="173">
        <f t="shared" si="672"/>
        <v>1.8769551616266944</v>
      </c>
      <c r="DF255" s="173">
        <f t="shared" si="673"/>
        <v>3.5939660877863036</v>
      </c>
      <c r="DG255" s="173"/>
      <c r="DH255" s="173">
        <f t="shared" si="674"/>
        <v>0.85106382978723416</v>
      </c>
      <c r="DI255" s="545">
        <f t="shared" si="675"/>
        <v>1031.0624999999995</v>
      </c>
      <c r="DJ255" s="528">
        <f t="shared" si="676"/>
        <v>0.79432624113475192</v>
      </c>
      <c r="DL255" s="173">
        <f t="shared" si="677"/>
        <v>2.1889332039668479</v>
      </c>
      <c r="DM255" s="173">
        <f t="shared" si="678"/>
        <v>2.1889332039668479</v>
      </c>
      <c r="DN255" s="173">
        <f t="shared" si="679"/>
        <v>1.8337776819507514</v>
      </c>
      <c r="DP255" s="545">
        <f t="shared" si="680"/>
        <v>2340</v>
      </c>
      <c r="DQ255" s="460">
        <f t="shared" si="681"/>
        <v>350</v>
      </c>
      <c r="DS255">
        <f t="shared" si="682"/>
        <v>2340</v>
      </c>
      <c r="DT255">
        <f t="shared" si="683"/>
        <v>350</v>
      </c>
      <c r="DV255" s="5">
        <f t="shared" si="684"/>
        <v>2.8571428571428572</v>
      </c>
      <c r="DW255" s="5">
        <f t="shared" si="685"/>
        <v>0.7296444013222827</v>
      </c>
      <c r="DX255" s="5">
        <f t="shared" si="686"/>
        <v>2.1274984558205743</v>
      </c>
      <c r="DY255" s="173">
        <f t="shared" si="687"/>
        <v>0.25537554046279892</v>
      </c>
      <c r="EA255" s="5">
        <f t="shared" si="713"/>
        <v>42.684197477353536</v>
      </c>
      <c r="EB255" s="5">
        <f t="shared" si="714"/>
        <v>0.15808962028649462</v>
      </c>
      <c r="EC255" s="5">
        <f t="shared" si="715"/>
        <v>0.46095799876112437</v>
      </c>
      <c r="ED255" s="5"/>
      <c r="EE255" s="173">
        <f t="shared" si="716"/>
        <v>0.63864796276129776</v>
      </c>
      <c r="EF255" s="173">
        <f t="shared" si="717"/>
        <v>4.3621492625607408</v>
      </c>
      <c r="EG255" s="173">
        <f t="shared" si="718"/>
        <v>8.3116627840684382E-2</v>
      </c>
      <c r="EH255" s="173"/>
      <c r="EI255" s="528">
        <f t="shared" si="719"/>
        <v>4.9760288881377027E-3</v>
      </c>
      <c r="EJ255" s="528">
        <f t="shared" si="720"/>
        <v>0.83967477704168292</v>
      </c>
      <c r="EK255" s="528">
        <f t="shared" si="721"/>
        <v>4.3749999999999997E-2</v>
      </c>
      <c r="EL255" s="528">
        <f t="shared" si="722"/>
        <v>0.10510639999999997</v>
      </c>
      <c r="EM255">
        <f t="shared" si="723"/>
        <v>1.6199999999999999E-2</v>
      </c>
      <c r="EN255" s="460">
        <f t="shared" si="724"/>
        <v>59.949999999999996</v>
      </c>
      <c r="EP255" s="460">
        <f t="shared" si="725"/>
        <v>1009.7072059298207</v>
      </c>
      <c r="EQ255" s="173">
        <f t="shared" si="726"/>
        <v>1.6379999999999999</v>
      </c>
      <c r="ER255" s="173">
        <f t="shared" si="772"/>
        <v>1.7306250000000002E-2</v>
      </c>
      <c r="ES255" s="528"/>
      <c r="EU255" s="460">
        <f t="shared" si="727"/>
        <v>1655.3062500000001</v>
      </c>
      <c r="EV255" s="528">
        <f t="shared" si="728"/>
        <v>1.2236136610174678E-2</v>
      </c>
      <c r="EW255" s="528">
        <f t="shared" si="729"/>
        <v>0.57085038566577639</v>
      </c>
      <c r="EX255" s="528">
        <f t="shared" si="730"/>
        <v>3.4541869118034154E-5</v>
      </c>
      <c r="EY255" s="528">
        <f t="shared" si="731"/>
        <v>0.81230923004699795</v>
      </c>
      <c r="EZ255" s="528"/>
      <c r="FA255" s="625">
        <f t="shared" si="732"/>
        <v>4.192499999999999E-2</v>
      </c>
      <c r="FB255" s="460">
        <f t="shared" si="733"/>
        <v>1437.3552941920668</v>
      </c>
      <c r="FC255" s="173">
        <f t="shared" si="734"/>
        <v>4.1023687501218875</v>
      </c>
      <c r="FD255" s="5">
        <f t="shared" si="735"/>
        <v>10.061999999999999</v>
      </c>
      <c r="FE255" s="173">
        <f t="shared" si="736"/>
        <v>0.7103740503729411</v>
      </c>
      <c r="FF255" s="5">
        <f t="shared" si="737"/>
        <v>71.037405037294107</v>
      </c>
      <c r="FG255">
        <f t="shared" si="738"/>
        <v>38.999999999999993</v>
      </c>
      <c r="FI255" s="562">
        <f t="shared" si="689"/>
        <v>-50</v>
      </c>
    </row>
    <row r="256" spans="5:165">
      <c r="E256" s="170">
        <v>40</v>
      </c>
      <c r="F256" s="217">
        <f t="shared" si="773"/>
        <v>2.4000000000000004</v>
      </c>
      <c r="G256" s="217">
        <f t="shared" si="742"/>
        <v>4.0000000000000008E-2</v>
      </c>
      <c r="H256" s="217">
        <f t="shared" si="743"/>
        <v>9.6000000000000014</v>
      </c>
      <c r="I256" s="217">
        <f t="shared" si="744"/>
        <v>0.7200000000000002</v>
      </c>
      <c r="J256" s="541">
        <f t="shared" si="745"/>
        <v>35.942531407441656</v>
      </c>
      <c r="K256" s="443">
        <f t="shared" si="746"/>
        <v>19.313141584471854</v>
      </c>
      <c r="L256" s="172">
        <f t="shared" si="747"/>
        <v>55.255672991913514</v>
      </c>
      <c r="M256" s="443"/>
      <c r="N256" s="217">
        <f t="shared" si="748"/>
        <v>0.34952323514905465</v>
      </c>
      <c r="O256" s="172">
        <f t="shared" si="749"/>
        <v>38.95426312240469</v>
      </c>
      <c r="P256" s="172">
        <f t="shared" si="750"/>
        <v>3.1406874642438782</v>
      </c>
      <c r="Q256" s="217">
        <f t="shared" si="626"/>
        <v>9.7385657806011725</v>
      </c>
      <c r="R256" s="217">
        <f t="shared" si="751"/>
        <v>2.1641257290224827</v>
      </c>
      <c r="S256" s="217">
        <f t="shared" si="752"/>
        <v>4</v>
      </c>
      <c r="T256" s="217">
        <f t="shared" si="753"/>
        <v>1.6429523977618301</v>
      </c>
      <c r="U256" s="217">
        <f t="shared" si="630"/>
        <v>0.54852643932196765</v>
      </c>
      <c r="V256" s="217">
        <f t="shared" si="631"/>
        <v>1.0208297126032335</v>
      </c>
      <c r="W256" s="197">
        <f t="shared" si="632"/>
        <v>350</v>
      </c>
      <c r="X256" s="443">
        <f t="shared" si="691"/>
        <v>350</v>
      </c>
      <c r="Z256" s="217">
        <f t="shared" si="633"/>
        <v>2.991130918327503</v>
      </c>
      <c r="AA256" s="173">
        <f t="shared" si="634"/>
        <v>1.8585050424312728</v>
      </c>
      <c r="AB256" s="173">
        <f t="shared" si="754"/>
        <v>3.6198347218591844</v>
      </c>
      <c r="AC256" s="173"/>
      <c r="AD256" s="173">
        <f t="shared" si="636"/>
        <v>0.82845144224823153</v>
      </c>
      <c r="AE256" s="545">
        <f t="shared" si="755"/>
        <v>1086.3642141265418</v>
      </c>
      <c r="AF256" s="528">
        <f t="shared" si="756"/>
        <v>0.77322134609834947</v>
      </c>
      <c r="AH256" s="173">
        <f t="shared" si="757"/>
        <v>2.2168188275738085</v>
      </c>
      <c r="AI256" s="173">
        <f t="shared" si="758"/>
        <v>2.2168188275738085</v>
      </c>
      <c r="AJ256" s="173">
        <f t="shared" si="759"/>
        <v>1.8544336994373889</v>
      </c>
      <c r="AL256" s="545">
        <f t="shared" si="760"/>
        <v>2400.0000000000005</v>
      </c>
      <c r="AM256" s="460">
        <f t="shared" si="761"/>
        <v>350</v>
      </c>
      <c r="AO256">
        <f t="shared" si="644"/>
        <v>2400.0000000000005</v>
      </c>
      <c r="AP256">
        <f t="shared" si="645"/>
        <v>350</v>
      </c>
      <c r="AR256" s="5">
        <f t="shared" si="616"/>
        <v>2.8571428571428572</v>
      </c>
      <c r="AS256" s="5">
        <f t="shared" si="739"/>
        <v>0.74012110135843068</v>
      </c>
      <c r="AT256" s="5">
        <f t="shared" si="740"/>
        <v>2.1170217557844264</v>
      </c>
      <c r="AU256" s="173">
        <f t="shared" si="741"/>
        <v>0.25904238547545072</v>
      </c>
      <c r="BA256" s="173">
        <f t="shared" si="692"/>
        <v>0.6514108520067553</v>
      </c>
      <c r="BB256" s="173">
        <f t="shared" si="693"/>
        <v>4.4068294997343775</v>
      </c>
      <c r="BC256" s="173">
        <f t="shared" si="694"/>
        <v>8.3967967494938817E-2</v>
      </c>
      <c r="BD256" s="173"/>
      <c r="BE256" s="528">
        <f t="shared" si="695"/>
        <v>5.1769003969684355E-3</v>
      </c>
      <c r="BF256" s="528">
        <f t="shared" si="762"/>
        <v>0.80385254393545147</v>
      </c>
      <c r="BG256" s="528">
        <f t="shared" si="763"/>
        <v>0.31449714981511445</v>
      </c>
      <c r="BH256" s="528">
        <f t="shared" si="696"/>
        <v>0.10686162892262481</v>
      </c>
      <c r="BI256">
        <f t="shared" si="697"/>
        <v>1.6174139133348746E-2</v>
      </c>
      <c r="BJ256" s="460">
        <f t="shared" si="698"/>
        <v>330.6712889484632</v>
      </c>
      <c r="BK256">
        <f t="shared" si="764"/>
        <v>0.91841852010365699</v>
      </c>
      <c r="BL256" s="460">
        <f t="shared" si="699"/>
        <v>1246.5623622035077</v>
      </c>
      <c r="BM256" s="173">
        <f t="shared" si="765"/>
        <v>1.4910000000000001</v>
      </c>
      <c r="BN256" s="173">
        <f t="shared" si="766"/>
        <v>1.7750000000000002E-2</v>
      </c>
      <c r="BQ256" s="460">
        <f t="shared" si="700"/>
        <v>1508.75</v>
      </c>
      <c r="BR256" s="528">
        <f t="shared" si="701"/>
        <v>1.2730082943365006E-2</v>
      </c>
      <c r="BS256" s="528">
        <f t="shared" si="702"/>
        <v>0.58260438719187435</v>
      </c>
      <c r="BT256" s="528">
        <f t="shared" si="703"/>
        <v>3.5253097826155511E-5</v>
      </c>
      <c r="BU256" s="528">
        <f t="shared" si="704"/>
        <v>0.83842770057384741</v>
      </c>
      <c r="BV256" s="528"/>
      <c r="BW256" s="625">
        <f t="shared" si="705"/>
        <v>4.3000000000000017E-2</v>
      </c>
      <c r="BX256" s="460">
        <f t="shared" si="706"/>
        <v>1476.7974238069128</v>
      </c>
      <c r="BY256" s="173">
        <f t="shared" si="707"/>
        <v>4.2321097860104206</v>
      </c>
      <c r="BZ256" s="5">
        <f t="shared" si="708"/>
        <v>10.320000000000002</v>
      </c>
      <c r="CA256" s="173">
        <f t="shared" si="709"/>
        <v>0.70917551831014003</v>
      </c>
      <c r="CB256" s="5">
        <f t="shared" si="710"/>
        <v>70.917551831014009</v>
      </c>
      <c r="CC256">
        <f t="shared" si="711"/>
        <v>40.000000000000007</v>
      </c>
      <c r="CE256" s="562">
        <f t="shared" si="767"/>
        <v>-50</v>
      </c>
      <c r="CG256" s="173">
        <f t="shared" si="768"/>
        <v>0.56124860801609122</v>
      </c>
      <c r="CH256" s="173">
        <f t="shared" si="769"/>
        <v>0.13444580792216496</v>
      </c>
      <c r="CI256" s="170">
        <v>40</v>
      </c>
      <c r="CJ256" s="217">
        <f t="shared" si="712"/>
        <v>2.4000000000000004</v>
      </c>
      <c r="CK256" s="217">
        <f t="shared" si="654"/>
        <v>4.0000000000000008E-2</v>
      </c>
      <c r="CL256" s="217">
        <f t="shared" si="655"/>
        <v>9.6000000000000014</v>
      </c>
      <c r="CM256" s="217">
        <f t="shared" si="656"/>
        <v>0.7200000000000002</v>
      </c>
      <c r="CN256" s="541">
        <f t="shared" si="657"/>
        <v>36</v>
      </c>
      <c r="CO256" s="443">
        <f t="shared" si="770"/>
        <v>18.8</v>
      </c>
      <c r="CP256" s="443">
        <f t="shared" si="771"/>
        <v>54.8</v>
      </c>
      <c r="CQ256" s="443"/>
      <c r="CR256" s="217">
        <f t="shared" si="660"/>
        <v>0.34306569343065696</v>
      </c>
      <c r="CS256" s="172">
        <f t="shared" si="661"/>
        <v>38.295705313189622</v>
      </c>
      <c r="CT256" s="172">
        <f t="shared" si="662"/>
        <v>3.0875912408759132</v>
      </c>
      <c r="CU256" s="217">
        <f t="shared" si="663"/>
        <v>9.5739263282974054</v>
      </c>
      <c r="CV256" s="217">
        <f t="shared" si="664"/>
        <v>2.12753918406609</v>
      </c>
      <c r="CW256" s="217">
        <f t="shared" si="665"/>
        <v>4</v>
      </c>
      <c r="CX256" s="217">
        <f t="shared" si="666"/>
        <v>1.6712056737588654</v>
      </c>
      <c r="CY256" s="217">
        <f t="shared" si="667"/>
        <v>0.55706855791962184</v>
      </c>
      <c r="CZ256" s="217">
        <f t="shared" si="668"/>
        <v>1.0667270258035313</v>
      </c>
      <c r="DA256" s="197">
        <f t="shared" si="669"/>
        <v>350</v>
      </c>
      <c r="DB256" s="443">
        <f t="shared" si="670"/>
        <v>350</v>
      </c>
      <c r="DD256" s="217">
        <f t="shared" si="671"/>
        <v>2.940563086548488</v>
      </c>
      <c r="DE256" s="173">
        <f t="shared" si="672"/>
        <v>1.8769551616266944</v>
      </c>
      <c r="DF256" s="173">
        <f t="shared" si="673"/>
        <v>3.5939660877863036</v>
      </c>
      <c r="DG256" s="173"/>
      <c r="DH256" s="173">
        <f t="shared" si="674"/>
        <v>0.85106382978723416</v>
      </c>
      <c r="DI256" s="545">
        <f t="shared" si="675"/>
        <v>1057.5</v>
      </c>
      <c r="DJ256" s="528">
        <f t="shared" si="676"/>
        <v>0.79432624113475192</v>
      </c>
      <c r="DL256" s="173">
        <f t="shared" si="677"/>
        <v>2.2168188275738085</v>
      </c>
      <c r="DM256" s="173">
        <f t="shared" si="678"/>
        <v>2.2168188275738085</v>
      </c>
      <c r="DN256" s="173">
        <f t="shared" si="679"/>
        <v>1.8544336994373889</v>
      </c>
      <c r="DP256" s="545">
        <f t="shared" si="680"/>
        <v>2400.0000000000005</v>
      </c>
      <c r="DQ256" s="460">
        <f t="shared" si="681"/>
        <v>350</v>
      </c>
      <c r="DS256">
        <f t="shared" si="682"/>
        <v>2400.0000000000005</v>
      </c>
      <c r="DT256">
        <f t="shared" si="683"/>
        <v>350</v>
      </c>
      <c r="DV256" s="5">
        <f t="shared" si="684"/>
        <v>2.8571428571428572</v>
      </c>
      <c r="DW256" s="5">
        <f t="shared" si="685"/>
        <v>0.73893960919126955</v>
      </c>
      <c r="DX256" s="5">
        <f t="shared" si="686"/>
        <v>2.1182032479515875</v>
      </c>
      <c r="DY256" s="173">
        <f t="shared" si="687"/>
        <v>0.25862886321694434</v>
      </c>
      <c r="EA256" s="5">
        <f t="shared" si="713"/>
        <v>44.336376551476178</v>
      </c>
      <c r="EB256" s="5">
        <f t="shared" si="714"/>
        <v>0.16420880204250438</v>
      </c>
      <c r="EC256" s="5">
        <f t="shared" si="715"/>
        <v>0.47071183287813062</v>
      </c>
      <c r="ED256" s="5"/>
      <c r="EE256" s="173">
        <f t="shared" si="716"/>
        <v>0.6508907045500506</v>
      </c>
      <c r="EF256" s="173">
        <f t="shared" si="717"/>
        <v>4.4080590355857572</v>
      </c>
      <c r="EG256" s="173">
        <f t="shared" si="718"/>
        <v>8.3991395137512387E-2</v>
      </c>
      <c r="EH256" s="173"/>
      <c r="EI256" s="528">
        <f t="shared" si="719"/>
        <v>5.1686362530898667E-3</v>
      </c>
      <c r="EJ256" s="528">
        <f t="shared" si="720"/>
        <v>0.85037170225731284</v>
      </c>
      <c r="EK256" s="528">
        <f t="shared" si="721"/>
        <v>4.3749999999999997E-2</v>
      </c>
      <c r="EL256" s="528">
        <f t="shared" si="722"/>
        <v>0.10510639999999997</v>
      </c>
      <c r="EM256">
        <f t="shared" si="723"/>
        <v>1.6199999999999999E-2</v>
      </c>
      <c r="EN256" s="460">
        <f t="shared" si="724"/>
        <v>59.949999999999996</v>
      </c>
      <c r="EP256" s="460">
        <f t="shared" si="725"/>
        <v>1020.5967385104027</v>
      </c>
      <c r="EQ256" s="173">
        <f t="shared" si="726"/>
        <v>1.6800000000000002</v>
      </c>
      <c r="ER256" s="173">
        <f t="shared" si="772"/>
        <v>1.7750000000000002E-2</v>
      </c>
      <c r="ES256" s="528"/>
      <c r="EU256" s="460">
        <f t="shared" si="727"/>
        <v>1697.75</v>
      </c>
      <c r="EV256" s="528">
        <f t="shared" si="728"/>
        <v>1.2709761278089838E-2</v>
      </c>
      <c r="EW256" s="528">
        <f t="shared" si="729"/>
        <v>0.58292953383627699</v>
      </c>
      <c r="EX256" s="528">
        <f t="shared" si="730"/>
        <v>3.5272772285728698E-5</v>
      </c>
      <c r="EY256" s="528">
        <f t="shared" si="731"/>
        <v>0.83842770057384741</v>
      </c>
      <c r="EZ256" s="528"/>
      <c r="FA256" s="625">
        <f t="shared" si="732"/>
        <v>4.3000000000000017E-2</v>
      </c>
      <c r="FB256" s="460">
        <f t="shared" si="733"/>
        <v>1477.1022684605</v>
      </c>
      <c r="FC256" s="173">
        <f t="shared" si="734"/>
        <v>4.1954490069709029</v>
      </c>
      <c r="FD256" s="5">
        <f t="shared" si="735"/>
        <v>10.320000000000002</v>
      </c>
      <c r="FE256" s="173">
        <f t="shared" si="736"/>
        <v>0.71096663940908211</v>
      </c>
      <c r="FF256" s="5">
        <f t="shared" si="737"/>
        <v>71.096663940908215</v>
      </c>
      <c r="FG256">
        <f t="shared" si="738"/>
        <v>40.000000000000007</v>
      </c>
      <c r="FI256" s="562">
        <f t="shared" si="689"/>
        <v>-50</v>
      </c>
    </row>
    <row r="257" spans="5:165">
      <c r="E257" s="170">
        <v>41</v>
      </c>
      <c r="F257" s="217">
        <f t="shared" si="773"/>
        <v>2.46</v>
      </c>
      <c r="G257" s="217">
        <f t="shared" si="742"/>
        <v>4.1000000000000002E-2</v>
      </c>
      <c r="H257" s="217">
        <f t="shared" si="743"/>
        <v>9.84</v>
      </c>
      <c r="I257" s="217">
        <f t="shared" si="744"/>
        <v>0.73799999999999999</v>
      </c>
      <c r="J257" s="541">
        <f t="shared" si="745"/>
        <v>35.941817484508633</v>
      </c>
      <c r="K257" s="443">
        <f t="shared" si="746"/>
        <v>19.31951625851088</v>
      </c>
      <c r="L257" s="172">
        <f t="shared" si="747"/>
        <v>55.261333743019513</v>
      </c>
      <c r="M257" s="443"/>
      <c r="N257" s="217">
        <f t="shared" si="748"/>
        <v>0.34960278643204623</v>
      </c>
      <c r="O257" s="172">
        <f t="shared" si="749"/>
        <v>38.962355169042659</v>
      </c>
      <c r="P257" s="172">
        <f t="shared" si="750"/>
        <v>3.1413398855040642</v>
      </c>
      <c r="Q257" s="217">
        <f t="shared" si="626"/>
        <v>9.7405887922606649</v>
      </c>
      <c r="R257" s="217">
        <f t="shared" si="751"/>
        <v>2.1645752871690367</v>
      </c>
      <c r="S257" s="217">
        <f t="shared" si="752"/>
        <v>4</v>
      </c>
      <c r="T257" s="217">
        <f t="shared" si="753"/>
        <v>1.6836764542437657</v>
      </c>
      <c r="U257" s="217">
        <f t="shared" si="630"/>
        <v>0.56213399502218864</v>
      </c>
      <c r="V257" s="217">
        <f t="shared" si="631"/>
        <v>1.0457879576578224</v>
      </c>
      <c r="W257" s="197">
        <f t="shared" si="632"/>
        <v>350</v>
      </c>
      <c r="X257" s="443">
        <f t="shared" si="691"/>
        <v>350</v>
      </c>
      <c r="Z257" s="217">
        <f t="shared" si="633"/>
        <v>2.9917522719086329</v>
      </c>
      <c r="AA257" s="173">
        <f t="shared" si="634"/>
        <v>1.8582777530512968</v>
      </c>
      <c r="AB257" s="173">
        <f t="shared" si="754"/>
        <v>3.6201438908557586</v>
      </c>
      <c r="AC257" s="173"/>
      <c r="AD257" s="173">
        <f t="shared" si="636"/>
        <v>0.8281780861335738</v>
      </c>
      <c r="AE257" s="545">
        <f t="shared" si="755"/>
        <v>1113.8908592797677</v>
      </c>
      <c r="AF257" s="528">
        <f t="shared" si="756"/>
        <v>0.772966213724669</v>
      </c>
      <c r="AH257" s="173">
        <f t="shared" si="757"/>
        <v>2.2443580055648109</v>
      </c>
      <c r="AI257" s="173">
        <f t="shared" si="758"/>
        <v>2.2443580055648109</v>
      </c>
      <c r="AJ257" s="173">
        <f t="shared" si="759"/>
        <v>1.8748330905418351</v>
      </c>
      <c r="AL257" s="545">
        <f t="shared" si="760"/>
        <v>2460</v>
      </c>
      <c r="AM257" s="460">
        <f t="shared" si="761"/>
        <v>350</v>
      </c>
      <c r="AO257">
        <f t="shared" si="644"/>
        <v>2460</v>
      </c>
      <c r="AP257">
        <f t="shared" si="645"/>
        <v>350</v>
      </c>
      <c r="AR257" s="5">
        <f t="shared" si="616"/>
        <v>2.8571428571428572</v>
      </c>
      <c r="AS257" s="5">
        <f t="shared" si="739"/>
        <v>0.74933038871464652</v>
      </c>
      <c r="AT257" s="5">
        <f t="shared" si="740"/>
        <v>2.1078124684282109</v>
      </c>
      <c r="AU257" s="173">
        <f t="shared" si="741"/>
        <v>0.26226563605012626</v>
      </c>
      <c r="BA257" s="173">
        <f t="shared" si="692"/>
        <v>0.66359361944489315</v>
      </c>
      <c r="BB257" s="173">
        <f t="shared" si="693"/>
        <v>4.4518600647902575</v>
      </c>
      <c r="BC257" s="173">
        <f t="shared" si="694"/>
        <v>8.4825982315598139E-2</v>
      </c>
      <c r="BD257" s="173"/>
      <c r="BE257" s="528">
        <f t="shared" si="695"/>
        <v>5.372349199569278E-3</v>
      </c>
      <c r="BF257" s="528">
        <f t="shared" si="762"/>
        <v>0.81392204764719622</v>
      </c>
      <c r="BG257" s="528">
        <f t="shared" si="763"/>
        <v>0.31449090298945054</v>
      </c>
      <c r="BH257" s="528">
        <f t="shared" si="696"/>
        <v>0.10688352524700855</v>
      </c>
      <c r="BI257">
        <f t="shared" si="697"/>
        <v>1.6173817868028885E-2</v>
      </c>
      <c r="BJ257" s="460">
        <f t="shared" si="698"/>
        <v>330.66472085747944</v>
      </c>
      <c r="BK257">
        <f t="shared" si="764"/>
        <v>0.92881405981832299</v>
      </c>
      <c r="BL257" s="460">
        <f t="shared" si="699"/>
        <v>1256.8426429512535</v>
      </c>
      <c r="BM257" s="173">
        <f t="shared" si="765"/>
        <v>1.5282749999999998</v>
      </c>
      <c r="BN257" s="173">
        <f t="shared" si="766"/>
        <v>1.8193750000000002E-2</v>
      </c>
      <c r="BQ257" s="460">
        <f t="shared" si="700"/>
        <v>1546.4687499999998</v>
      </c>
      <c r="BR257" s="528">
        <f t="shared" si="701"/>
        <v>1.3210694753039209E-2</v>
      </c>
      <c r="BS257" s="528">
        <f t="shared" si="702"/>
        <v>0.5945717410942295</v>
      </c>
      <c r="BT257" s="528">
        <f t="shared" si="703"/>
        <v>3.5977236379030842E-5</v>
      </c>
      <c r="BU257" s="528">
        <f t="shared" si="704"/>
        <v>0.86470993770758764</v>
      </c>
      <c r="BV257" s="528"/>
      <c r="BW257" s="625">
        <f t="shared" si="705"/>
        <v>4.4074999999999996E-2</v>
      </c>
      <c r="BX257" s="460">
        <f t="shared" si="706"/>
        <v>1516.6033507912355</v>
      </c>
      <c r="BY257" s="173">
        <f t="shared" si="707"/>
        <v>4.3199147437424896</v>
      </c>
      <c r="BZ257" s="5">
        <f t="shared" si="708"/>
        <v>10.577999999999999</v>
      </c>
      <c r="CA257" s="173">
        <f t="shared" si="709"/>
        <v>0.71003225498004907</v>
      </c>
      <c r="CB257" s="5">
        <f t="shared" si="710"/>
        <v>71.003225498004909</v>
      </c>
      <c r="CC257">
        <f t="shared" si="711"/>
        <v>41</v>
      </c>
      <c r="CE257" s="562">
        <f t="shared" si="767"/>
        <v>-50</v>
      </c>
      <c r="CG257" s="173">
        <f t="shared" si="768"/>
        <v>0.56822090774627432</v>
      </c>
      <c r="CH257" s="173">
        <f t="shared" si="769"/>
        <v>0.13611600622094289</v>
      </c>
      <c r="CI257" s="170">
        <v>41</v>
      </c>
      <c r="CJ257" s="217">
        <f t="shared" si="712"/>
        <v>2.46</v>
      </c>
      <c r="CK257" s="217">
        <f t="shared" si="654"/>
        <v>4.1000000000000002E-2</v>
      </c>
      <c r="CL257" s="217">
        <f t="shared" si="655"/>
        <v>9.84</v>
      </c>
      <c r="CM257" s="217">
        <f t="shared" si="656"/>
        <v>0.73799999999999999</v>
      </c>
      <c r="CN257" s="541">
        <f t="shared" si="657"/>
        <v>36</v>
      </c>
      <c r="CO257" s="443">
        <f t="shared" si="770"/>
        <v>18.8</v>
      </c>
      <c r="CP257" s="443">
        <f t="shared" si="771"/>
        <v>54.8</v>
      </c>
      <c r="CQ257" s="443"/>
      <c r="CR257" s="217">
        <f t="shared" si="660"/>
        <v>0.34306569343065696</v>
      </c>
      <c r="CS257" s="172">
        <f t="shared" si="661"/>
        <v>38.295705313189622</v>
      </c>
      <c r="CT257" s="172">
        <f t="shared" si="662"/>
        <v>3.0875912408759132</v>
      </c>
      <c r="CU257" s="217">
        <f t="shared" si="663"/>
        <v>9.5739263282974054</v>
      </c>
      <c r="CV257" s="217">
        <f t="shared" si="664"/>
        <v>2.12753918406609</v>
      </c>
      <c r="CW257" s="217">
        <f t="shared" si="665"/>
        <v>4</v>
      </c>
      <c r="CX257" s="217">
        <f t="shared" si="666"/>
        <v>1.7129858156028366</v>
      </c>
      <c r="CY257" s="217">
        <f t="shared" si="667"/>
        <v>0.57099527186761223</v>
      </c>
      <c r="CZ257" s="217">
        <f t="shared" si="668"/>
        <v>1.0933952014486192</v>
      </c>
      <c r="DA257" s="197">
        <f t="shared" si="669"/>
        <v>350</v>
      </c>
      <c r="DB257" s="443">
        <f t="shared" si="670"/>
        <v>350</v>
      </c>
      <c r="DD257" s="217">
        <f t="shared" si="671"/>
        <v>2.940563086548488</v>
      </c>
      <c r="DE257" s="173">
        <f t="shared" si="672"/>
        <v>1.8769551616266944</v>
      </c>
      <c r="DF257" s="173">
        <f t="shared" si="673"/>
        <v>3.5939660877863036</v>
      </c>
      <c r="DG257" s="173"/>
      <c r="DH257" s="173">
        <f t="shared" si="674"/>
        <v>0.85106382978723416</v>
      </c>
      <c r="DI257" s="545">
        <f t="shared" si="675"/>
        <v>1083.9374999999998</v>
      </c>
      <c r="DJ257" s="528">
        <f t="shared" si="676"/>
        <v>0.79432624113475192</v>
      </c>
      <c r="DL257" s="173">
        <f t="shared" si="677"/>
        <v>2.2443580055648109</v>
      </c>
      <c r="DM257" s="173">
        <f t="shared" si="678"/>
        <v>2.2443580055648109</v>
      </c>
      <c r="DN257" s="173">
        <f t="shared" si="679"/>
        <v>1.8748330905418351</v>
      </c>
      <c r="DP257" s="545">
        <f t="shared" si="680"/>
        <v>2460</v>
      </c>
      <c r="DQ257" s="460">
        <f t="shared" si="681"/>
        <v>350</v>
      </c>
      <c r="DS257">
        <f t="shared" si="682"/>
        <v>2460</v>
      </c>
      <c r="DT257">
        <f t="shared" si="683"/>
        <v>350</v>
      </c>
      <c r="DV257" s="5">
        <f t="shared" si="684"/>
        <v>2.8571428571428572</v>
      </c>
      <c r="DW257" s="5">
        <f t="shared" si="685"/>
        <v>0.74811933518827034</v>
      </c>
      <c r="DX257" s="5">
        <f t="shared" si="686"/>
        <v>2.1090235219545868</v>
      </c>
      <c r="DY257" s="173">
        <f t="shared" si="687"/>
        <v>0.26184176731589459</v>
      </c>
      <c r="EA257" s="5">
        <f t="shared" si="713"/>
        <v>46.009339114078628</v>
      </c>
      <c r="EB257" s="5">
        <f t="shared" si="714"/>
        <v>0.17040495968177269</v>
      </c>
      <c r="EC257" s="5">
        <f t="shared" si="715"/>
        <v>0.48038869111187793</v>
      </c>
      <c r="ED257" s="5"/>
      <c r="EE257" s="173">
        <f t="shared" si="716"/>
        <v>0.66305715890786765</v>
      </c>
      <c r="EF257" s="173">
        <f t="shared" si="717"/>
        <v>4.453138799666851</v>
      </c>
      <c r="EG257" s="173">
        <f t="shared" si="718"/>
        <v>8.4850347399057585E-2</v>
      </c>
      <c r="EH257" s="173"/>
      <c r="EI257" s="528">
        <f t="shared" si="719"/>
        <v>5.3636665109434737E-3</v>
      </c>
      <c r="EJ257" s="528">
        <f t="shared" si="720"/>
        <v>0.86093573093466147</v>
      </c>
      <c r="EK257" s="528">
        <f t="shared" si="721"/>
        <v>4.3749999999999997E-2</v>
      </c>
      <c r="EL257" s="528">
        <f t="shared" si="722"/>
        <v>0.10510639999999997</v>
      </c>
      <c r="EM257">
        <f t="shared" si="723"/>
        <v>1.6199999999999999E-2</v>
      </c>
      <c r="EN257" s="460">
        <f t="shared" si="724"/>
        <v>59.949999999999996</v>
      </c>
      <c r="EP257" s="460">
        <f t="shared" si="725"/>
        <v>1031.3557974456048</v>
      </c>
      <c r="EQ257" s="173">
        <f t="shared" si="726"/>
        <v>1.722</v>
      </c>
      <c r="ER257" s="173">
        <f t="shared" si="772"/>
        <v>1.8193750000000002E-2</v>
      </c>
      <c r="ES257" s="528"/>
      <c r="EU257" s="460">
        <f t="shared" si="727"/>
        <v>1740.1937499999999</v>
      </c>
      <c r="EV257" s="528">
        <f t="shared" si="728"/>
        <v>1.3189343879369198E-2</v>
      </c>
      <c r="EW257" s="528">
        <f t="shared" si="729"/>
        <v>0.59491335507294962</v>
      </c>
      <c r="EX257" s="528">
        <f t="shared" si="730"/>
        <v>3.5997907268703797E-5</v>
      </c>
      <c r="EY257" s="528">
        <f t="shared" si="731"/>
        <v>0.86470993770758764</v>
      </c>
      <c r="EZ257" s="528"/>
      <c r="FA257" s="625">
        <f t="shared" si="732"/>
        <v>4.4074999999999996E-2</v>
      </c>
      <c r="FB257" s="460">
        <f t="shared" si="733"/>
        <v>1516.9236345671752</v>
      </c>
      <c r="FC257" s="173">
        <f t="shared" si="734"/>
        <v>4.2884731820127806</v>
      </c>
      <c r="FD257" s="5">
        <f t="shared" si="735"/>
        <v>10.577999999999999</v>
      </c>
      <c r="FE257" s="173">
        <f t="shared" si="736"/>
        <v>0.71153392405123472</v>
      </c>
      <c r="FF257" s="5">
        <f t="shared" si="737"/>
        <v>71.153392405123469</v>
      </c>
      <c r="FG257">
        <f t="shared" si="738"/>
        <v>41</v>
      </c>
      <c r="FI257" s="562">
        <f t="shared" si="689"/>
        <v>-50</v>
      </c>
    </row>
    <row r="258" spans="5:165">
      <c r="E258" s="170">
        <v>42</v>
      </c>
      <c r="F258" s="217">
        <f t="shared" si="773"/>
        <v>2.52</v>
      </c>
      <c r="G258" s="217">
        <f t="shared" si="742"/>
        <v>4.2000000000000003E-2</v>
      </c>
      <c r="H258" s="217">
        <f t="shared" si="743"/>
        <v>10.08</v>
      </c>
      <c r="I258" s="217">
        <f t="shared" si="744"/>
        <v>0.75600000000000001</v>
      </c>
      <c r="J258" s="541">
        <f t="shared" si="745"/>
        <v>35.941112216146564</v>
      </c>
      <c r="K258" s="443">
        <f t="shared" si="746"/>
        <v>19.325813655204961</v>
      </c>
      <c r="L258" s="172">
        <f t="shared" si="747"/>
        <v>55.266925871351525</v>
      </c>
      <c r="M258" s="443"/>
      <c r="N258" s="217">
        <f t="shared" si="748"/>
        <v>0.34968135734907591</v>
      </c>
      <c r="O258" s="172">
        <f t="shared" si="749"/>
        <v>38.970346990318092</v>
      </c>
      <c r="P258" s="172">
        <f t="shared" si="750"/>
        <v>3.141984226094396</v>
      </c>
      <c r="Q258" s="217">
        <f t="shared" si="626"/>
        <v>9.7425867475795229</v>
      </c>
      <c r="R258" s="217">
        <f t="shared" si="751"/>
        <v>2.1650192772398942</v>
      </c>
      <c r="S258" s="217">
        <f t="shared" si="752"/>
        <v>4</v>
      </c>
      <c r="T258" s="217">
        <f t="shared" si="753"/>
        <v>1.7243880332062573</v>
      </c>
      <c r="U258" s="217">
        <f t="shared" si="630"/>
        <v>0.57573778668927511</v>
      </c>
      <c r="V258" s="217">
        <f t="shared" si="631"/>
        <v>1.0707262714862202</v>
      </c>
      <c r="W258" s="197">
        <f t="shared" si="632"/>
        <v>350</v>
      </c>
      <c r="X258" s="443">
        <f t="shared" si="691"/>
        <v>350</v>
      </c>
      <c r="Z258" s="217">
        <f t="shared" si="633"/>
        <v>2.9923659296137104</v>
      </c>
      <c r="AA258" s="173">
        <f t="shared" si="634"/>
        <v>1.8580532647169259</v>
      </c>
      <c r="AB258" s="173">
        <f t="shared" si="754"/>
        <v>3.6204490226255972</v>
      </c>
      <c r="AC258" s="173"/>
      <c r="AD258" s="173">
        <f t="shared" si="636"/>
        <v>0.82790822086245119</v>
      </c>
      <c r="AE258" s="545">
        <f t="shared" si="755"/>
        <v>1141.4308690105424</v>
      </c>
      <c r="AF258" s="528">
        <f t="shared" si="756"/>
        <v>0.77271433947162127</v>
      </c>
      <c r="AH258" s="173">
        <f t="shared" si="757"/>
        <v>2.2715633383201093</v>
      </c>
      <c r="AI258" s="173">
        <f t="shared" si="758"/>
        <v>2.2715633383201093</v>
      </c>
      <c r="AJ258" s="173">
        <f t="shared" si="759"/>
        <v>1.8949851888790932</v>
      </c>
      <c r="AL258" s="545">
        <f t="shared" si="760"/>
        <v>2520</v>
      </c>
      <c r="AM258" s="460">
        <f t="shared" si="761"/>
        <v>350</v>
      </c>
      <c r="AO258">
        <f t="shared" si="644"/>
        <v>2520</v>
      </c>
      <c r="AP258">
        <f t="shared" si="645"/>
        <v>350</v>
      </c>
      <c r="AR258" s="5">
        <f t="shared" si="616"/>
        <v>2.8571428571428572</v>
      </c>
      <c r="AS258" s="5">
        <f t="shared" si="739"/>
        <v>0.75842839520128424</v>
      </c>
      <c r="AT258" s="5">
        <f t="shared" si="740"/>
        <v>2.0987144619415732</v>
      </c>
      <c r="AU258" s="173">
        <f t="shared" si="741"/>
        <v>0.2654499383204495</v>
      </c>
      <c r="BA258" s="173">
        <f t="shared" si="692"/>
        <v>0.67570251879889653</v>
      </c>
      <c r="BB258" s="173">
        <f t="shared" si="693"/>
        <v>4.4960891558577023</v>
      </c>
      <c r="BC258" s="173">
        <f t="shared" si="694"/>
        <v>8.5668725807558924E-2</v>
      </c>
      <c r="BD258" s="173"/>
      <c r="BE258" s="528">
        <f t="shared" si="695"/>
        <v>5.570201505716312E-3</v>
      </c>
      <c r="BF258" s="528">
        <f t="shared" si="762"/>
        <v>0.82387149226605094</v>
      </c>
      <c r="BG258" s="528">
        <f t="shared" si="763"/>
        <v>0.3144847318912824</v>
      </c>
      <c r="BH258" s="528">
        <f t="shared" si="696"/>
        <v>0.10690515833443125</v>
      </c>
      <c r="BI258">
        <f t="shared" si="697"/>
        <v>1.6173500497265954E-2</v>
      </c>
      <c r="BJ258" s="460">
        <f t="shared" si="698"/>
        <v>330.65823238854836</v>
      </c>
      <c r="BK258">
        <f t="shared" si="764"/>
        <v>0.93909367809903588</v>
      </c>
      <c r="BL258" s="460">
        <f t="shared" si="699"/>
        <v>1267.0050844947466</v>
      </c>
      <c r="BM258" s="173">
        <f t="shared" si="765"/>
        <v>1.5655499999999998</v>
      </c>
      <c r="BN258" s="173">
        <f t="shared" si="766"/>
        <v>1.8637500000000001E-2</v>
      </c>
      <c r="BQ258" s="460">
        <f t="shared" si="700"/>
        <v>1584.1874999999998</v>
      </c>
      <c r="BR258" s="528">
        <f t="shared" si="701"/>
        <v>1.3697216817335194E-2</v>
      </c>
      <c r="BS258" s="528">
        <f t="shared" si="702"/>
        <v>0.60644453092263673</v>
      </c>
      <c r="BT258" s="528">
        <f t="shared" si="703"/>
        <v>3.6695652907453566E-5</v>
      </c>
      <c r="BU258" s="528">
        <f t="shared" si="704"/>
        <v>0.8911529359604442</v>
      </c>
      <c r="BV258" s="528"/>
      <c r="BW258" s="625">
        <f t="shared" si="705"/>
        <v>4.5150000000000003E-2</v>
      </c>
      <c r="BX258" s="460">
        <f t="shared" si="706"/>
        <v>1556.4813793533237</v>
      </c>
      <c r="BY258" s="173">
        <f t="shared" si="707"/>
        <v>4.4076739638480698</v>
      </c>
      <c r="BZ258" s="5">
        <f t="shared" si="708"/>
        <v>10.836</v>
      </c>
      <c r="CA258" s="173">
        <f t="shared" si="709"/>
        <v>0.7108522542333745</v>
      </c>
      <c r="CB258" s="5">
        <f t="shared" si="710"/>
        <v>71.085225423337448</v>
      </c>
      <c r="CC258">
        <f t="shared" si="711"/>
        <v>42</v>
      </c>
      <c r="CE258" s="562">
        <f t="shared" si="767"/>
        <v>-50</v>
      </c>
      <c r="CG258" s="173">
        <f t="shared" si="768"/>
        <v>0.57510868538042448</v>
      </c>
      <c r="CH258" s="173">
        <f t="shared" si="769"/>
        <v>0.1377659574468085</v>
      </c>
      <c r="CI258" s="170">
        <v>42</v>
      </c>
      <c r="CJ258" s="217">
        <f t="shared" si="712"/>
        <v>2.52</v>
      </c>
      <c r="CK258" s="217">
        <f t="shared" si="654"/>
        <v>4.2000000000000003E-2</v>
      </c>
      <c r="CL258" s="217">
        <f t="shared" si="655"/>
        <v>10.08</v>
      </c>
      <c r="CM258" s="217">
        <f t="shared" si="656"/>
        <v>0.75600000000000001</v>
      </c>
      <c r="CN258" s="541">
        <f t="shared" si="657"/>
        <v>36</v>
      </c>
      <c r="CO258" s="443">
        <f t="shared" si="770"/>
        <v>18.8</v>
      </c>
      <c r="CP258" s="443">
        <f t="shared" si="771"/>
        <v>54.8</v>
      </c>
      <c r="CQ258" s="443"/>
      <c r="CR258" s="217">
        <f t="shared" si="660"/>
        <v>0.34306569343065696</v>
      </c>
      <c r="CS258" s="172">
        <f t="shared" si="661"/>
        <v>38.295705313189622</v>
      </c>
      <c r="CT258" s="172">
        <f t="shared" si="662"/>
        <v>3.0875912408759132</v>
      </c>
      <c r="CU258" s="217">
        <f t="shared" si="663"/>
        <v>9.5739263282974054</v>
      </c>
      <c r="CV258" s="217">
        <f t="shared" si="664"/>
        <v>2.12753918406609</v>
      </c>
      <c r="CW258" s="217">
        <f t="shared" si="665"/>
        <v>4</v>
      </c>
      <c r="CX258" s="217">
        <f t="shared" si="666"/>
        <v>1.7547659574468084</v>
      </c>
      <c r="CY258" s="217">
        <f t="shared" si="667"/>
        <v>0.58492198581560284</v>
      </c>
      <c r="CZ258" s="217">
        <f t="shared" si="668"/>
        <v>1.1200633770937076</v>
      </c>
      <c r="DA258" s="197">
        <f t="shared" si="669"/>
        <v>350</v>
      </c>
      <c r="DB258" s="443">
        <f t="shared" si="670"/>
        <v>350</v>
      </c>
      <c r="DD258" s="217">
        <f t="shared" si="671"/>
        <v>2.940563086548488</v>
      </c>
      <c r="DE258" s="173">
        <f t="shared" si="672"/>
        <v>1.8769551616266944</v>
      </c>
      <c r="DF258" s="173">
        <f t="shared" si="673"/>
        <v>3.5939660877863036</v>
      </c>
      <c r="DG258" s="173"/>
      <c r="DH258" s="173">
        <f t="shared" si="674"/>
        <v>0.85106382978723416</v>
      </c>
      <c r="DI258" s="545">
        <f t="shared" si="675"/>
        <v>1110.3749999999998</v>
      </c>
      <c r="DJ258" s="528">
        <f t="shared" si="676"/>
        <v>0.79432624113475192</v>
      </c>
      <c r="DL258" s="173">
        <f t="shared" si="677"/>
        <v>2.2715633383201093</v>
      </c>
      <c r="DM258" s="173">
        <f t="shared" si="678"/>
        <v>2.2715633383201093</v>
      </c>
      <c r="DN258" s="173">
        <f t="shared" si="679"/>
        <v>1.8949851888790932</v>
      </c>
      <c r="DP258" s="545">
        <f t="shared" si="680"/>
        <v>2520</v>
      </c>
      <c r="DQ258" s="460">
        <f t="shared" si="681"/>
        <v>350</v>
      </c>
      <c r="DS258">
        <f t="shared" si="682"/>
        <v>2520</v>
      </c>
      <c r="DT258">
        <f t="shared" si="683"/>
        <v>350</v>
      </c>
      <c r="DV258" s="5">
        <f t="shared" si="684"/>
        <v>2.8571428571428572</v>
      </c>
      <c r="DW258" s="5">
        <f t="shared" si="685"/>
        <v>0.75718777944003646</v>
      </c>
      <c r="DX258" s="5">
        <f t="shared" si="686"/>
        <v>2.0999550777028206</v>
      </c>
      <c r="DY258" s="173">
        <f t="shared" si="687"/>
        <v>0.26501572280401275</v>
      </c>
      <c r="EA258" s="5">
        <f t="shared" si="713"/>
        <v>47.702830104722302</v>
      </c>
      <c r="EB258" s="5">
        <f t="shared" si="714"/>
        <v>0.17667714853600849</v>
      </c>
      <c r="EC258" s="5">
        <f t="shared" si="715"/>
        <v>0.48998951813065816</v>
      </c>
      <c r="ED258" s="5"/>
      <c r="EE258" s="173">
        <f t="shared" si="716"/>
        <v>0.67514964505870978</v>
      </c>
      <c r="EF258" s="173">
        <f t="shared" si="717"/>
        <v>4.4974178489921934</v>
      </c>
      <c r="EG258" s="173">
        <f t="shared" si="718"/>
        <v>8.5694042798364761E-2</v>
      </c>
      <c r="EH258" s="173"/>
      <c r="EI258" s="528">
        <f t="shared" si="719"/>
        <v>5.5610899273194018E-3</v>
      </c>
      <c r="EJ258" s="528">
        <f t="shared" si="720"/>
        <v>0.8713716965795939</v>
      </c>
      <c r="EK258" s="528">
        <f t="shared" si="721"/>
        <v>4.3749999999999997E-2</v>
      </c>
      <c r="EL258" s="528">
        <f t="shared" si="722"/>
        <v>0.10510639999999997</v>
      </c>
      <c r="EM258">
        <f t="shared" si="723"/>
        <v>1.6199999999999999E-2</v>
      </c>
      <c r="EN258" s="460">
        <f t="shared" si="724"/>
        <v>59.949999999999996</v>
      </c>
      <c r="EP258" s="460">
        <f t="shared" si="725"/>
        <v>1041.9891865069133</v>
      </c>
      <c r="EQ258" s="173">
        <f t="shared" si="726"/>
        <v>1.7639999999999998</v>
      </c>
      <c r="ER258" s="173">
        <f t="shared" si="772"/>
        <v>1.8637500000000001E-2</v>
      </c>
      <c r="ES258" s="528"/>
      <c r="EU258" s="460">
        <f t="shared" si="727"/>
        <v>1782.6374999999998</v>
      </c>
      <c r="EV258" s="528">
        <f t="shared" si="728"/>
        <v>1.3674811296687054E-2</v>
      </c>
      <c r="EW258" s="528">
        <f t="shared" si="729"/>
        <v>0.60680301925300706</v>
      </c>
      <c r="EX258" s="528">
        <f t="shared" si="730"/>
        <v>3.6717344855639854E-5</v>
      </c>
      <c r="EY258" s="528">
        <f t="shared" si="731"/>
        <v>0.8911529359604442</v>
      </c>
      <c r="EZ258" s="528"/>
      <c r="FA258" s="625">
        <f t="shared" si="732"/>
        <v>4.5150000000000003E-2</v>
      </c>
      <c r="FB258" s="460">
        <f t="shared" si="733"/>
        <v>1556.817483854994</v>
      </c>
      <c r="FC258" s="173">
        <f t="shared" si="734"/>
        <v>4.3814441703619069</v>
      </c>
      <c r="FD258" s="5">
        <f t="shared" si="735"/>
        <v>10.836</v>
      </c>
      <c r="FE258" s="173">
        <f t="shared" si="736"/>
        <v>0.71207752620539388</v>
      </c>
      <c r="FF258" s="5">
        <f t="shared" si="737"/>
        <v>71.207752620539395</v>
      </c>
      <c r="FG258">
        <f t="shared" si="738"/>
        <v>42</v>
      </c>
      <c r="FI258" s="562">
        <f t="shared" si="689"/>
        <v>-50</v>
      </c>
    </row>
    <row r="259" spans="5:165">
      <c r="E259" s="170">
        <v>43</v>
      </c>
      <c r="F259" s="217">
        <f t="shared" si="773"/>
        <v>2.58</v>
      </c>
      <c r="G259" s="217">
        <f t="shared" si="742"/>
        <v>4.3000000000000003E-2</v>
      </c>
      <c r="H259" s="217">
        <f t="shared" si="743"/>
        <v>10.32</v>
      </c>
      <c r="I259" s="217">
        <f t="shared" si="744"/>
        <v>0.77400000000000002</v>
      </c>
      <c r="J259" s="541">
        <f t="shared" si="745"/>
        <v>35.940415295037781</v>
      </c>
      <c r="K259" s="443">
        <f t="shared" si="746"/>
        <v>19.332036518617716</v>
      </c>
      <c r="L259" s="172">
        <f t="shared" si="747"/>
        <v>55.272451813655493</v>
      </c>
      <c r="M259" s="443"/>
      <c r="N259" s="217">
        <f t="shared" si="748"/>
        <v>0.34975898271698497</v>
      </c>
      <c r="O259" s="172">
        <f t="shared" si="749"/>
        <v>38.97824214579343</v>
      </c>
      <c r="P259" s="172">
        <f t="shared" si="750"/>
        <v>3.1426207730045954</v>
      </c>
      <c r="Q259" s="217">
        <f t="shared" si="626"/>
        <v>9.7445605364483576</v>
      </c>
      <c r="R259" s="217">
        <f t="shared" si="751"/>
        <v>2.1654578969885239</v>
      </c>
      <c r="S259" s="217">
        <f t="shared" si="752"/>
        <v>4</v>
      </c>
      <c r="T259" s="217">
        <f t="shared" si="753"/>
        <v>1.7650872951802667</v>
      </c>
      <c r="U259" s="217">
        <f t="shared" si="630"/>
        <v>0.58933786291244183</v>
      </c>
      <c r="V259" s="217">
        <f t="shared" si="631"/>
        <v>1.0956449167559144</v>
      </c>
      <c r="W259" s="197">
        <f t="shared" si="632"/>
        <v>350</v>
      </c>
      <c r="X259" s="443">
        <f t="shared" si="691"/>
        <v>350</v>
      </c>
      <c r="Z259" s="217">
        <f t="shared" si="633"/>
        <v>2.9929721647662806</v>
      </c>
      <c r="AA259" s="173">
        <f t="shared" si="634"/>
        <v>1.8578314779514713</v>
      </c>
      <c r="AB259" s="173">
        <f t="shared" si="754"/>
        <v>3.6207502606834856</v>
      </c>
      <c r="AC259" s="173"/>
      <c r="AD259" s="173">
        <f t="shared" si="636"/>
        <v>0.82764172230852151</v>
      </c>
      <c r="AE259" s="545">
        <f t="shared" si="755"/>
        <v>1168.9840832351647</v>
      </c>
      <c r="AF259" s="528">
        <f t="shared" si="756"/>
        <v>0.77246560748795356</v>
      </c>
      <c r="AH259" s="173">
        <f t="shared" si="757"/>
        <v>2.2984466804468497</v>
      </c>
      <c r="AI259" s="173">
        <f t="shared" si="758"/>
        <v>2.2984466804468497</v>
      </c>
      <c r="AJ259" s="173">
        <f t="shared" si="759"/>
        <v>1.9148987756396416</v>
      </c>
      <c r="AL259" s="545">
        <f t="shared" si="760"/>
        <v>2580</v>
      </c>
      <c r="AM259" s="460">
        <f t="shared" si="761"/>
        <v>350</v>
      </c>
      <c r="AO259">
        <f t="shared" si="644"/>
        <v>2580</v>
      </c>
      <c r="AP259">
        <f t="shared" si="645"/>
        <v>350</v>
      </c>
      <c r="AR259" s="5">
        <f t="shared" si="616"/>
        <v>2.8571428571428572</v>
      </c>
      <c r="AS259" s="5">
        <f t="shared" si="739"/>
        <v>0.76741907234361584</v>
      </c>
      <c r="AT259" s="5">
        <f t="shared" si="740"/>
        <v>2.0897237847992414</v>
      </c>
      <c r="AU259" s="173">
        <f t="shared" si="741"/>
        <v>0.26859667532026554</v>
      </c>
      <c r="BA259" s="173">
        <f t="shared" si="692"/>
        <v>0.68773974359572621</v>
      </c>
      <c r="BB259" s="173">
        <f t="shared" si="693"/>
        <v>4.5395443401844036</v>
      </c>
      <c r="BC259" s="173">
        <f t="shared" si="694"/>
        <v>8.6496723238648779E-2</v>
      </c>
      <c r="BD259" s="173"/>
      <c r="BE259" s="528">
        <f t="shared" si="695"/>
        <v>5.7704286500376055E-3</v>
      </c>
      <c r="BF259" s="528">
        <f t="shared" si="762"/>
        <v>0.8337051410051104</v>
      </c>
      <c r="BG259" s="528">
        <f t="shared" si="763"/>
        <v>0.31447863383158059</v>
      </c>
      <c r="BH259" s="528">
        <f t="shared" si="696"/>
        <v>0.1069265375322504</v>
      </c>
      <c r="BI259">
        <f t="shared" si="697"/>
        <v>1.6173186882767001E-2</v>
      </c>
      <c r="BJ259" s="460">
        <f t="shared" si="698"/>
        <v>330.65182071434759</v>
      </c>
      <c r="BK259">
        <f t="shared" si="764"/>
        <v>0.94926161170768608</v>
      </c>
      <c r="BL259" s="460">
        <f t="shared" si="699"/>
        <v>1277.053927901746</v>
      </c>
      <c r="BM259" s="173">
        <f t="shared" si="765"/>
        <v>1.6028249999999997</v>
      </c>
      <c r="BN259" s="173">
        <f t="shared" si="766"/>
        <v>1.9081250000000001E-2</v>
      </c>
      <c r="BQ259" s="460">
        <f t="shared" si="700"/>
        <v>1621.9062499999998</v>
      </c>
      <c r="BR259" s="528">
        <f t="shared" si="701"/>
        <v>1.4189578647633457E-2</v>
      </c>
      <c r="BS259" s="528">
        <f t="shared" si="702"/>
        <v>0.61822388449500754</v>
      </c>
      <c r="BT259" s="528">
        <f t="shared" si="703"/>
        <v>3.740841565511702E-5</v>
      </c>
      <c r="BU259" s="528">
        <f t="shared" si="704"/>
        <v>0.91775381548486912</v>
      </c>
      <c r="BV259" s="528"/>
      <c r="BW259" s="625">
        <f t="shared" si="705"/>
        <v>4.6225000000000002E-2</v>
      </c>
      <c r="BX259" s="460">
        <f t="shared" si="706"/>
        <v>1596.4296870431654</v>
      </c>
      <c r="BY259" s="173">
        <f t="shared" si="707"/>
        <v>4.4953898649449098</v>
      </c>
      <c r="BZ259" s="5">
        <f t="shared" si="708"/>
        <v>11.094000000000001</v>
      </c>
      <c r="CA259" s="173">
        <f t="shared" si="709"/>
        <v>0.71163785729334605</v>
      </c>
      <c r="CB259" s="5">
        <f t="shared" si="710"/>
        <v>71.163785729334606</v>
      </c>
      <c r="CC259">
        <f t="shared" si="711"/>
        <v>43</v>
      </c>
      <c r="CE259" s="562">
        <f t="shared" si="767"/>
        <v>-50</v>
      </c>
      <c r="CG259" s="173">
        <f t="shared" si="768"/>
        <v>0.58191494223812468</v>
      </c>
      <c r="CH259" s="173">
        <f t="shared" si="769"/>
        <v>0.13939638055893683</v>
      </c>
      <c r="CI259" s="170">
        <v>43</v>
      </c>
      <c r="CJ259" s="217">
        <f t="shared" si="712"/>
        <v>2.58</v>
      </c>
      <c r="CK259" s="217">
        <f t="shared" si="654"/>
        <v>4.3000000000000003E-2</v>
      </c>
      <c r="CL259" s="217">
        <f t="shared" si="655"/>
        <v>10.32</v>
      </c>
      <c r="CM259" s="217">
        <f t="shared" si="656"/>
        <v>0.77400000000000002</v>
      </c>
      <c r="CN259" s="541">
        <f t="shared" si="657"/>
        <v>36</v>
      </c>
      <c r="CO259" s="443">
        <f t="shared" si="770"/>
        <v>18.8</v>
      </c>
      <c r="CP259" s="443">
        <f t="shared" si="771"/>
        <v>54.8</v>
      </c>
      <c r="CQ259" s="443"/>
      <c r="CR259" s="217">
        <f t="shared" si="660"/>
        <v>0.34306569343065696</v>
      </c>
      <c r="CS259" s="172">
        <f t="shared" si="661"/>
        <v>38.295705313189622</v>
      </c>
      <c r="CT259" s="172">
        <f t="shared" si="662"/>
        <v>3.0875912408759132</v>
      </c>
      <c r="CU259" s="217">
        <f t="shared" si="663"/>
        <v>9.5739263282974054</v>
      </c>
      <c r="CV259" s="217">
        <f t="shared" si="664"/>
        <v>2.12753918406609</v>
      </c>
      <c r="CW259" s="217">
        <f t="shared" si="665"/>
        <v>4</v>
      </c>
      <c r="CX259" s="217">
        <f t="shared" si="666"/>
        <v>1.7965460992907802</v>
      </c>
      <c r="CY259" s="217">
        <f t="shared" si="667"/>
        <v>0.59884869976359345</v>
      </c>
      <c r="CZ259" s="217">
        <f t="shared" si="668"/>
        <v>1.146731552738796</v>
      </c>
      <c r="DA259" s="197">
        <f t="shared" si="669"/>
        <v>350</v>
      </c>
      <c r="DB259" s="443">
        <f t="shared" si="670"/>
        <v>350</v>
      </c>
      <c r="DD259" s="217">
        <f t="shared" si="671"/>
        <v>2.940563086548488</v>
      </c>
      <c r="DE259" s="173">
        <f t="shared" si="672"/>
        <v>1.8769551616266944</v>
      </c>
      <c r="DF259" s="173">
        <f t="shared" si="673"/>
        <v>3.5939660877863036</v>
      </c>
      <c r="DG259" s="173"/>
      <c r="DH259" s="173">
        <f t="shared" si="674"/>
        <v>0.85106382978723416</v>
      </c>
      <c r="DI259" s="545">
        <f t="shared" si="675"/>
        <v>1136.8124999999998</v>
      </c>
      <c r="DJ259" s="528">
        <f t="shared" si="676"/>
        <v>0.79432624113475192</v>
      </c>
      <c r="DL259" s="173">
        <f t="shared" si="677"/>
        <v>2.2984466804468497</v>
      </c>
      <c r="DM259" s="173">
        <f t="shared" si="678"/>
        <v>2.2984466804468497</v>
      </c>
      <c r="DN259" s="173">
        <f t="shared" si="679"/>
        <v>1.9148987756396416</v>
      </c>
      <c r="DP259" s="545">
        <f t="shared" si="680"/>
        <v>2580</v>
      </c>
      <c r="DQ259" s="460">
        <f t="shared" si="681"/>
        <v>350</v>
      </c>
      <c r="DS259">
        <f t="shared" si="682"/>
        <v>2580</v>
      </c>
      <c r="DT259">
        <f t="shared" si="683"/>
        <v>350</v>
      </c>
      <c r="DV259" s="5">
        <f t="shared" si="684"/>
        <v>2.8571428571428572</v>
      </c>
      <c r="DW259" s="5">
        <f t="shared" si="685"/>
        <v>0.76614889348228332</v>
      </c>
      <c r="DX259" s="5">
        <f t="shared" si="686"/>
        <v>2.0909939636605737</v>
      </c>
      <c r="DY259" s="173">
        <f t="shared" si="687"/>
        <v>0.26815211271879913</v>
      </c>
      <c r="EA259" s="5">
        <f t="shared" si="713"/>
        <v>49.416603629607273</v>
      </c>
      <c r="EB259" s="5">
        <f t="shared" si="714"/>
        <v>0.18302445788743438</v>
      </c>
      <c r="EC259" s="5">
        <f t="shared" si="715"/>
        <v>0.49951522465224812</v>
      </c>
      <c r="ED259" s="5"/>
      <c r="EE259" s="173">
        <f t="shared" si="716"/>
        <v>0.68717035831704831</v>
      </c>
      <c r="EF259" s="173">
        <f t="shared" si="717"/>
        <v>4.5409237467331254</v>
      </c>
      <c r="EG259" s="173">
        <f t="shared" si="718"/>
        <v>8.6523006525590626E-2</v>
      </c>
      <c r="EH259" s="173"/>
      <c r="EI259" s="528">
        <f t="shared" si="719"/>
        <v>5.7608778364648819E-3</v>
      </c>
      <c r="EJ259" s="528">
        <f t="shared" si="720"/>
        <v>0.88168414661941141</v>
      </c>
      <c r="EK259" s="528">
        <f t="shared" si="721"/>
        <v>4.3749999999999997E-2</v>
      </c>
      <c r="EL259" s="528">
        <f t="shared" si="722"/>
        <v>0.10510639999999997</v>
      </c>
      <c r="EM259">
        <f t="shared" si="723"/>
        <v>1.6199999999999999E-2</v>
      </c>
      <c r="EN259" s="460">
        <f t="shared" si="724"/>
        <v>59.949999999999996</v>
      </c>
      <c r="EP259" s="460">
        <f t="shared" si="725"/>
        <v>1052.5014244558761</v>
      </c>
      <c r="EQ259" s="173">
        <f t="shared" si="726"/>
        <v>1.8059999999999998</v>
      </c>
      <c r="ER259" s="173">
        <f t="shared" si="772"/>
        <v>1.9081250000000001E-2</v>
      </c>
      <c r="ES259" s="528"/>
      <c r="EU259" s="460">
        <f t="shared" si="727"/>
        <v>1825.0812499999997</v>
      </c>
      <c r="EV259" s="528">
        <f t="shared" si="728"/>
        <v>1.4166093040487417E-2</v>
      </c>
      <c r="EW259" s="528">
        <f t="shared" si="729"/>
        <v>0.61859965420934415</v>
      </c>
      <c r="EX259" s="528">
        <f t="shared" si="730"/>
        <v>3.7431153291136987E-5</v>
      </c>
      <c r="EY259" s="528">
        <f t="shared" si="731"/>
        <v>0.91775381548486912</v>
      </c>
      <c r="EZ259" s="528"/>
      <c r="FA259" s="625">
        <f t="shared" si="732"/>
        <v>4.6225000000000002E-2</v>
      </c>
      <c r="FB259" s="460">
        <f t="shared" si="733"/>
        <v>1596.7819938879918</v>
      </c>
      <c r="FC259" s="173">
        <f t="shared" si="734"/>
        <v>4.4743646683438678</v>
      </c>
      <c r="FD259" s="5">
        <f t="shared" si="735"/>
        <v>11.094000000000001</v>
      </c>
      <c r="FE259" s="173">
        <f t="shared" si="736"/>
        <v>0.71259892971020433</v>
      </c>
      <c r="FF259" s="5">
        <f t="shared" si="737"/>
        <v>71.259892971020435</v>
      </c>
      <c r="FG259">
        <f t="shared" si="738"/>
        <v>43</v>
      </c>
      <c r="FI259" s="562">
        <f t="shared" si="689"/>
        <v>-50</v>
      </c>
    </row>
    <row r="260" spans="5:165">
      <c r="E260" s="170">
        <v>44</v>
      </c>
      <c r="F260" s="217">
        <f t="shared" si="773"/>
        <v>2.64</v>
      </c>
      <c r="G260" s="217">
        <f t="shared" si="742"/>
        <v>4.4000000000000004E-2</v>
      </c>
      <c r="H260" s="217">
        <f t="shared" si="743"/>
        <v>10.56</v>
      </c>
      <c r="I260" s="217">
        <f t="shared" si="744"/>
        <v>0.79200000000000004</v>
      </c>
      <c r="J260" s="541">
        <f t="shared" si="745"/>
        <v>35.93972643163292</v>
      </c>
      <c r="K260" s="443">
        <f t="shared" si="746"/>
        <v>19.338187434158133</v>
      </c>
      <c r="L260" s="172">
        <f t="shared" si="747"/>
        <v>55.277913865791049</v>
      </c>
      <c r="M260" s="443"/>
      <c r="N260" s="217">
        <f t="shared" si="748"/>
        <v>0.34983569533953857</v>
      </c>
      <c r="O260" s="172">
        <f t="shared" si="749"/>
        <v>38.986043989218899</v>
      </c>
      <c r="P260" s="172">
        <f t="shared" si="750"/>
        <v>3.1432497966307738</v>
      </c>
      <c r="Q260" s="217">
        <f t="shared" si="626"/>
        <v>9.7465109973047248</v>
      </c>
      <c r="R260" s="217">
        <f t="shared" si="751"/>
        <v>2.1658913327343834</v>
      </c>
      <c r="S260" s="217">
        <f t="shared" si="752"/>
        <v>4</v>
      </c>
      <c r="T260" s="217">
        <f t="shared" si="753"/>
        <v>1.805774395049373</v>
      </c>
      <c r="U260" s="217">
        <f t="shared" si="630"/>
        <v>0.60293427057140614</v>
      </c>
      <c r="V260" s="217">
        <f t="shared" si="631"/>
        <v>1.1205441468788735</v>
      </c>
      <c r="W260" s="197">
        <f t="shared" si="632"/>
        <v>350</v>
      </c>
      <c r="X260" s="443">
        <f t="shared" si="691"/>
        <v>350</v>
      </c>
      <c r="Z260" s="217">
        <f t="shared" si="633"/>
        <v>2.9935712348864505</v>
      </c>
      <c r="AA260" s="173">
        <f t="shared" si="634"/>
        <v>1.8576122990298896</v>
      </c>
      <c r="AB260" s="173">
        <f t="shared" si="754"/>
        <v>3.621047740244665</v>
      </c>
      <c r="AC260" s="173"/>
      <c r="AD260" s="173">
        <f t="shared" si="636"/>
        <v>0.82737847352427141</v>
      </c>
      <c r="AE260" s="545">
        <f t="shared" si="755"/>
        <v>1196.5503474885343</v>
      </c>
      <c r="AF260" s="528">
        <f t="shared" si="756"/>
        <v>0.77221990862265344</v>
      </c>
      <c r="AH260" s="173">
        <f t="shared" si="757"/>
        <v>2.3250192011495918</v>
      </c>
      <c r="AI260" s="173">
        <f t="shared" si="758"/>
        <v>2.3250192011495918</v>
      </c>
      <c r="AJ260" s="173">
        <f t="shared" si="759"/>
        <v>1.9345821243083394</v>
      </c>
      <c r="AL260" s="545">
        <f t="shared" si="760"/>
        <v>2640</v>
      </c>
      <c r="AM260" s="460">
        <f t="shared" si="761"/>
        <v>350</v>
      </c>
      <c r="AO260">
        <f t="shared" si="644"/>
        <v>2640</v>
      </c>
      <c r="AP260">
        <f t="shared" si="645"/>
        <v>350</v>
      </c>
      <c r="AR260" s="5">
        <f t="shared" si="616"/>
        <v>2.8571428571428572</v>
      </c>
      <c r="AS260" s="5">
        <f t="shared" si="739"/>
        <v>0.776306143199751</v>
      </c>
      <c r="AT260" s="5">
        <f t="shared" si="740"/>
        <v>2.0808367139431061</v>
      </c>
      <c r="AU260" s="173">
        <f t="shared" si="741"/>
        <v>0.27170715011991287</v>
      </c>
      <c r="BA260" s="173">
        <f t="shared" si="692"/>
        <v>0.69970737286714579</v>
      </c>
      <c r="BB260" s="173">
        <f t="shared" si="693"/>
        <v>4.5822515937213559</v>
      </c>
      <c r="BC260" s="173">
        <f t="shared" si="694"/>
        <v>8.7310469556042061E-2</v>
      </c>
      <c r="BD260" s="173"/>
      <c r="BE260" s="528">
        <f t="shared" si="695"/>
        <v>5.973002973264644E-3</v>
      </c>
      <c r="BF260" s="528">
        <f t="shared" si="762"/>
        <v>0.84342701058956449</v>
      </c>
      <c r="BG260" s="528">
        <f t="shared" si="763"/>
        <v>0.31447260627678802</v>
      </c>
      <c r="BH260" s="528">
        <f t="shared" si="696"/>
        <v>0.1069476716473835</v>
      </c>
      <c r="BI260">
        <f t="shared" si="697"/>
        <v>1.6172876894234814E-2</v>
      </c>
      <c r="BJ260" s="460">
        <f t="shared" si="698"/>
        <v>330.64548317102282</v>
      </c>
      <c r="BK260">
        <f t="shared" si="764"/>
        <v>0.95932185168091821</v>
      </c>
      <c r="BL260" s="460">
        <f t="shared" si="699"/>
        <v>1286.9931683812356</v>
      </c>
      <c r="BM260" s="173">
        <f t="shared" si="765"/>
        <v>1.6400999999999999</v>
      </c>
      <c r="BN260" s="173">
        <f t="shared" si="766"/>
        <v>1.9525000000000001E-2</v>
      </c>
      <c r="BQ260" s="460">
        <f t="shared" si="700"/>
        <v>1659.625</v>
      </c>
      <c r="BR260" s="528">
        <f t="shared" si="701"/>
        <v>1.4687712229339289E-2</v>
      </c>
      <c r="BS260" s="528">
        <f t="shared" si="702"/>
        <v>0.62991089004485723</v>
      </c>
      <c r="BT260" s="528">
        <f t="shared" si="703"/>
        <v>3.811559047048274E-5</v>
      </c>
      <c r="BU260" s="528">
        <f t="shared" si="704"/>
        <v>0.94450981401179857</v>
      </c>
      <c r="BV260" s="528"/>
      <c r="BW260" s="625">
        <f t="shared" si="705"/>
        <v>4.7300000000000002E-2</v>
      </c>
      <c r="BX260" s="460">
        <f t="shared" si="706"/>
        <v>1636.4465318764653</v>
      </c>
      <c r="BY260" s="173">
        <f t="shared" si="707"/>
        <v>4.583064700257701</v>
      </c>
      <c r="BZ260" s="5">
        <f t="shared" si="708"/>
        <v>11.352</v>
      </c>
      <c r="CA260" s="173">
        <f t="shared" si="709"/>
        <v>0.71239120854127536</v>
      </c>
      <c r="CB260" s="5">
        <f t="shared" si="710"/>
        <v>71.239120854127535</v>
      </c>
      <c r="CC260">
        <f t="shared" si="711"/>
        <v>44</v>
      </c>
      <c r="CE260" s="562">
        <f t="shared" si="767"/>
        <v>-50</v>
      </c>
      <c r="CG260" s="173">
        <f t="shared" si="768"/>
        <v>0.58864250611045754</v>
      </c>
      <c r="CH260" s="173">
        <f t="shared" si="769"/>
        <v>0.14100795294815124</v>
      </c>
      <c r="CI260" s="170">
        <v>44</v>
      </c>
      <c r="CJ260" s="217">
        <f t="shared" si="712"/>
        <v>2.64</v>
      </c>
      <c r="CK260" s="217">
        <f t="shared" si="654"/>
        <v>4.4000000000000004E-2</v>
      </c>
      <c r="CL260" s="217">
        <f t="shared" si="655"/>
        <v>10.56</v>
      </c>
      <c r="CM260" s="217">
        <f t="shared" si="656"/>
        <v>0.79200000000000004</v>
      </c>
      <c r="CN260" s="541">
        <f t="shared" si="657"/>
        <v>36</v>
      </c>
      <c r="CO260" s="443">
        <f t="shared" si="770"/>
        <v>18.8</v>
      </c>
      <c r="CP260" s="443">
        <f t="shared" si="771"/>
        <v>54.8</v>
      </c>
      <c r="CQ260" s="443"/>
      <c r="CR260" s="217">
        <f t="shared" si="660"/>
        <v>0.34306569343065696</v>
      </c>
      <c r="CS260" s="172">
        <f t="shared" si="661"/>
        <v>38.295705313189622</v>
      </c>
      <c r="CT260" s="172">
        <f t="shared" si="662"/>
        <v>3.0875912408759132</v>
      </c>
      <c r="CU260" s="217">
        <f t="shared" si="663"/>
        <v>9.5739263282974054</v>
      </c>
      <c r="CV260" s="217">
        <f t="shared" si="664"/>
        <v>2.12753918406609</v>
      </c>
      <c r="CW260" s="217">
        <f t="shared" si="665"/>
        <v>4</v>
      </c>
      <c r="CX260" s="217">
        <f t="shared" si="666"/>
        <v>1.8383262411347516</v>
      </c>
      <c r="CY260" s="217">
        <f t="shared" si="667"/>
        <v>0.61277541371158384</v>
      </c>
      <c r="CZ260" s="217">
        <f t="shared" si="668"/>
        <v>1.173399728383884</v>
      </c>
      <c r="DA260" s="197">
        <f t="shared" si="669"/>
        <v>350</v>
      </c>
      <c r="DB260" s="443">
        <f t="shared" si="670"/>
        <v>350</v>
      </c>
      <c r="DD260" s="217">
        <f t="shared" si="671"/>
        <v>2.940563086548488</v>
      </c>
      <c r="DE260" s="173">
        <f t="shared" si="672"/>
        <v>1.8769551616266944</v>
      </c>
      <c r="DF260" s="173">
        <f t="shared" si="673"/>
        <v>3.5939660877863036</v>
      </c>
      <c r="DG260" s="173"/>
      <c r="DH260" s="173">
        <f t="shared" si="674"/>
        <v>0.85106382978723416</v>
      </c>
      <c r="DI260" s="545">
        <f t="shared" si="675"/>
        <v>1163.2499999999998</v>
      </c>
      <c r="DJ260" s="528">
        <f t="shared" si="676"/>
        <v>0.79432624113475192</v>
      </c>
      <c r="DL260" s="173">
        <f t="shared" si="677"/>
        <v>2.3250192011495918</v>
      </c>
      <c r="DM260" s="173">
        <f t="shared" si="678"/>
        <v>2.3250192011495918</v>
      </c>
      <c r="DN260" s="173">
        <f t="shared" si="679"/>
        <v>1.9345821243083394</v>
      </c>
      <c r="DP260" s="545">
        <f t="shared" si="680"/>
        <v>2640</v>
      </c>
      <c r="DQ260" s="460">
        <f t="shared" si="681"/>
        <v>350</v>
      </c>
      <c r="DS260">
        <f t="shared" si="682"/>
        <v>2640</v>
      </c>
      <c r="DT260">
        <f t="shared" si="683"/>
        <v>350</v>
      </c>
      <c r="DV260" s="5">
        <f t="shared" si="684"/>
        <v>2.8571428571428572</v>
      </c>
      <c r="DW260" s="5">
        <f t="shared" si="685"/>
        <v>0.77500640038319735</v>
      </c>
      <c r="DX260" s="5">
        <f t="shared" si="686"/>
        <v>2.0821364567596596</v>
      </c>
      <c r="DY260" s="173">
        <f t="shared" si="687"/>
        <v>0.27125224013411908</v>
      </c>
      <c r="EA260" s="5">
        <f t="shared" si="713"/>
        <v>51.150422425291033</v>
      </c>
      <c r="EB260" s="5">
        <f t="shared" si="714"/>
        <v>0.18944600898255934</v>
      </c>
      <c r="EC260" s="5">
        <f t="shared" si="715"/>
        <v>0.50896668943013901</v>
      </c>
      <c r="ED260" s="5"/>
      <c r="EE260" s="173">
        <f t="shared" si="716"/>
        <v>0.69912137942921126</v>
      </c>
      <c r="EF260" s="173">
        <f t="shared" si="717"/>
        <v>4.583682464970293</v>
      </c>
      <c r="EG260" s="173">
        <f t="shared" si="718"/>
        <v>8.7337733454163693E-2</v>
      </c>
      <c r="EH260" s="173"/>
      <c r="EI260" s="528">
        <f t="shared" si="719"/>
        <v>5.9630025787350384E-3</v>
      </c>
      <c r="EJ260" s="528">
        <f t="shared" si="720"/>
        <v>0.89187736556098329</v>
      </c>
      <c r="EK260" s="528">
        <f t="shared" si="721"/>
        <v>4.3749999999999997E-2</v>
      </c>
      <c r="EL260" s="528">
        <f t="shared" si="722"/>
        <v>0.10510639999999997</v>
      </c>
      <c r="EM260">
        <f t="shared" si="723"/>
        <v>1.6199999999999999E-2</v>
      </c>
      <c r="EN260" s="460">
        <f t="shared" si="724"/>
        <v>59.949999999999996</v>
      </c>
      <c r="EP260" s="460">
        <f t="shared" si="725"/>
        <v>1062.8967681397182</v>
      </c>
      <c r="EQ260" s="173">
        <f t="shared" si="726"/>
        <v>1.8479999999999999</v>
      </c>
      <c r="ER260" s="173">
        <f t="shared" si="772"/>
        <v>1.9525000000000001E-2</v>
      </c>
      <c r="ES260" s="528"/>
      <c r="EU260" s="460">
        <f t="shared" si="727"/>
        <v>1867.5249999999999</v>
      </c>
      <c r="EV260" s="528">
        <f t="shared" si="728"/>
        <v>1.4663121095250095E-2</v>
      </c>
      <c r="EW260" s="528">
        <f t="shared" si="729"/>
        <v>0.63030434819028425</v>
      </c>
      <c r="EX260" s="528">
        <f t="shared" si="730"/>
        <v>3.8139398424552717E-5</v>
      </c>
      <c r="EY260" s="528">
        <f t="shared" si="731"/>
        <v>0.94450981401179857</v>
      </c>
      <c r="EZ260" s="528"/>
      <c r="FA260" s="625">
        <f t="shared" si="732"/>
        <v>4.7300000000000002E-2</v>
      </c>
      <c r="FB260" s="460">
        <f t="shared" si="733"/>
        <v>1636.8154226957574</v>
      </c>
      <c r="FC260" s="173">
        <f t="shared" si="734"/>
        <v>4.567237190835475</v>
      </c>
      <c r="FD260" s="5">
        <f t="shared" si="735"/>
        <v>11.352</v>
      </c>
      <c r="FE260" s="173">
        <f t="shared" si="736"/>
        <v>0.71309949490137747</v>
      </c>
      <c r="FF260" s="5">
        <f t="shared" si="737"/>
        <v>71.309949490137754</v>
      </c>
      <c r="FG260">
        <f t="shared" si="738"/>
        <v>44</v>
      </c>
      <c r="FI260" s="562">
        <f t="shared" si="689"/>
        <v>-50</v>
      </c>
    </row>
    <row r="261" spans="5:165">
      <c r="E261" s="170">
        <v>45</v>
      </c>
      <c r="F261" s="217">
        <f t="shared" si="773"/>
        <v>2.7</v>
      </c>
      <c r="G261" s="217">
        <f t="shared" si="742"/>
        <v>4.5000000000000005E-2</v>
      </c>
      <c r="H261" s="217">
        <f t="shared" si="743"/>
        <v>10.8</v>
      </c>
      <c r="I261" s="217">
        <f t="shared" si="744"/>
        <v>0.81</v>
      </c>
      <c r="J261" s="541">
        <f t="shared" si="745"/>
        <v>35.939045352745119</v>
      </c>
      <c r="K261" s="443">
        <f t="shared" si="746"/>
        <v>19.344268841133289</v>
      </c>
      <c r="L261" s="172">
        <f t="shared" si="747"/>
        <v>55.283314193878411</v>
      </c>
      <c r="M261" s="443"/>
      <c r="N261" s="217">
        <f t="shared" si="748"/>
        <v>0.3499115261667019</v>
      </c>
      <c r="O261" s="172">
        <f t="shared" si="749"/>
        <v>38.99375568481662</v>
      </c>
      <c r="P261" s="172">
        <f t="shared" si="750"/>
        <v>3.1438715520883398</v>
      </c>
      <c r="Q261" s="217">
        <f t="shared" si="626"/>
        <v>9.7484389212041549</v>
      </c>
      <c r="R261" s="217">
        <f t="shared" si="751"/>
        <v>2.1663197602675899</v>
      </c>
      <c r="S261" s="217">
        <f t="shared" si="752"/>
        <v>4</v>
      </c>
      <c r="T261" s="217">
        <f t="shared" si="753"/>
        <v>1.8464494823727726</v>
      </c>
      <c r="U261" s="217">
        <f t="shared" si="630"/>
        <v>0.61652705493416327</v>
      </c>
      <c r="V261" s="217">
        <f t="shared" si="631"/>
        <v>1.1454242065411233</v>
      </c>
      <c r="W261" s="197">
        <f t="shared" si="632"/>
        <v>350</v>
      </c>
      <c r="X261" s="443">
        <f t="shared" si="691"/>
        <v>350</v>
      </c>
      <c r="Z261" s="217">
        <f t="shared" si="633"/>
        <v>2.9941633829412759</v>
      </c>
      <c r="AA261" s="173">
        <f t="shared" si="634"/>
        <v>1.8573956395237083</v>
      </c>
      <c r="AB261" s="173">
        <f t="shared" si="754"/>
        <v>3.6213415888815601</v>
      </c>
      <c r="AC261" s="173"/>
      <c r="AD261" s="173">
        <f t="shared" si="636"/>
        <v>0.8271183641729537</v>
      </c>
      <c r="AE261" s="545">
        <f t="shared" si="755"/>
        <v>1224.1295126029656</v>
      </c>
      <c r="AF261" s="528">
        <f t="shared" si="756"/>
        <v>0.7719771398947568</v>
      </c>
      <c r="AH261" s="173">
        <f t="shared" si="757"/>
        <v>2.3512914384591777</v>
      </c>
      <c r="AI261" s="173">
        <f t="shared" si="758"/>
        <v>2.3512914384591777</v>
      </c>
      <c r="AJ261" s="173">
        <f t="shared" si="759"/>
        <v>1.9540430408339586</v>
      </c>
      <c r="AL261" s="545">
        <f t="shared" si="760"/>
        <v>2700</v>
      </c>
      <c r="AM261" s="460">
        <f t="shared" si="761"/>
        <v>350</v>
      </c>
      <c r="AO261">
        <f t="shared" si="644"/>
        <v>2700</v>
      </c>
      <c r="AP261">
        <f t="shared" si="645"/>
        <v>350</v>
      </c>
      <c r="AR261" s="5">
        <f t="shared" si="616"/>
        <v>2.8571428571428572</v>
      </c>
      <c r="AS261" s="5">
        <f t="shared" si="739"/>
        <v>0.7850931204369056</v>
      </c>
      <c r="AT261" s="5">
        <f t="shared" si="740"/>
        <v>2.0720497367059516</v>
      </c>
      <c r="AU261" s="173">
        <f t="shared" si="741"/>
        <v>0.27478259215291695</v>
      </c>
      <c r="BA261" s="173">
        <f t="shared" si="692"/>
        <v>0.71160737958638687</v>
      </c>
      <c r="BB261" s="173">
        <f t="shared" si="693"/>
        <v>4.6242354268360319</v>
      </c>
      <c r="BC261" s="173">
        <f t="shared" si="694"/>
        <v>8.8110431781605478E-2</v>
      </c>
      <c r="BD261" s="173"/>
      <c r="BE261" s="528">
        <f t="shared" si="695"/>
        <v>6.1778977647180093E-3</v>
      </c>
      <c r="BF261" s="528">
        <f t="shared" si="762"/>
        <v>0.853040890758755</v>
      </c>
      <c r="BG261" s="528">
        <f t="shared" si="763"/>
        <v>0.31446664683651976</v>
      </c>
      <c r="BH261" s="528">
        <f t="shared" si="696"/>
        <v>0.10696856898906773</v>
      </c>
      <c r="BI261">
        <f t="shared" si="697"/>
        <v>1.6172570408735303E-2</v>
      </c>
      <c r="BJ261" s="460">
        <f t="shared" si="698"/>
        <v>330.63921724525505</v>
      </c>
      <c r="BK261">
        <f t="shared" si="764"/>
        <v>0.96927816280055101</v>
      </c>
      <c r="BL261" s="460">
        <f t="shared" si="699"/>
        <v>1296.8265747577959</v>
      </c>
      <c r="BM261" s="173">
        <f t="shared" si="765"/>
        <v>1.6773749999999998</v>
      </c>
      <c r="BN261" s="173">
        <f t="shared" si="766"/>
        <v>1.996875E-2</v>
      </c>
      <c r="BQ261" s="460">
        <f t="shared" si="700"/>
        <v>1697.34375</v>
      </c>
      <c r="BR261" s="528">
        <f t="shared" si="701"/>
        <v>1.519155188045412E-2</v>
      </c>
      <c r="BS261" s="528">
        <f t="shared" si="702"/>
        <v>0.64150659848416258</v>
      </c>
      <c r="BT261" s="528">
        <f t="shared" si="703"/>
        <v>3.8817240943704764E-5</v>
      </c>
      <c r="BU261" s="528">
        <f t="shared" si="704"/>
        <v>0.97141827947827819</v>
      </c>
      <c r="BV261" s="528"/>
      <c r="BW261" s="625">
        <f t="shared" si="705"/>
        <v>4.8375000000000001E-2</v>
      </c>
      <c r="BX261" s="460">
        <f t="shared" si="706"/>
        <v>1676.5302470838385</v>
      </c>
      <c r="BY261" s="173">
        <f t="shared" si="707"/>
        <v>4.6707005718416346</v>
      </c>
      <c r="BZ261" s="5">
        <f t="shared" si="708"/>
        <v>11.610000000000001</v>
      </c>
      <c r="CA261" s="173">
        <f t="shared" si="709"/>
        <v>0.71311427593479193</v>
      </c>
      <c r="CB261" s="5">
        <f t="shared" si="710"/>
        <v>71.311427593479195</v>
      </c>
      <c r="CC261">
        <f t="shared" si="711"/>
        <v>45</v>
      </c>
      <c r="CE261" s="562">
        <f t="shared" si="767"/>
        <v>-50</v>
      </c>
      <c r="CG261" s="173">
        <f t="shared" si="768"/>
        <v>0.59529404498953298</v>
      </c>
      <c r="CH261" s="173">
        <f t="shared" si="769"/>
        <v>0.14260131372580032</v>
      </c>
      <c r="CI261" s="170">
        <v>45</v>
      </c>
      <c r="CJ261" s="217">
        <f t="shared" si="712"/>
        <v>2.7</v>
      </c>
      <c r="CK261" s="217">
        <f t="shared" si="654"/>
        <v>4.5000000000000005E-2</v>
      </c>
      <c r="CL261" s="217">
        <f t="shared" si="655"/>
        <v>10.8</v>
      </c>
      <c r="CM261" s="217">
        <f t="shared" si="656"/>
        <v>0.81</v>
      </c>
      <c r="CN261" s="541">
        <f t="shared" si="657"/>
        <v>36</v>
      </c>
      <c r="CO261" s="443">
        <f t="shared" si="770"/>
        <v>18.8</v>
      </c>
      <c r="CP261" s="443">
        <f t="shared" si="771"/>
        <v>54.8</v>
      </c>
      <c r="CQ261" s="443"/>
      <c r="CR261" s="217">
        <f t="shared" si="660"/>
        <v>0.34306569343065696</v>
      </c>
      <c r="CS261" s="172">
        <f t="shared" si="661"/>
        <v>38.295705313189622</v>
      </c>
      <c r="CT261" s="172">
        <f t="shared" si="662"/>
        <v>3.0875912408759132</v>
      </c>
      <c r="CU261" s="217">
        <f t="shared" si="663"/>
        <v>9.5739263282974054</v>
      </c>
      <c r="CV261" s="217">
        <f t="shared" si="664"/>
        <v>2.12753918406609</v>
      </c>
      <c r="CW261" s="217">
        <f t="shared" si="665"/>
        <v>4</v>
      </c>
      <c r="CX261" s="217">
        <f t="shared" si="666"/>
        <v>1.8801063829787235</v>
      </c>
      <c r="CY261" s="217">
        <f t="shared" si="667"/>
        <v>0.62670212765957456</v>
      </c>
      <c r="CZ261" s="217">
        <f t="shared" si="668"/>
        <v>1.2000679040289726</v>
      </c>
      <c r="DA261" s="197">
        <f t="shared" si="669"/>
        <v>350</v>
      </c>
      <c r="DB261" s="443">
        <f t="shared" si="670"/>
        <v>350</v>
      </c>
      <c r="DD261" s="217">
        <f t="shared" si="671"/>
        <v>2.940563086548488</v>
      </c>
      <c r="DE261" s="173">
        <f t="shared" si="672"/>
        <v>1.8769551616266944</v>
      </c>
      <c r="DF261" s="173">
        <f t="shared" si="673"/>
        <v>3.5939660877863036</v>
      </c>
      <c r="DG261" s="173"/>
      <c r="DH261" s="173">
        <f t="shared" si="674"/>
        <v>0.85106382978723416</v>
      </c>
      <c r="DI261" s="545">
        <f t="shared" si="675"/>
        <v>1189.6874999999998</v>
      </c>
      <c r="DJ261" s="528">
        <f t="shared" si="676"/>
        <v>0.79432624113475192</v>
      </c>
      <c r="DL261" s="173">
        <f t="shared" si="677"/>
        <v>2.3512914384591777</v>
      </c>
      <c r="DM261" s="173">
        <f t="shared" si="678"/>
        <v>2.3512914384591777</v>
      </c>
      <c r="DN261" s="173">
        <f t="shared" si="679"/>
        <v>1.9540430408339586</v>
      </c>
      <c r="DP261" s="545">
        <f t="shared" si="680"/>
        <v>2700</v>
      </c>
      <c r="DQ261" s="460">
        <f t="shared" si="681"/>
        <v>350</v>
      </c>
      <c r="DS261">
        <f t="shared" si="682"/>
        <v>2700</v>
      </c>
      <c r="DT261">
        <f t="shared" si="683"/>
        <v>350</v>
      </c>
      <c r="DV261" s="5">
        <f t="shared" si="684"/>
        <v>2.8571428571428572</v>
      </c>
      <c r="DW261" s="5">
        <f t="shared" si="685"/>
        <v>0.78376381281972596</v>
      </c>
      <c r="DX261" s="5">
        <f t="shared" si="686"/>
        <v>2.073379044323131</v>
      </c>
      <c r="DY261" s="173">
        <f t="shared" si="687"/>
        <v>0.2743173344869041</v>
      </c>
      <c r="EA261" s="5">
        <f t="shared" si="713"/>
        <v>52.904057365331504</v>
      </c>
      <c r="EB261" s="5">
        <f t="shared" si="714"/>
        <v>0.19594095320493152</v>
      </c>
      <c r="EC261" s="5">
        <f t="shared" si="715"/>
        <v>0.51834476108078276</v>
      </c>
      <c r="ED261" s="5"/>
      <c r="EE261" s="173">
        <f t="shared" si="716"/>
        <v>0.71100468301462216</v>
      </c>
      <c r="EF261" s="173">
        <f t="shared" si="717"/>
        <v>4.6257185103954086</v>
      </c>
      <c r="EG261" s="173">
        <f t="shared" si="718"/>
        <v>8.8138690535912514E-2</v>
      </c>
      <c r="EH261" s="173"/>
      <c r="EI261" s="528">
        <f t="shared" si="719"/>
        <v>6.1674374430784242E-3</v>
      </c>
      <c r="EJ261" s="528">
        <f t="shared" si="720"/>
        <v>0.9019553957929406</v>
      </c>
      <c r="EK261" s="528">
        <f t="shared" si="721"/>
        <v>4.3749999999999997E-2</v>
      </c>
      <c r="EL261" s="528">
        <f t="shared" si="722"/>
        <v>0.10510639999999997</v>
      </c>
      <c r="EM261">
        <f t="shared" si="723"/>
        <v>1.6199999999999999E-2</v>
      </c>
      <c r="EN261" s="460">
        <f t="shared" si="724"/>
        <v>59.949999999999996</v>
      </c>
      <c r="EP261" s="460">
        <f t="shared" si="725"/>
        <v>1073.1792332360189</v>
      </c>
      <c r="EQ261" s="173">
        <f t="shared" si="726"/>
        <v>1.89</v>
      </c>
      <c r="ER261" s="173">
        <f t="shared" si="772"/>
        <v>1.996875E-2</v>
      </c>
      <c r="ES261" s="528"/>
      <c r="EU261" s="460">
        <f t="shared" si="727"/>
        <v>1909.96875</v>
      </c>
      <c r="EV261" s="528">
        <f t="shared" si="728"/>
        <v>1.5165829778061699E-2</v>
      </c>
      <c r="EW261" s="528">
        <f t="shared" si="729"/>
        <v>0.64191815212244152</v>
      </c>
      <c r="EX261" s="528">
        <f t="shared" si="730"/>
        <v>3.8842143846926773E-5</v>
      </c>
      <c r="EY261" s="528">
        <f t="shared" si="731"/>
        <v>0.97141827947827819</v>
      </c>
      <c r="EZ261" s="528"/>
      <c r="FA261" s="625">
        <f t="shared" si="732"/>
        <v>4.8375000000000001E-2</v>
      </c>
      <c r="FB261" s="460">
        <f t="shared" si="733"/>
        <v>1676.9161035226286</v>
      </c>
      <c r="FC261" s="173">
        <f t="shared" si="734"/>
        <v>4.6600640867586485</v>
      </c>
      <c r="FD261" s="5">
        <f t="shared" si="735"/>
        <v>11.610000000000001</v>
      </c>
      <c r="FE261" s="173">
        <f t="shared" si="736"/>
        <v>0.71358047135467451</v>
      </c>
      <c r="FF261" s="5">
        <f t="shared" si="737"/>
        <v>71.358047135467444</v>
      </c>
      <c r="FG261">
        <f t="shared" si="738"/>
        <v>45</v>
      </c>
      <c r="FI261" s="562">
        <f t="shared" si="689"/>
        <v>-50</v>
      </c>
    </row>
    <row r="262" spans="5:165">
      <c r="E262" s="170">
        <v>46</v>
      </c>
      <c r="F262" s="217">
        <f t="shared" si="773"/>
        <v>2.7600000000000002</v>
      </c>
      <c r="G262" s="217">
        <f t="shared" si="742"/>
        <v>4.6000000000000006E-2</v>
      </c>
      <c r="H262" s="217">
        <f t="shared" si="743"/>
        <v>11.040000000000001</v>
      </c>
      <c r="I262" s="217">
        <f t="shared" si="744"/>
        <v>0.82800000000000007</v>
      </c>
      <c r="J262" s="541">
        <f t="shared" si="745"/>
        <v>35.938371800284017</v>
      </c>
      <c r="K262" s="443">
        <f t="shared" si="746"/>
        <v>19.350283044052269</v>
      </c>
      <c r="L262" s="172">
        <f t="shared" si="747"/>
        <v>55.288654844336286</v>
      </c>
      <c r="M262" s="443"/>
      <c r="N262" s="217">
        <f t="shared" si="748"/>
        <v>0.34998650443807083</v>
      </c>
      <c r="O262" s="172">
        <f t="shared" si="749"/>
        <v>39.001380221944622</v>
      </c>
      <c r="P262" s="172">
        <f t="shared" si="750"/>
        <v>3.1444862803942852</v>
      </c>
      <c r="Q262" s="217">
        <f t="shared" si="626"/>
        <v>9.7503450554861555</v>
      </c>
      <c r="R262" s="217">
        <f t="shared" si="751"/>
        <v>2.1667433456635901</v>
      </c>
      <c r="S262" s="217">
        <f t="shared" si="752"/>
        <v>4</v>
      </c>
      <c r="T262" s="217">
        <f t="shared" si="753"/>
        <v>1.8871127016830043</v>
      </c>
      <c r="U262" s="217">
        <f t="shared" si="630"/>
        <v>0.63011625974711205</v>
      </c>
      <c r="V262" s="217">
        <f t="shared" si="631"/>
        <v>1.1702853321908691</v>
      </c>
      <c r="W262" s="197">
        <f t="shared" si="632"/>
        <v>350</v>
      </c>
      <c r="X262" s="443">
        <f t="shared" si="691"/>
        <v>350</v>
      </c>
      <c r="Z262" s="217">
        <f t="shared" si="633"/>
        <v>2.9947488384707479</v>
      </c>
      <c r="AA262" s="173">
        <f t="shared" si="634"/>
        <v>1.8571814158912261</v>
      </c>
      <c r="AB262" s="173">
        <f t="shared" si="754"/>
        <v>3.6216319271151587</v>
      </c>
      <c r="AC262" s="173"/>
      <c r="AD262" s="173">
        <f t="shared" si="636"/>
        <v>0.82686129001704456</v>
      </c>
      <c r="AE262" s="545">
        <f t="shared" si="755"/>
        <v>1251.7214344121307</v>
      </c>
      <c r="AF262" s="528">
        <f t="shared" si="756"/>
        <v>0.7717372040159084</v>
      </c>
      <c r="AH262" s="173">
        <f t="shared" si="757"/>
        <v>2.3772733480667658</v>
      </c>
      <c r="AI262" s="173">
        <f t="shared" si="758"/>
        <v>2.3772733480667658</v>
      </c>
      <c r="AJ262" s="173">
        <f t="shared" si="759"/>
        <v>1.9732888998025424</v>
      </c>
      <c r="AL262" s="545">
        <f t="shared" si="760"/>
        <v>2760.0000000000005</v>
      </c>
      <c r="AM262" s="460">
        <f t="shared" si="761"/>
        <v>350</v>
      </c>
      <c r="AO262">
        <f t="shared" si="644"/>
        <v>2760.0000000000005</v>
      </c>
      <c r="AP262">
        <f t="shared" si="645"/>
        <v>350</v>
      </c>
      <c r="AR262" s="5">
        <f t="shared" si="616"/>
        <v>2.8571428571428572</v>
      </c>
      <c r="AS262" s="5">
        <f t="shared" si="739"/>
        <v>0.79378332260939377</v>
      </c>
      <c r="AT262" s="5">
        <f t="shared" si="740"/>
        <v>2.0633595345334634</v>
      </c>
      <c r="AU262" s="173">
        <f t="shared" si="741"/>
        <v>0.27782416291328782</v>
      </c>
      <c r="BA262" s="173">
        <f t="shared" si="692"/>
        <v>0.72344163830986408</v>
      </c>
      <c r="BB262" s="173">
        <f t="shared" si="693"/>
        <v>4.6655189975291078</v>
      </c>
      <c r="BC262" s="173">
        <f t="shared" si="694"/>
        <v>8.889705116913571E-2</v>
      </c>
      <c r="BD262" s="173"/>
      <c r="BE262" s="528">
        <f t="shared" si="695"/>
        <v>6.3850872092936148E-3</v>
      </c>
      <c r="BF262" s="528">
        <f t="shared" si="762"/>
        <v>0.86255036182811429</v>
      </c>
      <c r="BG262" s="528">
        <f t="shared" si="763"/>
        <v>0.31446075325248513</v>
      </c>
      <c r="BH262" s="528">
        <f t="shared" si="696"/>
        <v>0.10698923740736525</v>
      </c>
      <c r="BI262">
        <f t="shared" si="697"/>
        <v>1.6172267310127806E-2</v>
      </c>
      <c r="BJ262" s="460">
        <f t="shared" si="698"/>
        <v>330.63302056261296</v>
      </c>
      <c r="BK262">
        <f t="shared" si="764"/>
        <v>0.97913410112544874</v>
      </c>
      <c r="BL262" s="460">
        <f t="shared" si="699"/>
        <v>1306.5577070073862</v>
      </c>
      <c r="BM262" s="173">
        <f t="shared" si="765"/>
        <v>1.7146499999999998</v>
      </c>
      <c r="BN262" s="173">
        <f t="shared" si="766"/>
        <v>2.04125E-2</v>
      </c>
      <c r="BQ262" s="460">
        <f t="shared" si="700"/>
        <v>1735.0624999999998</v>
      </c>
      <c r="BR262" s="528">
        <f t="shared" si="701"/>
        <v>1.5701034121213805E-2</v>
      </c>
      <c r="BS262" s="528">
        <f t="shared" si="702"/>
        <v>0.65301202548915038</v>
      </c>
      <c r="BT262" s="528">
        <f t="shared" si="703"/>
        <v>3.9513428532839659E-5</v>
      </c>
      <c r="BU262" s="528">
        <f t="shared" si="704"/>
        <v>0.99847666327145002</v>
      </c>
      <c r="BV262" s="528"/>
      <c r="BW262" s="625">
        <f t="shared" si="705"/>
        <v>4.9449999999999994E-2</v>
      </c>
      <c r="BX262" s="460">
        <f t="shared" si="706"/>
        <v>1716.6792363103471</v>
      </c>
      <c r="BY262" s="173">
        <f t="shared" si="707"/>
        <v>4.7582994433177328</v>
      </c>
      <c r="BZ262" s="5">
        <f t="shared" si="708"/>
        <v>11.868</v>
      </c>
      <c r="CA262" s="173">
        <f t="shared" si="709"/>
        <v>0.71380886892241446</v>
      </c>
      <c r="CB262" s="5">
        <f t="shared" si="710"/>
        <v>71.380886892241449</v>
      </c>
      <c r="CC262">
        <f t="shared" si="711"/>
        <v>46</v>
      </c>
      <c r="CE262" s="562">
        <f t="shared" si="767"/>
        <v>-50</v>
      </c>
      <c r="CG262" s="173">
        <f t="shared" si="768"/>
        <v>0.60187207943216647</v>
      </c>
      <c r="CH262" s="173">
        <f t="shared" si="769"/>
        <v>0.14417706668544836</v>
      </c>
      <c r="CI262" s="170">
        <v>46</v>
      </c>
      <c r="CJ262" s="217">
        <f t="shared" si="712"/>
        <v>2.7600000000000002</v>
      </c>
      <c r="CK262" s="217">
        <f t="shared" si="654"/>
        <v>4.6000000000000006E-2</v>
      </c>
      <c r="CL262" s="217">
        <f t="shared" si="655"/>
        <v>11.040000000000001</v>
      </c>
      <c r="CM262" s="217">
        <f t="shared" si="656"/>
        <v>0.82800000000000007</v>
      </c>
      <c r="CN262" s="541">
        <f t="shared" si="657"/>
        <v>36</v>
      </c>
      <c r="CO262" s="443">
        <f t="shared" si="770"/>
        <v>18.8</v>
      </c>
      <c r="CP262" s="443">
        <f t="shared" si="771"/>
        <v>54.8</v>
      </c>
      <c r="CQ262" s="443"/>
      <c r="CR262" s="217">
        <f t="shared" si="660"/>
        <v>0.34306569343065696</v>
      </c>
      <c r="CS262" s="172">
        <f t="shared" si="661"/>
        <v>38.295705313189622</v>
      </c>
      <c r="CT262" s="172">
        <f t="shared" si="662"/>
        <v>3.0875912408759132</v>
      </c>
      <c r="CU262" s="217">
        <f t="shared" si="663"/>
        <v>9.5739263282974054</v>
      </c>
      <c r="CV262" s="217">
        <f t="shared" si="664"/>
        <v>2.12753918406609</v>
      </c>
      <c r="CW262" s="217">
        <f t="shared" si="665"/>
        <v>4</v>
      </c>
      <c r="CX262" s="217">
        <f t="shared" si="666"/>
        <v>1.9218865248226948</v>
      </c>
      <c r="CY262" s="217">
        <f t="shared" si="667"/>
        <v>0.64062884160756495</v>
      </c>
      <c r="CZ262" s="217">
        <f t="shared" si="668"/>
        <v>1.2267360796740605</v>
      </c>
      <c r="DA262" s="197">
        <f t="shared" si="669"/>
        <v>350</v>
      </c>
      <c r="DB262" s="443">
        <f t="shared" si="670"/>
        <v>350</v>
      </c>
      <c r="DD262" s="217">
        <f t="shared" si="671"/>
        <v>2.940563086548488</v>
      </c>
      <c r="DE262" s="173">
        <f t="shared" si="672"/>
        <v>1.8769551616266944</v>
      </c>
      <c r="DF262" s="173">
        <f t="shared" si="673"/>
        <v>3.5939660877863036</v>
      </c>
      <c r="DG262" s="173"/>
      <c r="DH262" s="173">
        <f t="shared" si="674"/>
        <v>0.85106382978723416</v>
      </c>
      <c r="DI262" s="545">
        <f t="shared" si="675"/>
        <v>1216.1249999999998</v>
      </c>
      <c r="DJ262" s="528">
        <f t="shared" si="676"/>
        <v>0.79432624113475192</v>
      </c>
      <c r="DL262" s="173">
        <f t="shared" si="677"/>
        <v>2.3772733480667658</v>
      </c>
      <c r="DM262" s="173">
        <f t="shared" si="678"/>
        <v>2.3772733480667658</v>
      </c>
      <c r="DN262" s="173">
        <f t="shared" si="679"/>
        <v>1.9732888998025424</v>
      </c>
      <c r="DP262" s="545">
        <f t="shared" si="680"/>
        <v>2760.0000000000005</v>
      </c>
      <c r="DQ262" s="460">
        <f t="shared" si="681"/>
        <v>350</v>
      </c>
      <c r="DS262">
        <f t="shared" si="682"/>
        <v>2760.0000000000005</v>
      </c>
      <c r="DT262">
        <f t="shared" si="683"/>
        <v>350</v>
      </c>
      <c r="DV262" s="5">
        <f t="shared" si="684"/>
        <v>2.8571428571428572</v>
      </c>
      <c r="DW262" s="5">
        <f t="shared" si="685"/>
        <v>0.79242444935558853</v>
      </c>
      <c r="DX262" s="5">
        <f t="shared" si="686"/>
        <v>2.0647184077872689</v>
      </c>
      <c r="DY262" s="173">
        <f t="shared" si="687"/>
        <v>0.27734855727445595</v>
      </c>
      <c r="EA262" s="5">
        <f t="shared" si="713"/>
        <v>54.677287005535611</v>
      </c>
      <c r="EB262" s="5">
        <f t="shared" si="714"/>
        <v>0.20250847039087264</v>
      </c>
      <c r="EC262" s="5">
        <f t="shared" si="715"/>
        <v>0.52765025976785762</v>
      </c>
      <c r="ED262" s="5"/>
      <c r="EE262" s="173">
        <f t="shared" si="716"/>
        <v>0.72282214521170507</v>
      </c>
      <c r="EF262" s="173">
        <f t="shared" si="717"/>
        <v>4.667055037517466</v>
      </c>
      <c r="EG262" s="173">
        <f t="shared" si="718"/>
        <v>8.8926318958103087E-2</v>
      </c>
      <c r="EH262" s="173"/>
      <c r="EI262" s="528">
        <f t="shared" si="719"/>
        <v>6.3741566140231047E-3</v>
      </c>
      <c r="EJ262" s="528">
        <f t="shared" si="720"/>
        <v>0.91192205631841139</v>
      </c>
      <c r="EK262" s="528">
        <f t="shared" si="721"/>
        <v>4.3749999999999997E-2</v>
      </c>
      <c r="EL262" s="528">
        <f t="shared" si="722"/>
        <v>0.10510639999999997</v>
      </c>
      <c r="EM262">
        <f t="shared" si="723"/>
        <v>1.6199999999999999E-2</v>
      </c>
      <c r="EN262" s="460">
        <f t="shared" si="724"/>
        <v>59.949999999999996</v>
      </c>
      <c r="EP262" s="460">
        <f t="shared" si="725"/>
        <v>1083.3526129324346</v>
      </c>
      <c r="EQ262" s="173">
        <f t="shared" si="726"/>
        <v>1.9319999999999999</v>
      </c>
      <c r="ER262" s="173">
        <f t="shared" si="772"/>
        <v>2.04125E-2</v>
      </c>
      <c r="ES262" s="528"/>
      <c r="EU262" s="460">
        <f t="shared" si="727"/>
        <v>1952.4124999999999</v>
      </c>
      <c r="EV262" s="528">
        <f t="shared" si="728"/>
        <v>1.5674155608253536E-2</v>
      </c>
      <c r="EW262" s="528">
        <f t="shared" si="729"/>
        <v>0.65344208169651463</v>
      </c>
      <c r="EX262" s="528">
        <f t="shared" si="730"/>
        <v>3.9539451017191424E-5</v>
      </c>
      <c r="EY262" s="528">
        <f t="shared" si="731"/>
        <v>0.99847666327145002</v>
      </c>
      <c r="EZ262" s="528"/>
      <c r="FA262" s="625">
        <f t="shared" si="732"/>
        <v>4.9449999999999994E-2</v>
      </c>
      <c r="FB262" s="460">
        <f t="shared" si="733"/>
        <v>1717.0824400272354</v>
      </c>
      <c r="FC262" s="173">
        <f t="shared" si="734"/>
        <v>4.7528475529596701</v>
      </c>
      <c r="FD262" s="5">
        <f t="shared" si="735"/>
        <v>11.868</v>
      </c>
      <c r="FE262" s="173">
        <f t="shared" si="736"/>
        <v>0.71404300906945439</v>
      </c>
      <c r="FF262" s="5">
        <f t="shared" si="737"/>
        <v>71.404300906945437</v>
      </c>
      <c r="FG262">
        <f t="shared" si="738"/>
        <v>46</v>
      </c>
      <c r="FI262" s="562">
        <f t="shared" si="689"/>
        <v>-50</v>
      </c>
    </row>
    <row r="263" spans="5:165">
      <c r="E263" s="170">
        <v>47</v>
      </c>
      <c r="F263" s="217">
        <f t="shared" si="773"/>
        <v>2.82</v>
      </c>
      <c r="G263" s="217">
        <f t="shared" si="742"/>
        <v>4.7E-2</v>
      </c>
      <c r="H263" s="217">
        <f t="shared" si="743"/>
        <v>11.28</v>
      </c>
      <c r="I263" s="217">
        <f t="shared" si="744"/>
        <v>0.84599999999999997</v>
      </c>
      <c r="J263" s="541">
        <f t="shared" si="745"/>
        <v>35.937705530113028</v>
      </c>
      <c r="K263" s="443">
        <f t="shared" si="746"/>
        <v>19.356232222829895</v>
      </c>
      <c r="L263" s="172">
        <f t="shared" si="747"/>
        <v>55.293937752942924</v>
      </c>
      <c r="M263" s="443"/>
      <c r="N263" s="217">
        <f t="shared" si="748"/>
        <v>0.35006065781234208</v>
      </c>
      <c r="O263" s="172">
        <f t="shared" si="749"/>
        <v>39.008920428333674</v>
      </c>
      <c r="P263" s="172">
        <f t="shared" si="750"/>
        <v>3.1450942095344026</v>
      </c>
      <c r="Q263" s="217">
        <f t="shared" si="626"/>
        <v>9.7522301070834185</v>
      </c>
      <c r="R263" s="217">
        <f t="shared" si="751"/>
        <v>2.1671622460185374</v>
      </c>
      <c r="S263" s="217">
        <f t="shared" si="752"/>
        <v>4</v>
      </c>
      <c r="T263" s="217">
        <f t="shared" si="753"/>
        <v>1.9277641927608782</v>
      </c>
      <c r="U263" s="217">
        <f t="shared" si="630"/>
        <v>0.64370192731827924</v>
      </c>
      <c r="V263" s="217">
        <f t="shared" si="631"/>
        <v>1.1951277524892421</v>
      </c>
      <c r="W263" s="197">
        <f t="shared" si="632"/>
        <v>350</v>
      </c>
      <c r="X263" s="443">
        <f t="shared" si="691"/>
        <v>350</v>
      </c>
      <c r="Z263" s="217">
        <f t="shared" si="633"/>
        <v>2.9953278186041925</v>
      </c>
      <c r="AA263" s="173">
        <f t="shared" si="634"/>
        <v>1.8569695491075939</v>
      </c>
      <c r="AB263" s="173">
        <f t="shared" si="754"/>
        <v>3.6219188689488391</v>
      </c>
      <c r="AC263" s="173"/>
      <c r="AD263" s="173">
        <f t="shared" si="636"/>
        <v>0.82660715245649141</v>
      </c>
      <c r="AE263" s="545">
        <f t="shared" si="755"/>
        <v>1279.325973477663</v>
      </c>
      <c r="AF263" s="528">
        <f t="shared" si="756"/>
        <v>0.77150000895939208</v>
      </c>
      <c r="AH263" s="173">
        <f t="shared" si="757"/>
        <v>2.4029743474048395</v>
      </c>
      <c r="AI263" s="173">
        <f t="shared" si="758"/>
        <v>2.4029743474048395</v>
      </c>
      <c r="AJ263" s="173">
        <f t="shared" si="759"/>
        <v>1.9923266770900043</v>
      </c>
      <c r="AL263" s="545">
        <f t="shared" si="760"/>
        <v>2820</v>
      </c>
      <c r="AM263" s="460">
        <f t="shared" si="761"/>
        <v>350</v>
      </c>
      <c r="AO263">
        <f t="shared" si="644"/>
        <v>2820</v>
      </c>
      <c r="AP263">
        <f t="shared" si="645"/>
        <v>350</v>
      </c>
      <c r="AR263" s="5">
        <f t="shared" ref="AR263:AR316" si="774">1/AM263*1000</f>
        <v>2.8571428571428572</v>
      </c>
      <c r="AS263" s="5">
        <f t="shared" si="739"/>
        <v>0.80237988885228051</v>
      </c>
      <c r="AT263" s="5">
        <f t="shared" si="740"/>
        <v>2.0547629682905768</v>
      </c>
      <c r="AU263" s="173">
        <f t="shared" si="741"/>
        <v>0.28083296109829819</v>
      </c>
      <c r="BA263" s="173">
        <f t="shared" si="692"/>
        <v>0.73521193211446612</v>
      </c>
      <c r="BB263" s="173">
        <f t="shared" si="693"/>
        <v>4.7061242136406358</v>
      </c>
      <c r="BC263" s="173">
        <f t="shared" si="694"/>
        <v>8.9670745151801304E-2</v>
      </c>
      <c r="BD263" s="173"/>
      <c r="BE263" s="528">
        <f t="shared" si="695"/>
        <v>6.5945463385065333E-3</v>
      </c>
      <c r="BF263" s="528">
        <f t="shared" si="762"/>
        <v>0.87195881054179947</v>
      </c>
      <c r="BG263" s="528">
        <f t="shared" si="763"/>
        <v>0.31445492338848896</v>
      </c>
      <c r="BH263" s="528">
        <f t="shared" si="696"/>
        <v>0.10700968432792145</v>
      </c>
      <c r="BI263">
        <f t="shared" si="697"/>
        <v>1.6171967488550862E-2</v>
      </c>
      <c r="BJ263" s="460">
        <f t="shared" si="698"/>
        <v>330.62689087703984</v>
      </c>
      <c r="BK263">
        <f t="shared" si="764"/>
        <v>0.98889302981558957</v>
      </c>
      <c r="BL263" s="460">
        <f t="shared" si="699"/>
        <v>1316.1899320852669</v>
      </c>
      <c r="BM263" s="173">
        <f t="shared" si="765"/>
        <v>1.7519249999999997</v>
      </c>
      <c r="BN263" s="173">
        <f t="shared" si="766"/>
        <v>2.085625E-2</v>
      </c>
      <c r="BQ263" s="460">
        <f t="shared" si="700"/>
        <v>1772.7812499999998</v>
      </c>
      <c r="BR263" s="528">
        <f t="shared" si="701"/>
        <v>1.6216097553704591E-2</v>
      </c>
      <c r="BS263" s="528">
        <f t="shared" si="702"/>
        <v>0.66442815342644068</v>
      </c>
      <c r="BT263" s="528">
        <f t="shared" si="703"/>
        <v>4.0204212680396484E-5</v>
      </c>
      <c r="BU263" s="528">
        <f t="shared" si="704"/>
        <v>1.0256825140250467</v>
      </c>
      <c r="BV263" s="528"/>
      <c r="BW263" s="625">
        <f t="shared" si="705"/>
        <v>5.0525E-2</v>
      </c>
      <c r="BX263" s="460">
        <f t="shared" si="706"/>
        <v>1756.8919692178722</v>
      </c>
      <c r="BY263" s="173">
        <f t="shared" si="707"/>
        <v>4.8458631513031394</v>
      </c>
      <c r="BZ263" s="5">
        <f t="shared" si="708"/>
        <v>12.125999999999999</v>
      </c>
      <c r="CA263" s="173">
        <f t="shared" si="709"/>
        <v>0.71447665420687401</v>
      </c>
      <c r="CB263" s="5">
        <f t="shared" si="710"/>
        <v>71.4476654206874</v>
      </c>
      <c r="CC263">
        <f t="shared" si="711"/>
        <v>47</v>
      </c>
      <c r="CE263" s="562">
        <f t="shared" si="767"/>
        <v>-50</v>
      </c>
      <c r="CG263" s="173">
        <f t="shared" si="768"/>
        <v>0.60837899372019744</v>
      </c>
      <c r="CH263" s="173">
        <f t="shared" si="769"/>
        <v>0.14573578297630377</v>
      </c>
      <c r="CI263" s="170">
        <v>47</v>
      </c>
      <c r="CJ263" s="217">
        <f t="shared" si="712"/>
        <v>2.82</v>
      </c>
      <c r="CK263" s="217">
        <f t="shared" si="654"/>
        <v>4.7E-2</v>
      </c>
      <c r="CL263" s="217">
        <f t="shared" si="655"/>
        <v>11.28</v>
      </c>
      <c r="CM263" s="217">
        <f t="shared" si="656"/>
        <v>0.84599999999999997</v>
      </c>
      <c r="CN263" s="541">
        <f t="shared" si="657"/>
        <v>36</v>
      </c>
      <c r="CO263" s="443">
        <f t="shared" si="770"/>
        <v>18.8</v>
      </c>
      <c r="CP263" s="443">
        <f t="shared" si="771"/>
        <v>54.8</v>
      </c>
      <c r="CQ263" s="443"/>
      <c r="CR263" s="217">
        <f t="shared" si="660"/>
        <v>0.34306569343065696</v>
      </c>
      <c r="CS263" s="172">
        <f t="shared" si="661"/>
        <v>38.295705313189622</v>
      </c>
      <c r="CT263" s="172">
        <f t="shared" si="662"/>
        <v>3.0875912408759132</v>
      </c>
      <c r="CU263" s="217">
        <f t="shared" si="663"/>
        <v>9.5739263282974054</v>
      </c>
      <c r="CV263" s="217">
        <f t="shared" si="664"/>
        <v>2.12753918406609</v>
      </c>
      <c r="CW263" s="217">
        <f t="shared" si="665"/>
        <v>4</v>
      </c>
      <c r="CX263" s="217">
        <f t="shared" si="666"/>
        <v>1.9636666666666664</v>
      </c>
      <c r="CY263" s="217">
        <f t="shared" si="667"/>
        <v>0.65455555555555545</v>
      </c>
      <c r="CZ263" s="217">
        <f t="shared" si="668"/>
        <v>1.2534042553191487</v>
      </c>
      <c r="DA263" s="197">
        <f t="shared" si="669"/>
        <v>350</v>
      </c>
      <c r="DB263" s="443">
        <f t="shared" si="670"/>
        <v>350</v>
      </c>
      <c r="DD263" s="217">
        <f t="shared" si="671"/>
        <v>2.940563086548488</v>
      </c>
      <c r="DE263" s="173">
        <f t="shared" si="672"/>
        <v>1.8769551616266944</v>
      </c>
      <c r="DF263" s="173">
        <f t="shared" si="673"/>
        <v>3.5939660877863036</v>
      </c>
      <c r="DG263" s="173"/>
      <c r="DH263" s="173">
        <f t="shared" si="674"/>
        <v>0.85106382978723416</v>
      </c>
      <c r="DI263" s="545">
        <f t="shared" si="675"/>
        <v>1242.5624999999995</v>
      </c>
      <c r="DJ263" s="528">
        <f t="shared" si="676"/>
        <v>0.79432624113475192</v>
      </c>
      <c r="DL263" s="173">
        <f t="shared" si="677"/>
        <v>2.4029743474048395</v>
      </c>
      <c r="DM263" s="173">
        <f t="shared" si="678"/>
        <v>2.4029743474048395</v>
      </c>
      <c r="DN263" s="173">
        <f t="shared" si="679"/>
        <v>1.9923266770900043</v>
      </c>
      <c r="DP263" s="545">
        <f t="shared" si="680"/>
        <v>2820</v>
      </c>
      <c r="DQ263" s="460">
        <f t="shared" si="681"/>
        <v>350</v>
      </c>
      <c r="DS263">
        <f t="shared" si="682"/>
        <v>2820</v>
      </c>
      <c r="DT263">
        <f t="shared" si="683"/>
        <v>350</v>
      </c>
      <c r="DV263" s="5">
        <f t="shared" si="684"/>
        <v>2.8571428571428572</v>
      </c>
      <c r="DW263" s="5">
        <f t="shared" si="685"/>
        <v>0.80099144913494658</v>
      </c>
      <c r="DX263" s="5">
        <f t="shared" si="686"/>
        <v>2.0561514080079109</v>
      </c>
      <c r="DY263" s="173">
        <f t="shared" si="687"/>
        <v>0.28034700719723127</v>
      </c>
      <c r="EA263" s="5">
        <f t="shared" si="713"/>
        <v>56.469897164013723</v>
      </c>
      <c r="EB263" s="5">
        <f t="shared" si="714"/>
        <v>0.20914776727412496</v>
      </c>
      <c r="EC263" s="5">
        <f t="shared" si="715"/>
        <v>0.53688397875762106</v>
      </c>
      <c r="ED263" s="5"/>
      <c r="EE263" s="173">
        <f t="shared" si="716"/>
        <v>0.73457555061902402</v>
      </c>
      <c r="EF263" s="173">
        <f t="shared" si="717"/>
        <v>4.7077139508592278</v>
      </c>
      <c r="EG263" s="173">
        <f t="shared" si="718"/>
        <v>8.9701036090696101E-2</v>
      </c>
      <c r="EH263" s="173"/>
      <c r="EI263" s="528">
        <f t="shared" si="719"/>
        <v>6.5831351227203568E-3</v>
      </c>
      <c r="EJ263" s="528">
        <f t="shared" si="720"/>
        <v>0.92178095966449647</v>
      </c>
      <c r="EK263" s="528">
        <f t="shared" si="721"/>
        <v>4.3749999999999997E-2</v>
      </c>
      <c r="EL263" s="528">
        <f t="shared" si="722"/>
        <v>0.10510639999999997</v>
      </c>
      <c r="EM263">
        <f t="shared" si="723"/>
        <v>1.6199999999999999E-2</v>
      </c>
      <c r="EN263" s="460">
        <f t="shared" si="724"/>
        <v>59.949999999999996</v>
      </c>
      <c r="EP263" s="460">
        <f t="shared" si="725"/>
        <v>1093.4204947872167</v>
      </c>
      <c r="EQ263" s="173">
        <f t="shared" si="726"/>
        <v>1.9739999999999998</v>
      </c>
      <c r="ER263" s="173">
        <f t="shared" si="772"/>
        <v>2.085625E-2</v>
      </c>
      <c r="ES263" s="528"/>
      <c r="EU263" s="460">
        <f t="shared" si="727"/>
        <v>1994.8562499999998</v>
      </c>
      <c r="EV263" s="528">
        <f t="shared" si="728"/>
        <v>1.6188037187017272E-2</v>
      </c>
      <c r="EW263" s="528">
        <f t="shared" si="729"/>
        <v>0.66487711929343796</v>
      </c>
      <c r="EX263" s="528">
        <f t="shared" si="730"/>
        <v>4.0231379378721826E-5</v>
      </c>
      <c r="EY263" s="528">
        <f t="shared" si="731"/>
        <v>1.0256825140250467</v>
      </c>
      <c r="EZ263" s="528"/>
      <c r="FA263" s="625">
        <f t="shared" si="732"/>
        <v>5.0525E-2</v>
      </c>
      <c r="FB263" s="460">
        <f t="shared" si="733"/>
        <v>1757.3129018848806</v>
      </c>
      <c r="FC263" s="173">
        <f t="shared" si="734"/>
        <v>4.8455896466720976</v>
      </c>
      <c r="FD263" s="5">
        <f t="shared" si="735"/>
        <v>12.125999999999999</v>
      </c>
      <c r="FE263" s="173">
        <f t="shared" si="736"/>
        <v>0.71448816831237416</v>
      </c>
      <c r="FF263" s="5">
        <f t="shared" si="737"/>
        <v>71.448816831237423</v>
      </c>
      <c r="FG263">
        <f t="shared" si="738"/>
        <v>47</v>
      </c>
      <c r="FI263" s="562">
        <f t="shared" si="689"/>
        <v>-50</v>
      </c>
    </row>
    <row r="264" spans="5:165">
      <c r="E264" s="170">
        <v>48</v>
      </c>
      <c r="F264" s="217">
        <f t="shared" si="773"/>
        <v>2.88</v>
      </c>
      <c r="G264" s="217">
        <f t="shared" si="742"/>
        <v>4.8000000000000001E-2</v>
      </c>
      <c r="H264" s="217">
        <f t="shared" si="743"/>
        <v>11.52</v>
      </c>
      <c r="I264" s="217">
        <f t="shared" si="744"/>
        <v>0.86399999999999999</v>
      </c>
      <c r="J264" s="541">
        <f t="shared" si="745"/>
        <v>35.937046311015443</v>
      </c>
      <c r="K264" s="443">
        <f t="shared" si="746"/>
        <v>19.362118442018357</v>
      </c>
      <c r="L264" s="172">
        <f t="shared" si="747"/>
        <v>55.2991647530338</v>
      </c>
      <c r="M264" s="443"/>
      <c r="N264" s="217">
        <f t="shared" si="748"/>
        <v>0.35013401248444931</v>
      </c>
      <c r="O264" s="172">
        <f t="shared" si="749"/>
        <v>39.016378982062989</v>
      </c>
      <c r="P264" s="172">
        <f t="shared" si="750"/>
        <v>3.1456955554288286</v>
      </c>
      <c r="Q264" s="217">
        <f t="shared" si="626"/>
        <v>9.7540947455157472</v>
      </c>
      <c r="R264" s="217">
        <f t="shared" si="751"/>
        <v>2.1675766101146103</v>
      </c>
      <c r="S264" s="217">
        <f t="shared" si="752"/>
        <v>4</v>
      </c>
      <c r="T264" s="217">
        <f t="shared" si="753"/>
        <v>1.9684040908898102</v>
      </c>
      <c r="U264" s="217">
        <f t="shared" si="630"/>
        <v>0.65728409859430903</v>
      </c>
      <c r="V264" s="217">
        <f t="shared" si="631"/>
        <v>1.2199516887272706</v>
      </c>
      <c r="W264" s="197">
        <f t="shared" si="632"/>
        <v>350</v>
      </c>
      <c r="X264" s="443">
        <f t="shared" si="691"/>
        <v>350</v>
      </c>
      <c r="Z264" s="217">
        <f t="shared" si="633"/>
        <v>2.9959005289798362</v>
      </c>
      <c r="AA264" s="173">
        <f t="shared" si="634"/>
        <v>1.8567599643301445</v>
      </c>
      <c r="AB264" s="173">
        <f t="shared" si="754"/>
        <v>3.622202522351333</v>
      </c>
      <c r="AC264" s="173"/>
      <c r="AD264" s="173">
        <f t="shared" si="636"/>
        <v>0.8263558581109538</v>
      </c>
      <c r="AE264" s="545">
        <f t="shared" si="755"/>
        <v>1306.9429948362385</v>
      </c>
      <c r="AF264" s="528">
        <f t="shared" si="756"/>
        <v>0.77126546757022363</v>
      </c>
      <c r="AH264" s="173">
        <f t="shared" si="757"/>
        <v>2.4284033555286602</v>
      </c>
      <c r="AI264" s="173">
        <f t="shared" si="758"/>
        <v>2.4284033555286602</v>
      </c>
      <c r="AJ264" s="173">
        <f t="shared" si="759"/>
        <v>2.0111629794039456</v>
      </c>
      <c r="AL264" s="545">
        <f t="shared" si="760"/>
        <v>2880</v>
      </c>
      <c r="AM264" s="460">
        <f t="shared" si="761"/>
        <v>350</v>
      </c>
      <c r="AO264">
        <f t="shared" si="644"/>
        <v>2880</v>
      </c>
      <c r="AP264">
        <f t="shared" si="645"/>
        <v>350</v>
      </c>
      <c r="AR264" s="5">
        <f t="shared" si="774"/>
        <v>2.8571428571428572</v>
      </c>
      <c r="AS264" s="5">
        <f t="shared" si="739"/>
        <v>0.81088579217518097</v>
      </c>
      <c r="AT264" s="5">
        <f t="shared" si="740"/>
        <v>2.0462570649676763</v>
      </c>
      <c r="AU264" s="173">
        <f t="shared" si="741"/>
        <v>0.28381002726131332</v>
      </c>
      <c r="BA264" s="173">
        <f t="shared" si="692"/>
        <v>0.74691995890893448</v>
      </c>
      <c r="BB264" s="173">
        <f t="shared" si="693"/>
        <v>4.7460718253271494</v>
      </c>
      <c r="BC264" s="173">
        <f t="shared" si="694"/>
        <v>9.0431909104206495E-2</v>
      </c>
      <c r="BD264" s="173"/>
      <c r="BE264" s="528">
        <f t="shared" si="695"/>
        <v>6.8062509852015972E-3</v>
      </c>
      <c r="BF264" s="528">
        <f t="shared" si="762"/>
        <v>0.88126944441505917</v>
      </c>
      <c r="BG264" s="528">
        <f t="shared" si="763"/>
        <v>0.31444915522138506</v>
      </c>
      <c r="BH264" s="528">
        <f t="shared" si="696"/>
        <v>0.10702991678341117</v>
      </c>
      <c r="BI264">
        <f t="shared" si="697"/>
        <v>1.617167083995695E-2</v>
      </c>
      <c r="BJ264" s="460">
        <f t="shared" si="698"/>
        <v>330.62082606134203</v>
      </c>
      <c r="BK264">
        <f t="shared" si="764"/>
        <v>0.99855813344729905</v>
      </c>
      <c r="BL264" s="460">
        <f t="shared" si="699"/>
        <v>1325.7264382450139</v>
      </c>
      <c r="BM264" s="173">
        <f t="shared" si="765"/>
        <v>1.7891999999999999</v>
      </c>
      <c r="BN264" s="173">
        <f t="shared" si="766"/>
        <v>2.1299999999999999E-2</v>
      </c>
      <c r="BQ264" s="460">
        <f t="shared" si="700"/>
        <v>1810.5</v>
      </c>
      <c r="BR264" s="528">
        <f t="shared" si="701"/>
        <v>1.6736682750495731E-2</v>
      </c>
      <c r="BS264" s="528">
        <f t="shared" si="702"/>
        <v>0.67575593313492532</v>
      </c>
      <c r="BT264" s="528">
        <f t="shared" si="703"/>
        <v>4.0889650921157328E-5</v>
      </c>
      <c r="BU264" s="528">
        <f t="shared" si="704"/>
        <v>1.0530334719123733</v>
      </c>
      <c r="BV264" s="528"/>
      <c r="BW264" s="625">
        <f t="shared" si="705"/>
        <v>5.1599999999999993E-2</v>
      </c>
      <c r="BX264" s="460">
        <f t="shared" si="706"/>
        <v>1797.1669774487157</v>
      </c>
      <c r="BY264" s="173">
        <f t="shared" si="707"/>
        <v>4.9333934156937298</v>
      </c>
      <c r="BZ264" s="5">
        <f t="shared" si="708"/>
        <v>12.384</v>
      </c>
      <c r="CA264" s="173">
        <f t="shared" si="709"/>
        <v>0.71511916965385292</v>
      </c>
      <c r="CB264" s="5">
        <f t="shared" si="710"/>
        <v>71.511916965385296</v>
      </c>
      <c r="CC264">
        <f t="shared" si="711"/>
        <v>48</v>
      </c>
      <c r="CE264" s="562">
        <f t="shared" si="767"/>
        <v>-50</v>
      </c>
      <c r="CG264" s="173">
        <f t="shared" si="768"/>
        <v>0.61481704595757591</v>
      </c>
      <c r="CH264" s="173">
        <f t="shared" si="769"/>
        <v>0.147278003521953</v>
      </c>
      <c r="CI264" s="170">
        <v>48</v>
      </c>
      <c r="CJ264" s="217">
        <f t="shared" si="712"/>
        <v>2.88</v>
      </c>
      <c r="CK264" s="217">
        <f t="shared" si="654"/>
        <v>4.8000000000000001E-2</v>
      </c>
      <c r="CL264" s="217">
        <f t="shared" si="655"/>
        <v>11.52</v>
      </c>
      <c r="CM264" s="217">
        <f t="shared" si="656"/>
        <v>0.86399999999999999</v>
      </c>
      <c r="CN264" s="541">
        <f t="shared" si="657"/>
        <v>36</v>
      </c>
      <c r="CO264" s="443">
        <f t="shared" si="770"/>
        <v>18.8</v>
      </c>
      <c r="CP264" s="443">
        <f t="shared" si="771"/>
        <v>54.8</v>
      </c>
      <c r="CQ264" s="443"/>
      <c r="CR264" s="217">
        <f t="shared" si="660"/>
        <v>0.34306569343065696</v>
      </c>
      <c r="CS264" s="172">
        <f t="shared" si="661"/>
        <v>38.295705313189622</v>
      </c>
      <c r="CT264" s="172">
        <f t="shared" si="662"/>
        <v>3.0875912408759132</v>
      </c>
      <c r="CU264" s="217">
        <f t="shared" si="663"/>
        <v>9.5739263282974054</v>
      </c>
      <c r="CV264" s="217">
        <f t="shared" si="664"/>
        <v>2.12753918406609</v>
      </c>
      <c r="CW264" s="217">
        <f t="shared" si="665"/>
        <v>4</v>
      </c>
      <c r="CX264" s="217">
        <f t="shared" si="666"/>
        <v>2.0054468085106381</v>
      </c>
      <c r="CY264" s="217">
        <f t="shared" si="667"/>
        <v>0.66848226950354606</v>
      </c>
      <c r="CZ264" s="217">
        <f t="shared" si="668"/>
        <v>1.2800724309642371</v>
      </c>
      <c r="DA264" s="197">
        <f t="shared" si="669"/>
        <v>350</v>
      </c>
      <c r="DB264" s="443">
        <f t="shared" si="670"/>
        <v>350</v>
      </c>
      <c r="DD264" s="217">
        <f t="shared" si="671"/>
        <v>2.940563086548488</v>
      </c>
      <c r="DE264" s="173">
        <f t="shared" si="672"/>
        <v>1.8769551616266944</v>
      </c>
      <c r="DF264" s="173">
        <f t="shared" si="673"/>
        <v>3.5939660877863036</v>
      </c>
      <c r="DG264" s="173"/>
      <c r="DH264" s="173">
        <f t="shared" si="674"/>
        <v>0.85106382978723416</v>
      </c>
      <c r="DI264" s="545">
        <f t="shared" si="675"/>
        <v>1268.9999999999998</v>
      </c>
      <c r="DJ264" s="528">
        <f t="shared" si="676"/>
        <v>0.79432624113475192</v>
      </c>
      <c r="DL264" s="173">
        <f t="shared" si="677"/>
        <v>2.4284033555286602</v>
      </c>
      <c r="DM264" s="173">
        <f t="shared" si="678"/>
        <v>2.4284033555286602</v>
      </c>
      <c r="DN264" s="173">
        <f t="shared" si="679"/>
        <v>2.0111629794039456</v>
      </c>
      <c r="DP264" s="545">
        <f t="shared" si="680"/>
        <v>2880</v>
      </c>
      <c r="DQ264" s="460">
        <f t="shared" si="681"/>
        <v>350</v>
      </c>
      <c r="DS264">
        <f t="shared" si="682"/>
        <v>2880</v>
      </c>
      <c r="DT264">
        <f t="shared" si="683"/>
        <v>350</v>
      </c>
      <c r="DV264" s="5">
        <f t="shared" si="684"/>
        <v>2.8571428571428572</v>
      </c>
      <c r="DW264" s="5">
        <f t="shared" si="685"/>
        <v>0.80946778517622009</v>
      </c>
      <c r="DX264" s="5">
        <f t="shared" si="686"/>
        <v>2.047675071966637</v>
      </c>
      <c r="DY264" s="173">
        <f t="shared" si="687"/>
        <v>0.28331372481167705</v>
      </c>
      <c r="EA264" s="5">
        <f t="shared" si="713"/>
        <v>58.281680532687844</v>
      </c>
      <c r="EB264" s="5">
        <f t="shared" si="714"/>
        <v>0.21585807604699203</v>
      </c>
      <c r="EC264" s="5">
        <f t="shared" si="715"/>
        <v>0.54604668585776983</v>
      </c>
      <c r="ED264" s="5"/>
      <c r="EE264" s="173">
        <f t="shared" si="716"/>
        <v>0.74626659861020128</v>
      </c>
      <c r="EF264" s="173">
        <f t="shared" si="717"/>
        <v>4.7477159974253658</v>
      </c>
      <c r="EG264" s="173">
        <f t="shared" si="718"/>
        <v>9.0463237248240083E-2</v>
      </c>
      <c r="EH264" s="173"/>
      <c r="EI264" s="528">
        <f t="shared" si="719"/>
        <v>6.7943488016551186E-3</v>
      </c>
      <c r="EJ264" s="528">
        <f t="shared" si="720"/>
        <v>0.93153552718079402</v>
      </c>
      <c r="EK264" s="528">
        <f t="shared" si="721"/>
        <v>4.3749999999999997E-2</v>
      </c>
      <c r="EL264" s="528">
        <f t="shared" si="722"/>
        <v>0.10510639999999997</v>
      </c>
      <c r="EM264">
        <f t="shared" si="723"/>
        <v>1.6199999999999999E-2</v>
      </c>
      <c r="EN264" s="460">
        <f t="shared" si="724"/>
        <v>59.949999999999996</v>
      </c>
      <c r="EP264" s="460">
        <f t="shared" si="725"/>
        <v>1103.3862759824492</v>
      </c>
      <c r="EQ264" s="173">
        <f t="shared" si="726"/>
        <v>2.016</v>
      </c>
      <c r="ER264" s="173">
        <f t="shared" si="772"/>
        <v>2.1299999999999999E-2</v>
      </c>
      <c r="ES264" s="528"/>
      <c r="EU264" s="460">
        <f t="shared" si="727"/>
        <v>2037.3000000000002</v>
      </c>
      <c r="EV264" s="528">
        <f t="shared" si="728"/>
        <v>1.6707415086037177E-2</v>
      </c>
      <c r="EW264" s="528">
        <f t="shared" si="729"/>
        <v>0.67622421576626202</v>
      </c>
      <c r="EX264" s="528">
        <f t="shared" si="730"/>
        <v>4.0917986467156863E-5</v>
      </c>
      <c r="EY264" s="528">
        <f t="shared" si="731"/>
        <v>1.0530334719123733</v>
      </c>
      <c r="EZ264" s="528"/>
      <c r="FA264" s="625">
        <f t="shared" si="732"/>
        <v>5.1599999999999993E-2</v>
      </c>
      <c r="FB264" s="460">
        <f t="shared" si="733"/>
        <v>1797.6060207511396</v>
      </c>
      <c r="FC264" s="173">
        <f t="shared" si="734"/>
        <v>4.9382922967335885</v>
      </c>
      <c r="FD264" s="5">
        <f t="shared" si="735"/>
        <v>12.384</v>
      </c>
      <c r="FE264" s="173">
        <f t="shared" si="736"/>
        <v>0.71491692830603093</v>
      </c>
      <c r="FF264" s="5">
        <f t="shared" si="737"/>
        <v>71.4916928306031</v>
      </c>
      <c r="FG264">
        <f t="shared" si="738"/>
        <v>48</v>
      </c>
      <c r="FI264" s="562">
        <f t="shared" si="689"/>
        <v>-50</v>
      </c>
    </row>
    <row r="265" spans="5:165">
      <c r="E265" s="170">
        <v>49</v>
      </c>
      <c r="F265" s="217">
        <f t="shared" si="773"/>
        <v>2.94</v>
      </c>
      <c r="G265" s="217">
        <f t="shared" si="742"/>
        <v>4.9000000000000002E-2</v>
      </c>
      <c r="H265" s="217">
        <f t="shared" si="743"/>
        <v>11.76</v>
      </c>
      <c r="I265" s="217">
        <f t="shared" si="744"/>
        <v>0.88200000000000001</v>
      </c>
      <c r="J265" s="541">
        <f t="shared" si="745"/>
        <v>35.936393923756995</v>
      </c>
      <c r="K265" s="443">
        <f t="shared" si="746"/>
        <v>19.367943659177563</v>
      </c>
      <c r="L265" s="172">
        <f t="shared" si="747"/>
        <v>55.304337582934558</v>
      </c>
      <c r="M265" s="443"/>
      <c r="N265" s="217">
        <f t="shared" si="748"/>
        <v>0.3502065932917709</v>
      </c>
      <c r="O265" s="172">
        <f t="shared" si="749"/>
        <v>39.023758422418709</v>
      </c>
      <c r="P265" s="172">
        <f t="shared" si="750"/>
        <v>3.1462905228075084</v>
      </c>
      <c r="Q265" s="217">
        <f t="shared" si="626"/>
        <v>9.7559396056046772</v>
      </c>
      <c r="R265" s="217">
        <f t="shared" si="751"/>
        <v>2.1679865790232618</v>
      </c>
      <c r="S265" s="217">
        <f t="shared" si="752"/>
        <v>4</v>
      </c>
      <c r="T265" s="217">
        <f t="shared" si="753"/>
        <v>2.0090325270914984</v>
      </c>
      <c r="U265" s="217">
        <f t="shared" si="630"/>
        <v>0.67086281323180563</v>
      </c>
      <c r="V265" s="217">
        <f t="shared" si="631"/>
        <v>1.2447573552122631</v>
      </c>
      <c r="W265" s="197">
        <f t="shared" si="632"/>
        <v>350</v>
      </c>
      <c r="X265" s="443">
        <f t="shared" si="691"/>
        <v>350</v>
      </c>
      <c r="Z265" s="217">
        <f t="shared" si="633"/>
        <v>2.9964671645785788</v>
      </c>
      <c r="AA265" s="173">
        <f t="shared" si="634"/>
        <v>1.8565525905949403</v>
      </c>
      <c r="AB265" s="173">
        <f t="shared" si="754"/>
        <v>3.6224829896946278</v>
      </c>
      <c r="AC265" s="173"/>
      <c r="AD265" s="173">
        <f t="shared" si="636"/>
        <v>0.82610731844102359</v>
      </c>
      <c r="AE265" s="545">
        <f t="shared" si="755"/>
        <v>1334.5723677652036</v>
      </c>
      <c r="AF265" s="528">
        <f t="shared" si="756"/>
        <v>0.77103349721162218</v>
      </c>
      <c r="AH265" s="173">
        <f t="shared" si="757"/>
        <v>2.4535688292770592</v>
      </c>
      <c r="AI265" s="173">
        <f t="shared" si="758"/>
        <v>2.4535688292770592</v>
      </c>
      <c r="AJ265" s="173">
        <f t="shared" si="759"/>
        <v>2.0298040710694263</v>
      </c>
      <c r="AL265" s="545">
        <f t="shared" si="760"/>
        <v>2940</v>
      </c>
      <c r="AM265" s="460">
        <f t="shared" si="761"/>
        <v>350</v>
      </c>
      <c r="AO265">
        <f t="shared" si="644"/>
        <v>2940</v>
      </c>
      <c r="AP265">
        <f t="shared" si="645"/>
        <v>350</v>
      </c>
      <c r="AR265" s="5">
        <f t="shared" si="774"/>
        <v>2.8571428571428572</v>
      </c>
      <c r="AS265" s="5">
        <f t="shared" si="739"/>
        <v>0.81930385151584495</v>
      </c>
      <c r="AT265" s="5">
        <f t="shared" si="740"/>
        <v>2.0378390056270121</v>
      </c>
      <c r="AU265" s="173">
        <f t="shared" si="741"/>
        <v>0.28675634803054573</v>
      </c>
      <c r="BA265" s="173">
        <f t="shared" si="692"/>
        <v>0.7585673371876499</v>
      </c>
      <c r="BB265" s="173">
        <f t="shared" si="693"/>
        <v>4.7853815089185181</v>
      </c>
      <c r="BC265" s="173">
        <f t="shared" si="694"/>
        <v>9.1180917940204192E-2</v>
      </c>
      <c r="BD265" s="173"/>
      <c r="BE265" s="528">
        <f t="shared" si="695"/>
        <v>7.0201777415851334E-3</v>
      </c>
      <c r="BF265" s="528">
        <f t="shared" si="762"/>
        <v>0.89048530473855758</v>
      </c>
      <c r="BG265" s="528">
        <f t="shared" si="763"/>
        <v>0.31444344683287367</v>
      </c>
      <c r="BH265" s="528">
        <f t="shared" si="696"/>
        <v>0.10704994144205159</v>
      </c>
      <c r="BI265">
        <f t="shared" si="697"/>
        <v>1.6171377265690647E-2</v>
      </c>
      <c r="BJ265" s="460">
        <f t="shared" si="698"/>
        <v>330.61482409856427</v>
      </c>
      <c r="BK265">
        <f t="shared" si="764"/>
        <v>1.0081324309918045</v>
      </c>
      <c r="BL265" s="460">
        <f t="shared" si="699"/>
        <v>1335.1702480207587</v>
      </c>
      <c r="BM265" s="173">
        <f t="shared" si="765"/>
        <v>1.8264749999999998</v>
      </c>
      <c r="BN265" s="173">
        <f t="shared" si="766"/>
        <v>2.1743749999999999E-2</v>
      </c>
      <c r="BQ265" s="460">
        <f t="shared" si="700"/>
        <v>1848.2187499999998</v>
      </c>
      <c r="BR265" s="528">
        <f t="shared" si="701"/>
        <v>1.7262732151438854E-2</v>
      </c>
      <c r="BS265" s="528">
        <f t="shared" si="702"/>
        <v>0.68699628557697823</v>
      </c>
      <c r="BT265" s="528">
        <f t="shared" si="703"/>
        <v>4.156979898209125E-5</v>
      </c>
      <c r="BU265" s="528">
        <f t="shared" si="704"/>
        <v>1.0805272633864991</v>
      </c>
      <c r="BV265" s="528"/>
      <c r="BW265" s="625">
        <f t="shared" si="705"/>
        <v>5.2674999999999993E-2</v>
      </c>
      <c r="BX265" s="460">
        <f t="shared" si="706"/>
        <v>1837.5028509138981</v>
      </c>
      <c r="BY265" s="173">
        <f t="shared" si="707"/>
        <v>5.0208918489346566</v>
      </c>
      <c r="BZ265" s="5">
        <f t="shared" si="708"/>
        <v>12.641999999999999</v>
      </c>
      <c r="CA265" s="173">
        <f t="shared" si="709"/>
        <v>0.71573783659681445</v>
      </c>
      <c r="CB265" s="5">
        <f t="shared" si="710"/>
        <v>71.573783659681439</v>
      </c>
      <c r="CC265">
        <f t="shared" si="711"/>
        <v>49</v>
      </c>
      <c r="CE265" s="562">
        <f t="shared" si="767"/>
        <v>-50</v>
      </c>
      <c r="CG265" s="173">
        <f t="shared" si="768"/>
        <v>0.62118837722545972</v>
      </c>
      <c r="CH265" s="173">
        <f t="shared" si="769"/>
        <v>0.14880424121344288</v>
      </c>
      <c r="CI265" s="170">
        <v>49</v>
      </c>
      <c r="CJ265" s="217">
        <f t="shared" si="712"/>
        <v>2.94</v>
      </c>
      <c r="CK265" s="217">
        <f t="shared" si="654"/>
        <v>4.9000000000000002E-2</v>
      </c>
      <c r="CL265" s="217">
        <f t="shared" si="655"/>
        <v>11.76</v>
      </c>
      <c r="CM265" s="217">
        <f t="shared" si="656"/>
        <v>0.88200000000000001</v>
      </c>
      <c r="CN265" s="541">
        <f t="shared" si="657"/>
        <v>36</v>
      </c>
      <c r="CO265" s="443">
        <f t="shared" si="770"/>
        <v>18.8</v>
      </c>
      <c r="CP265" s="443">
        <f t="shared" si="771"/>
        <v>54.8</v>
      </c>
      <c r="CQ265" s="443"/>
      <c r="CR265" s="217">
        <f t="shared" si="660"/>
        <v>0.34306569343065696</v>
      </c>
      <c r="CS265" s="172">
        <f t="shared" si="661"/>
        <v>38.295705313189622</v>
      </c>
      <c r="CT265" s="172">
        <f t="shared" si="662"/>
        <v>3.0875912408759132</v>
      </c>
      <c r="CU265" s="217">
        <f t="shared" si="663"/>
        <v>9.5739263282974054</v>
      </c>
      <c r="CV265" s="217">
        <f t="shared" si="664"/>
        <v>2.12753918406609</v>
      </c>
      <c r="CW265" s="217">
        <f t="shared" si="665"/>
        <v>4</v>
      </c>
      <c r="CX265" s="217">
        <f t="shared" si="666"/>
        <v>2.0472269503546094</v>
      </c>
      <c r="CY265" s="217">
        <f t="shared" si="667"/>
        <v>0.68240898345153644</v>
      </c>
      <c r="CZ265" s="217">
        <f t="shared" si="668"/>
        <v>1.306740606609325</v>
      </c>
      <c r="DA265" s="197">
        <f t="shared" si="669"/>
        <v>350</v>
      </c>
      <c r="DB265" s="443">
        <f t="shared" si="670"/>
        <v>350</v>
      </c>
      <c r="DD265" s="217">
        <f t="shared" si="671"/>
        <v>2.940563086548488</v>
      </c>
      <c r="DE265" s="173">
        <f t="shared" si="672"/>
        <v>1.8769551616266944</v>
      </c>
      <c r="DF265" s="173">
        <f t="shared" si="673"/>
        <v>3.5939660877863036</v>
      </c>
      <c r="DG265" s="173"/>
      <c r="DH265" s="173">
        <f t="shared" si="674"/>
        <v>0.85106382978723416</v>
      </c>
      <c r="DI265" s="545">
        <f t="shared" si="675"/>
        <v>1295.4374999999998</v>
      </c>
      <c r="DJ265" s="528">
        <f t="shared" si="676"/>
        <v>0.79432624113475192</v>
      </c>
      <c r="DL265" s="173">
        <f t="shared" si="677"/>
        <v>2.4535688292770592</v>
      </c>
      <c r="DM265" s="173">
        <f t="shared" si="678"/>
        <v>2.4535688292770592</v>
      </c>
      <c r="DN265" s="173">
        <f t="shared" si="679"/>
        <v>2.0298040710694263</v>
      </c>
      <c r="DP265" s="545">
        <f t="shared" si="680"/>
        <v>2940</v>
      </c>
      <c r="DQ265" s="460">
        <f t="shared" si="681"/>
        <v>350</v>
      </c>
      <c r="DS265">
        <f t="shared" si="682"/>
        <v>2940</v>
      </c>
      <c r="DT265">
        <f t="shared" si="683"/>
        <v>350</v>
      </c>
      <c r="DV265" s="5">
        <f t="shared" si="684"/>
        <v>2.8571428571428572</v>
      </c>
      <c r="DW265" s="5">
        <f t="shared" si="685"/>
        <v>0.81785627642568648</v>
      </c>
      <c r="DX265" s="5">
        <f t="shared" si="686"/>
        <v>2.0392865807171709</v>
      </c>
      <c r="DY265" s="173">
        <f t="shared" si="687"/>
        <v>0.28624969674899026</v>
      </c>
      <c r="EA265" s="5">
        <f t="shared" si="713"/>
        <v>60.112436317287951</v>
      </c>
      <c r="EB265" s="5">
        <f t="shared" si="714"/>
        <v>0.22263865302699246</v>
      </c>
      <c r="EC265" s="5">
        <f t="shared" si="715"/>
        <v>0.55513912475078531</v>
      </c>
      <c r="ED265" s="5"/>
      <c r="EE265" s="173">
        <f t="shared" si="716"/>
        <v>0.7578969090909663</v>
      </c>
      <c r="EF265" s="173">
        <f t="shared" si="717"/>
        <v>4.7870808505510345</v>
      </c>
      <c r="EG265" s="173">
        <f t="shared" si="718"/>
        <v>9.121329728752646E-2</v>
      </c>
      <c r="EH265" s="173"/>
      <c r="EI265" s="528">
        <f t="shared" si="719"/>
        <v>7.0077742426776128E-3</v>
      </c>
      <c r="EJ265" s="528">
        <f t="shared" si="720"/>
        <v>0.94118900291067986</v>
      </c>
      <c r="EK265" s="528">
        <f t="shared" si="721"/>
        <v>4.3749999999999997E-2</v>
      </c>
      <c r="EL265" s="528">
        <f t="shared" si="722"/>
        <v>0.10510639999999997</v>
      </c>
      <c r="EM265">
        <f t="shared" si="723"/>
        <v>1.6199999999999999E-2</v>
      </c>
      <c r="EN265" s="460">
        <f t="shared" si="724"/>
        <v>59.949999999999996</v>
      </c>
      <c r="EP265" s="460">
        <f t="shared" si="725"/>
        <v>1113.2531771533575</v>
      </c>
      <c r="EQ265" s="173">
        <f t="shared" si="726"/>
        <v>2.0579999999999998</v>
      </c>
      <c r="ER265" s="173">
        <f t="shared" si="772"/>
        <v>2.1743749999999999E-2</v>
      </c>
      <c r="ES265" s="528"/>
      <c r="EU265" s="460">
        <f t="shared" si="727"/>
        <v>2079.7437500000001</v>
      </c>
      <c r="EV265" s="528">
        <f t="shared" si="728"/>
        <v>1.7232231744289211E-2</v>
      </c>
      <c r="EW265" s="528">
        <f t="shared" si="729"/>
        <v>0.68748429209137241</v>
      </c>
      <c r="EX265" s="528">
        <f t="shared" si="730"/>
        <v>4.1599328010313409E-5</v>
      </c>
      <c r="EY265" s="528">
        <f t="shared" si="731"/>
        <v>1.0805272633864991</v>
      </c>
      <c r="EZ265" s="528"/>
      <c r="FA265" s="625">
        <f t="shared" si="732"/>
        <v>5.2674999999999993E-2</v>
      </c>
      <c r="FB265" s="460">
        <f t="shared" si="733"/>
        <v>1837.9603865501711</v>
      </c>
      <c r="FC265" s="173">
        <f t="shared" si="734"/>
        <v>5.0309573137035279</v>
      </c>
      <c r="FD265" s="5">
        <f t="shared" si="735"/>
        <v>12.641999999999999</v>
      </c>
      <c r="FE265" s="173">
        <f t="shared" si="736"/>
        <v>0.71533019491862027</v>
      </c>
      <c r="FF265" s="5">
        <f t="shared" si="737"/>
        <v>71.533019491862021</v>
      </c>
      <c r="FG265">
        <f t="shared" si="738"/>
        <v>49</v>
      </c>
      <c r="FI265" s="562">
        <f t="shared" si="689"/>
        <v>-50</v>
      </c>
    </row>
    <row r="266" spans="5:165">
      <c r="E266" s="170">
        <v>50</v>
      </c>
      <c r="F266" s="217">
        <f t="shared" si="773"/>
        <v>3</v>
      </c>
      <c r="G266" s="217">
        <f t="shared" si="742"/>
        <v>0.05</v>
      </c>
      <c r="H266" s="217">
        <f t="shared" si="743"/>
        <v>12</v>
      </c>
      <c r="I266" s="217">
        <f t="shared" si="744"/>
        <v>0.9</v>
      </c>
      <c r="J266" s="541">
        <f t="shared" si="745"/>
        <v>35.935748160234148</v>
      </c>
      <c r="K266" s="443">
        <f t="shared" si="746"/>
        <v>19.37370973248051</v>
      </c>
      <c r="L266" s="172">
        <f t="shared" si="747"/>
        <v>55.309457892714661</v>
      </c>
      <c r="M266" s="443"/>
      <c r="N266" s="217">
        <f t="shared" si="748"/>
        <v>0.35027842381063018</v>
      </c>
      <c r="O266" s="172">
        <f t="shared" si="749"/>
        <v>39.031061159759908</v>
      </c>
      <c r="P266" s="172">
        <f t="shared" si="750"/>
        <v>3.1468793060056428</v>
      </c>
      <c r="Q266" s="217">
        <f t="shared" si="626"/>
        <v>9.7577652899399769</v>
      </c>
      <c r="R266" s="217">
        <f t="shared" si="751"/>
        <v>2.1683922866533281</v>
      </c>
      <c r="S266" s="217">
        <f t="shared" si="752"/>
        <v>4</v>
      </c>
      <c r="T266" s="217">
        <f t="shared" si="753"/>
        <v>2.0496496283446706</v>
      </c>
      <c r="U266" s="217">
        <f t="shared" si="630"/>
        <v>0.68443810966354979</v>
      </c>
      <c r="V266" s="217">
        <f t="shared" si="631"/>
        <v>1.2695449596264252</v>
      </c>
      <c r="W266" s="197">
        <f t="shared" si="632"/>
        <v>350</v>
      </c>
      <c r="X266" s="443">
        <f t="shared" si="691"/>
        <v>350</v>
      </c>
      <c r="Z266" s="217">
        <f t="shared" si="633"/>
        <v>2.9970279104815645</v>
      </c>
      <c r="AA266" s="173">
        <f t="shared" si="634"/>
        <v>1.8563473605410565</v>
      </c>
      <c r="AB266" s="173">
        <f t="shared" si="754"/>
        <v>3.6227603681518423</v>
      </c>
      <c r="AC266" s="173"/>
      <c r="AD266" s="173">
        <f t="shared" si="636"/>
        <v>0.82586144940406547</v>
      </c>
      <c r="AE266" s="545">
        <f t="shared" si="755"/>
        <v>1362.2139655650356</v>
      </c>
      <c r="AF266" s="528">
        <f t="shared" si="756"/>
        <v>0.77080401944379451</v>
      </c>
      <c r="AH266" s="173">
        <f t="shared" si="757"/>
        <v>2.4784787961282104</v>
      </c>
      <c r="AI266" s="173">
        <f t="shared" si="758"/>
        <v>2.4784787961282104</v>
      </c>
      <c r="AJ266" s="173">
        <f t="shared" si="759"/>
        <v>2.0482558983665755</v>
      </c>
      <c r="AL266" s="545">
        <f t="shared" si="760"/>
        <v>3000</v>
      </c>
      <c r="AM266" s="460">
        <f t="shared" si="761"/>
        <v>350</v>
      </c>
      <c r="AO266">
        <f t="shared" si="644"/>
        <v>3000</v>
      </c>
      <c r="AP266">
        <f t="shared" si="645"/>
        <v>350</v>
      </c>
      <c r="AR266" s="5">
        <f t="shared" si="774"/>
        <v>2.8571428571428572</v>
      </c>
      <c r="AS266" s="5">
        <f t="shared" si="739"/>
        <v>0.827636742692064</v>
      </c>
      <c r="AT266" s="5">
        <f t="shared" si="740"/>
        <v>2.0295061144507933</v>
      </c>
      <c r="AU266" s="173">
        <f t="shared" si="741"/>
        <v>0.28967285994222242</v>
      </c>
      <c r="BA266" s="173">
        <f t="shared" si="692"/>
        <v>0.77015561128643295</v>
      </c>
      <c r="BB266" s="173">
        <f t="shared" si="693"/>
        <v>4.8240719431170485</v>
      </c>
      <c r="BC266" s="173">
        <f t="shared" si="694"/>
        <v>9.1918127564797808E-2</v>
      </c>
      <c r="BD266" s="173"/>
      <c r="BE266" s="528">
        <f t="shared" si="695"/>
        <v>7.2363039202709457E-3</v>
      </c>
      <c r="BF266" s="528">
        <f t="shared" si="762"/>
        <v>0.8996092783941334</v>
      </c>
      <c r="BG266" s="528">
        <f t="shared" si="763"/>
        <v>0.31443779640204877</v>
      </c>
      <c r="BH266" s="528">
        <f t="shared" si="696"/>
        <v>0.10706976463350916</v>
      </c>
      <c r="BI266">
        <f t="shared" si="697"/>
        <v>1.6171086672105366E-2</v>
      </c>
      <c r="BJ266" s="460">
        <f t="shared" si="698"/>
        <v>330.60888307415416</v>
      </c>
      <c r="BK266">
        <f t="shared" si="764"/>
        <v>1.0176187876065172</v>
      </c>
      <c r="BL266" s="460">
        <f t="shared" si="699"/>
        <v>1344.524230022068</v>
      </c>
      <c r="BM266" s="173">
        <f t="shared" si="765"/>
        <v>1.8637499999999996</v>
      </c>
      <c r="BN266" s="173">
        <f t="shared" si="766"/>
        <v>2.2187499999999999E-2</v>
      </c>
      <c r="BQ266" s="460">
        <f t="shared" si="700"/>
        <v>1885.9374999999995</v>
      </c>
      <c r="BR266" s="528">
        <f t="shared" si="701"/>
        <v>1.7794189967879376E-2</v>
      </c>
      <c r="BS266" s="528">
        <f t="shared" si="702"/>
        <v>0.69815010337107275</v>
      </c>
      <c r="BT266" s="528">
        <f t="shared" si="703"/>
        <v>4.2244710875092221E-5</v>
      </c>
      <c r="BU266" s="528">
        <f t="shared" si="704"/>
        <v>1.1081616963241701</v>
      </c>
      <c r="BV266" s="528"/>
      <c r="BW266" s="625">
        <f t="shared" si="705"/>
        <v>5.3750000000000013E-2</v>
      </c>
      <c r="BX266" s="460">
        <f t="shared" si="706"/>
        <v>1877.8982343739972</v>
      </c>
      <c r="BY266" s="173">
        <f t="shared" si="707"/>
        <v>5.1083599643960644</v>
      </c>
      <c r="BZ266" s="5">
        <f t="shared" si="708"/>
        <v>12.9</v>
      </c>
      <c r="CA266" s="173">
        <f t="shared" si="709"/>
        <v>0.71633397075049088</v>
      </c>
      <c r="CB266" s="5">
        <f t="shared" si="710"/>
        <v>71.633397075049089</v>
      </c>
      <c r="CC266">
        <f t="shared" si="711"/>
        <v>50</v>
      </c>
      <c r="CE266" s="562">
        <f t="shared" si="767"/>
        <v>-50</v>
      </c>
      <c r="CG266" s="173">
        <f t="shared" si="768"/>
        <v>0.62749501990055667</v>
      </c>
      <c r="CH266" s="173">
        <f t="shared" si="769"/>
        <v>0.15031498290192025</v>
      </c>
      <c r="CI266" s="170">
        <v>50</v>
      </c>
      <c r="CJ266" s="217">
        <f t="shared" si="712"/>
        <v>3</v>
      </c>
      <c r="CK266" s="217">
        <f t="shared" si="654"/>
        <v>0.05</v>
      </c>
      <c r="CL266" s="217">
        <f t="shared" si="655"/>
        <v>12</v>
      </c>
      <c r="CM266" s="217">
        <f t="shared" si="656"/>
        <v>0.9</v>
      </c>
      <c r="CN266" s="541">
        <f t="shared" si="657"/>
        <v>36</v>
      </c>
      <c r="CO266" s="443">
        <f t="shared" si="770"/>
        <v>18.8</v>
      </c>
      <c r="CP266" s="443">
        <f t="shared" si="771"/>
        <v>54.8</v>
      </c>
      <c r="CQ266" s="443"/>
      <c r="CR266" s="217">
        <f t="shared" si="660"/>
        <v>0.34306569343065696</v>
      </c>
      <c r="CS266" s="172">
        <f t="shared" si="661"/>
        <v>38.295705313189622</v>
      </c>
      <c r="CT266" s="172">
        <f t="shared" si="662"/>
        <v>3.0875912408759132</v>
      </c>
      <c r="CU266" s="217">
        <f t="shared" si="663"/>
        <v>9.5739263282974054</v>
      </c>
      <c r="CV266" s="217">
        <f t="shared" si="664"/>
        <v>2.12753918406609</v>
      </c>
      <c r="CW266" s="217">
        <f t="shared" si="665"/>
        <v>4</v>
      </c>
      <c r="CX266" s="217">
        <f t="shared" si="666"/>
        <v>2.0890070921985813</v>
      </c>
      <c r="CY266" s="217">
        <f t="shared" si="667"/>
        <v>0.69633569739952705</v>
      </c>
      <c r="CZ266" s="217">
        <f t="shared" si="668"/>
        <v>1.3334087822544134</v>
      </c>
      <c r="DA266" s="197">
        <f t="shared" si="669"/>
        <v>350</v>
      </c>
      <c r="DB266" s="443">
        <f t="shared" si="670"/>
        <v>350</v>
      </c>
      <c r="DD266" s="217">
        <f t="shared" si="671"/>
        <v>2.940563086548488</v>
      </c>
      <c r="DE266" s="173">
        <f t="shared" si="672"/>
        <v>1.8769551616266944</v>
      </c>
      <c r="DF266" s="173">
        <f t="shared" si="673"/>
        <v>3.5939660877863036</v>
      </c>
      <c r="DG266" s="173"/>
      <c r="DH266" s="173">
        <f t="shared" si="674"/>
        <v>0.85106382978723416</v>
      </c>
      <c r="DI266" s="545">
        <f t="shared" si="675"/>
        <v>1321.8749999999998</v>
      </c>
      <c r="DJ266" s="528">
        <f t="shared" si="676"/>
        <v>0.79432624113475192</v>
      </c>
      <c r="DL266" s="173">
        <f t="shared" si="677"/>
        <v>2.4784787961282104</v>
      </c>
      <c r="DM266" s="173">
        <f t="shared" si="678"/>
        <v>2.4784787961282104</v>
      </c>
      <c r="DN266" s="173">
        <f t="shared" si="679"/>
        <v>2.0482558983665755</v>
      </c>
      <c r="DP266" s="545">
        <f t="shared" si="680"/>
        <v>3000</v>
      </c>
      <c r="DQ266" s="460">
        <f t="shared" si="681"/>
        <v>350</v>
      </c>
      <c r="DS266">
        <f t="shared" si="682"/>
        <v>3000</v>
      </c>
      <c r="DT266">
        <f t="shared" si="683"/>
        <v>350</v>
      </c>
      <c r="DV266" s="5">
        <f t="shared" si="684"/>
        <v>2.8571428571428572</v>
      </c>
      <c r="DW266" s="5">
        <f t="shared" si="685"/>
        <v>0.82615959870940348</v>
      </c>
      <c r="DX266" s="5">
        <f t="shared" si="686"/>
        <v>2.0309832584334537</v>
      </c>
      <c r="DY266" s="173">
        <f t="shared" si="687"/>
        <v>0.28915585954829121</v>
      </c>
      <c r="EA266" s="5">
        <f t="shared" si="713"/>
        <v>61.961969903205258</v>
      </c>
      <c r="EB266" s="5">
        <f t="shared" si="714"/>
        <v>0.22948877741927876</v>
      </c>
      <c r="EC266" s="5">
        <f t="shared" si="715"/>
        <v>0.56416201623151485</v>
      </c>
      <c r="ED266" s="5"/>
      <c r="EE266" s="173">
        <f t="shared" si="716"/>
        <v>0.76946802775796941</v>
      </c>
      <c r="EF266" s="173">
        <f t="shared" si="717"/>
        <v>4.8258271860932753</v>
      </c>
      <c r="EG266" s="173">
        <f t="shared" si="718"/>
        <v>9.1951572059344844E-2</v>
      </c>
      <c r="EH266" s="173"/>
      <c r="EI266" s="528">
        <f t="shared" si="719"/>
        <v>7.223388758049217E-3</v>
      </c>
      <c r="EJ266" s="528">
        <f t="shared" si="720"/>
        <v>0.95074446619478148</v>
      </c>
      <c r="EK266" s="528">
        <f t="shared" si="721"/>
        <v>4.3749999999999997E-2</v>
      </c>
      <c r="EL266" s="528">
        <f t="shared" si="722"/>
        <v>0.10510639999999997</v>
      </c>
      <c r="EM266">
        <f t="shared" si="723"/>
        <v>1.6199999999999999E-2</v>
      </c>
      <c r="EN266" s="460">
        <f t="shared" si="724"/>
        <v>59.949999999999996</v>
      </c>
      <c r="EP266" s="460">
        <f t="shared" si="725"/>
        <v>1123.0242549528307</v>
      </c>
      <c r="EQ266" s="173">
        <f t="shared" si="726"/>
        <v>2.0999999999999996</v>
      </c>
      <c r="ER266" s="173">
        <f t="shared" si="772"/>
        <v>2.2187499999999999E-2</v>
      </c>
      <c r="ES266" s="528"/>
      <c r="EU266" s="460">
        <f t="shared" si="727"/>
        <v>2122.1874999999995</v>
      </c>
      <c r="EV266" s="528">
        <f t="shared" si="728"/>
        <v>1.7762431372252172E-2</v>
      </c>
      <c r="EW266" s="528">
        <f t="shared" si="729"/>
        <v>0.69865824090110817</v>
      </c>
      <c r="EX266" s="528">
        <f t="shared" si="730"/>
        <v>4.2275458020924442E-5</v>
      </c>
      <c r="EY266" s="528">
        <f t="shared" si="731"/>
        <v>1.1081616963241701</v>
      </c>
      <c r="EZ266" s="528"/>
      <c r="FA266" s="625">
        <f t="shared" si="732"/>
        <v>5.3750000000000013E-2</v>
      </c>
      <c r="FB266" s="460">
        <f t="shared" si="733"/>
        <v>1878.3746440555512</v>
      </c>
      <c r="FC266" s="173">
        <f t="shared" si="734"/>
        <v>5.1235863990083814</v>
      </c>
      <c r="FD266" s="5">
        <f t="shared" si="735"/>
        <v>12.9</v>
      </c>
      <c r="FE266" s="173">
        <f t="shared" si="736"/>
        <v>0.71572880748693457</v>
      </c>
      <c r="FF266" s="5">
        <f t="shared" si="737"/>
        <v>71.57288074869345</v>
      </c>
      <c r="FG266">
        <f t="shared" si="738"/>
        <v>50</v>
      </c>
      <c r="FI266" s="562">
        <f t="shared" si="689"/>
        <v>-50</v>
      </c>
    </row>
    <row r="267" spans="5:165">
      <c r="E267" s="170">
        <v>51</v>
      </c>
      <c r="F267" s="217">
        <f t="shared" si="773"/>
        <v>3.06</v>
      </c>
      <c r="G267" s="217">
        <f t="shared" si="742"/>
        <v>5.1000000000000004E-2</v>
      </c>
      <c r="H267" s="217">
        <f t="shared" si="743"/>
        <v>12.24</v>
      </c>
      <c r="I267" s="217">
        <f t="shared" si="744"/>
        <v>0.91800000000000004</v>
      </c>
      <c r="J267" s="541">
        <f t="shared" si="745"/>
        <v>35.935108822698595</v>
      </c>
      <c r="K267" s="443">
        <f t="shared" si="746"/>
        <v>19.379418427637329</v>
      </c>
      <c r="L267" s="172">
        <f t="shared" si="747"/>
        <v>55.314527250335928</v>
      </c>
      <c r="M267" s="443"/>
      <c r="N267" s="217">
        <f t="shared" si="748"/>
        <v>0.3503495264441519</v>
      </c>
      <c r="O267" s="172">
        <f t="shared" si="749"/>
        <v>39.038289484500829</v>
      </c>
      <c r="P267" s="172">
        <f t="shared" si="750"/>
        <v>3.1474620896878798</v>
      </c>
      <c r="Q267" s="217">
        <f t="shared" si="626"/>
        <v>9.7595723711252074</v>
      </c>
      <c r="R267" s="217">
        <f t="shared" si="751"/>
        <v>2.1687938602500463</v>
      </c>
      <c r="S267" s="217">
        <f t="shared" si="752"/>
        <v>4</v>
      </c>
      <c r="T267" s="217">
        <f t="shared" si="753"/>
        <v>2.0902555177884325</v>
      </c>
      <c r="U267" s="217">
        <f t="shared" si="630"/>
        <v>0.69801002516005584</v>
      </c>
      <c r="V267" s="217">
        <f t="shared" si="631"/>
        <v>1.2943147033602302</v>
      </c>
      <c r="W267" s="197">
        <f t="shared" si="632"/>
        <v>350</v>
      </c>
      <c r="X267" s="443">
        <f t="shared" si="691"/>
        <v>350</v>
      </c>
      <c r="Z267" s="217">
        <f t="shared" si="633"/>
        <v>2.9975829425598852</v>
      </c>
      <c r="AA267" s="173">
        <f t="shared" si="634"/>
        <v>1.8561442101595658</v>
      </c>
      <c r="AB267" s="173">
        <f t="shared" si="754"/>
        <v>3.6230347500594635</v>
      </c>
      <c r="AC267" s="173"/>
      <c r="AD267" s="173">
        <f t="shared" si="636"/>
        <v>0.82561817114089042</v>
      </c>
      <c r="AE267" s="545">
        <f t="shared" si="755"/>
        <v>1389.867665357114</v>
      </c>
      <c r="AF267" s="528">
        <f t="shared" si="756"/>
        <v>0.77057695973149787</v>
      </c>
      <c r="AH267" s="173">
        <f t="shared" si="757"/>
        <v>2.5031408841122555</v>
      </c>
      <c r="AI267" s="173">
        <f t="shared" si="758"/>
        <v>2.5031408841122555</v>
      </c>
      <c r="AJ267" s="173">
        <f t="shared" si="759"/>
        <v>2.0665241116880901</v>
      </c>
      <c r="AL267" s="545">
        <f t="shared" si="760"/>
        <v>3060</v>
      </c>
      <c r="AM267" s="460">
        <f t="shared" si="761"/>
        <v>350</v>
      </c>
      <c r="AO267">
        <f t="shared" si="644"/>
        <v>3060</v>
      </c>
      <c r="AP267">
        <f t="shared" si="645"/>
        <v>350</v>
      </c>
      <c r="AR267" s="5">
        <f t="shared" si="774"/>
        <v>2.8571428571428572</v>
      </c>
      <c r="AS267" s="5">
        <f t="shared" si="739"/>
        <v>0.83588700837253638</v>
      </c>
      <c r="AT267" s="5">
        <f t="shared" si="740"/>
        <v>2.0212558487703207</v>
      </c>
      <c r="AU267" s="173">
        <f t="shared" si="741"/>
        <v>0.29256045293038774</v>
      </c>
      <c r="BA267" s="173">
        <f t="shared" si="692"/>
        <v>0.78168625619254939</v>
      </c>
      <c r="BB267" s="173">
        <f t="shared" si="693"/>
        <v>4.8621608783767805</v>
      </c>
      <c r="BC267" s="173">
        <f t="shared" si="694"/>
        <v>9.264387619609811E-2</v>
      </c>
      <c r="BD267" s="173"/>
      <c r="BE267" s="528">
        <f t="shared" si="695"/>
        <v>7.4546075180679516E-3</v>
      </c>
      <c r="BF267" s="528">
        <f t="shared" si="762"/>
        <v>0.90864410861212619</v>
      </c>
      <c r="BG267" s="528">
        <f t="shared" si="763"/>
        <v>0.31443220219861268</v>
      </c>
      <c r="BH267" s="528">
        <f t="shared" si="696"/>
        <v>0.10708939237248546</v>
      </c>
      <c r="BI267">
        <f t="shared" si="697"/>
        <v>1.6170798970214367E-2</v>
      </c>
      <c r="BJ267" s="460">
        <f t="shared" si="698"/>
        <v>330.60300116882701</v>
      </c>
      <c r="BK267">
        <f t="shared" si="764"/>
        <v>1.0270199253691081</v>
      </c>
      <c r="BL267" s="460">
        <f t="shared" si="699"/>
        <v>1353.7911096715065</v>
      </c>
      <c r="BM267" s="173">
        <f t="shared" si="765"/>
        <v>1.9010249999999997</v>
      </c>
      <c r="BN267" s="173">
        <f t="shared" si="766"/>
        <v>2.2631250000000002E-2</v>
      </c>
      <c r="BQ267" s="460">
        <f t="shared" si="700"/>
        <v>1923.6562499999998</v>
      </c>
      <c r="BR267" s="528">
        <f t="shared" si="701"/>
        <v>1.8331002093609716E-2</v>
      </c>
      <c r="BS267" s="528">
        <f t="shared" si="702"/>
        <v>0.70921825221653001</v>
      </c>
      <c r="BT267" s="528">
        <f t="shared" si="703"/>
        <v>4.2914438983189774E-5</v>
      </c>
      <c r="BU267" s="528">
        <f t="shared" si="704"/>
        <v>1.1359346555349734</v>
      </c>
      <c r="BV267" s="528"/>
      <c r="BW267" s="625">
        <f t="shared" si="705"/>
        <v>5.4824999999999999E-2</v>
      </c>
      <c r="BX267" s="460">
        <f t="shared" si="706"/>
        <v>1918.3518242840962</v>
      </c>
      <c r="BY267" s="173">
        <f t="shared" si="707"/>
        <v>5.1957991839556028</v>
      </c>
      <c r="BZ267" s="5">
        <f t="shared" si="708"/>
        <v>13.157999999999999</v>
      </c>
      <c r="CA267" s="173">
        <f t="shared" si="709"/>
        <v>0.71690879191390355</v>
      </c>
      <c r="CB267" s="5">
        <f t="shared" si="710"/>
        <v>71.690879191390351</v>
      </c>
      <c r="CC267">
        <f t="shared" si="711"/>
        <v>51</v>
      </c>
      <c r="CE267" s="562">
        <f t="shared" si="767"/>
        <v>-50</v>
      </c>
      <c r="CG267" s="173">
        <f t="shared" si="768"/>
        <v>0.63373890522832821</v>
      </c>
      <c r="CH267" s="173">
        <f t="shared" si="769"/>
        <v>0.15181069121277552</v>
      </c>
      <c r="CI267" s="170">
        <v>51</v>
      </c>
      <c r="CJ267" s="217">
        <f t="shared" si="712"/>
        <v>3.06</v>
      </c>
      <c r="CK267" s="217">
        <f t="shared" si="654"/>
        <v>5.1000000000000004E-2</v>
      </c>
      <c r="CL267" s="217">
        <f t="shared" si="655"/>
        <v>12.24</v>
      </c>
      <c r="CM267" s="217">
        <f t="shared" si="656"/>
        <v>0.91800000000000004</v>
      </c>
      <c r="CN267" s="541">
        <f t="shared" si="657"/>
        <v>36</v>
      </c>
      <c r="CO267" s="443">
        <f t="shared" si="770"/>
        <v>18.8</v>
      </c>
      <c r="CP267" s="443">
        <f t="shared" si="771"/>
        <v>54.8</v>
      </c>
      <c r="CQ267" s="443"/>
      <c r="CR267" s="217">
        <f t="shared" si="660"/>
        <v>0.34306569343065696</v>
      </c>
      <c r="CS267" s="172">
        <f t="shared" si="661"/>
        <v>38.295705313189622</v>
      </c>
      <c r="CT267" s="172">
        <f t="shared" si="662"/>
        <v>3.0875912408759132</v>
      </c>
      <c r="CU267" s="217">
        <f t="shared" si="663"/>
        <v>9.5739263282974054</v>
      </c>
      <c r="CV267" s="217">
        <f t="shared" si="664"/>
        <v>2.12753918406609</v>
      </c>
      <c r="CW267" s="217">
        <f t="shared" si="665"/>
        <v>4</v>
      </c>
      <c r="CX267" s="217">
        <f t="shared" si="666"/>
        <v>2.1307872340425527</v>
      </c>
      <c r="CY267" s="217">
        <f t="shared" si="667"/>
        <v>0.71026241134751766</v>
      </c>
      <c r="CZ267" s="217">
        <f t="shared" si="668"/>
        <v>1.3600769578995016</v>
      </c>
      <c r="DA267" s="197">
        <f t="shared" si="669"/>
        <v>350</v>
      </c>
      <c r="DB267" s="443">
        <f t="shared" si="670"/>
        <v>350</v>
      </c>
      <c r="DD267" s="217">
        <f t="shared" si="671"/>
        <v>2.940563086548488</v>
      </c>
      <c r="DE267" s="173">
        <f t="shared" si="672"/>
        <v>1.8769551616266944</v>
      </c>
      <c r="DF267" s="173">
        <f t="shared" si="673"/>
        <v>3.5939660877863036</v>
      </c>
      <c r="DG267" s="173"/>
      <c r="DH267" s="173">
        <f t="shared" si="674"/>
        <v>0.85106382978723416</v>
      </c>
      <c r="DI267" s="545">
        <f t="shared" si="675"/>
        <v>1348.3124999999998</v>
      </c>
      <c r="DJ267" s="528">
        <f t="shared" si="676"/>
        <v>0.79432624113475192</v>
      </c>
      <c r="DL267" s="173">
        <f t="shared" si="677"/>
        <v>2.5031408841122555</v>
      </c>
      <c r="DM267" s="173">
        <f t="shared" si="678"/>
        <v>2.5031408841122555</v>
      </c>
      <c r="DN267" s="173">
        <f t="shared" si="679"/>
        <v>2.0665241116880901</v>
      </c>
      <c r="DP267" s="545">
        <f t="shared" si="680"/>
        <v>3060</v>
      </c>
      <c r="DQ267" s="460">
        <f t="shared" si="681"/>
        <v>350</v>
      </c>
      <c r="DS267">
        <f t="shared" si="682"/>
        <v>3060</v>
      </c>
      <c r="DT267">
        <f t="shared" si="683"/>
        <v>350</v>
      </c>
      <c r="DV267" s="5">
        <f t="shared" si="684"/>
        <v>2.8571428571428572</v>
      </c>
      <c r="DW267" s="5">
        <f t="shared" si="685"/>
        <v>0.83438029470408526</v>
      </c>
      <c r="DX267" s="5">
        <f t="shared" si="686"/>
        <v>2.0227625624387722</v>
      </c>
      <c r="DY267" s="173">
        <f t="shared" si="687"/>
        <v>0.29203310314642983</v>
      </c>
      <c r="EA267" s="5">
        <f t="shared" si="713"/>
        <v>63.830092544862524</v>
      </c>
      <c r="EB267" s="5">
        <f t="shared" si="714"/>
        <v>0.23640775016615753</v>
      </c>
      <c r="EC267" s="5">
        <f t="shared" si="715"/>
        <v>0.57311605935765209</v>
      </c>
      <c r="ED267" s="5"/>
      <c r="EE267" s="173">
        <f t="shared" si="716"/>
        <v>0.78098143091157179</v>
      </c>
      <c r="EF267" s="173">
        <f t="shared" si="717"/>
        <v>4.8639727518031872</v>
      </c>
      <c r="EG267" s="173">
        <f t="shared" si="718"/>
        <v>9.2678399730303979E-2</v>
      </c>
      <c r="EH267" s="173"/>
      <c r="EI267" s="528">
        <f t="shared" si="719"/>
        <v>7.4411703442299705E-3</v>
      </c>
      <c r="EJ267" s="528">
        <f t="shared" si="720"/>
        <v>0.96020484314546128</v>
      </c>
      <c r="EK267" s="528">
        <f t="shared" si="721"/>
        <v>4.3749999999999997E-2</v>
      </c>
      <c r="EL267" s="528">
        <f t="shared" si="722"/>
        <v>0.10510639999999997</v>
      </c>
      <c r="EM267">
        <f t="shared" si="723"/>
        <v>1.6199999999999999E-2</v>
      </c>
      <c r="EN267" s="460">
        <f t="shared" si="724"/>
        <v>59.949999999999996</v>
      </c>
      <c r="EP267" s="460">
        <f t="shared" si="725"/>
        <v>1132.7024134896913</v>
      </c>
      <c r="EQ267" s="173">
        <f t="shared" si="726"/>
        <v>2.1419999999999999</v>
      </c>
      <c r="ER267" s="173">
        <f t="shared" si="772"/>
        <v>2.2631250000000002E-2</v>
      </c>
      <c r="ES267" s="528"/>
      <c r="EU267" s="460">
        <f t="shared" si="727"/>
        <v>2164.6312499999999</v>
      </c>
      <c r="EV267" s="528">
        <f t="shared" si="728"/>
        <v>1.8297959862860584E-2</v>
      </c>
      <c r="EW267" s="528">
        <f t="shared" si="729"/>
        <v>0.70974692790851612</v>
      </c>
      <c r="EX267" s="528">
        <f t="shared" si="730"/>
        <v>4.2946428882850043E-5</v>
      </c>
      <c r="EY267" s="528">
        <f t="shared" si="731"/>
        <v>1.1359346555349734</v>
      </c>
      <c r="EZ267" s="528"/>
      <c r="FA267" s="625">
        <f t="shared" si="732"/>
        <v>5.4824999999999999E-2</v>
      </c>
      <c r="FB267" s="460">
        <f t="shared" si="733"/>
        <v>1918.8474897352328</v>
      </c>
      <c r="FC267" s="173">
        <f t="shared" si="734"/>
        <v>5.216181153224924</v>
      </c>
      <c r="FD267" s="5">
        <f t="shared" si="735"/>
        <v>13.157999999999999</v>
      </c>
      <c r="FE267" s="173">
        <f t="shared" si="736"/>
        <v>0.7161135448852689</v>
      </c>
      <c r="FF267" s="5">
        <f t="shared" si="737"/>
        <v>71.611354488526885</v>
      </c>
      <c r="FG267">
        <f t="shared" si="738"/>
        <v>51</v>
      </c>
      <c r="FI267" s="562">
        <f t="shared" si="689"/>
        <v>-50</v>
      </c>
    </row>
    <row r="268" spans="5:165">
      <c r="E268" s="170">
        <v>52</v>
      </c>
      <c r="F268" s="217">
        <f t="shared" si="773"/>
        <v>3.12</v>
      </c>
      <c r="G268" s="217">
        <f t="shared" si="742"/>
        <v>5.2000000000000005E-2</v>
      </c>
      <c r="H268" s="217">
        <f t="shared" si="743"/>
        <v>12.48</v>
      </c>
      <c r="I268" s="217">
        <f t="shared" si="744"/>
        <v>0.93600000000000005</v>
      </c>
      <c r="J268" s="541">
        <f t="shared" si="745"/>
        <v>35.934475723049943</v>
      </c>
      <c r="K268" s="443">
        <f t="shared" si="746"/>
        <v>19.385071424211244</v>
      </c>
      <c r="L268" s="172">
        <f t="shared" si="747"/>
        <v>55.31954714726119</v>
      </c>
      <c r="M268" s="443"/>
      <c r="N268" s="217">
        <f t="shared" si="748"/>
        <v>0.35041992250240206</v>
      </c>
      <c r="O268" s="172">
        <f t="shared" si="749"/>
        <v>39.045445575304214</v>
      </c>
      <c r="P268" s="172">
        <f t="shared" si="750"/>
        <v>3.1480390495089021</v>
      </c>
      <c r="Q268" s="217">
        <f t="shared" si="626"/>
        <v>9.7613613938260535</v>
      </c>
      <c r="R268" s="217">
        <f t="shared" si="751"/>
        <v>2.1691914208502343</v>
      </c>
      <c r="S268" s="217">
        <f t="shared" si="752"/>
        <v>4</v>
      </c>
      <c r="T268" s="217">
        <f t="shared" si="753"/>
        <v>2.1308503149115818</v>
      </c>
      <c r="U268" s="217">
        <f t="shared" si="630"/>
        <v>0.711578595886878</v>
      </c>
      <c r="V268" s="217">
        <f t="shared" si="631"/>
        <v>1.3190667818227759</v>
      </c>
      <c r="W268" s="197">
        <f t="shared" si="632"/>
        <v>350</v>
      </c>
      <c r="X268" s="443">
        <f t="shared" si="691"/>
        <v>350</v>
      </c>
      <c r="Z268" s="217">
        <f t="shared" si="633"/>
        <v>2.9981324281037165</v>
      </c>
      <c r="AA268" s="173">
        <f t="shared" si="634"/>
        <v>1.8559430785645656</v>
      </c>
      <c r="AB268" s="173">
        <f t="shared" si="754"/>
        <v>3.6233062232477651</v>
      </c>
      <c r="AC268" s="173"/>
      <c r="AD268" s="173">
        <f t="shared" si="636"/>
        <v>0.82537740768994994</v>
      </c>
      <c r="AE268" s="545">
        <f t="shared" si="755"/>
        <v>1417.5333478954469</v>
      </c>
      <c r="AF268" s="528">
        <f t="shared" si="756"/>
        <v>0.77035224717728679</v>
      </c>
      <c r="AH268" s="173">
        <f t="shared" si="757"/>
        <v>2.5275623490967396</v>
      </c>
      <c r="AI268" s="173">
        <f t="shared" si="758"/>
        <v>2.5275623490967396</v>
      </c>
      <c r="AJ268" s="173">
        <f t="shared" si="759"/>
        <v>2.0846140857506712</v>
      </c>
      <c r="AL268" s="545">
        <f t="shared" si="760"/>
        <v>3120</v>
      </c>
      <c r="AM268" s="460">
        <f t="shared" si="761"/>
        <v>350</v>
      </c>
      <c r="AO268">
        <f t="shared" si="644"/>
        <v>3120</v>
      </c>
      <c r="AP268">
        <f t="shared" si="645"/>
        <v>350</v>
      </c>
      <c r="AR268" s="5">
        <f t="shared" si="774"/>
        <v>2.8571428571428572</v>
      </c>
      <c r="AS268" s="5">
        <f t="shared" si="739"/>
        <v>0.84405706717199747</v>
      </c>
      <c r="AT268" s="5">
        <f t="shared" si="740"/>
        <v>2.0130857899708596</v>
      </c>
      <c r="AU268" s="173">
        <f t="shared" si="741"/>
        <v>0.29541997351019911</v>
      </c>
      <c r="BA268" s="173">
        <f t="shared" si="692"/>
        <v>0.7931606819547109</v>
      </c>
      <c r="BB268" s="173">
        <f t="shared" si="693"/>
        <v>4.8996652001947192</v>
      </c>
      <c r="BC268" s="173">
        <f t="shared" si="694"/>
        <v>9.3358485571277766E-2</v>
      </c>
      <c r="BD268" s="173"/>
      <c r="BE268" s="528">
        <f t="shared" si="695"/>
        <v>7.6750671822661161E-3</v>
      </c>
      <c r="BF268" s="528">
        <f t="shared" si="762"/>
        <v>0.9175924047839018</v>
      </c>
      <c r="BG268" s="528">
        <f t="shared" si="763"/>
        <v>0.31442666257668694</v>
      </c>
      <c r="BH268" s="528">
        <f t="shared" si="696"/>
        <v>0.10710883038023188</v>
      </c>
      <c r="BI268">
        <f t="shared" si="697"/>
        <v>1.6170514075372473E-2</v>
      </c>
      <c r="BJ268" s="460">
        <f t="shared" si="698"/>
        <v>330.59717665205937</v>
      </c>
      <c r="BK268">
        <f t="shared" si="764"/>
        <v>1.0363384330679444</v>
      </c>
      <c r="BL268" s="460">
        <f t="shared" si="699"/>
        <v>1362.9734789984591</v>
      </c>
      <c r="BM268" s="173">
        <f t="shared" si="765"/>
        <v>1.9382999999999997</v>
      </c>
      <c r="BN268" s="173">
        <f t="shared" si="766"/>
        <v>2.3075000000000002E-2</v>
      </c>
      <c r="BQ268" s="460">
        <f t="shared" si="700"/>
        <v>1961.3749999999995</v>
      </c>
      <c r="BR268" s="528">
        <f t="shared" si="701"/>
        <v>1.8873116021965862E-2</v>
      </c>
      <c r="BS268" s="528">
        <f t="shared" si="702"/>
        <v>0.72020157221997472</v>
      </c>
      <c r="BT268" s="528">
        <f t="shared" si="703"/>
        <v>4.3579034140812394E-5</v>
      </c>
      <c r="BU268" s="528">
        <f t="shared" si="704"/>
        <v>1.1638440986016492</v>
      </c>
      <c r="BV268" s="528"/>
      <c r="BW268" s="625">
        <f t="shared" si="705"/>
        <v>5.5900000000000005E-2</v>
      </c>
      <c r="BX268" s="460">
        <f t="shared" si="706"/>
        <v>1958.8623658777303</v>
      </c>
      <c r="BY268" s="173">
        <f t="shared" si="707"/>
        <v>5.2832108448761899</v>
      </c>
      <c r="BZ268" s="5">
        <f t="shared" si="708"/>
        <v>13.416</v>
      </c>
      <c r="CA268" s="173">
        <f t="shared" si="709"/>
        <v>0.71746343261732604</v>
      </c>
      <c r="CB268" s="5">
        <f t="shared" si="710"/>
        <v>71.746343261732605</v>
      </c>
      <c r="CC268">
        <f t="shared" si="711"/>
        <v>52</v>
      </c>
      <c r="CE268" s="562">
        <f t="shared" si="767"/>
        <v>-50</v>
      </c>
      <c r="CG268" s="173">
        <f t="shared" si="768"/>
        <v>0.6399218702310463</v>
      </c>
      <c r="CH268" s="173">
        <f t="shared" si="769"/>
        <v>0.15329180620045146</v>
      </c>
      <c r="CI268" s="170">
        <v>52</v>
      </c>
      <c r="CJ268" s="217">
        <f t="shared" si="712"/>
        <v>3.12</v>
      </c>
      <c r="CK268" s="217">
        <f t="shared" si="654"/>
        <v>5.2000000000000005E-2</v>
      </c>
      <c r="CL268" s="217">
        <f t="shared" si="655"/>
        <v>12.48</v>
      </c>
      <c r="CM268" s="217">
        <f t="shared" si="656"/>
        <v>0.93600000000000005</v>
      </c>
      <c r="CN268" s="541">
        <f t="shared" si="657"/>
        <v>36</v>
      </c>
      <c r="CO268" s="443">
        <f t="shared" si="770"/>
        <v>18.8</v>
      </c>
      <c r="CP268" s="443">
        <f t="shared" si="771"/>
        <v>54.8</v>
      </c>
      <c r="CQ268" s="443"/>
      <c r="CR268" s="217">
        <f t="shared" si="660"/>
        <v>0.34306569343065696</v>
      </c>
      <c r="CS268" s="172">
        <f t="shared" si="661"/>
        <v>38.295705313189622</v>
      </c>
      <c r="CT268" s="172">
        <f t="shared" si="662"/>
        <v>3.0875912408759132</v>
      </c>
      <c r="CU268" s="217">
        <f t="shared" si="663"/>
        <v>9.5739263282974054</v>
      </c>
      <c r="CV268" s="217">
        <f t="shared" si="664"/>
        <v>2.12753918406609</v>
      </c>
      <c r="CW268" s="217">
        <f t="shared" si="665"/>
        <v>4</v>
      </c>
      <c r="CX268" s="217">
        <f t="shared" si="666"/>
        <v>2.1725673758865245</v>
      </c>
      <c r="CY268" s="217">
        <f t="shared" si="667"/>
        <v>0.72418912529550827</v>
      </c>
      <c r="CZ268" s="217">
        <f t="shared" si="668"/>
        <v>1.3867451335445899</v>
      </c>
      <c r="DA268" s="197">
        <f t="shared" si="669"/>
        <v>350</v>
      </c>
      <c r="DB268" s="443">
        <f t="shared" si="670"/>
        <v>350</v>
      </c>
      <c r="DD268" s="217">
        <f t="shared" si="671"/>
        <v>2.940563086548488</v>
      </c>
      <c r="DE268" s="173">
        <f t="shared" si="672"/>
        <v>1.8769551616266944</v>
      </c>
      <c r="DF268" s="173">
        <f t="shared" si="673"/>
        <v>3.5939660877863036</v>
      </c>
      <c r="DG268" s="173"/>
      <c r="DH268" s="173">
        <f t="shared" si="674"/>
        <v>0.85106382978723416</v>
      </c>
      <c r="DI268" s="545">
        <f t="shared" si="675"/>
        <v>1374.7499999999998</v>
      </c>
      <c r="DJ268" s="528">
        <f t="shared" si="676"/>
        <v>0.79432624113475192</v>
      </c>
      <c r="DL268" s="173">
        <f t="shared" si="677"/>
        <v>2.5275623490967396</v>
      </c>
      <c r="DM268" s="173">
        <f t="shared" si="678"/>
        <v>2.5275623490967396</v>
      </c>
      <c r="DN268" s="173">
        <f t="shared" si="679"/>
        <v>2.0846140857506712</v>
      </c>
      <c r="DP268" s="545">
        <f t="shared" si="680"/>
        <v>3120</v>
      </c>
      <c r="DQ268" s="460">
        <f t="shared" si="681"/>
        <v>350</v>
      </c>
      <c r="DS268">
        <f t="shared" si="682"/>
        <v>3120</v>
      </c>
      <c r="DT268">
        <f t="shared" si="683"/>
        <v>350</v>
      </c>
      <c r="DV268" s="5">
        <f t="shared" si="684"/>
        <v>2.8571428571428572</v>
      </c>
      <c r="DW268" s="5">
        <f t="shared" si="685"/>
        <v>0.84252078303224665</v>
      </c>
      <c r="DX268" s="5">
        <f t="shared" si="686"/>
        <v>2.0146220741106107</v>
      </c>
      <c r="DY268" s="173">
        <f t="shared" si="687"/>
        <v>0.29488227406128631</v>
      </c>
      <c r="EA268" s="5">
        <f t="shared" si="713"/>
        <v>65.716621076515239</v>
      </c>
      <c r="EB268" s="5">
        <f t="shared" si="714"/>
        <v>0.2433948928759824</v>
      </c>
      <c r="EC268" s="5">
        <f t="shared" si="715"/>
        <v>0.58200193252084298</v>
      </c>
      <c r="ED268" s="5"/>
      <c r="EE268" s="173">
        <f t="shared" si="716"/>
        <v>0.79243852986842733</v>
      </c>
      <c r="EF268" s="173">
        <f t="shared" si="717"/>
        <v>4.9015344306105204</v>
      </c>
      <c r="EG268" s="173">
        <f t="shared" si="718"/>
        <v>9.3394101988659911E-2</v>
      </c>
      <c r="EH268" s="173"/>
      <c r="EI268" s="528">
        <f t="shared" si="719"/>
        <v>7.6610976481644192E-3</v>
      </c>
      <c r="EJ268" s="528">
        <f t="shared" si="720"/>
        <v>0.96957291711350935</v>
      </c>
      <c r="EK268" s="528">
        <f t="shared" si="721"/>
        <v>4.3749999999999997E-2</v>
      </c>
      <c r="EL268" s="528">
        <f t="shared" si="722"/>
        <v>0.10510639999999997</v>
      </c>
      <c r="EM268">
        <f t="shared" si="723"/>
        <v>1.6199999999999999E-2</v>
      </c>
      <c r="EN268" s="460">
        <f t="shared" si="724"/>
        <v>59.949999999999996</v>
      </c>
      <c r="EP268" s="460">
        <f t="shared" si="725"/>
        <v>1142.2904147616737</v>
      </c>
      <c r="EQ268" s="173">
        <f t="shared" si="726"/>
        <v>2.1839999999999997</v>
      </c>
      <c r="ER268" s="173">
        <f t="shared" si="772"/>
        <v>2.3075000000000002E-2</v>
      </c>
      <c r="ES268" s="528"/>
      <c r="EU268" s="460">
        <f t="shared" si="727"/>
        <v>2207.0749999999998</v>
      </c>
      <c r="EV268" s="528">
        <f t="shared" si="728"/>
        <v>1.8838764708601033E-2</v>
      </c>
      <c r="EW268" s="528">
        <f t="shared" si="729"/>
        <v>0.72075119323381198</v>
      </c>
      <c r="EX268" s="528">
        <f t="shared" si="730"/>
        <v>4.361229143134105E-5</v>
      </c>
      <c r="EY268" s="528">
        <f t="shared" si="731"/>
        <v>1.1638440986016492</v>
      </c>
      <c r="EZ268" s="528"/>
      <c r="FA268" s="625">
        <f t="shared" si="732"/>
        <v>5.5900000000000005E-2</v>
      </c>
      <c r="FB268" s="460">
        <f t="shared" si="733"/>
        <v>1959.3776688354935</v>
      </c>
      <c r="FC268" s="173">
        <f t="shared" si="734"/>
        <v>5.3087430835971672</v>
      </c>
      <c r="FD268" s="5">
        <f t="shared" si="735"/>
        <v>13.416</v>
      </c>
      <c r="FE268" s="173">
        <f t="shared" si="736"/>
        <v>0.71648513093631627</v>
      </c>
      <c r="FF268" s="5">
        <f t="shared" si="737"/>
        <v>71.648513093631621</v>
      </c>
      <c r="FG268">
        <f t="shared" si="738"/>
        <v>52</v>
      </c>
      <c r="FI268" s="562">
        <f t="shared" si="689"/>
        <v>-50</v>
      </c>
    </row>
    <row r="269" spans="5:165">
      <c r="E269" s="170">
        <v>53</v>
      </c>
      <c r="F269" s="217">
        <f t="shared" si="773"/>
        <v>3.18</v>
      </c>
      <c r="G269" s="217">
        <f t="shared" si="742"/>
        <v>5.3000000000000005E-2</v>
      </c>
      <c r="H269" s="217">
        <f t="shared" si="743"/>
        <v>12.72</v>
      </c>
      <c r="I269" s="217">
        <f t="shared" si="744"/>
        <v>0.95400000000000007</v>
      </c>
      <c r="J269" s="541">
        <f t="shared" si="745"/>
        <v>35.933848682189286</v>
      </c>
      <c r="K269" s="443">
        <f t="shared" si="746"/>
        <v>19.390670321390392</v>
      </c>
      <c r="L269" s="172">
        <f t="shared" si="747"/>
        <v>55.324519003579681</v>
      </c>
      <c r="M269" s="443"/>
      <c r="N269" s="217">
        <f t="shared" si="748"/>
        <v>0.35048963227562357</v>
      </c>
      <c r="O269" s="172">
        <f t="shared" si="749"/>
        <v>39.052531506568755</v>
      </c>
      <c r="P269" s="172">
        <f t="shared" si="750"/>
        <v>3.1486103527171059</v>
      </c>
      <c r="Q269" s="217">
        <f t="shared" si="626"/>
        <v>9.7631328766421888</v>
      </c>
      <c r="R269" s="217">
        <f t="shared" si="751"/>
        <v>2.169585083698264</v>
      </c>
      <c r="S269" s="217">
        <f t="shared" si="752"/>
        <v>4</v>
      </c>
      <c r="T269" s="217">
        <f t="shared" si="753"/>
        <v>2.1714341357291111</v>
      </c>
      <c r="U269" s="217">
        <f t="shared" si="630"/>
        <v>0.72514385695804029</v>
      </c>
      <c r="V269" s="217">
        <f t="shared" si="631"/>
        <v>1.3438013847311352</v>
      </c>
      <c r="W269" s="197">
        <f t="shared" si="632"/>
        <v>350</v>
      </c>
      <c r="X269" s="443">
        <f t="shared" si="691"/>
        <v>350</v>
      </c>
      <c r="Z269" s="217">
        <f t="shared" si="633"/>
        <v>2.9986765263972441</v>
      </c>
      <c r="AA269" s="173">
        <f t="shared" si="634"/>
        <v>1.8557439077839328</v>
      </c>
      <c r="AB269" s="173">
        <f t="shared" si="754"/>
        <v>3.6235748713427536</v>
      </c>
      <c r="AC269" s="173"/>
      <c r="AD269" s="173">
        <f t="shared" si="636"/>
        <v>0.82513908672615377</v>
      </c>
      <c r="AE269" s="545">
        <f t="shared" si="755"/>
        <v>1445.2108973911272</v>
      </c>
      <c r="AF269" s="528">
        <f t="shared" si="756"/>
        <v>0.77012981427774374</v>
      </c>
      <c r="AH269" s="173">
        <f t="shared" si="757"/>
        <v>2.5517500997214779</v>
      </c>
      <c r="AI269" s="173">
        <f t="shared" si="758"/>
        <v>2.5517500997214779</v>
      </c>
      <c r="AJ269" s="173">
        <f t="shared" si="759"/>
        <v>2.1025309380652919</v>
      </c>
      <c r="AL269" s="545">
        <f t="shared" si="760"/>
        <v>3180</v>
      </c>
      <c r="AM269" s="460">
        <f t="shared" si="761"/>
        <v>350</v>
      </c>
      <c r="AO269">
        <f t="shared" si="644"/>
        <v>3180</v>
      </c>
      <c r="AP269">
        <f t="shared" si="645"/>
        <v>350</v>
      </c>
      <c r="AR269" s="5">
        <f t="shared" si="774"/>
        <v>2.8571428571428572</v>
      </c>
      <c r="AS269" s="5">
        <f t="shared" si="739"/>
        <v>0.85214922196283183</v>
      </c>
      <c r="AT269" s="5">
        <f t="shared" si="740"/>
        <v>2.0049936351800253</v>
      </c>
      <c r="AU269" s="173">
        <f t="shared" si="741"/>
        <v>0.29825222768699111</v>
      </c>
      <c r="BA269" s="173">
        <f t="shared" si="692"/>
        <v>0.80458023773337728</v>
      </c>
      <c r="BB269" s="173">
        <f t="shared" si="693"/>
        <v>4.9366009869546357</v>
      </c>
      <c r="BC269" s="173">
        <f t="shared" si="694"/>
        <v>9.4062262048730208E-2</v>
      </c>
      <c r="BD269" s="173"/>
      <c r="BE269" s="528">
        <f t="shared" si="695"/>
        <v>7.8976621792033932E-3</v>
      </c>
      <c r="BF269" s="528">
        <f t="shared" si="762"/>
        <v>0.92645665142905387</v>
      </c>
      <c r="BG269" s="528">
        <f t="shared" si="763"/>
        <v>0.31442117596915625</v>
      </c>
      <c r="BH269" s="528">
        <f t="shared" si="696"/>
        <v>0.10712808410421072</v>
      </c>
      <c r="BI269">
        <f t="shared" si="697"/>
        <v>1.6170231906985178E-2</v>
      </c>
      <c r="BJ269" s="460">
        <f t="shared" si="698"/>
        <v>330.59140787614143</v>
      </c>
      <c r="BK269">
        <f t="shared" si="764"/>
        <v>1.0455767751482969</v>
      </c>
      <c r="BL269" s="460">
        <f t="shared" si="699"/>
        <v>1372.0738055886095</v>
      </c>
      <c r="BM269" s="173">
        <f t="shared" si="765"/>
        <v>1.9755749999999999</v>
      </c>
      <c r="BN269" s="173">
        <f t="shared" si="766"/>
        <v>2.3518750000000001E-2</v>
      </c>
      <c r="BQ269" s="460">
        <f t="shared" si="700"/>
        <v>1999.09375</v>
      </c>
      <c r="BR269" s="528">
        <f t="shared" si="701"/>
        <v>1.9420480768532936E-2</v>
      </c>
      <c r="BS269" s="528">
        <f t="shared" si="702"/>
        <v>0.73110087913204447</v>
      </c>
      <c r="BT269" s="528">
        <f t="shared" si="703"/>
        <v>4.4238545708619954E-5</v>
      </c>
      <c r="BU269" s="528">
        <f t="shared" si="704"/>
        <v>1.1918880520211934</v>
      </c>
      <c r="BV269" s="528"/>
      <c r="BW269" s="625">
        <f t="shared" si="705"/>
        <v>5.6975000000000019E-2</v>
      </c>
      <c r="BX269" s="460">
        <f t="shared" si="706"/>
        <v>1999.4286504674794</v>
      </c>
      <c r="BY269" s="173">
        <f t="shared" si="707"/>
        <v>5.3705962060560886</v>
      </c>
      <c r="BZ269" s="5">
        <f t="shared" si="708"/>
        <v>13.674000000000001</v>
      </c>
      <c r="CA269" s="173">
        <f t="shared" si="709"/>
        <v>0.71799894584542223</v>
      </c>
      <c r="CB269" s="5">
        <f t="shared" si="710"/>
        <v>71.79989458454223</v>
      </c>
      <c r="CC269">
        <f t="shared" si="711"/>
        <v>53</v>
      </c>
      <c r="CE269" s="562">
        <f t="shared" si="767"/>
        <v>-50</v>
      </c>
      <c r="CG269" s="173">
        <f t="shared" si="768"/>
        <v>0.64604566402074093</v>
      </c>
      <c r="CH269" s="173">
        <f t="shared" si="769"/>
        <v>0.1547587468606956</v>
      </c>
      <c r="CI269" s="170">
        <v>53</v>
      </c>
      <c r="CJ269" s="217">
        <f t="shared" si="712"/>
        <v>3.18</v>
      </c>
      <c r="CK269" s="217">
        <f t="shared" si="654"/>
        <v>5.3000000000000005E-2</v>
      </c>
      <c r="CL269" s="217">
        <f t="shared" si="655"/>
        <v>12.72</v>
      </c>
      <c r="CM269" s="217">
        <f t="shared" si="656"/>
        <v>0.95400000000000007</v>
      </c>
      <c r="CN269" s="541">
        <f t="shared" si="657"/>
        <v>36</v>
      </c>
      <c r="CO269" s="443">
        <f t="shared" si="770"/>
        <v>18.8</v>
      </c>
      <c r="CP269" s="443">
        <f t="shared" si="771"/>
        <v>54.8</v>
      </c>
      <c r="CQ269" s="443"/>
      <c r="CR269" s="217">
        <f t="shared" si="660"/>
        <v>0.34306569343065696</v>
      </c>
      <c r="CS269" s="172">
        <f t="shared" si="661"/>
        <v>38.295705313189622</v>
      </c>
      <c r="CT269" s="172">
        <f t="shared" si="662"/>
        <v>3.0875912408759132</v>
      </c>
      <c r="CU269" s="217">
        <f t="shared" si="663"/>
        <v>9.5739263282974054</v>
      </c>
      <c r="CV269" s="217">
        <f t="shared" si="664"/>
        <v>2.12753918406609</v>
      </c>
      <c r="CW269" s="217">
        <f t="shared" si="665"/>
        <v>4</v>
      </c>
      <c r="CX269" s="217">
        <f t="shared" si="666"/>
        <v>2.2143475177304963</v>
      </c>
      <c r="CY269" s="217">
        <f t="shared" si="667"/>
        <v>0.73811583924349877</v>
      </c>
      <c r="CZ269" s="217">
        <f t="shared" si="668"/>
        <v>1.4134133091896783</v>
      </c>
      <c r="DA269" s="197">
        <f t="shared" si="669"/>
        <v>350</v>
      </c>
      <c r="DB269" s="443">
        <f t="shared" si="670"/>
        <v>350</v>
      </c>
      <c r="DD269" s="217">
        <f t="shared" si="671"/>
        <v>2.940563086548488</v>
      </c>
      <c r="DE269" s="173">
        <f t="shared" si="672"/>
        <v>1.8769551616266944</v>
      </c>
      <c r="DF269" s="173">
        <f t="shared" si="673"/>
        <v>3.5939660877863036</v>
      </c>
      <c r="DG269" s="173"/>
      <c r="DH269" s="173">
        <f t="shared" si="674"/>
        <v>0.85106382978723416</v>
      </c>
      <c r="DI269" s="545">
        <f t="shared" si="675"/>
        <v>1401.1874999999998</v>
      </c>
      <c r="DJ269" s="528">
        <f t="shared" si="676"/>
        <v>0.79432624113475192</v>
      </c>
      <c r="DL269" s="173">
        <f t="shared" si="677"/>
        <v>2.5517500997214779</v>
      </c>
      <c r="DM269" s="173">
        <f t="shared" si="678"/>
        <v>2.5517500997214779</v>
      </c>
      <c r="DN269" s="173">
        <f t="shared" si="679"/>
        <v>2.1025309380652919</v>
      </c>
      <c r="DP269" s="545">
        <f t="shared" si="680"/>
        <v>3180</v>
      </c>
      <c r="DQ269" s="460">
        <f t="shared" si="681"/>
        <v>350</v>
      </c>
      <c r="DS269">
        <f t="shared" si="682"/>
        <v>3180</v>
      </c>
      <c r="DT269">
        <f t="shared" si="683"/>
        <v>350</v>
      </c>
      <c r="DV269" s="5">
        <f t="shared" si="684"/>
        <v>2.8571428571428572</v>
      </c>
      <c r="DW269" s="5">
        <f t="shared" si="685"/>
        <v>0.85058336657382594</v>
      </c>
      <c r="DX269" s="5">
        <f t="shared" si="686"/>
        <v>2.0065594905690314</v>
      </c>
      <c r="DY269" s="173">
        <f t="shared" si="687"/>
        <v>0.29770417830083906</v>
      </c>
      <c r="EA269" s="5">
        <f t="shared" si="713"/>
        <v>67.621377642619166</v>
      </c>
      <c r="EB269" s="5">
        <f t="shared" si="714"/>
        <v>0.25044954682451542</v>
      </c>
      <c r="EC269" s="5">
        <f t="shared" si="715"/>
        <v>0.59082029444532591</v>
      </c>
      <c r="ED269" s="5"/>
      <c r="EE269" s="173">
        <f t="shared" si="716"/>
        <v>0.80384067501417833</v>
      </c>
      <c r="EF269" s="173">
        <f t="shared" si="717"/>
        <v>4.938528298461299</v>
      </c>
      <c r="EG269" s="173">
        <f t="shared" si="718"/>
        <v>9.4098985146357186E-2</v>
      </c>
      <c r="EH269" s="173"/>
      <c r="EI269" s="528">
        <f t="shared" si="719"/>
        <v>7.8831499358484464E-3</v>
      </c>
      <c r="EJ269" s="528">
        <f t="shared" si="720"/>
        <v>0.97885133825315895</v>
      </c>
      <c r="EK269" s="528">
        <f t="shared" si="721"/>
        <v>4.3749999999999997E-2</v>
      </c>
      <c r="EL269" s="528">
        <f t="shared" si="722"/>
        <v>0.10510639999999997</v>
      </c>
      <c r="EM269">
        <f t="shared" si="723"/>
        <v>1.6199999999999999E-2</v>
      </c>
      <c r="EN269" s="460">
        <f t="shared" si="724"/>
        <v>59.949999999999996</v>
      </c>
      <c r="EP269" s="460">
        <f t="shared" si="725"/>
        <v>1151.7908881890073</v>
      </c>
      <c r="EQ269" s="173">
        <f t="shared" si="726"/>
        <v>2.226</v>
      </c>
      <c r="ER269" s="173">
        <f t="shared" si="772"/>
        <v>2.3518750000000001E-2</v>
      </c>
      <c r="ES269" s="528"/>
      <c r="EU269" s="460">
        <f t="shared" si="727"/>
        <v>2249.5187500000002</v>
      </c>
      <c r="EV269" s="528">
        <f t="shared" si="728"/>
        <v>1.9384794924217495E-2</v>
      </c>
      <c r="EW269" s="528">
        <f t="shared" si="729"/>
        <v>0.73167185264109158</v>
      </c>
      <c r="EX269" s="528">
        <f t="shared" si="730"/>
        <v>4.4273095027871756E-5</v>
      </c>
      <c r="EY269" s="528">
        <f t="shared" si="731"/>
        <v>1.1918880520211934</v>
      </c>
      <c r="EZ269" s="528"/>
      <c r="FA269" s="625">
        <f t="shared" si="732"/>
        <v>5.6975000000000019E-2</v>
      </c>
      <c r="FB269" s="460">
        <f t="shared" si="733"/>
        <v>1999.9639726815303</v>
      </c>
      <c r="FC269" s="173">
        <f t="shared" si="734"/>
        <v>5.4012736108705388</v>
      </c>
      <c r="FD269" s="5">
        <f t="shared" si="735"/>
        <v>13.674000000000001</v>
      </c>
      <c r="FE269" s="173">
        <f t="shared" si="736"/>
        <v>0.71684423924632557</v>
      </c>
      <c r="FF269" s="5">
        <f t="shared" si="737"/>
        <v>71.684423924632554</v>
      </c>
      <c r="FG269">
        <f t="shared" si="738"/>
        <v>53</v>
      </c>
      <c r="FI269" s="562">
        <f t="shared" si="689"/>
        <v>-50</v>
      </c>
    </row>
    <row r="270" spans="5:165">
      <c r="E270" s="170">
        <v>54</v>
      </c>
      <c r="F270" s="217">
        <f t="shared" si="773"/>
        <v>3.24</v>
      </c>
      <c r="G270" s="217">
        <f t="shared" si="742"/>
        <v>5.4000000000000006E-2</v>
      </c>
      <c r="H270" s="217">
        <f t="shared" si="743"/>
        <v>12.96</v>
      </c>
      <c r="I270" s="217">
        <f t="shared" si="744"/>
        <v>0.97200000000000009</v>
      </c>
      <c r="J270" s="541">
        <f t="shared" si="745"/>
        <v>35.933227529427462</v>
      </c>
      <c r="K270" s="443">
        <f t="shared" si="746"/>
        <v>19.396216643271796</v>
      </c>
      <c r="L270" s="172">
        <f t="shared" si="747"/>
        <v>55.329444172699255</v>
      </c>
      <c r="M270" s="443"/>
      <c r="N270" s="217">
        <f t="shared" si="748"/>
        <v>0.35055867510128197</v>
      </c>
      <c r="O270" s="172">
        <f t="shared" si="749"/>
        <v>39.059549255283734</v>
      </c>
      <c r="P270" s="172">
        <f t="shared" si="750"/>
        <v>3.1491761587072511</v>
      </c>
      <c r="Q270" s="217">
        <f t="shared" si="626"/>
        <v>9.7648873138209336</v>
      </c>
      <c r="R270" s="217">
        <f t="shared" si="751"/>
        <v>2.1699749586268742</v>
      </c>
      <c r="S270" s="217">
        <f t="shared" si="752"/>
        <v>4</v>
      </c>
      <c r="T270" s="217">
        <f t="shared" si="753"/>
        <v>2.2120070929469917</v>
      </c>
      <c r="U270" s="217">
        <f t="shared" si="630"/>
        <v>0.7387058424859182</v>
      </c>
      <c r="V270" s="217">
        <f t="shared" si="631"/>
        <v>1.368518696380491</v>
      </c>
      <c r="W270" s="197">
        <f t="shared" si="632"/>
        <v>350</v>
      </c>
      <c r="X270" s="443">
        <f t="shared" si="691"/>
        <v>350</v>
      </c>
      <c r="Z270" s="217">
        <f t="shared" si="633"/>
        <v>2.9992153892450002</v>
      </c>
      <c r="AA270" s="173">
        <f t="shared" si="634"/>
        <v>1.855546642567766</v>
      </c>
      <c r="AB270" s="173">
        <f t="shared" si="754"/>
        <v>3.6238407740426002</v>
      </c>
      <c r="AC270" s="173"/>
      <c r="AD270" s="173">
        <f t="shared" si="636"/>
        <v>0.82490313932176662</v>
      </c>
      <c r="AE270" s="545">
        <f t="shared" si="755"/>
        <v>1472.9002013484517</v>
      </c>
      <c r="AF270" s="528">
        <f t="shared" si="756"/>
        <v>0.76990959670031567</v>
      </c>
      <c r="AH270" s="173">
        <f t="shared" si="757"/>
        <v>2.5757107202257234</v>
      </c>
      <c r="AI270" s="173">
        <f t="shared" si="758"/>
        <v>2.5757107202257234</v>
      </c>
      <c r="AJ270" s="173">
        <f t="shared" si="759"/>
        <v>2.1202795458462145</v>
      </c>
      <c r="AL270" s="545">
        <f t="shared" si="760"/>
        <v>3240</v>
      </c>
      <c r="AM270" s="460">
        <f t="shared" si="761"/>
        <v>350</v>
      </c>
      <c r="AO270">
        <f t="shared" si="644"/>
        <v>3240</v>
      </c>
      <c r="AP270">
        <f t="shared" si="645"/>
        <v>350</v>
      </c>
      <c r="AR270" s="5">
        <f t="shared" si="774"/>
        <v>2.8571428571428572</v>
      </c>
      <c r="AS270" s="5">
        <f t="shared" si="739"/>
        <v>0.86016566748411871</v>
      </c>
      <c r="AT270" s="5">
        <f t="shared" si="740"/>
        <v>1.9969771896587385</v>
      </c>
      <c r="AU270" s="173">
        <f t="shared" si="741"/>
        <v>0.30105798361944153</v>
      </c>
      <c r="BA270" s="173">
        <f t="shared" si="692"/>
        <v>0.81594621552692304</v>
      </c>
      <c r="BB270" s="173">
        <f t="shared" si="693"/>
        <v>4.9729835628859478</v>
      </c>
      <c r="BC270" s="173">
        <f t="shared" si="694"/>
        <v>9.4755497617151185E-2</v>
      </c>
      <c r="BD270" s="173"/>
      <c r="BE270" s="528">
        <f t="shared" si="695"/>
        <v>8.1223723649190369E-3</v>
      </c>
      <c r="BF270" s="528">
        <f t="shared" si="762"/>
        <v>0.93523921640462349</v>
      </c>
      <c r="BG270" s="528">
        <f t="shared" si="763"/>
        <v>0.31441574088249025</v>
      </c>
      <c r="BH270" s="528">
        <f t="shared" si="696"/>
        <v>0.10714715873609452</v>
      </c>
      <c r="BI270">
        <f t="shared" si="697"/>
        <v>1.6169952388242356E-2</v>
      </c>
      <c r="BJ270" s="460">
        <f t="shared" si="698"/>
        <v>330.58569327073263</v>
      </c>
      <c r="BK270">
        <f t="shared" si="764"/>
        <v>1.0547372999016056</v>
      </c>
      <c r="BL270" s="460">
        <f t="shared" si="699"/>
        <v>1381.0944407763698</v>
      </c>
      <c r="BM270" s="173">
        <f t="shared" si="765"/>
        <v>2.0128499999999998</v>
      </c>
      <c r="BN270" s="173">
        <f t="shared" si="766"/>
        <v>2.3962500000000001E-2</v>
      </c>
      <c r="BQ270" s="460">
        <f t="shared" si="700"/>
        <v>2036.8125</v>
      </c>
      <c r="BR270" s="528">
        <f t="shared" si="701"/>
        <v>1.9973046798981237E-2</v>
      </c>
      <c r="BS270" s="528">
        <f t="shared" si="702"/>
        <v>0.74191696550201447</v>
      </c>
      <c r="BT270" s="528">
        <f t="shared" si="703"/>
        <v>4.4893021643369719E-5</v>
      </c>
      <c r="BU270" s="528">
        <f t="shared" si="704"/>
        <v>1.2200646076197443</v>
      </c>
      <c r="BV270" s="528"/>
      <c r="BW270" s="625">
        <f t="shared" si="705"/>
        <v>5.8050000000000018E-2</v>
      </c>
      <c r="BX270" s="460">
        <f t="shared" si="706"/>
        <v>2040.0495129423834</v>
      </c>
      <c r="BY270" s="173">
        <f t="shared" si="707"/>
        <v>5.4579564537187526</v>
      </c>
      <c r="BZ270" s="5">
        <f t="shared" si="708"/>
        <v>13.932</v>
      </c>
      <c r="CA270" s="173">
        <f t="shared" si="709"/>
        <v>0.71851631195014964</v>
      </c>
      <c r="CB270" s="5">
        <f t="shared" si="710"/>
        <v>71.85163119501496</v>
      </c>
      <c r="CC270">
        <f t="shared" si="711"/>
        <v>54</v>
      </c>
      <c r="CE270" s="562">
        <f t="shared" si="767"/>
        <v>-50</v>
      </c>
      <c r="CG270" s="173">
        <f t="shared" si="768"/>
        <v>0.65211195357852481</v>
      </c>
      <c r="CH270" s="173">
        <f t="shared" si="769"/>
        <v>0.15621191251498379</v>
      </c>
      <c r="CI270" s="170">
        <v>54</v>
      </c>
      <c r="CJ270" s="217">
        <f t="shared" si="712"/>
        <v>3.24</v>
      </c>
      <c r="CK270" s="217">
        <f t="shared" si="654"/>
        <v>5.4000000000000006E-2</v>
      </c>
      <c r="CL270" s="217">
        <f t="shared" si="655"/>
        <v>12.96</v>
      </c>
      <c r="CM270" s="217">
        <f t="shared" si="656"/>
        <v>0.97200000000000009</v>
      </c>
      <c r="CN270" s="541">
        <f t="shared" si="657"/>
        <v>36</v>
      </c>
      <c r="CO270" s="443">
        <f t="shared" si="770"/>
        <v>18.8</v>
      </c>
      <c r="CP270" s="443">
        <f t="shared" si="771"/>
        <v>54.8</v>
      </c>
      <c r="CQ270" s="443"/>
      <c r="CR270" s="217">
        <f t="shared" si="660"/>
        <v>0.34306569343065696</v>
      </c>
      <c r="CS270" s="172">
        <f t="shared" si="661"/>
        <v>38.295705313189622</v>
      </c>
      <c r="CT270" s="172">
        <f t="shared" si="662"/>
        <v>3.0875912408759132</v>
      </c>
      <c r="CU270" s="217">
        <f t="shared" si="663"/>
        <v>9.5739263282974054</v>
      </c>
      <c r="CV270" s="217">
        <f t="shared" si="664"/>
        <v>2.12753918406609</v>
      </c>
      <c r="CW270" s="217">
        <f t="shared" si="665"/>
        <v>4</v>
      </c>
      <c r="CX270" s="217">
        <f t="shared" si="666"/>
        <v>2.2561276595744677</v>
      </c>
      <c r="CY270" s="217">
        <f t="shared" si="667"/>
        <v>0.75204255319148927</v>
      </c>
      <c r="CZ270" s="217">
        <f t="shared" si="668"/>
        <v>1.4400814848347665</v>
      </c>
      <c r="DA270" s="197">
        <f t="shared" si="669"/>
        <v>350</v>
      </c>
      <c r="DB270" s="443">
        <f t="shared" si="670"/>
        <v>350</v>
      </c>
      <c r="DD270" s="217">
        <f t="shared" si="671"/>
        <v>2.940563086548488</v>
      </c>
      <c r="DE270" s="173">
        <f t="shared" si="672"/>
        <v>1.8769551616266944</v>
      </c>
      <c r="DF270" s="173">
        <f t="shared" si="673"/>
        <v>3.5939660877863036</v>
      </c>
      <c r="DG270" s="173"/>
      <c r="DH270" s="173">
        <f t="shared" si="674"/>
        <v>0.85106382978723416</v>
      </c>
      <c r="DI270" s="545">
        <f t="shared" si="675"/>
        <v>1427.6249999999998</v>
      </c>
      <c r="DJ270" s="528">
        <f t="shared" si="676"/>
        <v>0.79432624113475192</v>
      </c>
      <c r="DL270" s="173">
        <f t="shared" si="677"/>
        <v>2.5757107202257234</v>
      </c>
      <c r="DM270" s="173">
        <f t="shared" si="678"/>
        <v>2.5757107202257234</v>
      </c>
      <c r="DN270" s="173">
        <f t="shared" si="679"/>
        <v>2.1202795458462145</v>
      </c>
      <c r="DP270" s="545">
        <f t="shared" si="680"/>
        <v>3240</v>
      </c>
      <c r="DQ270" s="460">
        <f t="shared" si="681"/>
        <v>350</v>
      </c>
      <c r="DS270">
        <f t="shared" si="682"/>
        <v>3240</v>
      </c>
      <c r="DT270">
        <f t="shared" si="683"/>
        <v>350</v>
      </c>
      <c r="DV270" s="5">
        <f t="shared" si="684"/>
        <v>2.8571428571428572</v>
      </c>
      <c r="DW270" s="5">
        <f t="shared" si="685"/>
        <v>0.8585702400752413</v>
      </c>
      <c r="DX270" s="5">
        <f t="shared" si="686"/>
        <v>1.9985726170676159</v>
      </c>
      <c r="DY270" s="173">
        <f t="shared" si="687"/>
        <v>0.30049958402633442</v>
      </c>
      <c r="EA270" s="5">
        <f t="shared" si="713"/>
        <v>69.544189446094563</v>
      </c>
      <c r="EB270" s="5">
        <f t="shared" si="714"/>
        <v>0.2575710720225724</v>
      </c>
      <c r="EC270" s="5">
        <f t="shared" si="715"/>
        <v>0.59957178512028475</v>
      </c>
      <c r="ED270" s="5"/>
      <c r="EE270" s="173">
        <f t="shared" si="716"/>
        <v>0.81518915953184556</v>
      </c>
      <c r="EF270" s="173">
        <f t="shared" si="717"/>
        <v>4.9749696772709431</v>
      </c>
      <c r="EG270" s="173">
        <f t="shared" si="718"/>
        <v>9.4793341148000421E-2</v>
      </c>
      <c r="EH270" s="173"/>
      <c r="EI270" s="528">
        <f t="shared" si="719"/>
        <v>8.1073070629824884E-3</v>
      </c>
      <c r="EJ270" s="528">
        <f t="shared" si="720"/>
        <v>0.98804263227858757</v>
      </c>
      <c r="EK270" s="528">
        <f t="shared" si="721"/>
        <v>4.3749999999999997E-2</v>
      </c>
      <c r="EL270" s="528">
        <f t="shared" si="722"/>
        <v>0.10510639999999997</v>
      </c>
      <c r="EM270">
        <f t="shared" si="723"/>
        <v>1.6199999999999999E-2</v>
      </c>
      <c r="EN270" s="460">
        <f t="shared" si="724"/>
        <v>59.949999999999996</v>
      </c>
      <c r="EP270" s="460">
        <f t="shared" si="725"/>
        <v>1161.2063393415699</v>
      </c>
      <c r="EQ270" s="173">
        <f t="shared" si="726"/>
        <v>2.2679999999999998</v>
      </c>
      <c r="ER270" s="173">
        <f t="shared" si="772"/>
        <v>2.3962500000000001E-2</v>
      </c>
      <c r="ES270" s="528"/>
      <c r="EU270" s="460">
        <f t="shared" si="727"/>
        <v>2291.9625000000001</v>
      </c>
      <c r="EV270" s="528">
        <f t="shared" si="728"/>
        <v>1.9936000974547102E-2</v>
      </c>
      <c r="EW270" s="528">
        <f t="shared" si="729"/>
        <v>0.74250969869296046</v>
      </c>
      <c r="EX270" s="528">
        <f t="shared" si="730"/>
        <v>4.4928887630005949E-5</v>
      </c>
      <c r="EY270" s="528">
        <f t="shared" si="731"/>
        <v>1.2200646076197443</v>
      </c>
      <c r="EZ270" s="528"/>
      <c r="FA270" s="625">
        <f t="shared" si="732"/>
        <v>5.8050000000000018E-2</v>
      </c>
      <c r="FB270" s="460">
        <f t="shared" si="733"/>
        <v>2040.6052361748821</v>
      </c>
      <c r="FC270" s="173">
        <f t="shared" si="734"/>
        <v>5.4937740755164519</v>
      </c>
      <c r="FD270" s="5">
        <f t="shared" si="735"/>
        <v>13.932</v>
      </c>
      <c r="FE270" s="173">
        <f t="shared" si="736"/>
        <v>0.7171914975351944</v>
      </c>
      <c r="FF270" s="5">
        <f t="shared" si="737"/>
        <v>71.719149753519446</v>
      </c>
      <c r="FG270">
        <f t="shared" si="738"/>
        <v>54</v>
      </c>
      <c r="FI270" s="562">
        <f t="shared" si="689"/>
        <v>-50</v>
      </c>
    </row>
    <row r="271" spans="5:165">
      <c r="E271" s="170">
        <v>55</v>
      </c>
      <c r="F271" s="217">
        <f t="shared" si="773"/>
        <v>3.3000000000000003</v>
      </c>
      <c r="G271" s="217">
        <f t="shared" si="742"/>
        <v>5.5000000000000007E-2</v>
      </c>
      <c r="H271" s="217">
        <f t="shared" si="743"/>
        <v>13.200000000000001</v>
      </c>
      <c r="I271" s="217">
        <f t="shared" si="744"/>
        <v>0.9900000000000001</v>
      </c>
      <c r="J271" s="541">
        <f t="shared" si="745"/>
        <v>35.932612101942368</v>
      </c>
      <c r="K271" s="443">
        <f t="shared" si="746"/>
        <v>19.401711843706888</v>
      </c>
      <c r="L271" s="172">
        <f t="shared" si="747"/>
        <v>55.33432394564926</v>
      </c>
      <c r="M271" s="443"/>
      <c r="N271" s="217">
        <f t="shared" si="748"/>
        <v>0.35062706942554733</v>
      </c>
      <c r="O271" s="172">
        <f t="shared" si="749"/>
        <v>39.066500707314759</v>
      </c>
      <c r="P271" s="172">
        <f t="shared" si="750"/>
        <v>3.149736619527252</v>
      </c>
      <c r="Q271" s="217">
        <f t="shared" si="626"/>
        <v>9.7666251768286898</v>
      </c>
      <c r="R271" s="217">
        <f t="shared" si="751"/>
        <v>2.1703611504063756</v>
      </c>
      <c r="S271" s="217">
        <f t="shared" si="752"/>
        <v>4</v>
      </c>
      <c r="T271" s="217">
        <f t="shared" si="753"/>
        <v>2.2525692961162251</v>
      </c>
      <c r="U271" s="217">
        <f t="shared" si="630"/>
        <v>0.75226458562787102</v>
      </c>
      <c r="V271" s="217">
        <f t="shared" si="631"/>
        <v>1.3932188958966722</v>
      </c>
      <c r="W271" s="197">
        <f t="shared" si="632"/>
        <v>350</v>
      </c>
      <c r="X271" s="443">
        <f t="shared" si="691"/>
        <v>350</v>
      </c>
      <c r="Z271" s="217">
        <f t="shared" si="633"/>
        <v>2.9997491614545257</v>
      </c>
      <c r="AA271" s="173">
        <f t="shared" si="634"/>
        <v>1.8553512302127217</v>
      </c>
      <c r="AB271" s="173">
        <f t="shared" si="754"/>
        <v>3.6241040073711295</v>
      </c>
      <c r="AC271" s="173"/>
      <c r="AD271" s="173">
        <f t="shared" si="636"/>
        <v>0.82466949972714609</v>
      </c>
      <c r="AE271" s="545">
        <f t="shared" si="755"/>
        <v>1500.6011504117043</v>
      </c>
      <c r="AF271" s="528">
        <f t="shared" si="756"/>
        <v>0.76969153307866978</v>
      </c>
      <c r="AH271" s="173">
        <f t="shared" si="757"/>
        <v>2.5994504913813721</v>
      </c>
      <c r="AI271" s="173">
        <f t="shared" si="758"/>
        <v>2.5994504913813721</v>
      </c>
      <c r="AJ271" s="173">
        <f t="shared" si="759"/>
        <v>2.1378645615170657</v>
      </c>
      <c r="AL271" s="545">
        <f t="shared" si="760"/>
        <v>3300.0000000000005</v>
      </c>
      <c r="AM271" s="460">
        <f t="shared" si="761"/>
        <v>350</v>
      </c>
      <c r="AO271">
        <f t="shared" si="644"/>
        <v>3300.0000000000005</v>
      </c>
      <c r="AP271">
        <f t="shared" si="645"/>
        <v>350</v>
      </c>
      <c r="AR271" s="5">
        <f t="shared" si="774"/>
        <v>2.8571428571428572</v>
      </c>
      <c r="AS271" s="5">
        <f t="shared" si="739"/>
        <v>0.86810849731935513</v>
      </c>
      <c r="AT271" s="5">
        <f t="shared" si="740"/>
        <v>1.9890343598235021</v>
      </c>
      <c r="AU271" s="173">
        <f t="shared" si="741"/>
        <v>0.30383797406177426</v>
      </c>
      <c r="BA271" s="173">
        <f t="shared" si="692"/>
        <v>0.82725985360511622</v>
      </c>
      <c r="BB271" s="173">
        <f t="shared" si="693"/>
        <v>5.0088275466327552</v>
      </c>
      <c r="BC271" s="173">
        <f t="shared" si="694"/>
        <v>9.5438470820975466E-2</v>
      </c>
      <c r="BD271" s="173"/>
      <c r="BE271" s="528">
        <f t="shared" si="695"/>
        <v>8.3491781577184499E-3</v>
      </c>
      <c r="BF271" s="528">
        <f t="shared" si="762"/>
        <v>0.94394235843320429</v>
      </c>
      <c r="BG271" s="528">
        <f t="shared" si="763"/>
        <v>0.31441035589199573</v>
      </c>
      <c r="BH271" s="528">
        <f t="shared" si="696"/>
        <v>0.10716605922827185</v>
      </c>
      <c r="BI271">
        <f t="shared" si="697"/>
        <v>1.6169675445874065E-2</v>
      </c>
      <c r="BJ271" s="460">
        <f t="shared" si="698"/>
        <v>330.5800313378698</v>
      </c>
      <c r="BK271">
        <f t="shared" si="764"/>
        <v>1.0638222469746075</v>
      </c>
      <c r="BL271" s="460">
        <f t="shared" si="699"/>
        <v>1390.0376271570644</v>
      </c>
      <c r="BM271" s="173">
        <f t="shared" si="765"/>
        <v>2.050125</v>
      </c>
      <c r="BN271" s="173">
        <f t="shared" si="766"/>
        <v>2.4406250000000001E-2</v>
      </c>
      <c r="BQ271" s="460">
        <f t="shared" si="700"/>
        <v>2074.53125</v>
      </c>
      <c r="BR271" s="528">
        <f t="shared" si="701"/>
        <v>2.0530765961602748E-2</v>
      </c>
      <c r="BS271" s="528">
        <f t="shared" si="702"/>
        <v>0.7526506017572131</v>
      </c>
      <c r="BT271" s="528">
        <f t="shared" si="703"/>
        <v>4.5542508563230928E-5</v>
      </c>
      <c r="BU271" s="528">
        <f t="shared" si="704"/>
        <v>1.2483719192170843</v>
      </c>
      <c r="BV271" s="528"/>
      <c r="BW271" s="625">
        <f t="shared" si="705"/>
        <v>5.9125000000000004E-2</v>
      </c>
      <c r="BX271" s="460">
        <f t="shared" si="706"/>
        <v>2080.7238294444633</v>
      </c>
      <c r="BY271" s="173">
        <f t="shared" si="707"/>
        <v>5.5452927066015283</v>
      </c>
      <c r="BZ271" s="5">
        <f t="shared" si="708"/>
        <v>14.190000000000001</v>
      </c>
      <c r="CA271" s="173">
        <f t="shared" si="709"/>
        <v>0.71901644485127869</v>
      </c>
      <c r="CB271" s="5">
        <f t="shared" si="710"/>
        <v>71.901644485127875</v>
      </c>
      <c r="CC271">
        <f t="shared" si="711"/>
        <v>55.000000000000007</v>
      </c>
      <c r="CE271" s="562">
        <f t="shared" si="767"/>
        <v>-50</v>
      </c>
      <c r="CG271" s="173">
        <f t="shared" si="768"/>
        <v>0.65812232905440915</v>
      </c>
      <c r="CH271" s="173">
        <f t="shared" si="769"/>
        <v>0.15765168408007901</v>
      </c>
      <c r="CI271" s="170">
        <v>55</v>
      </c>
      <c r="CJ271" s="217">
        <f t="shared" si="712"/>
        <v>3.3000000000000003</v>
      </c>
      <c r="CK271" s="217">
        <f t="shared" si="654"/>
        <v>5.5000000000000007E-2</v>
      </c>
      <c r="CL271" s="217">
        <f t="shared" si="655"/>
        <v>13.200000000000001</v>
      </c>
      <c r="CM271" s="217">
        <f t="shared" si="656"/>
        <v>0.9900000000000001</v>
      </c>
      <c r="CN271" s="541">
        <f t="shared" si="657"/>
        <v>36</v>
      </c>
      <c r="CO271" s="443">
        <f t="shared" si="770"/>
        <v>18.8</v>
      </c>
      <c r="CP271" s="443">
        <f t="shared" si="771"/>
        <v>54.8</v>
      </c>
      <c r="CQ271" s="443"/>
      <c r="CR271" s="217">
        <f t="shared" si="660"/>
        <v>0.34306569343065696</v>
      </c>
      <c r="CS271" s="172">
        <f t="shared" si="661"/>
        <v>38.295705313189622</v>
      </c>
      <c r="CT271" s="172">
        <f t="shared" si="662"/>
        <v>3.0875912408759132</v>
      </c>
      <c r="CU271" s="217">
        <f t="shared" si="663"/>
        <v>9.5739263282974054</v>
      </c>
      <c r="CV271" s="217">
        <f t="shared" si="664"/>
        <v>2.12753918406609</v>
      </c>
      <c r="CW271" s="217">
        <f t="shared" si="665"/>
        <v>4</v>
      </c>
      <c r="CX271" s="217">
        <f t="shared" si="666"/>
        <v>2.2979078014184395</v>
      </c>
      <c r="CY271" s="217">
        <f t="shared" si="667"/>
        <v>0.76596926713947988</v>
      </c>
      <c r="CZ271" s="217">
        <f t="shared" si="668"/>
        <v>1.4667496604798549</v>
      </c>
      <c r="DA271" s="197">
        <f t="shared" si="669"/>
        <v>350</v>
      </c>
      <c r="DB271" s="443">
        <f t="shared" si="670"/>
        <v>350</v>
      </c>
      <c r="DD271" s="217">
        <f t="shared" si="671"/>
        <v>2.940563086548488</v>
      </c>
      <c r="DE271" s="173">
        <f t="shared" si="672"/>
        <v>1.8769551616266944</v>
      </c>
      <c r="DF271" s="173">
        <f t="shared" si="673"/>
        <v>3.5939660877863036</v>
      </c>
      <c r="DG271" s="173"/>
      <c r="DH271" s="173">
        <f t="shared" si="674"/>
        <v>0.85106382978723416</v>
      </c>
      <c r="DI271" s="545">
        <f t="shared" si="675"/>
        <v>1454.0624999999998</v>
      </c>
      <c r="DJ271" s="528">
        <f t="shared" si="676"/>
        <v>0.79432624113475192</v>
      </c>
      <c r="DL271" s="173">
        <f t="shared" si="677"/>
        <v>2.5994504913813721</v>
      </c>
      <c r="DM271" s="173">
        <f t="shared" si="678"/>
        <v>2.5994504913813721</v>
      </c>
      <c r="DN271" s="173">
        <f t="shared" si="679"/>
        <v>2.1378645615170657</v>
      </c>
      <c r="DP271" s="545">
        <f t="shared" si="680"/>
        <v>3300.0000000000005</v>
      </c>
      <c r="DQ271" s="460">
        <f t="shared" si="681"/>
        <v>350</v>
      </c>
      <c r="DS271">
        <f t="shared" si="682"/>
        <v>3300.0000000000005</v>
      </c>
      <c r="DT271">
        <f t="shared" si="683"/>
        <v>350</v>
      </c>
      <c r="DV271" s="5">
        <f t="shared" si="684"/>
        <v>2.8571428571428572</v>
      </c>
      <c r="DW271" s="5">
        <f t="shared" si="685"/>
        <v>0.86648349712712402</v>
      </c>
      <c r="DX271" s="5">
        <f t="shared" si="686"/>
        <v>1.9906593600157332</v>
      </c>
      <c r="DY271" s="173">
        <f t="shared" si="687"/>
        <v>0.30326922399449341</v>
      </c>
      <c r="EA271" s="5">
        <f t="shared" si="713"/>
        <v>71.484888512987752</v>
      </c>
      <c r="EB271" s="5">
        <f t="shared" si="714"/>
        <v>0.26475884634439906</v>
      </c>
      <c r="EC271" s="5">
        <f t="shared" si="715"/>
        <v>0.60825702667147408</v>
      </c>
      <c r="ED271" s="5"/>
      <c r="EE271" s="173">
        <f t="shared" si="716"/>
        <v>0.82648522283737735</v>
      </c>
      <c r="EF271" s="173">
        <f t="shared" si="717"/>
        <v>5.0108731834879281</v>
      </c>
      <c r="EG271" s="173">
        <f t="shared" si="718"/>
        <v>9.5477448496188902E-2</v>
      </c>
      <c r="EH271" s="173"/>
      <c r="EI271" s="528">
        <f t="shared" si="719"/>
        <v>8.3335494475363005E-3</v>
      </c>
      <c r="EJ271" s="528">
        <f t="shared" si="720"/>
        <v>0.9971492084938941</v>
      </c>
      <c r="EK271" s="528">
        <f t="shared" si="721"/>
        <v>4.3749999999999997E-2</v>
      </c>
      <c r="EL271" s="528">
        <f t="shared" si="722"/>
        <v>0.10510639999999997</v>
      </c>
      <c r="EM271">
        <f t="shared" si="723"/>
        <v>1.6199999999999999E-2</v>
      </c>
      <c r="EN271" s="460">
        <f t="shared" si="724"/>
        <v>59.949999999999996</v>
      </c>
      <c r="EP271" s="460">
        <f t="shared" si="725"/>
        <v>1170.5391579414304</v>
      </c>
      <c r="EQ271" s="173">
        <f t="shared" si="726"/>
        <v>2.31</v>
      </c>
      <c r="ER271" s="173">
        <f t="shared" si="772"/>
        <v>2.4406250000000001E-2</v>
      </c>
      <c r="ES271" s="528"/>
      <c r="EU271" s="460">
        <f t="shared" si="727"/>
        <v>2334.4062500000005</v>
      </c>
      <c r="EV271" s="528">
        <f t="shared" si="728"/>
        <v>2.0492334707056477E-2</v>
      </c>
      <c r="EW271" s="528">
        <f t="shared" si="729"/>
        <v>0.75326550182995322</v>
      </c>
      <c r="EX271" s="528">
        <f t="shared" si="730"/>
        <v>4.5579715856712028E-5</v>
      </c>
      <c r="EY271" s="528">
        <f t="shared" si="731"/>
        <v>1.2483719192170843</v>
      </c>
      <c r="EZ271" s="528"/>
      <c r="FA271" s="625">
        <f t="shared" si="732"/>
        <v>5.9125000000000004E-2</v>
      </c>
      <c r="FB271" s="460">
        <f t="shared" si="733"/>
        <v>2081.3003354699508</v>
      </c>
      <c r="FC271" s="173">
        <f t="shared" si="734"/>
        <v>5.5862457434113812</v>
      </c>
      <c r="FD271" s="5">
        <f t="shared" si="735"/>
        <v>14.190000000000001</v>
      </c>
      <c r="FE271" s="173">
        <f t="shared" si="736"/>
        <v>0.71752749152237427</v>
      </c>
      <c r="FF271" s="5">
        <f t="shared" si="737"/>
        <v>71.752749152237428</v>
      </c>
      <c r="FG271">
        <f t="shared" si="738"/>
        <v>55.000000000000007</v>
      </c>
      <c r="FI271" s="562">
        <f t="shared" si="689"/>
        <v>-50</v>
      </c>
    </row>
    <row r="272" spans="5:165">
      <c r="E272" s="170">
        <v>56</v>
      </c>
      <c r="F272" s="217">
        <f t="shared" si="773"/>
        <v>3.3600000000000003</v>
      </c>
      <c r="G272" s="217">
        <f t="shared" si="742"/>
        <v>5.6000000000000008E-2</v>
      </c>
      <c r="H272" s="217">
        <f t="shared" si="743"/>
        <v>13.440000000000001</v>
      </c>
      <c r="I272" s="217">
        <f t="shared" si="744"/>
        <v>1.0080000000000002</v>
      </c>
      <c r="J272" s="541">
        <f t="shared" si="745"/>
        <v>35.932002244280476</v>
      </c>
      <c r="K272" s="443">
        <f t="shared" si="746"/>
        <v>19.407157310752329</v>
      </c>
      <c r="L272" s="172">
        <f t="shared" si="747"/>
        <v>55.339159555032808</v>
      </c>
      <c r="M272" s="443"/>
      <c r="N272" s="217">
        <f t="shared" si="748"/>
        <v>0.35069483285976916</v>
      </c>
      <c r="O272" s="172">
        <f t="shared" si="749"/>
        <v>39.073387663177655</v>
      </c>
      <c r="P272" s="172">
        <f t="shared" si="750"/>
        <v>3.1502918803436981</v>
      </c>
      <c r="Q272" s="217">
        <f t="shared" si="626"/>
        <v>9.7683469157944138</v>
      </c>
      <c r="R272" s="217">
        <f t="shared" si="751"/>
        <v>2.1707437590654255</v>
      </c>
      <c r="S272" s="217">
        <f t="shared" si="752"/>
        <v>4</v>
      </c>
      <c r="T272" s="217">
        <f t="shared" si="753"/>
        <v>2.2931208517770294</v>
      </c>
      <c r="U272" s="217">
        <f t="shared" si="630"/>
        <v>0.76582011862989019</v>
      </c>
      <c r="V272" s="217">
        <f t="shared" si="631"/>
        <v>1.4179021574725219</v>
      </c>
      <c r="W272" s="197">
        <f t="shared" si="632"/>
        <v>350</v>
      </c>
      <c r="X272" s="443">
        <f t="shared" si="691"/>
        <v>350</v>
      </c>
      <c r="Z272" s="217">
        <f t="shared" si="633"/>
        <v>3.0002779812797122</v>
      </c>
      <c r="AA272" s="173">
        <f t="shared" si="634"/>
        <v>1.8551576204006592</v>
      </c>
      <c r="AB272" s="173">
        <f t="shared" si="754"/>
        <v>3.6243646439106558</v>
      </c>
      <c r="AC272" s="173"/>
      <c r="AD272" s="173">
        <f t="shared" si="636"/>
        <v>0.82443810516934246</v>
      </c>
      <c r="AE272" s="545">
        <f t="shared" si="755"/>
        <v>1528.3136382217456</v>
      </c>
      <c r="AF272" s="528">
        <f t="shared" si="756"/>
        <v>0.76947556482471979</v>
      </c>
      <c r="AH272" s="173">
        <f t="shared" si="757"/>
        <v>2.6229754097208002</v>
      </c>
      <c r="AI272" s="173">
        <f t="shared" si="758"/>
        <v>2.6229754097208002</v>
      </c>
      <c r="AJ272" s="173">
        <f t="shared" si="759"/>
        <v>2.155290426953679</v>
      </c>
      <c r="AL272" s="545">
        <f t="shared" si="760"/>
        <v>3360.0000000000005</v>
      </c>
      <c r="AM272" s="460">
        <f t="shared" si="761"/>
        <v>350</v>
      </c>
      <c r="AO272">
        <f t="shared" si="644"/>
        <v>3360.0000000000005</v>
      </c>
      <c r="AP272">
        <f t="shared" si="645"/>
        <v>350</v>
      </c>
      <c r="AR272" s="5">
        <f t="shared" si="774"/>
        <v>2.8571428571428572</v>
      </c>
      <c r="AS272" s="5">
        <f t="shared" si="739"/>
        <v>0.87597971030572863</v>
      </c>
      <c r="AT272" s="5">
        <f t="shared" si="740"/>
        <v>1.9811631468371287</v>
      </c>
      <c r="AU272" s="173">
        <f t="shared" si="741"/>
        <v>0.306592898607005</v>
      </c>
      <c r="BA272" s="173">
        <f t="shared" si="692"/>
        <v>0.83852233967779977</v>
      </c>
      <c r="BB272" s="173">
        <f t="shared" si="693"/>
        <v>5.0441468958698685</v>
      </c>
      <c r="BC272" s="173">
        <f t="shared" si="694"/>
        <v>9.611144761049345E-2</v>
      </c>
      <c r="BD272" s="173"/>
      <c r="BE272" s="528">
        <f t="shared" si="695"/>
        <v>8.5780605124925226E-3</v>
      </c>
      <c r="BF272" s="528">
        <f t="shared" si="762"/>
        <v>0.95256823401775159</v>
      </c>
      <c r="BG272" s="528">
        <f t="shared" si="763"/>
        <v>0.3144050196374541</v>
      </c>
      <c r="BH272" s="528">
        <f t="shared" si="696"/>
        <v>0.10718479030900827</v>
      </c>
      <c r="BI272">
        <f t="shared" si="697"/>
        <v>1.6169401009926213E-2</v>
      </c>
      <c r="BJ272" s="460">
        <f t="shared" si="698"/>
        <v>330.57442064738029</v>
      </c>
      <c r="BK272">
        <f t="shared" si="764"/>
        <v>1.0728337542660973</v>
      </c>
      <c r="BL272" s="460">
        <f t="shared" si="699"/>
        <v>1398.9055054866326</v>
      </c>
      <c r="BM272" s="173">
        <f t="shared" si="765"/>
        <v>2.0873999999999997</v>
      </c>
      <c r="BN272" s="173">
        <f t="shared" si="766"/>
        <v>2.4850000000000004E-2</v>
      </c>
      <c r="BQ272" s="460">
        <f t="shared" si="700"/>
        <v>2112.2499999999995</v>
      </c>
      <c r="BR272" s="528">
        <f t="shared" si="701"/>
        <v>2.1093591424161943E-2</v>
      </c>
      <c r="BS272" s="528">
        <f t="shared" si="702"/>
        <v>0.7633025372134089</v>
      </c>
      <c r="BT272" s="528">
        <f t="shared" si="703"/>
        <v>4.6187051808923135E-5</v>
      </c>
      <c r="BU272" s="528">
        <f t="shared" si="704"/>
        <v>1.2768081995191516</v>
      </c>
      <c r="BV272" s="528"/>
      <c r="BW272" s="625">
        <f t="shared" si="705"/>
        <v>6.0199999999999997E-2</v>
      </c>
      <c r="BX272" s="460">
        <f t="shared" si="706"/>
        <v>2121.4505152085312</v>
      </c>
      <c r="BY272" s="173">
        <f t="shared" si="707"/>
        <v>5.6326060206951638</v>
      </c>
      <c r="BZ272" s="5">
        <f t="shared" si="708"/>
        <v>14.448000000000002</v>
      </c>
      <c r="CA272" s="173">
        <f t="shared" si="709"/>
        <v>0.71950019760906758</v>
      </c>
      <c r="CB272" s="5">
        <f t="shared" si="710"/>
        <v>71.950019760906756</v>
      </c>
      <c r="CC272">
        <f t="shared" si="711"/>
        <v>56.000000000000007</v>
      </c>
      <c r="CE272" s="562">
        <f t="shared" si="767"/>
        <v>-50</v>
      </c>
      <c r="CG272" s="173">
        <f t="shared" si="768"/>
        <v>0.66407830863535966</v>
      </c>
      <c r="CH272" s="173">
        <f t="shared" si="769"/>
        <v>0.15907842523416285</v>
      </c>
      <c r="CI272" s="170">
        <v>56</v>
      </c>
      <c r="CJ272" s="217">
        <f t="shared" si="712"/>
        <v>3.3600000000000003</v>
      </c>
      <c r="CK272" s="217">
        <f t="shared" si="654"/>
        <v>5.6000000000000008E-2</v>
      </c>
      <c r="CL272" s="217">
        <f t="shared" si="655"/>
        <v>13.440000000000001</v>
      </c>
      <c r="CM272" s="217">
        <f t="shared" si="656"/>
        <v>1.0080000000000002</v>
      </c>
      <c r="CN272" s="541">
        <f t="shared" si="657"/>
        <v>36</v>
      </c>
      <c r="CO272" s="443">
        <f t="shared" si="770"/>
        <v>18.8</v>
      </c>
      <c r="CP272" s="443">
        <f t="shared" si="771"/>
        <v>54.8</v>
      </c>
      <c r="CQ272" s="443"/>
      <c r="CR272" s="217">
        <f t="shared" si="660"/>
        <v>0.34306569343065696</v>
      </c>
      <c r="CS272" s="172">
        <f t="shared" si="661"/>
        <v>38.295705313189622</v>
      </c>
      <c r="CT272" s="172">
        <f t="shared" si="662"/>
        <v>3.0875912408759132</v>
      </c>
      <c r="CU272" s="217">
        <f t="shared" si="663"/>
        <v>9.5739263282974054</v>
      </c>
      <c r="CV272" s="217">
        <f t="shared" si="664"/>
        <v>2.12753918406609</v>
      </c>
      <c r="CW272" s="217">
        <f t="shared" si="665"/>
        <v>4</v>
      </c>
      <c r="CX272" s="217">
        <f t="shared" si="666"/>
        <v>2.3396879432624114</v>
      </c>
      <c r="CY272" s="217">
        <f t="shared" si="667"/>
        <v>0.77989598108747049</v>
      </c>
      <c r="CZ272" s="217">
        <f t="shared" si="668"/>
        <v>1.4934178361249433</v>
      </c>
      <c r="DA272" s="197">
        <f t="shared" si="669"/>
        <v>350</v>
      </c>
      <c r="DB272" s="443">
        <f t="shared" si="670"/>
        <v>350</v>
      </c>
      <c r="DD272" s="217">
        <f t="shared" si="671"/>
        <v>2.940563086548488</v>
      </c>
      <c r="DE272" s="173">
        <f t="shared" si="672"/>
        <v>1.8769551616266944</v>
      </c>
      <c r="DF272" s="173">
        <f t="shared" si="673"/>
        <v>3.5939660877863036</v>
      </c>
      <c r="DG272" s="173"/>
      <c r="DH272" s="173">
        <f t="shared" si="674"/>
        <v>0.85106382978723416</v>
      </c>
      <c r="DI272" s="545">
        <f t="shared" si="675"/>
        <v>1480.4999999999998</v>
      </c>
      <c r="DJ272" s="528">
        <f t="shared" si="676"/>
        <v>0.79432624113475192</v>
      </c>
      <c r="DL272" s="173">
        <f t="shared" si="677"/>
        <v>2.6229754097208002</v>
      </c>
      <c r="DM272" s="173">
        <f t="shared" si="678"/>
        <v>2.6229754097208002</v>
      </c>
      <c r="DN272" s="173">
        <f t="shared" si="679"/>
        <v>2.155290426953679</v>
      </c>
      <c r="DP272" s="545">
        <f t="shared" si="680"/>
        <v>3360.0000000000005</v>
      </c>
      <c r="DQ272" s="460">
        <f t="shared" si="681"/>
        <v>350</v>
      </c>
      <c r="DS272">
        <f t="shared" si="682"/>
        <v>3360.0000000000005</v>
      </c>
      <c r="DT272">
        <f t="shared" si="683"/>
        <v>350</v>
      </c>
      <c r="DV272" s="5">
        <f t="shared" si="684"/>
        <v>2.8571428571428572</v>
      </c>
      <c r="DW272" s="5">
        <f t="shared" si="685"/>
        <v>0.87432513657360011</v>
      </c>
      <c r="DX272" s="5">
        <f t="shared" si="686"/>
        <v>1.982817720569257</v>
      </c>
      <c r="DY272" s="173">
        <f t="shared" si="687"/>
        <v>0.30601379780076005</v>
      </c>
      <c r="EA272" s="5">
        <f t="shared" si="713"/>
        <v>73.443311472182415</v>
      </c>
      <c r="EB272" s="5">
        <f t="shared" si="714"/>
        <v>0.27201226471178674</v>
      </c>
      <c r="EC272" s="5">
        <f t="shared" si="715"/>
        <v>0.6168766241771021</v>
      </c>
      <c r="ED272" s="5"/>
      <c r="EE272" s="173">
        <f t="shared" si="716"/>
        <v>0.83773005375025777</v>
      </c>
      <c r="EF272" s="173">
        <f t="shared" si="717"/>
        <v>5.0462527727047899</v>
      </c>
      <c r="EG272" s="173">
        <f t="shared" si="718"/>
        <v>9.6151573101537213E-2</v>
      </c>
      <c r="EH272" s="173"/>
      <c r="EI272" s="528">
        <f t="shared" si="719"/>
        <v>8.5618580440681991E-3</v>
      </c>
      <c r="EJ272" s="528">
        <f t="shared" si="720"/>
        <v>1.0061733671688988</v>
      </c>
      <c r="EK272" s="528">
        <f t="shared" si="721"/>
        <v>4.3749999999999997E-2</v>
      </c>
      <c r="EL272" s="528">
        <f t="shared" si="722"/>
        <v>0.10510639999999997</v>
      </c>
      <c r="EM272">
        <f t="shared" si="723"/>
        <v>1.6199999999999999E-2</v>
      </c>
      <c r="EN272" s="460">
        <f t="shared" si="724"/>
        <v>59.949999999999996</v>
      </c>
      <c r="EP272" s="460">
        <f t="shared" si="725"/>
        <v>1179.7916252129669</v>
      </c>
      <c r="EQ272" s="173">
        <f t="shared" si="726"/>
        <v>2.3519999999999999</v>
      </c>
      <c r="ER272" s="173">
        <f t="shared" si="772"/>
        <v>2.4850000000000004E-2</v>
      </c>
      <c r="ES272" s="528"/>
      <c r="EU272" s="460">
        <f t="shared" si="727"/>
        <v>2376.85</v>
      </c>
      <c r="EV272" s="528">
        <f t="shared" si="728"/>
        <v>2.1053749288692296E-2</v>
      </c>
      <c r="EW272" s="528">
        <f t="shared" si="729"/>
        <v>0.76394001138092338</v>
      </c>
      <c r="EX272" s="528">
        <f t="shared" si="730"/>
        <v>4.6225625049501271E-5</v>
      </c>
      <c r="EY272" s="528">
        <f t="shared" si="731"/>
        <v>1.2768081995191516</v>
      </c>
      <c r="EZ272" s="528"/>
      <c r="FA272" s="625">
        <f t="shared" si="732"/>
        <v>6.0199999999999997E-2</v>
      </c>
      <c r="FB272" s="460">
        <f t="shared" si="733"/>
        <v>2122.0481858138169</v>
      </c>
      <c r="FC272" s="173">
        <f t="shared" si="734"/>
        <v>5.6786898110267829</v>
      </c>
      <c r="FD272" s="5">
        <f t="shared" si="735"/>
        <v>14.448000000000002</v>
      </c>
      <c r="FE272" s="173">
        <f t="shared" si="736"/>
        <v>0.7178527684211834</v>
      </c>
      <c r="FF272" s="5">
        <f t="shared" si="737"/>
        <v>71.785276842118336</v>
      </c>
      <c r="FG272">
        <f t="shared" si="738"/>
        <v>56.000000000000007</v>
      </c>
      <c r="FI272" s="562">
        <f t="shared" si="689"/>
        <v>-50</v>
      </c>
    </row>
    <row r="273" spans="5:165">
      <c r="E273" s="170">
        <v>57</v>
      </c>
      <c r="F273" s="217">
        <f t="shared" si="773"/>
        <v>3.42</v>
      </c>
      <c r="G273" s="217">
        <f t="shared" si="742"/>
        <v>5.6999999999999995E-2</v>
      </c>
      <c r="H273" s="217">
        <f t="shared" si="743"/>
        <v>13.68</v>
      </c>
      <c r="I273" s="217">
        <f t="shared" si="744"/>
        <v>1.0259999999999998</v>
      </c>
      <c r="J273" s="541">
        <f t="shared" si="745"/>
        <v>35.931397807898307</v>
      </c>
      <c r="K273" s="443">
        <f t="shared" si="746"/>
        <v>19.412554370764635</v>
      </c>
      <c r="L273" s="172">
        <f t="shared" si="747"/>
        <v>55.343952178662946</v>
      </c>
      <c r="M273" s="443"/>
      <c r="N273" s="217">
        <f t="shared" si="748"/>
        <v>0.35076198223243016</v>
      </c>
      <c r="O273" s="172">
        <f t="shared" si="749"/>
        <v>39.080211843350099</v>
      </c>
      <c r="P273" s="172">
        <f t="shared" si="750"/>
        <v>3.150842079870102</v>
      </c>
      <c r="Q273" s="217">
        <f t="shared" si="626"/>
        <v>9.7700529608375248</v>
      </c>
      <c r="R273" s="217">
        <f t="shared" si="751"/>
        <v>2.1711228801861164</v>
      </c>
      <c r="S273" s="217">
        <f t="shared" si="752"/>
        <v>4</v>
      </c>
      <c r="T273" s="217">
        <f t="shared" si="753"/>
        <v>2.3336618635939819</v>
      </c>
      <c r="U273" s="217">
        <f t="shared" si="630"/>
        <v>0.77937247286750588</v>
      </c>
      <c r="V273" s="217">
        <f t="shared" si="631"/>
        <v>1.4425686505894251</v>
      </c>
      <c r="W273" s="197">
        <f t="shared" si="632"/>
        <v>350</v>
      </c>
      <c r="X273" s="443">
        <f t="shared" si="691"/>
        <v>350</v>
      </c>
      <c r="Z273" s="217">
        <f t="shared" si="633"/>
        <v>3.0008019808286677</v>
      </c>
      <c r="AA273" s="173">
        <f t="shared" si="634"/>
        <v>1.8549657650501994</v>
      </c>
      <c r="AB273" s="173">
        <f t="shared" si="754"/>
        <v>3.6246227530161881</v>
      </c>
      <c r="AC273" s="173"/>
      <c r="AD273" s="173">
        <f t="shared" si="636"/>
        <v>0.8242088956668191</v>
      </c>
      <c r="AE273" s="545">
        <f t="shared" si="755"/>
        <v>1556.0375612816024</v>
      </c>
      <c r="AF273" s="528">
        <f t="shared" si="756"/>
        <v>0.76926163595569785</v>
      </c>
      <c r="AH273" s="173">
        <f t="shared" si="757"/>
        <v>2.646291205226126</v>
      </c>
      <c r="AI273" s="173">
        <f t="shared" si="758"/>
        <v>2.646291205226126</v>
      </c>
      <c r="AJ273" s="173">
        <f t="shared" si="759"/>
        <v>2.1725613865872537</v>
      </c>
      <c r="AL273" s="545">
        <f t="shared" si="760"/>
        <v>3420</v>
      </c>
      <c r="AM273" s="460">
        <f t="shared" si="761"/>
        <v>350</v>
      </c>
      <c r="AO273">
        <f t="shared" si="644"/>
        <v>3420</v>
      </c>
      <c r="AP273">
        <f t="shared" si="645"/>
        <v>350</v>
      </c>
      <c r="AR273" s="5">
        <f t="shared" si="774"/>
        <v>2.8571428571428572</v>
      </c>
      <c r="AS273" s="5">
        <f t="shared" si="739"/>
        <v>0.88378121643052632</v>
      </c>
      <c r="AT273" s="5">
        <f t="shared" si="740"/>
        <v>1.9733616407123309</v>
      </c>
      <c r="AU273" s="173">
        <f t="shared" si="741"/>
        <v>0.30932342575068422</v>
      </c>
      <c r="BA273" s="173">
        <f t="shared" si="692"/>
        <v>0.8497348138235481</v>
      </c>
      <c r="BB273" s="173">
        <f t="shared" si="693"/>
        <v>5.0789549483522283</v>
      </c>
      <c r="BC273" s="173">
        <f t="shared" si="694"/>
        <v>9.6774682124008665E-2</v>
      </c>
      <c r="BD273" s="173"/>
      <c r="BE273" s="528">
        <f t="shared" si="695"/>
        <v>8.8090008966496269E-3</v>
      </c>
      <c r="BF273" s="528">
        <f t="shared" si="762"/>
        <v>0.96111890380308496</v>
      </c>
      <c r="BG273" s="528">
        <f t="shared" si="763"/>
        <v>0.31439973081911016</v>
      </c>
      <c r="BH273" s="528">
        <f t="shared" si="696"/>
        <v>0.10720335649639458</v>
      </c>
      <c r="BI273">
        <f t="shared" si="697"/>
        <v>1.6169129013554238E-2</v>
      </c>
      <c r="BJ273" s="460">
        <f t="shared" si="698"/>
        <v>330.56885983266437</v>
      </c>
      <c r="BK273">
        <f t="shared" si="764"/>
        <v>1.0817738642712487</v>
      </c>
      <c r="BL273" s="460">
        <f t="shared" si="699"/>
        <v>1407.7001210287933</v>
      </c>
      <c r="BM273" s="173">
        <f t="shared" si="765"/>
        <v>2.1246749999999994</v>
      </c>
      <c r="BN273" s="173">
        <f t="shared" si="766"/>
        <v>2.5293749999999997E-2</v>
      </c>
      <c r="BQ273" s="460">
        <f t="shared" si="700"/>
        <v>2149.9687499999991</v>
      </c>
      <c r="BR273" s="528">
        <f t="shared" si="701"/>
        <v>2.16614776147122E-2</v>
      </c>
      <c r="BS273" s="528">
        <f t="shared" si="702"/>
        <v>0.77387350102174757</v>
      </c>
      <c r="BT273" s="528">
        <f t="shared" si="703"/>
        <v>4.6826695501014611E-5</v>
      </c>
      <c r="BU273" s="528">
        <f t="shared" si="704"/>
        <v>1.3053717172191723</v>
      </c>
      <c r="BV273" s="528"/>
      <c r="BW273" s="625">
        <f t="shared" si="705"/>
        <v>6.1274999999999996E-2</v>
      </c>
      <c r="BX273" s="460">
        <f t="shared" si="706"/>
        <v>2162.2285225511332</v>
      </c>
      <c r="BY273" s="173">
        <f t="shared" si="707"/>
        <v>5.7198973935799255</v>
      </c>
      <c r="BZ273" s="5">
        <f t="shared" si="708"/>
        <v>14.706</v>
      </c>
      <c r="CA273" s="173">
        <f t="shared" si="709"/>
        <v>0.71996836744231618</v>
      </c>
      <c r="CB273" s="5">
        <f t="shared" si="710"/>
        <v>71.996836744231615</v>
      </c>
      <c r="CC273">
        <f t="shared" si="711"/>
        <v>56.999999999999993</v>
      </c>
      <c r="CE273" s="562">
        <f t="shared" si="767"/>
        <v>-50</v>
      </c>
      <c r="CG273" s="173">
        <f t="shared" si="768"/>
        <v>0.66998134302381884</v>
      </c>
      <c r="CH273" s="173">
        <f t="shared" si="769"/>
        <v>0.16049248348965511</v>
      </c>
      <c r="CI273" s="170">
        <v>57</v>
      </c>
      <c r="CJ273" s="217">
        <f t="shared" si="712"/>
        <v>3.42</v>
      </c>
      <c r="CK273" s="217">
        <f t="shared" si="654"/>
        <v>5.6999999999999995E-2</v>
      </c>
      <c r="CL273" s="217">
        <f t="shared" si="655"/>
        <v>13.68</v>
      </c>
      <c r="CM273" s="217">
        <f t="shared" si="656"/>
        <v>1.0259999999999998</v>
      </c>
      <c r="CN273" s="541">
        <f t="shared" si="657"/>
        <v>36</v>
      </c>
      <c r="CO273" s="443">
        <f t="shared" si="770"/>
        <v>18.8</v>
      </c>
      <c r="CP273" s="443">
        <f t="shared" si="771"/>
        <v>54.8</v>
      </c>
      <c r="CQ273" s="443"/>
      <c r="CR273" s="217">
        <f t="shared" si="660"/>
        <v>0.34306569343065696</v>
      </c>
      <c r="CS273" s="172">
        <f t="shared" si="661"/>
        <v>38.295705313189622</v>
      </c>
      <c r="CT273" s="172">
        <f t="shared" si="662"/>
        <v>3.0875912408759132</v>
      </c>
      <c r="CU273" s="217">
        <f t="shared" si="663"/>
        <v>9.5739263282974054</v>
      </c>
      <c r="CV273" s="217">
        <f t="shared" si="664"/>
        <v>2.12753918406609</v>
      </c>
      <c r="CW273" s="217">
        <f t="shared" si="665"/>
        <v>4</v>
      </c>
      <c r="CX273" s="217">
        <f t="shared" si="666"/>
        <v>2.3814680851063827</v>
      </c>
      <c r="CY273" s="217">
        <f t="shared" si="667"/>
        <v>0.79382269503546088</v>
      </c>
      <c r="CZ273" s="217">
        <f t="shared" si="668"/>
        <v>1.5200860117700314</v>
      </c>
      <c r="DA273" s="197">
        <f t="shared" si="669"/>
        <v>350</v>
      </c>
      <c r="DB273" s="443">
        <f t="shared" si="670"/>
        <v>350</v>
      </c>
      <c r="DD273" s="217">
        <f t="shared" si="671"/>
        <v>2.940563086548488</v>
      </c>
      <c r="DE273" s="173">
        <f t="shared" si="672"/>
        <v>1.8769551616266944</v>
      </c>
      <c r="DF273" s="173">
        <f t="shared" si="673"/>
        <v>3.5939660877863036</v>
      </c>
      <c r="DG273" s="173"/>
      <c r="DH273" s="173">
        <f t="shared" si="674"/>
        <v>0.85106382978723416</v>
      </c>
      <c r="DI273" s="545">
        <f t="shared" si="675"/>
        <v>1506.9374999999993</v>
      </c>
      <c r="DJ273" s="528">
        <f t="shared" si="676"/>
        <v>0.79432624113475192</v>
      </c>
      <c r="DL273" s="173">
        <f t="shared" si="677"/>
        <v>2.646291205226126</v>
      </c>
      <c r="DM273" s="173">
        <f t="shared" si="678"/>
        <v>2.646291205226126</v>
      </c>
      <c r="DN273" s="173">
        <f t="shared" si="679"/>
        <v>2.1725613865872537</v>
      </c>
      <c r="DP273" s="545">
        <f t="shared" si="680"/>
        <v>3420</v>
      </c>
      <c r="DQ273" s="460">
        <f t="shared" si="681"/>
        <v>350</v>
      </c>
      <c r="DS273">
        <f t="shared" si="682"/>
        <v>3420</v>
      </c>
      <c r="DT273">
        <f t="shared" si="683"/>
        <v>350</v>
      </c>
      <c r="DV273" s="5">
        <f t="shared" si="684"/>
        <v>2.8571428571428572</v>
      </c>
      <c r="DW273" s="5">
        <f t="shared" si="685"/>
        <v>0.88209706840870872</v>
      </c>
      <c r="DX273" s="5">
        <f t="shared" si="686"/>
        <v>1.9750457887341484</v>
      </c>
      <c r="DY273" s="173">
        <f t="shared" si="687"/>
        <v>0.30873397394304802</v>
      </c>
      <c r="EA273" s="5">
        <f t="shared" si="713"/>
        <v>75.419299348944591</v>
      </c>
      <c r="EB273" s="5">
        <f t="shared" si="714"/>
        <v>0.2793307383294244</v>
      </c>
      <c r="EC273" s="5">
        <f t="shared" si="715"/>
        <v>0.6254311664324802</v>
      </c>
      <c r="ED273" s="5"/>
      <c r="EE273" s="173">
        <f t="shared" si="716"/>
        <v>0.8489247934239611</v>
      </c>
      <c r="EF273" s="173">
        <f t="shared" si="717"/>
        <v>5.0811217807028388</v>
      </c>
      <c r="EG273" s="173">
        <f t="shared" si="718"/>
        <v>9.6815969064743296E-2</v>
      </c>
      <c r="EH273" s="173"/>
      <c r="EI273" s="528">
        <f t="shared" si="719"/>
        <v>8.7922143196569619E-3</v>
      </c>
      <c r="EJ273" s="528">
        <f t="shared" si="720"/>
        <v>1.0151173063247418</v>
      </c>
      <c r="EK273" s="528">
        <f t="shared" si="721"/>
        <v>4.3749999999999997E-2</v>
      </c>
      <c r="EL273" s="528">
        <f t="shared" si="722"/>
        <v>0.10510639999999997</v>
      </c>
      <c r="EM273">
        <f t="shared" si="723"/>
        <v>1.6199999999999999E-2</v>
      </c>
      <c r="EN273" s="460">
        <f t="shared" si="724"/>
        <v>59.949999999999996</v>
      </c>
      <c r="EP273" s="460">
        <f t="shared" si="725"/>
        <v>1188.9659206443987</v>
      </c>
      <c r="EQ273" s="173">
        <f t="shared" si="726"/>
        <v>2.3939999999999997</v>
      </c>
      <c r="ER273" s="173">
        <f t="shared" si="772"/>
        <v>2.5293749999999997E-2</v>
      </c>
      <c r="ES273" s="528"/>
      <c r="EU273" s="460">
        <f t="shared" si="727"/>
        <v>2419.2937499999994</v>
      </c>
      <c r="EV273" s="528">
        <f t="shared" si="728"/>
        <v>2.1620199146697449E-2</v>
      </c>
      <c r="EW273" s="528">
        <f t="shared" si="729"/>
        <v>0.77453395650998369</v>
      </c>
      <c r="EX273" s="528">
        <f t="shared" si="730"/>
        <v>4.6866659329726661E-5</v>
      </c>
      <c r="EY273" s="528">
        <f t="shared" si="731"/>
        <v>1.3053717172191723</v>
      </c>
      <c r="EZ273" s="528"/>
      <c r="FA273" s="625">
        <f t="shared" si="732"/>
        <v>6.1274999999999996E-2</v>
      </c>
      <c r="FB273" s="460">
        <f t="shared" si="733"/>
        <v>2162.8477395351833</v>
      </c>
      <c r="FC273" s="173">
        <f t="shared" si="734"/>
        <v>5.7711074101795816</v>
      </c>
      <c r="FD273" s="5">
        <f t="shared" si="735"/>
        <v>14.706</v>
      </c>
      <c r="FE273" s="173">
        <f t="shared" si="736"/>
        <v>0.71816784008708923</v>
      </c>
      <c r="FF273" s="5">
        <f t="shared" si="737"/>
        <v>71.816784008708922</v>
      </c>
      <c r="FG273">
        <f t="shared" si="738"/>
        <v>56.999999999999993</v>
      </c>
      <c r="FI273" s="562">
        <f t="shared" si="689"/>
        <v>-50</v>
      </c>
    </row>
    <row r="274" spans="5:165">
      <c r="E274" s="170">
        <v>58</v>
      </c>
      <c r="F274" s="217">
        <f t="shared" si="773"/>
        <v>3.4799999999999995</v>
      </c>
      <c r="G274" s="217">
        <f t="shared" si="742"/>
        <v>5.7999999999999996E-2</v>
      </c>
      <c r="H274" s="217">
        <f t="shared" si="743"/>
        <v>13.919999999999998</v>
      </c>
      <c r="I274" s="217">
        <f t="shared" si="744"/>
        <v>1.044</v>
      </c>
      <c r="J274" s="541">
        <f t="shared" si="745"/>
        <v>35.93079865073986</v>
      </c>
      <c r="K274" s="443">
        <f t="shared" si="746"/>
        <v>19.417904292172917</v>
      </c>
      <c r="L274" s="172">
        <f t="shared" si="747"/>
        <v>55.34870294291278</v>
      </c>
      <c r="M274" s="443"/>
      <c r="N274" s="217">
        <f t="shared" si="748"/>
        <v>0.3508285336370166</v>
      </c>
      <c r="O274" s="172">
        <f t="shared" si="749"/>
        <v>39.086974893165774</v>
      </c>
      <c r="P274" s="172">
        <f t="shared" si="750"/>
        <v>3.1513873507614902</v>
      </c>
      <c r="Q274" s="217">
        <f t="shared" si="626"/>
        <v>9.7717437232914435</v>
      </c>
      <c r="R274" s="217">
        <f t="shared" si="751"/>
        <v>2.1714986051758762</v>
      </c>
      <c r="S274" s="217">
        <f t="shared" si="752"/>
        <v>4</v>
      </c>
      <c r="T274" s="217">
        <f t="shared" si="753"/>
        <v>2.3741924324828161</v>
      </c>
      <c r="U274" s="217">
        <f t="shared" si="630"/>
        <v>0.79292167888417209</v>
      </c>
      <c r="V274" s="217">
        <f t="shared" si="631"/>
        <v>1.4672185402251587</v>
      </c>
      <c r="W274" s="197">
        <f t="shared" si="632"/>
        <v>350</v>
      </c>
      <c r="X274" s="443">
        <f t="shared" si="691"/>
        <v>350</v>
      </c>
      <c r="Z274" s="217">
        <f t="shared" si="633"/>
        <v>3.0013212864395147</v>
      </c>
      <c r="AA274" s="173">
        <f t="shared" si="634"/>
        <v>1.8547756181799526</v>
      </c>
      <c r="AB274" s="173">
        <f t="shared" si="754"/>
        <v>3.6248784010127921</v>
      </c>
      <c r="AC274" s="173"/>
      <c r="AD274" s="173">
        <f t="shared" si="636"/>
        <v>0.82398181385873737</v>
      </c>
      <c r="AE274" s="545">
        <f t="shared" si="755"/>
        <v>1583.7728188303529</v>
      </c>
      <c r="AF274" s="528">
        <f t="shared" si="756"/>
        <v>0.76904969293482162</v>
      </c>
      <c r="AH274" s="173">
        <f t="shared" si="757"/>
        <v>2.6694033576277461</v>
      </c>
      <c r="AI274" s="173">
        <f t="shared" si="758"/>
        <v>2.6694033576277461</v>
      </c>
      <c r="AJ274" s="173">
        <f t="shared" si="759"/>
        <v>2.1896814994773424</v>
      </c>
      <c r="AL274" s="545">
        <f t="shared" si="760"/>
        <v>3479.9999999999995</v>
      </c>
      <c r="AM274" s="460">
        <f t="shared" si="761"/>
        <v>350</v>
      </c>
      <c r="AO274">
        <f t="shared" si="644"/>
        <v>3479.9999999999995</v>
      </c>
      <c r="AP274">
        <f t="shared" si="645"/>
        <v>350</v>
      </c>
      <c r="AR274" s="5">
        <f t="shared" si="774"/>
        <v>2.8571428571428572</v>
      </c>
      <c r="AS274" s="5">
        <f t="shared" si="739"/>
        <v>0.89151484226397382</v>
      </c>
      <c r="AT274" s="5">
        <f t="shared" si="740"/>
        <v>1.9656280148788834</v>
      </c>
      <c r="AU274" s="173">
        <f t="shared" si="741"/>
        <v>0.3120301947923908</v>
      </c>
      <c r="BA274" s="173">
        <f t="shared" si="692"/>
        <v>0.86089837120036994</v>
      </c>
      <c r="BB274" s="173">
        <f t="shared" si="693"/>
        <v>5.1132644597402077</v>
      </c>
      <c r="BC274" s="173">
        <f t="shared" si="694"/>
        <v>9.7428417408563409E-2</v>
      </c>
      <c r="BD274" s="173"/>
      <c r="BE274" s="528">
        <f t="shared" si="695"/>
        <v>9.0419812675324885E-3</v>
      </c>
      <c r="BF274" s="528">
        <f t="shared" si="762"/>
        <v>0.96959633843724813</v>
      </c>
      <c r="BG274" s="528">
        <f t="shared" si="763"/>
        <v>0.31439448819397375</v>
      </c>
      <c r="BH274" s="528">
        <f t="shared" si="696"/>
        <v>0.10722176211119806</v>
      </c>
      <c r="BI274">
        <f t="shared" si="697"/>
        <v>1.6168859392832937E-2</v>
      </c>
      <c r="BJ274" s="460">
        <f t="shared" si="698"/>
        <v>330.56334758680669</v>
      </c>
      <c r="BK274">
        <f t="shared" si="764"/>
        <v>1.0906445299266228</v>
      </c>
      <c r="BL274" s="460">
        <f t="shared" si="699"/>
        <v>1416.4234294027854</v>
      </c>
      <c r="BM274" s="173">
        <f t="shared" si="765"/>
        <v>2.1619499999999996</v>
      </c>
      <c r="BN274" s="173">
        <f t="shared" si="766"/>
        <v>2.5737499999999996E-2</v>
      </c>
      <c r="BQ274" s="460">
        <f t="shared" si="700"/>
        <v>2187.6874999999995</v>
      </c>
      <c r="BR274" s="528">
        <f t="shared" si="701"/>
        <v>2.2234380166063498E-2</v>
      </c>
      <c r="BS274" s="528">
        <f t="shared" si="702"/>
        <v>0.7843642030572695</v>
      </c>
      <c r="BT274" s="528">
        <f t="shared" si="703"/>
        <v>4.7461482593686311E-5</v>
      </c>
      <c r="BU274" s="528">
        <f t="shared" si="704"/>
        <v>1.3340607942899771</v>
      </c>
      <c r="BV274" s="528"/>
      <c r="BW274" s="625">
        <f t="shared" si="705"/>
        <v>6.2349999999999996E-2</v>
      </c>
      <c r="BX274" s="460">
        <f t="shared" si="706"/>
        <v>2203.0568389959035</v>
      </c>
      <c r="BY274" s="173">
        <f t="shared" si="707"/>
        <v>5.8071677683986893</v>
      </c>
      <c r="BZ274" s="5">
        <f t="shared" si="708"/>
        <v>14.963999999999999</v>
      </c>
      <c r="CA274" s="173">
        <f t="shared" si="709"/>
        <v>0.72042170025540264</v>
      </c>
      <c r="CB274" s="5">
        <f t="shared" si="710"/>
        <v>72.042170025540258</v>
      </c>
      <c r="CC274">
        <f t="shared" si="711"/>
        <v>57.999999999999993</v>
      </c>
      <c r="CE274" s="562">
        <f t="shared" si="767"/>
        <v>-50</v>
      </c>
      <c r="CG274" s="173">
        <f t="shared" si="768"/>
        <v>0.67583281956412855</v>
      </c>
      <c r="CH274" s="173">
        <f t="shared" si="769"/>
        <v>0.16189419118168916</v>
      </c>
      <c r="CI274" s="170">
        <v>58</v>
      </c>
      <c r="CJ274" s="217">
        <f t="shared" si="712"/>
        <v>3.4799999999999995</v>
      </c>
      <c r="CK274" s="217">
        <f t="shared" si="654"/>
        <v>5.7999999999999996E-2</v>
      </c>
      <c r="CL274" s="217">
        <f t="shared" si="655"/>
        <v>13.919999999999998</v>
      </c>
      <c r="CM274" s="217">
        <f t="shared" si="656"/>
        <v>1.044</v>
      </c>
      <c r="CN274" s="541">
        <f t="shared" si="657"/>
        <v>36</v>
      </c>
      <c r="CO274" s="443">
        <f t="shared" si="770"/>
        <v>18.8</v>
      </c>
      <c r="CP274" s="443">
        <f t="shared" si="771"/>
        <v>54.8</v>
      </c>
      <c r="CQ274" s="443"/>
      <c r="CR274" s="217">
        <f t="shared" si="660"/>
        <v>0.34306569343065696</v>
      </c>
      <c r="CS274" s="172">
        <f t="shared" si="661"/>
        <v>38.295705313189622</v>
      </c>
      <c r="CT274" s="172">
        <f t="shared" si="662"/>
        <v>3.0875912408759132</v>
      </c>
      <c r="CU274" s="217">
        <f t="shared" si="663"/>
        <v>9.5739263282974054</v>
      </c>
      <c r="CV274" s="217">
        <f t="shared" si="664"/>
        <v>2.12753918406609</v>
      </c>
      <c r="CW274" s="217">
        <f t="shared" si="665"/>
        <v>4</v>
      </c>
      <c r="CX274" s="217">
        <f t="shared" si="666"/>
        <v>2.4232482269503541</v>
      </c>
      <c r="CY274" s="217">
        <f t="shared" si="667"/>
        <v>0.80774940898345138</v>
      </c>
      <c r="CZ274" s="217">
        <f t="shared" si="668"/>
        <v>1.5467541874151198</v>
      </c>
      <c r="DA274" s="197">
        <f t="shared" si="669"/>
        <v>350</v>
      </c>
      <c r="DB274" s="443">
        <f t="shared" si="670"/>
        <v>350</v>
      </c>
      <c r="DD274" s="217">
        <f t="shared" si="671"/>
        <v>2.940563086548488</v>
      </c>
      <c r="DE274" s="173">
        <f t="shared" si="672"/>
        <v>1.8769551616266944</v>
      </c>
      <c r="DF274" s="173">
        <f t="shared" si="673"/>
        <v>3.5939660877863036</v>
      </c>
      <c r="DG274" s="173"/>
      <c r="DH274" s="173">
        <f t="shared" si="674"/>
        <v>0.85106382978723416</v>
      </c>
      <c r="DI274" s="545">
        <f t="shared" si="675"/>
        <v>1533.3749999999993</v>
      </c>
      <c r="DJ274" s="528">
        <f t="shared" si="676"/>
        <v>0.79432624113475192</v>
      </c>
      <c r="DL274" s="173">
        <f t="shared" si="677"/>
        <v>2.6694033576277461</v>
      </c>
      <c r="DM274" s="173">
        <f t="shared" si="678"/>
        <v>2.6694033576277461</v>
      </c>
      <c r="DN274" s="173">
        <f t="shared" si="679"/>
        <v>2.1896814994773424</v>
      </c>
      <c r="DP274" s="545">
        <f t="shared" si="680"/>
        <v>3479.9999999999995</v>
      </c>
      <c r="DQ274" s="460">
        <f t="shared" si="681"/>
        <v>350</v>
      </c>
      <c r="DS274">
        <f t="shared" si="682"/>
        <v>3479.9999999999995</v>
      </c>
      <c r="DT274">
        <f t="shared" si="683"/>
        <v>350</v>
      </c>
      <c r="DV274" s="5">
        <f t="shared" si="684"/>
        <v>2.8571428571428572</v>
      </c>
      <c r="DW274" s="5">
        <f t="shared" si="685"/>
        <v>0.88980111920924865</v>
      </c>
      <c r="DX274" s="5">
        <f t="shared" si="686"/>
        <v>1.9673417379336087</v>
      </c>
      <c r="DY274" s="173">
        <f t="shared" si="687"/>
        <v>0.311430391723237</v>
      </c>
      <c r="EA274" s="5">
        <f t="shared" si="713"/>
        <v>77.412697371204629</v>
      </c>
      <c r="EB274" s="5">
        <f t="shared" si="714"/>
        <v>0.28671369396742458</v>
      </c>
      <c r="EC274" s="5">
        <f t="shared" si="715"/>
        <v>0.63392122666749595</v>
      </c>
      <c r="ED274" s="5"/>
      <c r="EE274" s="173">
        <f t="shared" si="716"/>
        <v>0.86007053805833578</v>
      </c>
      <c r="EF274" s="173">
        <f t="shared" si="717"/>
        <v>5.1154929612730609</v>
      </c>
      <c r="EG274" s="173">
        <f t="shared" si="718"/>
        <v>9.747087939722994E-2</v>
      </c>
      <c r="EH274" s="173"/>
      <c r="EI274" s="528">
        <f t="shared" si="719"/>
        <v>9.0246002313186524E-3</v>
      </c>
      <c r="EJ274" s="528">
        <f t="shared" si="720"/>
        <v>1.0239831279860034</v>
      </c>
      <c r="EK274" s="528">
        <f t="shared" si="721"/>
        <v>4.3749999999999997E-2</v>
      </c>
      <c r="EL274" s="528">
        <f t="shared" si="722"/>
        <v>0.10510639999999997</v>
      </c>
      <c r="EM274">
        <f t="shared" si="723"/>
        <v>1.6199999999999999E-2</v>
      </c>
      <c r="EN274" s="460">
        <f t="shared" si="724"/>
        <v>59.949999999999996</v>
      </c>
      <c r="EP274" s="460">
        <f t="shared" si="725"/>
        <v>1198.0641282173219</v>
      </c>
      <c r="EQ274" s="173">
        <f t="shared" si="726"/>
        <v>2.4359999999999995</v>
      </c>
      <c r="ER274" s="173">
        <f t="shared" si="772"/>
        <v>2.5737499999999996E-2</v>
      </c>
      <c r="ES274" s="528"/>
      <c r="EU274" s="460">
        <f t="shared" si="727"/>
        <v>2461.7374999999993</v>
      </c>
      <c r="EV274" s="528">
        <f t="shared" si="728"/>
        <v>2.2191639913078657E-2</v>
      </c>
      <c r="EW274" s="528">
        <f t="shared" si="729"/>
        <v>0.78504804710502685</v>
      </c>
      <c r="EX274" s="528">
        <f t="shared" si="730"/>
        <v>4.7502861652346716E-5</v>
      </c>
      <c r="EY274" s="528">
        <f t="shared" si="731"/>
        <v>1.3340607942899771</v>
      </c>
      <c r="EZ274" s="528"/>
      <c r="FA274" s="625">
        <f t="shared" si="732"/>
        <v>6.2349999999999996E-2</v>
      </c>
      <c r="FB274" s="460">
        <f t="shared" si="733"/>
        <v>2203.6979841697353</v>
      </c>
      <c r="FC274" s="173">
        <f t="shared" si="734"/>
        <v>5.8634996123870566</v>
      </c>
      <c r="FD274" s="5">
        <f t="shared" si="735"/>
        <v>14.963999999999999</v>
      </c>
      <c r="FE274" s="173">
        <f t="shared" si="736"/>
        <v>0.71847318585953701</v>
      </c>
      <c r="FF274" s="5">
        <f t="shared" si="737"/>
        <v>71.847318585953701</v>
      </c>
      <c r="FG274">
        <f t="shared" si="738"/>
        <v>57.999999999999993</v>
      </c>
      <c r="FI274" s="562">
        <f t="shared" si="689"/>
        <v>-50</v>
      </c>
    </row>
    <row r="275" spans="5:165">
      <c r="E275" s="170">
        <v>59</v>
      </c>
      <c r="F275" s="217">
        <f t="shared" si="773"/>
        <v>3.54</v>
      </c>
      <c r="G275" s="217">
        <f t="shared" si="742"/>
        <v>5.8999999999999997E-2</v>
      </c>
      <c r="H275" s="217">
        <f t="shared" si="743"/>
        <v>14.16</v>
      </c>
      <c r="I275" s="217">
        <f t="shared" si="744"/>
        <v>1.0619999999999998</v>
      </c>
      <c r="J275" s="541">
        <f t="shared" si="745"/>
        <v>35.930204636846781</v>
      </c>
      <c r="K275" s="443">
        <f t="shared" si="746"/>
        <v>19.423208288960097</v>
      </c>
      <c r="L275" s="172">
        <f t="shared" si="747"/>
        <v>55.353412925806879</v>
      </c>
      <c r="M275" s="443"/>
      <c r="N275" s="217">
        <f t="shared" si="748"/>
        <v>0.35089450247618981</v>
      </c>
      <c r="O275" s="172">
        <f t="shared" si="749"/>
        <v>39.093678387330357</v>
      </c>
      <c r="P275" s="172">
        <f t="shared" si="750"/>
        <v>3.1519278199785097</v>
      </c>
      <c r="Q275" s="217">
        <f t="shared" si="626"/>
        <v>9.7734195968325892</v>
      </c>
      <c r="R275" s="217">
        <f t="shared" si="751"/>
        <v>2.1718710215183532</v>
      </c>
      <c r="S275" s="217">
        <f t="shared" si="752"/>
        <v>4</v>
      </c>
      <c r="T275" s="217">
        <f t="shared" si="753"/>
        <v>2.4147126567295225</v>
      </c>
      <c r="U275" s="217">
        <f t="shared" si="630"/>
        <v>0.80646776642731755</v>
      </c>
      <c r="V275" s="217">
        <f t="shared" si="631"/>
        <v>1.4918519870491307</v>
      </c>
      <c r="W275" s="197">
        <f t="shared" si="632"/>
        <v>350</v>
      </c>
      <c r="X275" s="443">
        <f t="shared" si="691"/>
        <v>350</v>
      </c>
      <c r="Z275" s="217">
        <f t="shared" si="633"/>
        <v>3.0018360190271522</v>
      </c>
      <c r="AA275" s="173">
        <f t="shared" si="634"/>
        <v>1.8545871357823152</v>
      </c>
      <c r="AB275" s="173">
        <f t="shared" si="754"/>
        <v>3.6251316513776994</v>
      </c>
      <c r="AC275" s="173"/>
      <c r="AD275" s="173">
        <f t="shared" si="636"/>
        <v>0.82375680484743585</v>
      </c>
      <c r="AE275" s="545">
        <f t="shared" si="755"/>
        <v>1611.5193127246575</v>
      </c>
      <c r="AF275" s="528">
        <f t="shared" si="756"/>
        <v>0.76883968452427365</v>
      </c>
      <c r="AH275" s="173">
        <f t="shared" si="757"/>
        <v>2.6923171114434918</v>
      </c>
      <c r="AI275" s="173">
        <f t="shared" si="758"/>
        <v>2.6923171114434918</v>
      </c>
      <c r="AJ275" s="173">
        <f t="shared" si="759"/>
        <v>2.2066546504519691</v>
      </c>
      <c r="AL275" s="545">
        <f t="shared" si="760"/>
        <v>3540</v>
      </c>
      <c r="AM275" s="460">
        <f t="shared" si="761"/>
        <v>350</v>
      </c>
      <c r="AO275">
        <f t="shared" si="644"/>
        <v>3540</v>
      </c>
      <c r="AP275">
        <f t="shared" si="645"/>
        <v>350</v>
      </c>
      <c r="AR275" s="5">
        <f t="shared" si="774"/>
        <v>2.8571428571428572</v>
      </c>
      <c r="AS275" s="5">
        <f t="shared" si="739"/>
        <v>0.89918233597227915</v>
      </c>
      <c r="AT275" s="5">
        <f t="shared" si="740"/>
        <v>1.9579605211705782</v>
      </c>
      <c r="AU275" s="173">
        <f t="shared" si="741"/>
        <v>0.31471381759029771</v>
      </c>
      <c r="BA275" s="173">
        <f t="shared" si="692"/>
        <v>0.87201406455814923</v>
      </c>
      <c r="BB275" s="173">
        <f t="shared" si="693"/>
        <v>5.1470876385051021</v>
      </c>
      <c r="BC275" s="173">
        <f t="shared" si="694"/>
        <v>9.8072886085029662E-2</v>
      </c>
      <c r="BD275" s="173"/>
      <c r="BE275" s="528">
        <f t="shared" si="695"/>
        <v>9.2769840512041332E-3</v>
      </c>
      <c r="BF275" s="528">
        <f t="shared" si="762"/>
        <v>0.97800242397996606</v>
      </c>
      <c r="BG275" s="528">
        <f t="shared" si="763"/>
        <v>0.31438929057240933</v>
      </c>
      <c r="BH275" s="528">
        <f t="shared" si="696"/>
        <v>0.10724001128872095</v>
      </c>
      <c r="BI275">
        <f t="shared" si="697"/>
        <v>1.616859208658105E-2</v>
      </c>
      <c r="BJ275" s="460">
        <f t="shared" si="698"/>
        <v>330.55788265899037</v>
      </c>
      <c r="BK275">
        <f t="shared" si="764"/>
        <v>1.0994476200030467</v>
      </c>
      <c r="BL275" s="460">
        <f t="shared" si="699"/>
        <v>1425.0773019788815</v>
      </c>
      <c r="BM275" s="173">
        <f t="shared" si="765"/>
        <v>2.1992249999999998</v>
      </c>
      <c r="BN275" s="173">
        <f t="shared" si="766"/>
        <v>2.6181249999999996E-2</v>
      </c>
      <c r="BQ275" s="460">
        <f t="shared" si="700"/>
        <v>2225.40625</v>
      </c>
      <c r="BR275" s="528">
        <f t="shared" si="701"/>
        <v>2.2812255863616723E-2</v>
      </c>
      <c r="BS275" s="528">
        <f t="shared" si="702"/>
        <v>0.79477533475356088</v>
      </c>
      <c r="BT275" s="528">
        <f t="shared" si="703"/>
        <v>4.8091454925236029E-5</v>
      </c>
      <c r="BU275" s="528">
        <f t="shared" si="704"/>
        <v>1.3628738034518137</v>
      </c>
      <c r="BV275" s="528"/>
      <c r="BW275" s="625">
        <f t="shared" si="705"/>
        <v>6.3424999999999995E-2</v>
      </c>
      <c r="BX275" s="460">
        <f t="shared" si="706"/>
        <v>2243.9344855239165</v>
      </c>
      <c r="BY275" s="173">
        <f t="shared" si="707"/>
        <v>5.8944180375027972</v>
      </c>
      <c r="BZ275" s="5">
        <f t="shared" si="708"/>
        <v>15.222</v>
      </c>
      <c r="CA275" s="173">
        <f t="shared" si="709"/>
        <v>0.72086089472966963</v>
      </c>
      <c r="CB275" s="5">
        <f t="shared" si="710"/>
        <v>72.086089472966961</v>
      </c>
      <c r="CC275">
        <f t="shared" si="711"/>
        <v>59</v>
      </c>
      <c r="CE275" s="562">
        <f t="shared" si="767"/>
        <v>-50</v>
      </c>
      <c r="CG275" s="173">
        <f t="shared" si="768"/>
        <v>0.68163406605010579</v>
      </c>
      <c r="CH275" s="173">
        <f t="shared" si="769"/>
        <v>0.16328386638020734</v>
      </c>
      <c r="CI275" s="170">
        <v>59</v>
      </c>
      <c r="CJ275" s="217">
        <f t="shared" si="712"/>
        <v>3.54</v>
      </c>
      <c r="CK275" s="217">
        <f t="shared" si="654"/>
        <v>5.8999999999999997E-2</v>
      </c>
      <c r="CL275" s="217">
        <f t="shared" si="655"/>
        <v>14.16</v>
      </c>
      <c r="CM275" s="217">
        <f t="shared" si="656"/>
        <v>1.0619999999999998</v>
      </c>
      <c r="CN275" s="541">
        <f t="shared" si="657"/>
        <v>36</v>
      </c>
      <c r="CO275" s="443">
        <f t="shared" si="770"/>
        <v>18.8</v>
      </c>
      <c r="CP275" s="443">
        <f t="shared" si="771"/>
        <v>54.8</v>
      </c>
      <c r="CQ275" s="443"/>
      <c r="CR275" s="217">
        <f t="shared" si="660"/>
        <v>0.34306569343065696</v>
      </c>
      <c r="CS275" s="172">
        <f t="shared" si="661"/>
        <v>38.295705313189622</v>
      </c>
      <c r="CT275" s="172">
        <f t="shared" si="662"/>
        <v>3.0875912408759132</v>
      </c>
      <c r="CU275" s="217">
        <f t="shared" si="663"/>
        <v>9.5739263282974054</v>
      </c>
      <c r="CV275" s="217">
        <f t="shared" si="664"/>
        <v>2.12753918406609</v>
      </c>
      <c r="CW275" s="217">
        <f t="shared" si="665"/>
        <v>4</v>
      </c>
      <c r="CX275" s="217">
        <f t="shared" si="666"/>
        <v>2.465028368794326</v>
      </c>
      <c r="CY275" s="217">
        <f t="shared" si="667"/>
        <v>0.82167612293144199</v>
      </c>
      <c r="CZ275" s="217">
        <f t="shared" si="668"/>
        <v>1.5734223630602082</v>
      </c>
      <c r="DA275" s="197">
        <f t="shared" si="669"/>
        <v>350</v>
      </c>
      <c r="DB275" s="443">
        <f t="shared" si="670"/>
        <v>350</v>
      </c>
      <c r="DD275" s="217">
        <f t="shared" si="671"/>
        <v>2.940563086548488</v>
      </c>
      <c r="DE275" s="173">
        <f t="shared" si="672"/>
        <v>1.8769551616266944</v>
      </c>
      <c r="DF275" s="173">
        <f t="shared" si="673"/>
        <v>3.5939660877863036</v>
      </c>
      <c r="DG275" s="173"/>
      <c r="DH275" s="173">
        <f t="shared" si="674"/>
        <v>0.85106382978723416</v>
      </c>
      <c r="DI275" s="545">
        <f t="shared" si="675"/>
        <v>1559.8124999999998</v>
      </c>
      <c r="DJ275" s="528">
        <f t="shared" si="676"/>
        <v>0.79432624113475192</v>
      </c>
      <c r="DL275" s="173">
        <f t="shared" si="677"/>
        <v>2.6923171114434918</v>
      </c>
      <c r="DM275" s="173">
        <f t="shared" si="678"/>
        <v>2.6923171114434918</v>
      </c>
      <c r="DN275" s="173">
        <f t="shared" si="679"/>
        <v>2.2066546504519691</v>
      </c>
      <c r="DP275" s="545">
        <f t="shared" si="680"/>
        <v>3540</v>
      </c>
      <c r="DQ275" s="460">
        <f t="shared" si="681"/>
        <v>350</v>
      </c>
      <c r="DS275">
        <f t="shared" si="682"/>
        <v>3540</v>
      </c>
      <c r="DT275">
        <f t="shared" si="683"/>
        <v>350</v>
      </c>
      <c r="DV275" s="5">
        <f t="shared" si="684"/>
        <v>2.8571428571428572</v>
      </c>
      <c r="DW275" s="5">
        <f t="shared" si="685"/>
        <v>0.89743903714783069</v>
      </c>
      <c r="DX275" s="5">
        <f t="shared" si="686"/>
        <v>1.9597038199950265</v>
      </c>
      <c r="DY275" s="173">
        <f t="shared" si="687"/>
        <v>0.31410366300174075</v>
      </c>
      <c r="EA275" s="5">
        <f t="shared" si="713"/>
        <v>79.423354787583008</v>
      </c>
      <c r="EB275" s="5">
        <f t="shared" si="714"/>
        <v>0.29416057328734446</v>
      </c>
      <c r="EC275" s="5">
        <f t="shared" si="715"/>
        <v>0.64234736322059194</v>
      </c>
      <c r="ED275" s="5"/>
      <c r="EE275" s="173">
        <f t="shared" si="716"/>
        <v>0.87116834141361499</v>
      </c>
      <c r="EF275" s="173">
        <f t="shared" si="717"/>
        <v>5.1493785211174794</v>
      </c>
      <c r="EG275" s="173">
        <f t="shared" si="718"/>
        <v>9.8116536686157385E-2</v>
      </c>
      <c r="EH275" s="173"/>
      <c r="EI275" s="528">
        <f t="shared" si="719"/>
        <v>9.2589982047924548E-3</v>
      </c>
      <c r="EJ275" s="528">
        <f t="shared" si="720"/>
        <v>1.0327728439497235</v>
      </c>
      <c r="EK275" s="528">
        <f t="shared" si="721"/>
        <v>4.3749999999999997E-2</v>
      </c>
      <c r="EL275" s="528">
        <f t="shared" si="722"/>
        <v>0.10510639999999997</v>
      </c>
      <c r="EM275">
        <f t="shared" si="723"/>
        <v>1.6199999999999999E-2</v>
      </c>
      <c r="EN275" s="460">
        <f t="shared" si="724"/>
        <v>59.949999999999996</v>
      </c>
      <c r="EP275" s="460">
        <f t="shared" si="725"/>
        <v>1207.0882421545157</v>
      </c>
      <c r="EQ275" s="173">
        <f t="shared" si="726"/>
        <v>2.4779999999999998</v>
      </c>
      <c r="ER275" s="173">
        <f t="shared" si="772"/>
        <v>2.6181249999999996E-2</v>
      </c>
      <c r="ES275" s="528"/>
      <c r="EU275" s="460">
        <f t="shared" si="727"/>
        <v>2504.1812499999996</v>
      </c>
      <c r="EV275" s="528">
        <f t="shared" si="728"/>
        <v>2.2768028372440463E-2</v>
      </c>
      <c r="EW275" s="528">
        <f t="shared" si="729"/>
        <v>0.79548297461238116</v>
      </c>
      <c r="EX275" s="528">
        <f t="shared" si="730"/>
        <v>4.8134273856430341E-5</v>
      </c>
      <c r="EY275" s="528">
        <f t="shared" si="731"/>
        <v>1.3628738034518137</v>
      </c>
      <c r="EZ275" s="528"/>
      <c r="FA275" s="625">
        <f t="shared" si="732"/>
        <v>6.3424999999999995E-2</v>
      </c>
      <c r="FB275" s="460">
        <f t="shared" si="733"/>
        <v>2244.5979407104919</v>
      </c>
      <c r="FC275" s="173">
        <f t="shared" si="734"/>
        <v>5.9558674328650074</v>
      </c>
      <c r="FD275" s="5">
        <f t="shared" si="735"/>
        <v>15.222</v>
      </c>
      <c r="FE275" s="173">
        <f t="shared" si="736"/>
        <v>0.71876925513178169</v>
      </c>
      <c r="FF275" s="5">
        <f t="shared" si="737"/>
        <v>71.876925513178165</v>
      </c>
      <c r="FG275">
        <f t="shared" si="738"/>
        <v>59</v>
      </c>
      <c r="FI275" s="562">
        <f t="shared" si="689"/>
        <v>-50</v>
      </c>
    </row>
    <row r="276" spans="5:165">
      <c r="E276" s="170">
        <v>60</v>
      </c>
      <c r="F276" s="217">
        <f t="shared" si="773"/>
        <v>3.5999999999999996</v>
      </c>
      <c r="G276" s="217">
        <f t="shared" si="742"/>
        <v>0.06</v>
      </c>
      <c r="H276" s="217">
        <f t="shared" si="743"/>
        <v>14.399999999999999</v>
      </c>
      <c r="I276" s="217">
        <f t="shared" si="744"/>
        <v>1.08</v>
      </c>
      <c r="J276" s="541">
        <f t="shared" si="745"/>
        <v>35.929615635998076</v>
      </c>
      <c r="K276" s="443">
        <f t="shared" si="746"/>
        <v>19.428467523879657</v>
      </c>
      <c r="L276" s="172">
        <f t="shared" si="747"/>
        <v>55.358083159877737</v>
      </c>
      <c r="M276" s="443"/>
      <c r="N276" s="217">
        <f t="shared" si="748"/>
        <v>0.35095990350260109</v>
      </c>
      <c r="O276" s="172">
        <f t="shared" si="749"/>
        <v>39.100323834094361</v>
      </c>
      <c r="P276" s="172">
        <f t="shared" si="750"/>
        <v>3.152463609123858</v>
      </c>
      <c r="Q276" s="217">
        <f t="shared" si="626"/>
        <v>9.7750809585235903</v>
      </c>
      <c r="R276" s="217">
        <f t="shared" si="751"/>
        <v>2.1722402130052423</v>
      </c>
      <c r="S276" s="217">
        <f t="shared" si="752"/>
        <v>4</v>
      </c>
      <c r="T276" s="217">
        <f t="shared" si="753"/>
        <v>2.4552226321023647</v>
      </c>
      <c r="U276" s="217">
        <f t="shared" si="630"/>
        <v>0.82001076448225529</v>
      </c>
      <c r="V276" s="217">
        <f t="shared" si="631"/>
        <v>1.5164691476059866</v>
      </c>
      <c r="W276" s="197">
        <f t="shared" si="632"/>
        <v>350</v>
      </c>
      <c r="X276" s="443">
        <f t="shared" si="691"/>
        <v>350</v>
      </c>
      <c r="Z276" s="217">
        <f t="shared" si="633"/>
        <v>3.0023462944036741</v>
      </c>
      <c r="AA276" s="173">
        <f t="shared" si="634"/>
        <v>1.8544002757068538</v>
      </c>
      <c r="AB276" s="173">
        <f t="shared" si="754"/>
        <v>3.6253825649085925</v>
      </c>
      <c r="AC276" s="173"/>
      <c r="AD276" s="173">
        <f t="shared" si="636"/>
        <v>0.8235338160528769</v>
      </c>
      <c r="AE276" s="545">
        <f t="shared" si="755"/>
        <v>1639.2769473273456</v>
      </c>
      <c r="AF276" s="528">
        <f t="shared" si="756"/>
        <v>0.76863156164935176</v>
      </c>
      <c r="AH276" s="173">
        <f t="shared" si="757"/>
        <v>2.7150374898753369</v>
      </c>
      <c r="AI276" s="173">
        <f t="shared" si="758"/>
        <v>2.7150374898753369</v>
      </c>
      <c r="AJ276" s="173">
        <f t="shared" si="759"/>
        <v>2.2234845604014839</v>
      </c>
      <c r="AL276" s="545">
        <f t="shared" si="760"/>
        <v>3599.9999999999995</v>
      </c>
      <c r="AM276" s="460">
        <f t="shared" si="761"/>
        <v>350</v>
      </c>
      <c r="AO276">
        <f t="shared" si="644"/>
        <v>3599.9999999999995</v>
      </c>
      <c r="AP276">
        <f t="shared" si="645"/>
        <v>350</v>
      </c>
      <c r="AR276" s="5">
        <f t="shared" si="774"/>
        <v>2.8571428571428572</v>
      </c>
      <c r="AS276" s="5">
        <f t="shared" si="739"/>
        <v>0.90678537194986053</v>
      </c>
      <c r="AT276" s="5">
        <f t="shared" si="740"/>
        <v>1.9503574851929968</v>
      </c>
      <c r="AU276" s="173">
        <f t="shared" si="741"/>
        <v>0.31737488018245119</v>
      </c>
      <c r="BA276" s="173">
        <f t="shared" si="692"/>
        <v>0.88308290657043065</v>
      </c>
      <c r="BB276" s="173">
        <f t="shared" si="693"/>
        <v>5.1804361781857358</v>
      </c>
      <c r="BC276" s="173">
        <f t="shared" si="694"/>
        <v>9.870831096272821E-2</v>
      </c>
      <c r="BD276" s="173"/>
      <c r="BE276" s="528">
        <f t="shared" si="695"/>
        <v>9.5139921224979343E-3</v>
      </c>
      <c r="BF276" s="528">
        <f t="shared" si="762"/>
        <v>0.98633896690024891</v>
      </c>
      <c r="BG276" s="528">
        <f t="shared" si="763"/>
        <v>0.31438413681498312</v>
      </c>
      <c r="BH276" s="528">
        <f t="shared" si="696"/>
        <v>0.10725810798975786</v>
      </c>
      <c r="BI276">
        <f t="shared" si="697"/>
        <v>1.6168327036199134E-2</v>
      </c>
      <c r="BJ276" s="460">
        <f t="shared" si="698"/>
        <v>330.55246385118227</v>
      </c>
      <c r="BK276">
        <f t="shared" si="764"/>
        <v>1.1081849240883792</v>
      </c>
      <c r="BL276" s="460">
        <f t="shared" si="699"/>
        <v>1433.6635308636871</v>
      </c>
      <c r="BM276" s="173">
        <f t="shared" si="765"/>
        <v>2.2364999999999995</v>
      </c>
      <c r="BN276" s="173">
        <f t="shared" si="766"/>
        <v>2.6624999999999999E-2</v>
      </c>
      <c r="BQ276" s="460">
        <f t="shared" si="700"/>
        <v>2263.1249999999995</v>
      </c>
      <c r="BR276" s="528">
        <f t="shared" si="701"/>
        <v>2.3395062596306398E-2</v>
      </c>
      <c r="BS276" s="528">
        <f t="shared" si="702"/>
        <v>0.80510756988766896</v>
      </c>
      <c r="BT276" s="528">
        <f t="shared" si="703"/>
        <v>4.8716653265573254E-5</v>
      </c>
      <c r="BU276" s="528">
        <f t="shared" si="704"/>
        <v>1.3918091658014877</v>
      </c>
      <c r="BV276" s="528"/>
      <c r="BW276" s="625">
        <f t="shared" si="705"/>
        <v>6.4500000000000002E-2</v>
      </c>
      <c r="BX276" s="460">
        <f t="shared" si="706"/>
        <v>2284.8605149387281</v>
      </c>
      <c r="BY276" s="173">
        <f t="shared" si="707"/>
        <v>5.9816490458024143</v>
      </c>
      <c r="BZ276" s="5">
        <f t="shared" si="708"/>
        <v>15.479999999999999</v>
      </c>
      <c r="CA276" s="173">
        <f t="shared" si="709"/>
        <v>0.72128660602749262</v>
      </c>
      <c r="CB276" s="5">
        <f t="shared" si="710"/>
        <v>72.128660602749264</v>
      </c>
      <c r="CC276">
        <f t="shared" si="711"/>
        <v>60</v>
      </c>
      <c r="CE276" s="562">
        <f t="shared" si="767"/>
        <v>-50</v>
      </c>
      <c r="CG276" s="173">
        <f t="shared" si="768"/>
        <v>0.68738635424337602</v>
      </c>
      <c r="CH276" s="173">
        <f t="shared" si="769"/>
        <v>0.16466181373277017</v>
      </c>
      <c r="CI276" s="170">
        <v>60</v>
      </c>
      <c r="CJ276" s="217">
        <f t="shared" si="712"/>
        <v>3.5999999999999996</v>
      </c>
      <c r="CK276" s="217">
        <f t="shared" si="654"/>
        <v>0.06</v>
      </c>
      <c r="CL276" s="217">
        <f t="shared" si="655"/>
        <v>14.399999999999999</v>
      </c>
      <c r="CM276" s="217">
        <f t="shared" si="656"/>
        <v>1.08</v>
      </c>
      <c r="CN276" s="541">
        <f t="shared" si="657"/>
        <v>36</v>
      </c>
      <c r="CO276" s="443">
        <f t="shared" si="770"/>
        <v>18.8</v>
      </c>
      <c r="CP276" s="443">
        <f t="shared" si="771"/>
        <v>54.8</v>
      </c>
      <c r="CQ276" s="443"/>
      <c r="CR276" s="217">
        <f t="shared" si="660"/>
        <v>0.34306569343065696</v>
      </c>
      <c r="CS276" s="172">
        <f t="shared" si="661"/>
        <v>38.295705313189622</v>
      </c>
      <c r="CT276" s="172">
        <f t="shared" si="662"/>
        <v>3.0875912408759132</v>
      </c>
      <c r="CU276" s="217">
        <f t="shared" si="663"/>
        <v>9.5739263282974054</v>
      </c>
      <c r="CV276" s="217">
        <f t="shared" si="664"/>
        <v>2.12753918406609</v>
      </c>
      <c r="CW276" s="217">
        <f t="shared" si="665"/>
        <v>4</v>
      </c>
      <c r="CX276" s="217">
        <f t="shared" si="666"/>
        <v>2.5068085106382973</v>
      </c>
      <c r="CY276" s="217">
        <f t="shared" si="667"/>
        <v>0.83560283687943249</v>
      </c>
      <c r="CZ276" s="217">
        <f t="shared" si="668"/>
        <v>1.6000905387052964</v>
      </c>
      <c r="DA276" s="197">
        <f t="shared" si="669"/>
        <v>350</v>
      </c>
      <c r="DB276" s="443">
        <f t="shared" si="670"/>
        <v>350</v>
      </c>
      <c r="DD276" s="217">
        <f t="shared" si="671"/>
        <v>2.940563086548488</v>
      </c>
      <c r="DE276" s="173">
        <f t="shared" si="672"/>
        <v>1.8769551616266944</v>
      </c>
      <c r="DF276" s="173">
        <f t="shared" si="673"/>
        <v>3.5939660877863036</v>
      </c>
      <c r="DG276" s="173"/>
      <c r="DH276" s="173">
        <f t="shared" si="674"/>
        <v>0.85106382978723416</v>
      </c>
      <c r="DI276" s="545">
        <f t="shared" si="675"/>
        <v>1586.2499999999993</v>
      </c>
      <c r="DJ276" s="528">
        <f t="shared" si="676"/>
        <v>0.79432624113475192</v>
      </c>
      <c r="DL276" s="173">
        <f t="shared" si="677"/>
        <v>2.7150374898753369</v>
      </c>
      <c r="DM276" s="173">
        <f t="shared" si="678"/>
        <v>2.5068085106382973</v>
      </c>
      <c r="DN276" s="173">
        <f t="shared" si="679"/>
        <v>2.0692408720777511</v>
      </c>
      <c r="DP276" s="545">
        <f t="shared" si="680"/>
        <v>3599.9999999999995</v>
      </c>
      <c r="DQ276" s="460">
        <f t="shared" si="681"/>
        <v>350</v>
      </c>
      <c r="DS276">
        <f t="shared" si="682"/>
        <v>3599.9999999999995</v>
      </c>
      <c r="DT276">
        <f t="shared" si="683"/>
        <v>350</v>
      </c>
      <c r="DV276" s="5">
        <f t="shared" si="684"/>
        <v>2.8571428571428572</v>
      </c>
      <c r="DW276" s="5">
        <f t="shared" si="685"/>
        <v>0.83560283687943249</v>
      </c>
      <c r="DX276" s="5">
        <f t="shared" si="686"/>
        <v>2.0215400202634246</v>
      </c>
      <c r="DY276" s="173">
        <f t="shared" si="687"/>
        <v>0.29246099290780136</v>
      </c>
      <c r="EA276" s="5">
        <f t="shared" si="713"/>
        <v>75.204255319148913</v>
      </c>
      <c r="EB276" s="5">
        <f t="shared" si="714"/>
        <v>0.27853427895981081</v>
      </c>
      <c r="EC276" s="5">
        <f t="shared" si="715"/>
        <v>0.67384667342114146</v>
      </c>
      <c r="ED276" s="5"/>
      <c r="EE276" s="173">
        <f t="shared" si="716"/>
        <v>0.78269851195496665</v>
      </c>
      <c r="EF276" s="173">
        <f t="shared" si="717"/>
        <v>4.8696272422210667</v>
      </c>
      <c r="EG276" s="173">
        <f t="shared" si="718"/>
        <v>9.2786140696374392E-2</v>
      </c>
      <c r="EH276" s="173"/>
      <c r="EI276" s="528">
        <f t="shared" si="719"/>
        <v>7.4739269195215315E-3</v>
      </c>
      <c r="EJ276" s="528">
        <f t="shared" si="720"/>
        <v>0.96161174468085064</v>
      </c>
      <c r="EK276" s="528">
        <f t="shared" si="721"/>
        <v>4.3749999999999997E-2</v>
      </c>
      <c r="EL276" s="528">
        <f t="shared" si="722"/>
        <v>0.10510639999999997</v>
      </c>
      <c r="EM276">
        <f t="shared" si="723"/>
        <v>1.6199999999999999E-2</v>
      </c>
      <c r="EN276" s="460">
        <f t="shared" si="724"/>
        <v>59.949999999999996</v>
      </c>
      <c r="EP276" s="460">
        <f t="shared" si="725"/>
        <v>1134.142071600372</v>
      </c>
      <c r="EQ276" s="173">
        <f t="shared" si="726"/>
        <v>2.5199999999999996</v>
      </c>
      <c r="ER276" s="173">
        <f t="shared" si="772"/>
        <v>2.6624999999999999E-2</v>
      </c>
      <c r="ES276" s="528"/>
      <c r="EU276" s="460">
        <f t="shared" si="727"/>
        <v>2546.6249999999995</v>
      </c>
      <c r="EV276" s="528">
        <f t="shared" si="728"/>
        <v>1.8378508818495572E-2</v>
      </c>
      <c r="EW276" s="528">
        <f t="shared" si="729"/>
        <v>0.71139808434544649</v>
      </c>
      <c r="EX276" s="528">
        <f t="shared" si="730"/>
        <v>4.3046339526636922E-5</v>
      </c>
      <c r="EY276" s="528">
        <f t="shared" si="731"/>
        <v>1.1401001855986626</v>
      </c>
      <c r="EZ276" s="528"/>
      <c r="FA276" s="625">
        <f t="shared" si="732"/>
        <v>5.4985777953825241E-2</v>
      </c>
      <c r="FB276" s="460">
        <f t="shared" si="733"/>
        <v>1924.9056030559566</v>
      </c>
      <c r="FC276" s="173">
        <f t="shared" si="734"/>
        <v>5.6056726746563283</v>
      </c>
      <c r="FD276" s="5">
        <f t="shared" si="735"/>
        <v>15.479999999999999</v>
      </c>
      <c r="FE276" s="173">
        <f t="shared" si="736"/>
        <v>0.73414779024839938</v>
      </c>
      <c r="FF276" s="5">
        <f t="shared" si="737"/>
        <v>73.414779024839945</v>
      </c>
      <c r="FG276">
        <f t="shared" si="738"/>
        <v>60</v>
      </c>
      <c r="FI276" s="562">
        <f t="shared" si="689"/>
        <v>-50</v>
      </c>
    </row>
    <row r="277" spans="5:165">
      <c r="E277" s="170">
        <v>61</v>
      </c>
      <c r="F277" s="217">
        <f t="shared" si="773"/>
        <v>3.66</v>
      </c>
      <c r="G277" s="217">
        <f t="shared" si="742"/>
        <v>6.0999999999999999E-2</v>
      </c>
      <c r="H277" s="217">
        <f t="shared" si="743"/>
        <v>14.64</v>
      </c>
      <c r="I277" s="217">
        <f t="shared" si="744"/>
        <v>1.0979999999999999</v>
      </c>
      <c r="J277" s="541">
        <f t="shared" si="745"/>
        <v>35.929031523376771</v>
      </c>
      <c r="K277" s="443">
        <f t="shared" si="746"/>
        <v>19.433683111432114</v>
      </c>
      <c r="L277" s="172">
        <f t="shared" si="747"/>
        <v>55.362714634808881</v>
      </c>
      <c r="M277" s="443"/>
      <c r="N277" s="217">
        <f t="shared" si="748"/>
        <v>0.3510247508566593</v>
      </c>
      <c r="O277" s="172">
        <f t="shared" si="749"/>
        <v>39.106912679114387</v>
      </c>
      <c r="P277" s="172">
        <f t="shared" si="750"/>
        <v>3.1529948347535974</v>
      </c>
      <c r="Q277" s="217">
        <f t="shared" si="626"/>
        <v>9.7767281697785968</v>
      </c>
      <c r="R277" s="217">
        <f t="shared" si="751"/>
        <v>2.1726062599507991</v>
      </c>
      <c r="S277" s="217">
        <f t="shared" si="752"/>
        <v>4</v>
      </c>
      <c r="T277" s="217">
        <f t="shared" si="753"/>
        <v>2.4957224519573158</v>
      </c>
      <c r="U277" s="217">
        <f t="shared" si="630"/>
        <v>0.83355070130409903</v>
      </c>
      <c r="V277" s="217">
        <f t="shared" si="631"/>
        <v>1.5410701744884427</v>
      </c>
      <c r="W277" s="197">
        <f t="shared" si="632"/>
        <v>350</v>
      </c>
      <c r="X277" s="443">
        <f t="shared" si="691"/>
        <v>350</v>
      </c>
      <c r="Z277" s="217">
        <f t="shared" si="633"/>
        <v>3.0028522235748545</v>
      </c>
      <c r="AA277" s="173">
        <f t="shared" si="634"/>
        <v>1.854214997552402</v>
      </c>
      <c r="AB277" s="173">
        <f t="shared" si="754"/>
        <v>3.625631199879304</v>
      </c>
      <c r="AC277" s="173"/>
      <c r="AD277" s="173">
        <f t="shared" si="636"/>
        <v>0.82331279707796601</v>
      </c>
      <c r="AE277" s="545">
        <f t="shared" si="755"/>
        <v>1667.0456294025355</v>
      </c>
      <c r="AF277" s="528">
        <f t="shared" si="756"/>
        <v>0.76842527727276833</v>
      </c>
      <c r="AH277" s="173">
        <f t="shared" si="757"/>
        <v>2.7375693076679748</v>
      </c>
      <c r="AI277" s="173">
        <f t="shared" si="758"/>
        <v>2.4957224519573158</v>
      </c>
      <c r="AJ277" s="173">
        <f t="shared" si="759"/>
        <v>2.0610289767585055</v>
      </c>
      <c r="AL277" s="545">
        <f t="shared" si="760"/>
        <v>3660</v>
      </c>
      <c r="AM277" s="460">
        <f t="shared" si="761"/>
        <v>350</v>
      </c>
      <c r="AO277">
        <f t="shared" si="644"/>
        <v>3660</v>
      </c>
      <c r="AP277">
        <f t="shared" si="645"/>
        <v>350</v>
      </c>
      <c r="AR277" s="5">
        <f t="shared" si="774"/>
        <v>2.8571428571428572</v>
      </c>
      <c r="AS277" s="5">
        <f t="shared" si="739"/>
        <v>0.83355070130409903</v>
      </c>
      <c r="AT277" s="5">
        <f t="shared" si="740"/>
        <v>2.0235921558387582</v>
      </c>
      <c r="AU277" s="173">
        <f t="shared" si="741"/>
        <v>0.29174274545643464</v>
      </c>
      <c r="BA277" s="173">
        <f t="shared" si="692"/>
        <v>0.7782796796337611</v>
      </c>
      <c r="BB277" s="173">
        <f t="shared" si="693"/>
        <v>4.8505520114787464</v>
      </c>
      <c r="BC277" s="173">
        <f t="shared" si="694"/>
        <v>9.2422680218716663E-2</v>
      </c>
      <c r="BD277" s="173"/>
      <c r="BE277" s="528">
        <f t="shared" si="695"/>
        <v>7.3897749687161238E-3</v>
      </c>
      <c r="BF277" s="528">
        <f t="shared" si="762"/>
        <v>0.90674042756980178</v>
      </c>
      <c r="BG277" s="528">
        <f t="shared" si="763"/>
        <v>0.31437902582954674</v>
      </c>
      <c r="BH277" s="528">
        <f t="shared" si="696"/>
        <v>0.10727605601073485</v>
      </c>
      <c r="BI277">
        <f t="shared" si="697"/>
        <v>1.6168064185519547E-2</v>
      </c>
      <c r="BJ277" s="460">
        <f t="shared" si="698"/>
        <v>330.54709001506626</v>
      </c>
      <c r="BK277">
        <f t="shared" si="764"/>
        <v>1.0252015574834394</v>
      </c>
      <c r="BL277" s="460">
        <f t="shared" si="699"/>
        <v>1351.9533485643192</v>
      </c>
      <c r="BM277" s="173">
        <f t="shared" si="765"/>
        <v>2.2737749999999997</v>
      </c>
      <c r="BN277" s="173">
        <f t="shared" si="766"/>
        <v>2.7068749999999999E-2</v>
      </c>
      <c r="BQ277" s="460">
        <f t="shared" si="700"/>
        <v>2300.84375</v>
      </c>
      <c r="BR277" s="528">
        <f t="shared" si="701"/>
        <v>1.8171577791924895E-2</v>
      </c>
      <c r="BS277" s="528">
        <f t="shared" si="702"/>
        <v>0.70583564448181535</v>
      </c>
      <c r="BT277" s="528">
        <f t="shared" si="703"/>
        <v>4.2709759094055802E-5</v>
      </c>
      <c r="BU277" s="528">
        <f t="shared" si="704"/>
        <v>1.1275370731198571</v>
      </c>
      <c r="BV277" s="528"/>
      <c r="BW277" s="625">
        <f t="shared" si="705"/>
        <v>5.4500517375533582E-2</v>
      </c>
      <c r="BX277" s="460">
        <f t="shared" si="706"/>
        <v>1906.087522528225</v>
      </c>
      <c r="BY277" s="173">
        <f t="shared" si="707"/>
        <v>5.5588846210925436</v>
      </c>
      <c r="BZ277" s="5">
        <f t="shared" si="708"/>
        <v>15.738</v>
      </c>
      <c r="CA277" s="173">
        <f t="shared" si="709"/>
        <v>0.73898132426434815</v>
      </c>
      <c r="CB277" s="5">
        <f t="shared" si="710"/>
        <v>73.898132426434813</v>
      </c>
      <c r="CC277">
        <f t="shared" si="711"/>
        <v>61</v>
      </c>
      <c r="CE277" s="562">
        <f t="shared" si="767"/>
        <v>-50</v>
      </c>
      <c r="CG277" s="173">
        <f t="shared" si="768"/>
        <v>0.69309090312887534</v>
      </c>
      <c r="CH277" s="173">
        <f t="shared" si="769"/>
        <v>0.16602832524440397</v>
      </c>
      <c r="CI277" s="170">
        <v>61</v>
      </c>
      <c r="CJ277" s="217">
        <f t="shared" si="712"/>
        <v>3.66</v>
      </c>
      <c r="CK277" s="217">
        <f t="shared" si="654"/>
        <v>6.0999999999999999E-2</v>
      </c>
      <c r="CL277" s="217">
        <f t="shared" si="655"/>
        <v>14.64</v>
      </c>
      <c r="CM277" s="217">
        <f t="shared" si="656"/>
        <v>1.0979999999999999</v>
      </c>
      <c r="CN277" s="541">
        <f t="shared" si="657"/>
        <v>36</v>
      </c>
      <c r="CO277" s="443">
        <f t="shared" si="770"/>
        <v>18.8</v>
      </c>
      <c r="CP277" s="443">
        <f t="shared" si="771"/>
        <v>54.8</v>
      </c>
      <c r="CQ277" s="443"/>
      <c r="CR277" s="217">
        <f t="shared" si="660"/>
        <v>0.34306569343065696</v>
      </c>
      <c r="CS277" s="172">
        <f t="shared" si="661"/>
        <v>38.295705313189622</v>
      </c>
      <c r="CT277" s="172">
        <f t="shared" si="662"/>
        <v>3.0875912408759132</v>
      </c>
      <c r="CU277" s="217">
        <f t="shared" si="663"/>
        <v>9.5739263282974054</v>
      </c>
      <c r="CV277" s="217">
        <f t="shared" si="664"/>
        <v>2.12753918406609</v>
      </c>
      <c r="CW277" s="217">
        <f t="shared" si="665"/>
        <v>4</v>
      </c>
      <c r="CX277" s="217">
        <f t="shared" si="666"/>
        <v>2.5485886524822692</v>
      </c>
      <c r="CY277" s="217">
        <f t="shared" si="667"/>
        <v>0.84952955082742299</v>
      </c>
      <c r="CZ277" s="217">
        <f t="shared" si="668"/>
        <v>1.6267587143503845</v>
      </c>
      <c r="DA277" s="197">
        <f t="shared" si="669"/>
        <v>350</v>
      </c>
      <c r="DB277" s="443">
        <f t="shared" si="670"/>
        <v>350</v>
      </c>
      <c r="DD277" s="217">
        <f t="shared" si="671"/>
        <v>2.940563086548488</v>
      </c>
      <c r="DE277" s="173">
        <f t="shared" si="672"/>
        <v>1.8769551616266944</v>
      </c>
      <c r="DF277" s="173">
        <f t="shared" si="673"/>
        <v>3.5939660877863036</v>
      </c>
      <c r="DG277" s="173"/>
      <c r="DH277" s="173">
        <f t="shared" si="674"/>
        <v>0.85106382978723416</v>
      </c>
      <c r="DI277" s="545">
        <f t="shared" si="675"/>
        <v>1612.6874999999998</v>
      </c>
      <c r="DJ277" s="528">
        <f t="shared" si="676"/>
        <v>0.79432624113475192</v>
      </c>
      <c r="DL277" s="173">
        <f t="shared" si="677"/>
        <v>2.7375693076679748</v>
      </c>
      <c r="DM277" s="173">
        <f t="shared" si="678"/>
        <v>2.5485886524822692</v>
      </c>
      <c r="DN277" s="173">
        <f t="shared" si="679"/>
        <v>2.1001891252955076</v>
      </c>
      <c r="DP277" s="545">
        <f t="shared" si="680"/>
        <v>3660</v>
      </c>
      <c r="DQ277" s="460">
        <f t="shared" si="681"/>
        <v>350</v>
      </c>
      <c r="DS277">
        <f t="shared" si="682"/>
        <v>3660</v>
      </c>
      <c r="DT277">
        <f t="shared" si="683"/>
        <v>350</v>
      </c>
      <c r="DV277" s="5">
        <f t="shared" si="684"/>
        <v>2.8571428571428572</v>
      </c>
      <c r="DW277" s="5">
        <f t="shared" si="685"/>
        <v>0.84952955082742299</v>
      </c>
      <c r="DX277" s="5">
        <f t="shared" si="686"/>
        <v>2.0076133063154344</v>
      </c>
      <c r="DY277" s="173">
        <f t="shared" si="687"/>
        <v>0.29733534278959806</v>
      </c>
      <c r="EA277" s="5">
        <f t="shared" si="713"/>
        <v>77.731953900709215</v>
      </c>
      <c r="EB277" s="5">
        <f t="shared" si="714"/>
        <v>0.28789612555818223</v>
      </c>
      <c r="EC277" s="5">
        <f t="shared" si="715"/>
        <v>0.68035784269578603</v>
      </c>
      <c r="ED277" s="5"/>
      <c r="EE277" s="173">
        <f t="shared" si="716"/>
        <v>0.80234728077736051</v>
      </c>
      <c r="EF277" s="173">
        <f t="shared" si="717"/>
        <v>4.9337048378942248</v>
      </c>
      <c r="EG277" s="173">
        <f t="shared" si="718"/>
        <v>9.4007078667984564E-2</v>
      </c>
      <c r="EH277" s="173"/>
      <c r="EI277" s="528">
        <f t="shared" si="719"/>
        <v>7.8538861394440579E-3</v>
      </c>
      <c r="EJ277" s="528">
        <f t="shared" si="720"/>
        <v>0.97763860709219863</v>
      </c>
      <c r="EK277" s="528">
        <f t="shared" si="721"/>
        <v>4.3749999999999997E-2</v>
      </c>
      <c r="EL277" s="528">
        <f t="shared" si="722"/>
        <v>0.10510639999999997</v>
      </c>
      <c r="EM277">
        <f t="shared" si="723"/>
        <v>1.6199999999999999E-2</v>
      </c>
      <c r="EN277" s="460">
        <f t="shared" si="724"/>
        <v>59.949999999999996</v>
      </c>
      <c r="EP277" s="460">
        <f t="shared" si="725"/>
        <v>1150.5488932316425</v>
      </c>
      <c r="EQ277" s="173">
        <f t="shared" si="726"/>
        <v>2.5619999999999998</v>
      </c>
      <c r="ER277" s="173">
        <f t="shared" si="772"/>
        <v>2.7068749999999999E-2</v>
      </c>
      <c r="ES277" s="528"/>
      <c r="EU277" s="460">
        <f t="shared" si="727"/>
        <v>2589.0687499999999</v>
      </c>
      <c r="EV277" s="528">
        <f t="shared" si="728"/>
        <v>1.9312834769124734E-2</v>
      </c>
      <c r="EW277" s="528">
        <f t="shared" si="729"/>
        <v>0.73024330282382632</v>
      </c>
      <c r="EX277" s="528">
        <f t="shared" si="730"/>
        <v>4.4186654198443193E-5</v>
      </c>
      <c r="EY277" s="528">
        <f t="shared" si="731"/>
        <v>1.1881998082098144</v>
      </c>
      <c r="EZ277" s="528"/>
      <c r="FA277" s="625">
        <f t="shared" si="732"/>
        <v>5.6833911046162158E-2</v>
      </c>
      <c r="FB277" s="460">
        <f t="shared" si="733"/>
        <v>1994.6340435031261</v>
      </c>
      <c r="FC277" s="173">
        <f t="shared" si="734"/>
        <v>5.734251686734769</v>
      </c>
      <c r="FD277" s="5">
        <f t="shared" si="735"/>
        <v>15.738</v>
      </c>
      <c r="FE277" s="173">
        <f t="shared" si="736"/>
        <v>0.73294595413683128</v>
      </c>
      <c r="FF277" s="5">
        <f t="shared" si="737"/>
        <v>73.294595413683126</v>
      </c>
      <c r="FG277">
        <f t="shared" si="738"/>
        <v>61</v>
      </c>
      <c r="FI277" s="562">
        <f t="shared" si="689"/>
        <v>-50</v>
      </c>
    </row>
    <row r="278" spans="5:165">
      <c r="E278" s="170">
        <v>62</v>
      </c>
      <c r="F278" s="217">
        <f t="shared" si="773"/>
        <v>3.7199999999999998</v>
      </c>
      <c r="G278" s="217">
        <f t="shared" si="742"/>
        <v>6.2E-2</v>
      </c>
      <c r="H278" s="217">
        <f t="shared" si="743"/>
        <v>14.879999999999999</v>
      </c>
      <c r="I278" s="217">
        <f t="shared" si="744"/>
        <v>1.1160000000000001</v>
      </c>
      <c r="J278" s="541">
        <f t="shared" si="745"/>
        <v>35.928375022274246</v>
      </c>
      <c r="K278" s="443">
        <f t="shared" si="746"/>
        <v>19.439733735638981</v>
      </c>
      <c r="L278" s="172">
        <f t="shared" si="747"/>
        <v>55.368108757913227</v>
      </c>
      <c r="M278" s="443"/>
      <c r="N278" s="217">
        <f t="shared" si="748"/>
        <v>0.35109983294960656</v>
      </c>
      <c r="O278" s="172">
        <f t="shared" si="749"/>
        <v>39.114562692934278</v>
      </c>
      <c r="P278" s="172">
        <f t="shared" si="750"/>
        <v>3.1536116171178263</v>
      </c>
      <c r="Q278" s="217">
        <f t="shared" si="626"/>
        <v>9.7786406732335696</v>
      </c>
      <c r="R278" s="217">
        <f t="shared" si="751"/>
        <v>2.1730312607185711</v>
      </c>
      <c r="S278" s="217">
        <f t="shared" si="752"/>
        <v>4</v>
      </c>
      <c r="T278" s="217">
        <f t="shared" si="753"/>
        <v>2.5361398203211829</v>
      </c>
      <c r="U278" s="217">
        <f t="shared" si="630"/>
        <v>0.8470652464795988</v>
      </c>
      <c r="V278" s="217">
        <f t="shared" si="631"/>
        <v>1.5655398503766513</v>
      </c>
      <c r="W278" s="197">
        <f t="shared" si="632"/>
        <v>350</v>
      </c>
      <c r="X278" s="443">
        <f t="shared" si="691"/>
        <v>350</v>
      </c>
      <c r="Z278" s="217">
        <f t="shared" si="633"/>
        <v>3.0034396353503108</v>
      </c>
      <c r="AA278" s="173">
        <f t="shared" si="634"/>
        <v>1.8540004772868386</v>
      </c>
      <c r="AB278" s="173">
        <f t="shared" si="754"/>
        <v>3.6259208950783059</v>
      </c>
      <c r="AC278" s="173"/>
      <c r="AD278" s="173">
        <f t="shared" si="636"/>
        <v>0.82305654066995304</v>
      </c>
      <c r="AE278" s="545">
        <f t="shared" si="755"/>
        <v>1694.9017850760235</v>
      </c>
      <c r="AF278" s="528">
        <f t="shared" si="756"/>
        <v>0.76818610462528947</v>
      </c>
      <c r="AH278" s="173">
        <f t="shared" si="757"/>
        <v>2.7599171830225009</v>
      </c>
      <c r="AI278" s="173">
        <f t="shared" si="758"/>
        <v>2.5361398203211829</v>
      </c>
      <c r="AJ278" s="173">
        <f t="shared" si="759"/>
        <v>2.0909677681391479</v>
      </c>
      <c r="AL278" s="545">
        <f t="shared" si="760"/>
        <v>3719.9999999999995</v>
      </c>
      <c r="AM278" s="460">
        <f t="shared" si="761"/>
        <v>350</v>
      </c>
      <c r="AO278">
        <f t="shared" si="644"/>
        <v>3719.9999999999995</v>
      </c>
      <c r="AP278">
        <f t="shared" si="645"/>
        <v>350</v>
      </c>
      <c r="AR278" s="5">
        <f t="shared" si="774"/>
        <v>2.8571428571428572</v>
      </c>
      <c r="AS278" s="5">
        <f t="shared" si="739"/>
        <v>0.8470652464795988</v>
      </c>
      <c r="AT278" s="5">
        <f t="shared" si="740"/>
        <v>2.0100776106632585</v>
      </c>
      <c r="AU278" s="173">
        <f t="shared" si="741"/>
        <v>0.29647283626785959</v>
      </c>
      <c r="BA278" s="173">
        <f t="shared" si="692"/>
        <v>0.79726926046365798</v>
      </c>
      <c r="BB278" s="173">
        <f t="shared" si="693"/>
        <v>4.9126179671958798</v>
      </c>
      <c r="BC278" s="173">
        <f t="shared" si="694"/>
        <v>9.3605288293867425E-2</v>
      </c>
      <c r="BD278" s="173"/>
      <c r="BE278" s="528">
        <f t="shared" si="695"/>
        <v>7.7547869388992705E-3</v>
      </c>
      <c r="BF278" s="528">
        <f t="shared" si="762"/>
        <v>0.92151455416661665</v>
      </c>
      <c r="BG278" s="528">
        <f t="shared" si="763"/>
        <v>0.31437328144489968</v>
      </c>
      <c r="BH278" s="528">
        <f t="shared" si="696"/>
        <v>0.10729696135998375</v>
      </c>
      <c r="BI278">
        <f t="shared" si="697"/>
        <v>1.6167768760023411E-2</v>
      </c>
      <c r="BJ278" s="460">
        <f t="shared" si="698"/>
        <v>330.54105020492307</v>
      </c>
      <c r="BK278">
        <f t="shared" si="764"/>
        <v>1.040577397687573</v>
      </c>
      <c r="BL278" s="460">
        <f t="shared" si="699"/>
        <v>1367.1073526704226</v>
      </c>
      <c r="BM278" s="173">
        <f t="shared" si="765"/>
        <v>2.3110499999999994</v>
      </c>
      <c r="BN278" s="173">
        <f t="shared" si="766"/>
        <v>2.7512499999999999E-2</v>
      </c>
      <c r="BQ278" s="460">
        <f t="shared" si="700"/>
        <v>2338.5624999999991</v>
      </c>
      <c r="BR278" s="528">
        <f t="shared" si="701"/>
        <v>1.9069148210408043E-2</v>
      </c>
      <c r="BS278" s="528">
        <f t="shared" si="702"/>
        <v>0.72401445874847337</v>
      </c>
      <c r="BT278" s="528">
        <f t="shared" si="703"/>
        <v>4.380974998289017E-5</v>
      </c>
      <c r="BU278" s="528">
        <f t="shared" si="704"/>
        <v>1.173743223113408</v>
      </c>
      <c r="BV278" s="528"/>
      <c r="BW278" s="625">
        <f t="shared" si="705"/>
        <v>5.6280045396914162E-2</v>
      </c>
      <c r="BX278" s="460">
        <f t="shared" si="706"/>
        <v>1973.1506852191865</v>
      </c>
      <c r="BY278" s="173">
        <f t="shared" si="707"/>
        <v>5.6788205378896084</v>
      </c>
      <c r="BZ278" s="5">
        <f t="shared" si="708"/>
        <v>15.995999999999999</v>
      </c>
      <c r="CA278" s="173">
        <f t="shared" si="709"/>
        <v>0.7379991899834879</v>
      </c>
      <c r="CB278" s="5">
        <f t="shared" si="710"/>
        <v>73.799918998348787</v>
      </c>
      <c r="CC278">
        <f t="shared" si="711"/>
        <v>62</v>
      </c>
      <c r="CE278" s="562">
        <f t="shared" si="767"/>
        <v>-50</v>
      </c>
      <c r="CG278" s="173">
        <f t="shared" si="768"/>
        <v>0.69779030732860525</v>
      </c>
      <c r="CH278" s="173">
        <f t="shared" si="769"/>
        <v>0.16738368100014314</v>
      </c>
      <c r="CI278" s="170">
        <v>62</v>
      </c>
      <c r="CJ278" s="217">
        <f t="shared" si="712"/>
        <v>3.7199999999999998</v>
      </c>
      <c r="CK278" s="217">
        <f t="shared" si="654"/>
        <v>6.2E-2</v>
      </c>
      <c r="CL278" s="217">
        <f t="shared" si="655"/>
        <v>14.879999999999999</v>
      </c>
      <c r="CM278" s="217">
        <f t="shared" si="656"/>
        <v>1.1160000000000001</v>
      </c>
      <c r="CN278" s="541">
        <f t="shared" si="657"/>
        <v>36</v>
      </c>
      <c r="CO278" s="443">
        <f t="shared" si="770"/>
        <v>18.8</v>
      </c>
      <c r="CP278" s="443">
        <f t="shared" si="771"/>
        <v>54.8</v>
      </c>
      <c r="CQ278" s="443"/>
      <c r="CR278" s="217">
        <f t="shared" si="660"/>
        <v>0.34306569343065696</v>
      </c>
      <c r="CS278" s="172">
        <f t="shared" si="661"/>
        <v>38.295705313189622</v>
      </c>
      <c r="CT278" s="172">
        <f t="shared" si="662"/>
        <v>3.0875912408759132</v>
      </c>
      <c r="CU278" s="217">
        <f t="shared" si="663"/>
        <v>9.5739263282974054</v>
      </c>
      <c r="CV278" s="217">
        <f t="shared" si="664"/>
        <v>2.12753918406609</v>
      </c>
      <c r="CW278" s="217">
        <f t="shared" si="665"/>
        <v>4</v>
      </c>
      <c r="CX278" s="217">
        <f t="shared" si="666"/>
        <v>2.5903687943262406</v>
      </c>
      <c r="CY278" s="217">
        <f t="shared" si="667"/>
        <v>0.8634562647754136</v>
      </c>
      <c r="CZ278" s="217">
        <f t="shared" si="668"/>
        <v>1.6534268899954729</v>
      </c>
      <c r="DA278" s="197">
        <f t="shared" si="669"/>
        <v>350</v>
      </c>
      <c r="DB278" s="443">
        <f t="shared" si="670"/>
        <v>350</v>
      </c>
      <c r="DD278" s="217">
        <f t="shared" si="671"/>
        <v>2.940563086548488</v>
      </c>
      <c r="DE278" s="173">
        <f t="shared" si="672"/>
        <v>1.8769551616266944</v>
      </c>
      <c r="DF278" s="173">
        <f t="shared" si="673"/>
        <v>3.5939660877863036</v>
      </c>
      <c r="DG278" s="173"/>
      <c r="DH278" s="173">
        <f t="shared" si="674"/>
        <v>0.85106382978723416</v>
      </c>
      <c r="DI278" s="545">
        <f t="shared" si="675"/>
        <v>1639.1249999999993</v>
      </c>
      <c r="DJ278" s="528">
        <f t="shared" si="676"/>
        <v>0.79432624113475192</v>
      </c>
      <c r="DL278" s="173">
        <f t="shared" si="677"/>
        <v>2.7599171830225009</v>
      </c>
      <c r="DM278" s="173">
        <f t="shared" si="678"/>
        <v>2.5903687943262406</v>
      </c>
      <c r="DN278" s="173">
        <f t="shared" si="679"/>
        <v>2.1311373785132646</v>
      </c>
      <c r="DP278" s="545">
        <f t="shared" si="680"/>
        <v>3719.9999999999995</v>
      </c>
      <c r="DQ278" s="460">
        <f t="shared" si="681"/>
        <v>350</v>
      </c>
      <c r="DS278">
        <f t="shared" si="682"/>
        <v>3719.9999999999995</v>
      </c>
      <c r="DT278">
        <f t="shared" si="683"/>
        <v>350</v>
      </c>
      <c r="DV278" s="5">
        <f t="shared" si="684"/>
        <v>2.8571428571428572</v>
      </c>
      <c r="DW278" s="5">
        <f t="shared" si="685"/>
        <v>0.8634562647754136</v>
      </c>
      <c r="DX278" s="5">
        <f t="shared" si="686"/>
        <v>1.9936865923674436</v>
      </c>
      <c r="DY278" s="173">
        <f t="shared" si="687"/>
        <v>0.30220969267139475</v>
      </c>
      <c r="EA278" s="5">
        <f t="shared" si="713"/>
        <v>80.30143262411346</v>
      </c>
      <c r="EB278" s="5">
        <f t="shared" si="714"/>
        <v>0.29741271342264247</v>
      </c>
      <c r="EC278" s="5">
        <f t="shared" si="715"/>
        <v>0.68671427070434155</v>
      </c>
      <c r="ED278" s="5"/>
      <c r="EE278" s="173">
        <f t="shared" si="716"/>
        <v>0.82215777240783849</v>
      </c>
      <c r="EF278" s="173">
        <f t="shared" si="717"/>
        <v>4.997162011876914</v>
      </c>
      <c r="EG278" s="173">
        <f t="shared" si="718"/>
        <v>9.5216195091168229E-2</v>
      </c>
      <c r="EH278" s="173"/>
      <c r="EI278" s="528">
        <f t="shared" si="719"/>
        <v>8.2465095133135522E-3</v>
      </c>
      <c r="EJ278" s="528">
        <f t="shared" si="720"/>
        <v>0.99366546950354595</v>
      </c>
      <c r="EK278" s="528">
        <f t="shared" si="721"/>
        <v>4.3749999999999997E-2</v>
      </c>
      <c r="EL278" s="528">
        <f t="shared" si="722"/>
        <v>0.10510639999999997</v>
      </c>
      <c r="EM278">
        <f t="shared" si="723"/>
        <v>1.6199999999999999E-2</v>
      </c>
      <c r="EN278" s="460">
        <f t="shared" si="724"/>
        <v>59.949999999999996</v>
      </c>
      <c r="EP278" s="460">
        <f t="shared" si="725"/>
        <v>1166.9683790168594</v>
      </c>
      <c r="EQ278" s="173">
        <f t="shared" si="726"/>
        <v>2.6039999999999996</v>
      </c>
      <c r="ER278" s="173">
        <f t="shared" si="772"/>
        <v>2.7512499999999999E-2</v>
      </c>
      <c r="ES278" s="528"/>
      <c r="EU278" s="460">
        <f t="shared" si="727"/>
        <v>2631.5124999999994</v>
      </c>
      <c r="EV278" s="528">
        <f t="shared" si="728"/>
        <v>2.0278302081918574E-2</v>
      </c>
      <c r="EW278" s="528">
        <f t="shared" si="729"/>
        <v>0.74914884518837177</v>
      </c>
      <c r="EX278" s="528">
        <f t="shared" si="730"/>
        <v>4.5330619038197047E-5</v>
      </c>
      <c r="EY278" s="528">
        <f t="shared" si="731"/>
        <v>1.23749688428317</v>
      </c>
      <c r="EZ278" s="528"/>
      <c r="FA278" s="625">
        <f t="shared" si="732"/>
        <v>5.8712591792917844E-2</v>
      </c>
      <c r="FB278" s="460">
        <f t="shared" si="733"/>
        <v>2065.6819539654161</v>
      </c>
      <c r="FC278" s="173">
        <f t="shared" si="734"/>
        <v>5.8641628329822746</v>
      </c>
      <c r="FD278" s="5">
        <f t="shared" si="735"/>
        <v>15.995999999999999</v>
      </c>
      <c r="FE278" s="173">
        <f t="shared" si="736"/>
        <v>0.73174203331484267</v>
      </c>
      <c r="FF278" s="5">
        <f t="shared" si="737"/>
        <v>73.174203331484264</v>
      </c>
      <c r="FG278">
        <f t="shared" si="738"/>
        <v>62</v>
      </c>
      <c r="FI278" s="562">
        <f t="shared" si="689"/>
        <v>-50</v>
      </c>
    </row>
    <row r="279" spans="5:165">
      <c r="E279" s="170">
        <v>63</v>
      </c>
      <c r="F279" s="217">
        <f t="shared" si="773"/>
        <v>3.7800000000000002</v>
      </c>
      <c r="G279" s="217">
        <f t="shared" si="742"/>
        <v>6.3E-2</v>
      </c>
      <c r="H279" s="217">
        <f t="shared" si="743"/>
        <v>15.120000000000001</v>
      </c>
      <c r="I279" s="217">
        <f t="shared" si="744"/>
        <v>1.1339999999999999</v>
      </c>
      <c r="J279" s="541">
        <f t="shared" si="745"/>
        <v>35.926942295796138</v>
      </c>
      <c r="K279" s="443">
        <f t="shared" si="746"/>
        <v>19.454624843208091</v>
      </c>
      <c r="L279" s="172">
        <f t="shared" si="747"/>
        <v>55.381567139004233</v>
      </c>
      <c r="M279" s="443"/>
      <c r="N279" s="217">
        <f t="shared" si="748"/>
        <v>0.35128339352294263</v>
      </c>
      <c r="O279" s="172">
        <f t="shared" si="749"/>
        <v>39.133451809520018</v>
      </c>
      <c r="P279" s="172">
        <f t="shared" si="750"/>
        <v>3.1551345521425516</v>
      </c>
      <c r="Q279" s="217">
        <f t="shared" si="626"/>
        <v>9.7833629523800045</v>
      </c>
      <c r="R279" s="217">
        <f t="shared" si="751"/>
        <v>2.1740806560844455</v>
      </c>
      <c r="S279" s="217">
        <f t="shared" si="752"/>
        <v>4</v>
      </c>
      <c r="T279" s="217">
        <f t="shared" si="753"/>
        <v>2.5758014010785097</v>
      </c>
      <c r="U279" s="217">
        <f t="shared" si="630"/>
        <v>0.86034643745785444</v>
      </c>
      <c r="V279" s="217">
        <f t="shared" si="631"/>
        <v>1.5888055956901757</v>
      </c>
      <c r="W279" s="197">
        <f t="shared" si="632"/>
        <v>350</v>
      </c>
      <c r="X279" s="443">
        <f t="shared" si="691"/>
        <v>350</v>
      </c>
      <c r="Z279" s="217">
        <f t="shared" si="633"/>
        <v>3.004890049659573</v>
      </c>
      <c r="AA279" s="173">
        <f t="shared" si="634"/>
        <v>1.8534760185058783</v>
      </c>
      <c r="AB279" s="173">
        <f t="shared" si="754"/>
        <v>3.626645722515041</v>
      </c>
      <c r="AC279" s="173"/>
      <c r="AD279" s="173">
        <f t="shared" si="636"/>
        <v>0.82242655044493695</v>
      </c>
      <c r="AE279" s="545">
        <f t="shared" si="755"/>
        <v>1723.5581697029663</v>
      </c>
      <c r="AF279" s="528">
        <f t="shared" si="756"/>
        <v>0.76759811374860809</v>
      </c>
      <c r="AH279" s="173">
        <f t="shared" si="757"/>
        <v>2.7820855486487113</v>
      </c>
      <c r="AI279" s="173">
        <f t="shared" si="758"/>
        <v>2.5758014010785097</v>
      </c>
      <c r="AJ279" s="173">
        <f t="shared" si="759"/>
        <v>2.1203467168482786</v>
      </c>
      <c r="AL279" s="545">
        <f t="shared" si="760"/>
        <v>3780.0000000000005</v>
      </c>
      <c r="AM279" s="460">
        <f t="shared" si="761"/>
        <v>350</v>
      </c>
      <c r="AO279">
        <f t="shared" si="644"/>
        <v>3780.0000000000005</v>
      </c>
      <c r="AP279">
        <f t="shared" si="645"/>
        <v>350</v>
      </c>
      <c r="AR279" s="5">
        <f t="shared" si="774"/>
        <v>2.8571428571428572</v>
      </c>
      <c r="AS279" s="5">
        <f t="shared" si="739"/>
        <v>0.86034643745785444</v>
      </c>
      <c r="AT279" s="5">
        <f t="shared" si="740"/>
        <v>1.9967964196850028</v>
      </c>
      <c r="AU279" s="173">
        <f t="shared" si="741"/>
        <v>0.30112125311024907</v>
      </c>
      <c r="BA279" s="173">
        <f t="shared" si="692"/>
        <v>0.81606067883398303</v>
      </c>
      <c r="BB279" s="173">
        <f t="shared" si="693"/>
        <v>4.9729335477461429</v>
      </c>
      <c r="BC279" s="173">
        <f t="shared" si="694"/>
        <v>9.4754544625973797E-2</v>
      </c>
      <c r="BD279" s="173"/>
      <c r="BE279" s="528">
        <f t="shared" si="695"/>
        <v>8.1246513847755691E-3</v>
      </c>
      <c r="BF279" s="528">
        <f t="shared" si="762"/>
        <v>0.93615321338811996</v>
      </c>
      <c r="BG279" s="528">
        <f t="shared" si="763"/>
        <v>0.31436074508821621</v>
      </c>
      <c r="BH279" s="528">
        <f t="shared" si="696"/>
        <v>0.10734912925702117</v>
      </c>
      <c r="BI279">
        <f t="shared" si="697"/>
        <v>1.6167124033108261E-2</v>
      </c>
      <c r="BJ279" s="460">
        <f t="shared" si="698"/>
        <v>330.5278691213245</v>
      </c>
      <c r="BK279">
        <f t="shared" si="764"/>
        <v>1.0558588980486645</v>
      </c>
      <c r="BL279" s="460">
        <f t="shared" si="699"/>
        <v>1382.1548631512412</v>
      </c>
      <c r="BM279" s="173">
        <f t="shared" si="765"/>
        <v>2.348325</v>
      </c>
      <c r="BN279" s="173">
        <f t="shared" si="766"/>
        <v>2.7956249999999998E-2</v>
      </c>
      <c r="BQ279" s="460">
        <f t="shared" si="700"/>
        <v>2376.28125</v>
      </c>
      <c r="BR279" s="528">
        <f t="shared" si="701"/>
        <v>1.9978650946169435E-2</v>
      </c>
      <c r="BS279" s="528">
        <f t="shared" si="702"/>
        <v>0.74190204210897115</v>
      </c>
      <c r="BT279" s="528">
        <f t="shared" si="703"/>
        <v>4.4892118636378299E-5</v>
      </c>
      <c r="BU279" s="528">
        <f t="shared" si="704"/>
        <v>1.2201719948930272</v>
      </c>
      <c r="BV279" s="528"/>
      <c r="BW279" s="625">
        <f t="shared" si="705"/>
        <v>5.8054087505732627E-2</v>
      </c>
      <c r="BX279" s="460">
        <f t="shared" si="706"/>
        <v>2040.1516675725366</v>
      </c>
      <c r="BY279" s="173">
        <f t="shared" si="707"/>
        <v>5.7985877807237785</v>
      </c>
      <c r="BZ279" s="5">
        <f t="shared" si="708"/>
        <v>16.254000000000001</v>
      </c>
      <c r="CA279" s="173">
        <f t="shared" si="709"/>
        <v>0.73705635645208323</v>
      </c>
      <c r="CB279" s="5">
        <f t="shared" si="710"/>
        <v>73.705635645208318</v>
      </c>
      <c r="CC279">
        <f t="shared" si="711"/>
        <v>63</v>
      </c>
      <c r="CE279" s="562">
        <f t="shared" si="767"/>
        <v>-50</v>
      </c>
      <c r="CG279" s="173">
        <f t="shared" si="768"/>
        <v>0.69291595744680856</v>
      </c>
      <c r="CH279" s="173">
        <f t="shared" si="769"/>
        <v>0.1687281498353306</v>
      </c>
      <c r="CI279" s="170">
        <v>63</v>
      </c>
      <c r="CJ279" s="217">
        <f t="shared" si="712"/>
        <v>3.7800000000000002</v>
      </c>
      <c r="CK279" s="217">
        <f t="shared" si="654"/>
        <v>6.3E-2</v>
      </c>
      <c r="CL279" s="217">
        <f t="shared" si="655"/>
        <v>15.120000000000001</v>
      </c>
      <c r="CM279" s="217">
        <f t="shared" si="656"/>
        <v>1.1339999999999999</v>
      </c>
      <c r="CN279" s="541">
        <f t="shared" si="657"/>
        <v>36</v>
      </c>
      <c r="CO279" s="443">
        <f t="shared" si="770"/>
        <v>18.8</v>
      </c>
      <c r="CP279" s="443">
        <f t="shared" si="771"/>
        <v>54.8</v>
      </c>
      <c r="CQ279" s="443"/>
      <c r="CR279" s="217">
        <f t="shared" si="660"/>
        <v>0.34306569343065696</v>
      </c>
      <c r="CS279" s="172">
        <f t="shared" si="661"/>
        <v>38.295705313189622</v>
      </c>
      <c r="CT279" s="172">
        <f t="shared" si="662"/>
        <v>3.0875912408759132</v>
      </c>
      <c r="CU279" s="217">
        <f t="shared" si="663"/>
        <v>9.5739263282974054</v>
      </c>
      <c r="CV279" s="217">
        <f t="shared" si="664"/>
        <v>2.12753918406609</v>
      </c>
      <c r="CW279" s="217">
        <f t="shared" si="665"/>
        <v>4</v>
      </c>
      <c r="CX279" s="217">
        <f t="shared" si="666"/>
        <v>2.6321489361702128</v>
      </c>
      <c r="CY279" s="217">
        <f t="shared" si="667"/>
        <v>0.87738297872340421</v>
      </c>
      <c r="CZ279" s="217">
        <f t="shared" si="668"/>
        <v>1.6800950656405613</v>
      </c>
      <c r="DA279" s="197">
        <f t="shared" si="669"/>
        <v>350</v>
      </c>
      <c r="DB279" s="443">
        <f t="shared" si="670"/>
        <v>350</v>
      </c>
      <c r="DD279" s="217">
        <f t="shared" si="671"/>
        <v>2.940563086548488</v>
      </c>
      <c r="DE279" s="173">
        <f t="shared" si="672"/>
        <v>1.8769551616266944</v>
      </c>
      <c r="DF279" s="173">
        <f t="shared" si="673"/>
        <v>3.5939660877863036</v>
      </c>
      <c r="DG279" s="173"/>
      <c r="DH279" s="173">
        <f t="shared" si="674"/>
        <v>0.85106382978723416</v>
      </c>
      <c r="DI279" s="545">
        <f t="shared" si="675"/>
        <v>1665.5624999999998</v>
      </c>
      <c r="DJ279" s="528">
        <f t="shared" si="676"/>
        <v>0.79432624113475192</v>
      </c>
      <c r="DL279" s="173">
        <f t="shared" si="677"/>
        <v>2.7820855486487113</v>
      </c>
      <c r="DM279" s="173">
        <f t="shared" si="678"/>
        <v>2.6321489361702128</v>
      </c>
      <c r="DN279" s="173">
        <f t="shared" si="679"/>
        <v>2.1620856317310215</v>
      </c>
      <c r="DP279" s="545">
        <f t="shared" si="680"/>
        <v>3780.0000000000005</v>
      </c>
      <c r="DQ279" s="460">
        <f t="shared" si="681"/>
        <v>350</v>
      </c>
      <c r="DS279">
        <f t="shared" si="682"/>
        <v>3780.0000000000005</v>
      </c>
      <c r="DT279">
        <f t="shared" si="683"/>
        <v>350</v>
      </c>
      <c r="DV279" s="5">
        <f t="shared" si="684"/>
        <v>2.8571428571428572</v>
      </c>
      <c r="DW279" s="5">
        <f t="shared" si="685"/>
        <v>0.87738297872340421</v>
      </c>
      <c r="DX279" s="5">
        <f t="shared" si="686"/>
        <v>1.979759878419453</v>
      </c>
      <c r="DY279" s="173">
        <f t="shared" si="687"/>
        <v>0.30708404255319144</v>
      </c>
      <c r="EA279" s="5">
        <f t="shared" si="713"/>
        <v>82.912691489361706</v>
      </c>
      <c r="EB279" s="5">
        <f t="shared" si="714"/>
        <v>0.30708404255319149</v>
      </c>
      <c r="EC279" s="5">
        <f t="shared" si="715"/>
        <v>0.69291595744680856</v>
      </c>
      <c r="ED279" s="5"/>
      <c r="EE279" s="173">
        <f t="shared" si="716"/>
        <v>0.84212867724220031</v>
      </c>
      <c r="EF279" s="173">
        <f t="shared" si="717"/>
        <v>5.0599952016213816</v>
      </c>
      <c r="EG279" s="173">
        <f t="shared" si="718"/>
        <v>9.6413422084947964E-2</v>
      </c>
      <c r="EH279" s="173"/>
      <c r="EI279" s="528">
        <f t="shared" si="719"/>
        <v>8.6520046502111154E-3</v>
      </c>
      <c r="EJ279" s="528">
        <f t="shared" si="720"/>
        <v>1.0096923319148936</v>
      </c>
      <c r="EK279" s="528">
        <f t="shared" si="721"/>
        <v>4.3749999999999997E-2</v>
      </c>
      <c r="EL279" s="528">
        <f t="shared" si="722"/>
        <v>0.10510639999999997</v>
      </c>
      <c r="EM279">
        <f t="shared" si="723"/>
        <v>1.6199999999999999E-2</v>
      </c>
      <c r="EN279" s="460">
        <f t="shared" si="724"/>
        <v>59.949999999999996</v>
      </c>
      <c r="EP279" s="460">
        <f t="shared" si="725"/>
        <v>1183.4007365651046</v>
      </c>
      <c r="EQ279" s="173">
        <f t="shared" si="726"/>
        <v>2.6459999999999999</v>
      </c>
      <c r="ER279" s="173">
        <f t="shared" si="772"/>
        <v>2.7956249999999998E-2</v>
      </c>
      <c r="ES279" s="528"/>
      <c r="EU279" s="460">
        <f t="shared" si="727"/>
        <v>2673.9562499999997</v>
      </c>
      <c r="EV279" s="528">
        <f t="shared" si="728"/>
        <v>2.1275421271010939E-2</v>
      </c>
      <c r="EW279" s="528">
        <f t="shared" si="729"/>
        <v>0.76810654321294214</v>
      </c>
      <c r="EX279" s="528">
        <f t="shared" si="730"/>
        <v>4.647773979065166E-5</v>
      </c>
      <c r="EY279" s="528">
        <f t="shared" si="731"/>
        <v>1.2880011893275218</v>
      </c>
      <c r="EZ279" s="528"/>
      <c r="FA279" s="625">
        <f t="shared" si="732"/>
        <v>6.062182019409236E-2</v>
      </c>
      <c r="FB279" s="460">
        <f t="shared" si="733"/>
        <v>2138.051451745358</v>
      </c>
      <c r="FC279" s="173">
        <f t="shared" si="734"/>
        <v>5.9954084383104629</v>
      </c>
      <c r="FD279" s="5">
        <f t="shared" si="735"/>
        <v>16.254000000000001</v>
      </c>
      <c r="FE279" s="173">
        <f t="shared" si="736"/>
        <v>0.73053627673142163</v>
      </c>
      <c r="FF279" s="5">
        <f t="shared" si="737"/>
        <v>73.053627673142159</v>
      </c>
      <c r="FG279">
        <f t="shared" si="738"/>
        <v>63</v>
      </c>
      <c r="FI279" s="562">
        <f t="shared" si="689"/>
        <v>-50</v>
      </c>
    </row>
    <row r="280" spans="5:165">
      <c r="E280" s="170">
        <v>64</v>
      </c>
      <c r="F280" s="217">
        <f t="shared" si="773"/>
        <v>3.84</v>
      </c>
      <c r="G280" s="217">
        <f t="shared" ref="G280:G316" si="775">IF(PLOT_TYPE=1, E280/100*Iout2, min_I*EXP(Q280*rr/100))</f>
        <v>6.4000000000000001E-2</v>
      </c>
      <c r="H280" s="217">
        <f t="shared" ref="H280:H316" si="776">F280*Vout</f>
        <v>15.36</v>
      </c>
      <c r="I280" s="217">
        <f t="shared" ref="I280:I316" si="777">Vout2*G280</f>
        <v>1.1520000000000001</v>
      </c>
      <c r="J280" s="541">
        <f t="shared" ref="J280:J316" si="778">VIN_max-(F280/CG280/Nps+G280/CH280/(Nps/Nsec1sec2))*(Rdcr_pri+RON/1000)</f>
        <v>35.925491996628757</v>
      </c>
      <c r="K280" s="443">
        <f t="shared" ref="K280:K316" si="779">MAX((S280+Vfwd2+Rdcr_sec*F280/CG280)*Nps,(Vout2+Vfwd22+Rdcr_sec2*G280/CH280)*Nps/Nsec1sec2)</f>
        <v>19.469726939379115</v>
      </c>
      <c r="L280" s="172">
        <f t="shared" ref="L280:L316" si="780">MAX((Vout+Vfwd2+F280/CG280*Rdcr_sec)*Nps+J280, (Vout2+Vfwd22+G280/CH280*Rdcr_sec2)*Nps/Nsec1sec2+J280)</f>
        <v>55.395218936007872</v>
      </c>
      <c r="M280" s="443"/>
      <c r="N280" s="217">
        <f t="shared" ref="N280:N316" si="781">MAX((Vout+Vfwd2+F280/CG280*Rdcr_sec)*Nps/((Vout+Vfwd2+F280/CG280*Rdcr_sec)*Nps+J280), (Vout2+Vfwd22+G280/CH280*Rdcr_sec2)*Nps/Nsec1sec2/((Vout2+Vfwd22+G280/CH280*Rdcr_sec2)*Nps/Nsec1sec2+J280))</f>
        <v>0.35146944652155615</v>
      </c>
      <c r="O280" s="172">
        <f t="shared" ref="O280:O311" si="782">N280*J280*Isw_max*0.5*Efficiency*Pout/(Pout+Pout2)</f>
        <v>39.152597792464199</v>
      </c>
      <c r="P280" s="172">
        <f t="shared" ref="P280:P316" si="783">N280*J280*Isw_max*0.5*Efficiency*(Pout2/Pout_total)</f>
        <v>3.1566781970174262</v>
      </c>
      <c r="Q280" s="217">
        <f t="shared" ref="Q280:Q316" si="784">O280/Vout</f>
        <v>9.7881494481160498</v>
      </c>
      <c r="R280" s="217">
        <f t="shared" ref="R280:R316" si="785">O280/Vout2</f>
        <v>2.1751443218035664</v>
      </c>
      <c r="S280" s="217">
        <f t="shared" ref="S280:S316" si="786">MIN(Vout,O280/F280)</f>
        <v>4</v>
      </c>
      <c r="T280" s="217">
        <f t="shared" ref="T280:T316" si="787">MIN(2*(Vout*F280+Vout2*G280)/(Efficiency*J280*N280), Isw_max)</f>
        <v>2.6154075533580352</v>
      </c>
      <c r="U280" s="217">
        <f t="shared" ref="U280:U316" si="788">L*T280/J280*1000000</f>
        <v>0.87361060060754558</v>
      </c>
      <c r="V280" s="217">
        <f t="shared" ref="V280:V316" si="789">L*T280/K280*1000000</f>
        <v>1.6119841196549045</v>
      </c>
      <c r="W280" s="197">
        <f t="shared" ref="W280:W316" si="790">IF(1/((350000*L)*(1/J280+1/K280))&gt;Isw_min, 350, 0.001/((Isw_min*L)*(1/J280+1/K280)))</f>
        <v>350</v>
      </c>
      <c r="X280" s="443">
        <f t="shared" si="691"/>
        <v>350</v>
      </c>
      <c r="Z280" s="217">
        <f t="shared" ref="Z280:Z316" si="791">1/((W280*1000*L)*(1/J280+1/K280))</f>
        <v>3.0063601876356438</v>
      </c>
      <c r="AA280" s="173">
        <f t="shared" ref="AA280:AA316" si="792">L*Z280/K280*1000000</f>
        <v>1.8529444385098393</v>
      </c>
      <c r="AB280" s="173">
        <f t="shared" ref="AB280:AB311" si="793">0.5*AA280*Z280*Nps*W280/1000*(Pout/(Pout+Pout2))</f>
        <v>3.6273794166379574</v>
      </c>
      <c r="AC280" s="173"/>
      <c r="AD280" s="173">
        <f t="shared" ref="AD280:AD316" si="794">L*Isw_min/K280*1000000</f>
        <v>0.821788618290208</v>
      </c>
      <c r="AE280" s="545">
        <f t="shared" ref="AE280:AE311" si="795">MAX(10, F280/(0.5*AD280/1000000*Isw_min*Nps)/1000*Pout_total/Pout)</f>
        <v>1752.2754245441199</v>
      </c>
      <c r="AF280" s="528">
        <f t="shared" ref="AF280:AF316" si="796">0.5*AD280/1000000*Isw_min*Nps*W280*1000*(Pout/Pout_total)</f>
        <v>0.76700271040419421</v>
      </c>
      <c r="AH280" s="173">
        <f t="shared" ref="AH280:AH315" si="797">SQRT((H280+I280)/(0.5*L*Fsw_DCM))</f>
        <v>2.8040786620309253</v>
      </c>
      <c r="AI280" s="173">
        <f t="shared" ref="AI280:AI311" si="798">MAX(IF(F280&gt;AB280,T280,AH280),Isw_min)</f>
        <v>2.6154075533580352</v>
      </c>
      <c r="AJ280" s="173">
        <f t="shared" ref="AJ280:AJ311" si="799">IF(F280&gt;AF280, (AI280-Isw_min)/1.08*0.8+1.2, AE280*0.2/350+1)</f>
        <v>2.149684607425705</v>
      </c>
      <c r="AL280" s="545">
        <f t="shared" ref="AL280:AL316" si="800">F280*1000</f>
        <v>3840</v>
      </c>
      <c r="AM280" s="460">
        <f t="shared" ref="AM280:AM316" si="801">IF(F280&gt;AF280, X280, AE280)</f>
        <v>350</v>
      </c>
      <c r="AO280">
        <f t="shared" ref="AO280:AO316" si="802">IF(H280&gt;O280, "",AL280)</f>
        <v>3840</v>
      </c>
      <c r="AP280">
        <f t="shared" ref="AP280:AP316" si="803">IF(H280&gt;O280, "",AM280)</f>
        <v>350</v>
      </c>
      <c r="AR280" s="5">
        <f t="shared" si="774"/>
        <v>2.8571428571428572</v>
      </c>
      <c r="AS280" s="5">
        <f t="shared" si="739"/>
        <v>0.87361060060754558</v>
      </c>
      <c r="AT280" s="5">
        <f t="shared" si="740"/>
        <v>1.9835322565353115</v>
      </c>
      <c r="AU280" s="173">
        <f t="shared" si="741"/>
        <v>0.30576371021264093</v>
      </c>
      <c r="BA280" s="173">
        <f t="shared" si="692"/>
        <v>0.8349716231997748</v>
      </c>
      <c r="BB280" s="173">
        <f t="shared" si="693"/>
        <v>5.0325997711007719</v>
      </c>
      <c r="BC280" s="173">
        <f t="shared" si="694"/>
        <v>9.5891428070974172E-2</v>
      </c>
      <c r="BD280" s="173"/>
      <c r="BE280" s="528">
        <f t="shared" si="695"/>
        <v>8.5055668608961729E-3</v>
      </c>
      <c r="BF280" s="528">
        <f t="shared" ref="BF280:BF316" si="804">0.5*L280*AI280*AM280*1000*Tfall</f>
        <v>0.95078204829009305</v>
      </c>
      <c r="BG280" s="528">
        <f t="shared" ref="BG280:BG316" si="805">Qg*Vdd*AM280*1000*0+Qg*J280*AM280*1000</f>
        <v>0.31434805497050161</v>
      </c>
      <c r="BH280" s="528">
        <f t="shared" si="696"/>
        <v>0.10740205983388858</v>
      </c>
      <c r="BI280">
        <f t="shared" si="697"/>
        <v>1.6166471398482939E-2</v>
      </c>
      <c r="BJ280" s="460">
        <f t="shared" si="698"/>
        <v>330.51452636898455</v>
      </c>
      <c r="BK280">
        <f t="shared" ref="BK280:BK316" si="806">(BF280+BG280*0+BH280+BI280*0+BE280*(1+RdsonTC*(Ta-25)))/(1-BE280*RdsonTC*ThetaJA)</f>
        <v>1.0711508911735812</v>
      </c>
      <c r="BL280" s="460">
        <f t="shared" si="699"/>
        <v>1397.2042013538623</v>
      </c>
      <c r="BM280" s="173">
        <f t="shared" ref="BM280:BM316" si="807">Vfwd2*F280*(1+Diode_TC/1000*(Ta-25))</f>
        <v>2.3855999999999997</v>
      </c>
      <c r="BN280" s="173">
        <f t="shared" ref="BN280:BN316" si="808">Vfwd22*G280*(1+Diode_TC/1000*(Ta-25))</f>
        <v>2.8399999999999998E-2</v>
      </c>
      <c r="BQ280" s="460">
        <f t="shared" si="700"/>
        <v>2413.9999999999995</v>
      </c>
      <c r="BR280" s="528">
        <f t="shared" si="701"/>
        <v>2.0915328346465999E-2</v>
      </c>
      <c r="BS280" s="528">
        <f t="shared" si="702"/>
        <v>0.75981181368250628</v>
      </c>
      <c r="BT280" s="528">
        <f t="shared" si="703"/>
        <v>4.5975829887454072E-5</v>
      </c>
      <c r="BU280" s="528">
        <f t="shared" si="704"/>
        <v>1.2676184432707263</v>
      </c>
      <c r="BV280" s="528"/>
      <c r="BW280" s="625">
        <f t="shared" si="705"/>
        <v>5.9853120863919813E-2</v>
      </c>
      <c r="BX280" s="460">
        <f t="shared" si="706"/>
        <v>2108.2446819935058</v>
      </c>
      <c r="BY280" s="173">
        <f t="shared" si="707"/>
        <v>5.9194488833473677</v>
      </c>
      <c r="BZ280" s="5">
        <f t="shared" si="708"/>
        <v>16.512</v>
      </c>
      <c r="CA280" s="173">
        <f t="shared" si="709"/>
        <v>0.73610938311961471</v>
      </c>
      <c r="CB280" s="5">
        <f t="shared" si="710"/>
        <v>73.610938311961476</v>
      </c>
      <c r="CC280">
        <f t="shared" si="711"/>
        <v>64</v>
      </c>
      <c r="CE280" s="562">
        <f t="shared" ref="CE280:CE316" si="809">IF(ABS(F280-Ioutmax_Vinmax)&lt;Iout/200, AM280, -50)</f>
        <v>-50</v>
      </c>
      <c r="CG280" s="173">
        <f t="shared" ref="CG280:CG316" si="810">MIN(SQRT(2*DT280*1000*Ls1_*CL280)/CW280, 1-DY280)</f>
        <v>0.68804160756501176</v>
      </c>
      <c r="CH280" s="173">
        <f t="shared" ref="CH280:CH316" si="811">MIN(SQRT(2*DT280*1000*Ls2_*CM280)/Vout2, 1-DY280)</f>
        <v>0.17006198995822042</v>
      </c>
      <c r="CI280" s="170">
        <v>64</v>
      </c>
      <c r="CJ280" s="217">
        <f t="shared" si="712"/>
        <v>3.84</v>
      </c>
      <c r="CK280" s="217">
        <f t="shared" ref="CK280:CK316" si="812">IF(PLOT_TYPE=1, CI280/100*Iout2, min_I*EXP(CU280*rr/100))</f>
        <v>6.4000000000000001E-2</v>
      </c>
      <c r="CL280" s="217">
        <f t="shared" ref="CL280:CL316" si="813">CJ280*Vout</f>
        <v>15.36</v>
      </c>
      <c r="CM280" s="217">
        <f t="shared" ref="CM280:CM316" si="814">Vout2*CK280</f>
        <v>1.1520000000000001</v>
      </c>
      <c r="CN280" s="541">
        <f t="shared" ref="CN280:CN316" si="815">VIN_max</f>
        <v>36</v>
      </c>
      <c r="CO280" s="443">
        <f t="shared" ref="CO280:CO316" si="816">(CW280+Vfwd2)*Nps</f>
        <v>18.8</v>
      </c>
      <c r="CP280" s="443">
        <f t="shared" ref="CP280:CP316" si="817">(Vout+Vfwd2)*Nps+CN280</f>
        <v>54.8</v>
      </c>
      <c r="CQ280" s="443"/>
      <c r="CR280" s="217">
        <f t="shared" ref="CR280:CR316" si="818">(Vout+Vfwd1)*Nps/((Vout+Vfwd1)*Nps+CN280)</f>
        <v>0.34306569343065696</v>
      </c>
      <c r="CS280" s="172">
        <f t="shared" ref="CS280:CS316" si="819">CR280*CN280*Isw_max*0.5*Efficiency*Pout/(Pout+Pout2)</f>
        <v>38.295705313189622</v>
      </c>
      <c r="CT280" s="172">
        <f t="shared" ref="CT280:CT316" si="820">CR280*CN280*Isw_max*0.5*Efficiency*(Pout2/Pout_total)</f>
        <v>3.0875912408759132</v>
      </c>
      <c r="CU280" s="217">
        <f t="shared" ref="CU280:CU316" si="821">CS280/Vout</f>
        <v>9.5739263282974054</v>
      </c>
      <c r="CV280" s="217">
        <f t="shared" ref="CV280:CV316" si="822">CS280/Vout2</f>
        <v>2.12753918406609</v>
      </c>
      <c r="CW280" s="217">
        <f t="shared" ref="CW280:CW316" si="823">MIN(Vout,CS280/CJ280)</f>
        <v>4</v>
      </c>
      <c r="CX280" s="217">
        <f t="shared" ref="CX280:CX316" si="824">MIN(2*(Vout*CJ280+Vout2*CK280)/(Efficiency*CN280*CR280), Isw_max)</f>
        <v>2.6739290780141842</v>
      </c>
      <c r="CY280" s="217">
        <f t="shared" ref="CY280:CY316" si="825">L*CX280/CN280*1000000</f>
        <v>0.89130969267139482</v>
      </c>
      <c r="CZ280" s="217">
        <f t="shared" ref="CZ280:CZ316" si="826">L*CX280/CO280*1000000</f>
        <v>1.7067632412856497</v>
      </c>
      <c r="DA280" s="197">
        <f t="shared" ref="DA280:DA316" si="827">IF(1/((350000*L)*(1/CN280+1/CO280))&gt;Isw_min, 350, 0.001/((Isw_min*L)*(1/CN280+1/CO280)))</f>
        <v>350</v>
      </c>
      <c r="DB280" s="443">
        <f t="shared" ref="DB280:DB316" si="828">MIN(1/(CY280+CZ280)*1000, 350)</f>
        <v>350</v>
      </c>
      <c r="DD280" s="217">
        <f t="shared" ref="DD280:DD316" si="829">1/((DA280*1000*L)*(1/CN280+1/CO280))</f>
        <v>2.940563086548488</v>
      </c>
      <c r="DE280" s="173">
        <f t="shared" ref="DE280:DE316" si="830">L*DD280/CO280*1000000</f>
        <v>1.8769551616266944</v>
      </c>
      <c r="DF280" s="173">
        <f t="shared" ref="DF280:DF316" si="831">0.5*DE280*DD280*Nps*DA280/1000*(Pout/(Pout+Pout2))</f>
        <v>3.5939660877863036</v>
      </c>
      <c r="DG280" s="173"/>
      <c r="DH280" s="173">
        <f t="shared" ref="DH280:DH316" si="832">L*Isw_min/CO280*1000000</f>
        <v>0.85106382978723416</v>
      </c>
      <c r="DI280" s="545">
        <f t="shared" ref="DI280:DI316" si="833">MAX(10, CJ280/(0.5*DH280/1000000*Isw_min*Nps)/1000*Pout_total/Pout)</f>
        <v>1691.9999999999993</v>
      </c>
      <c r="DJ280" s="528">
        <f t="shared" ref="DJ280:DJ316" si="834">0.5*DH280/1000000*Isw_min*Nps*DA280*1000*(Pout/Pout_total)</f>
        <v>0.79432624113475192</v>
      </c>
      <c r="DL280" s="173">
        <f t="shared" ref="DL280:DL316" si="835">SQRT((CL280+CM280)/(0.5*L*Fsw_DCM))</f>
        <v>2.8040786620309253</v>
      </c>
      <c r="DM280" s="173">
        <f t="shared" ref="DM280:DM316" si="836">MAX(IF(CJ280&gt;DF280,CX280,DL280),Isw_min)</f>
        <v>2.6739290780141842</v>
      </c>
      <c r="DN280" s="173">
        <f t="shared" ref="DN280:DN316" si="837">IF(CJ280&gt;DJ280, (DM280-Isw_min)/1.08*0.8+1.2, DI280*0.2/350+1)</f>
        <v>2.193033884948778</v>
      </c>
      <c r="DP280" s="545">
        <f t="shared" ref="DP280:DP316" si="838">CJ280*1000</f>
        <v>3840</v>
      </c>
      <c r="DQ280" s="460">
        <f t="shared" ref="DQ280:DQ316" si="839">IF(CJ280&gt;DJ280, DB280, DI280)</f>
        <v>350</v>
      </c>
      <c r="DS280">
        <f t="shared" ref="DS280:DS316" si="840">IF(CL280&gt;CS280, "",DP280)</f>
        <v>3840</v>
      </c>
      <c r="DT280">
        <f t="shared" ref="DT280:DT316" si="841">IF(CL280&gt;CS280, "",DQ280)</f>
        <v>350</v>
      </c>
      <c r="DV280" s="5">
        <f t="shared" si="684"/>
        <v>2.8571428571428572</v>
      </c>
      <c r="DW280" s="5">
        <f t="shared" ref="DW280:DW316" si="842">L*DM280/CN280*1000000</f>
        <v>0.89130969267139482</v>
      </c>
      <c r="DX280" s="5">
        <f t="shared" ref="DX280:DX316" si="843">DV280-DW280</f>
        <v>1.9658331644714624</v>
      </c>
      <c r="DY280" s="173">
        <f t="shared" ref="DY280:DY316" si="844">DW280/DV280</f>
        <v>0.31195839243498819</v>
      </c>
      <c r="EA280" s="5">
        <f t="shared" si="713"/>
        <v>85.565730496453895</v>
      </c>
      <c r="EB280" s="5">
        <f t="shared" si="714"/>
        <v>0.31691011294982929</v>
      </c>
      <c r="EC280" s="5">
        <f t="shared" si="715"/>
        <v>0.69896290292318652</v>
      </c>
      <c r="ED280" s="5"/>
      <c r="EE280" s="173">
        <f t="shared" si="716"/>
        <v>0.86225871698571754</v>
      </c>
      <c r="EF280" s="173">
        <f t="shared" si="717"/>
        <v>5.1222007922096493</v>
      </c>
      <c r="EG280" s="173">
        <f t="shared" si="718"/>
        <v>9.7598690770481181E-2</v>
      </c>
      <c r="EH280" s="173"/>
      <c r="EI280" s="528">
        <f t="shared" si="719"/>
        <v>9.0705791592178408E-3</v>
      </c>
      <c r="EJ280" s="528">
        <f t="shared" si="720"/>
        <v>1.0257191943262411</v>
      </c>
      <c r="EK280" s="528">
        <f t="shared" si="721"/>
        <v>4.3749999999999997E-2</v>
      </c>
      <c r="EL280" s="528">
        <f t="shared" si="722"/>
        <v>0.10510639999999997</v>
      </c>
      <c r="EM280">
        <f t="shared" si="723"/>
        <v>1.6199999999999999E-2</v>
      </c>
      <c r="EN280" s="460">
        <f t="shared" si="724"/>
        <v>59.949999999999996</v>
      </c>
      <c r="EP280" s="460">
        <f t="shared" si="725"/>
        <v>1199.8461734854588</v>
      </c>
      <c r="EQ280" s="173">
        <f t="shared" si="726"/>
        <v>2.6879999999999997</v>
      </c>
      <c r="ER280" s="173">
        <f t="shared" ref="ER280:ER316" si="845">Vfwd22*CK280*(1+Diode_TC/1000*(Ta-25))</f>
        <v>2.8399999999999998E-2</v>
      </c>
      <c r="ES280" s="528"/>
      <c r="EU280" s="460">
        <f t="shared" si="727"/>
        <v>2716.3999999999996</v>
      </c>
      <c r="EV280" s="528">
        <f t="shared" si="728"/>
        <v>2.2304702850535672E-2</v>
      </c>
      <c r="EW280" s="528">
        <f t="shared" si="729"/>
        <v>0.78710822867139474</v>
      </c>
      <c r="EX280" s="528">
        <f t="shared" si="730"/>
        <v>4.7627522200560039E-5</v>
      </c>
      <c r="EY280" s="528">
        <f t="shared" si="731"/>
        <v>1.3397224203246119</v>
      </c>
      <c r="EZ280" s="528"/>
      <c r="FA280" s="625">
        <f t="shared" si="732"/>
        <v>6.256159624968563E-2</v>
      </c>
      <c r="FB280" s="460">
        <f t="shared" si="733"/>
        <v>2211.7445756184284</v>
      </c>
      <c r="FC280" s="173">
        <f t="shared" si="734"/>
        <v>6.127990749103887</v>
      </c>
      <c r="FD280" s="5">
        <f t="shared" si="735"/>
        <v>16.512</v>
      </c>
      <c r="FE280" s="173">
        <f t="shared" si="736"/>
        <v>0.72932891991811266</v>
      </c>
      <c r="FF280" s="5">
        <f t="shared" si="737"/>
        <v>72.93289199181126</v>
      </c>
      <c r="FG280">
        <f t="shared" si="738"/>
        <v>64</v>
      </c>
      <c r="FI280" s="562">
        <f t="shared" ref="FI280:FI316" si="846">IF(ABS(CJ280-Ioutmax_Vinmax)&lt;Iout/200, DQ280, -50)</f>
        <v>-50</v>
      </c>
    </row>
    <row r="281" spans="5:165">
      <c r="E281" s="170">
        <v>65</v>
      </c>
      <c r="F281" s="217">
        <f t="shared" ref="F281:F312" si="847">IF(PLOT_TYPE=1, E281/100*Iout_max, min_I*EXP(O281*rr/100))</f>
        <v>3.9000000000000004</v>
      </c>
      <c r="G281" s="217">
        <f t="shared" si="775"/>
        <v>6.5000000000000002E-2</v>
      </c>
      <c r="H281" s="217">
        <f t="shared" si="776"/>
        <v>15.600000000000001</v>
      </c>
      <c r="I281" s="217">
        <f t="shared" si="777"/>
        <v>1.17</v>
      </c>
      <c r="J281" s="541">
        <f t="shared" si="778"/>
        <v>35.924023704921169</v>
      </c>
      <c r="K281" s="443">
        <f t="shared" si="779"/>
        <v>19.485044540318139</v>
      </c>
      <c r="L281" s="172">
        <f t="shared" si="780"/>
        <v>55.409068245239311</v>
      </c>
      <c r="M281" s="443"/>
      <c r="N281" s="217">
        <f t="shared" si="781"/>
        <v>0.35165804366313763</v>
      </c>
      <c r="O281" s="172">
        <f t="shared" si="782"/>
        <v>39.172005880870572</v>
      </c>
      <c r="P281" s="172">
        <f t="shared" si="783"/>
        <v>3.1582429741451898</v>
      </c>
      <c r="Q281" s="217">
        <f t="shared" si="784"/>
        <v>9.7930014702176429</v>
      </c>
      <c r="R281" s="217">
        <f t="shared" si="785"/>
        <v>2.176222548937254</v>
      </c>
      <c r="S281" s="217">
        <f t="shared" si="786"/>
        <v>4</v>
      </c>
      <c r="T281" s="217">
        <f t="shared" si="787"/>
        <v>2.6549572242045394</v>
      </c>
      <c r="U281" s="217">
        <f t="shared" si="788"/>
        <v>0.88685741196886303</v>
      </c>
      <c r="V281" s="217">
        <f t="shared" si="789"/>
        <v>1.635073844687978</v>
      </c>
      <c r="W281" s="197">
        <f t="shared" si="790"/>
        <v>350</v>
      </c>
      <c r="X281" s="443">
        <f t="shared" ref="X281:X316" si="848">MIN(1/(U281+V281+0.2)*1000, 350)</f>
        <v>350</v>
      </c>
      <c r="Z281" s="217">
        <f t="shared" si="791"/>
        <v>3.0078504515668474</v>
      </c>
      <c r="AA281" s="173">
        <f t="shared" si="792"/>
        <v>1.8524055895338922</v>
      </c>
      <c r="AB281" s="173">
        <f t="shared" si="793"/>
        <v>3.6281221323489574</v>
      </c>
      <c r="AC281" s="173"/>
      <c r="AD281" s="173">
        <f t="shared" si="794"/>
        <v>0.82114259307404003</v>
      </c>
      <c r="AE281" s="545">
        <f t="shared" si="795"/>
        <v>1781.0548525134543</v>
      </c>
      <c r="AF281" s="528">
        <f t="shared" si="796"/>
        <v>0.76639975353577083</v>
      </c>
      <c r="AH281" s="173">
        <f t="shared" si="797"/>
        <v>2.8259006149746821</v>
      </c>
      <c r="AI281" s="173">
        <f t="shared" si="798"/>
        <v>2.6549572242045394</v>
      </c>
      <c r="AJ281" s="173">
        <f t="shared" si="799"/>
        <v>2.1789806599045969</v>
      </c>
      <c r="AL281" s="545">
        <f t="shared" si="800"/>
        <v>3900.0000000000005</v>
      </c>
      <c r="AM281" s="460">
        <f t="shared" si="801"/>
        <v>350</v>
      </c>
      <c r="AO281">
        <f t="shared" si="802"/>
        <v>3900.0000000000005</v>
      </c>
      <c r="AP281">
        <f t="shared" si="803"/>
        <v>350</v>
      </c>
      <c r="AR281" s="5">
        <f t="shared" si="774"/>
        <v>2.8571428571428572</v>
      </c>
      <c r="AS281" s="5">
        <f t="shared" si="739"/>
        <v>0.88685741196886303</v>
      </c>
      <c r="AT281" s="5">
        <f t="shared" si="740"/>
        <v>1.9702854451739942</v>
      </c>
      <c r="AU281" s="173">
        <f t="shared" si="741"/>
        <v>0.31040009418910203</v>
      </c>
      <c r="BA281" s="173">
        <f t="shared" ref="BA281:BA316" si="849">AI281*SQRT(AU281/3)</f>
        <v>0.85399990640030787</v>
      </c>
      <c r="BB281" s="173">
        <f t="shared" ref="BB281:BB316" si="850">AI281*Npri_sec1*SQRT((1-AU281)/3)*(Pout/Pout_total)</f>
        <v>5.0916141995563216</v>
      </c>
      <c r="BC281" s="173">
        <f t="shared" ref="BC281:BC316" si="851">AI281*Npri_sec2*SQRT((1-AU281)/3)*(Pout2/Pout_total)</f>
        <v>9.7015892180735308E-2</v>
      </c>
      <c r="BD281" s="173"/>
      <c r="BE281" s="528">
        <f t="shared" ref="BE281:BE315" si="852">Rdson*BA281^2</f>
        <v>8.8976532496071615E-3</v>
      </c>
      <c r="BF281" s="528">
        <f t="shared" si="804"/>
        <v>0.96540088328342177</v>
      </c>
      <c r="BG281" s="528">
        <f t="shared" si="805"/>
        <v>0.3143352074180602</v>
      </c>
      <c r="BH281" s="528">
        <f t="shared" ref="BH281:BH316" si="853">0.5*(Coss+Csw)*L281^2*AM281*1000</f>
        <v>0.10745576953319555</v>
      </c>
      <c r="BI281">
        <f t="shared" ref="BI281:BI316" si="854">J281*IQ</f>
        <v>1.6165810667214526E-2</v>
      </c>
      <c r="BJ281" s="460">
        <f t="shared" ref="BJ281:BJ316" si="855">(BG281+BI281)*1000</f>
        <v>330.50101808527472</v>
      </c>
      <c r="BK281">
        <f t="shared" si="806"/>
        <v>1.086453524731825</v>
      </c>
      <c r="BL281" s="460">
        <f t="shared" ref="BL281:BL316" si="856">SUM(BE281:BI281)*1000</f>
        <v>1412.2553241514991</v>
      </c>
      <c r="BM281" s="173">
        <f t="shared" si="807"/>
        <v>2.4228749999999999</v>
      </c>
      <c r="BN281" s="173">
        <f t="shared" si="808"/>
        <v>2.8843749999999998E-2</v>
      </c>
      <c r="BQ281" s="460">
        <f t="shared" ref="BQ281:BQ316" si="857">SUM(BM281:BP281)*1000</f>
        <v>2451.71875</v>
      </c>
      <c r="BR281" s="528">
        <f t="shared" ref="BR281:BR316" si="858">Rdcr_pri*BA281^2</f>
        <v>2.1879475203952035E-2</v>
      </c>
      <c r="BS281" s="528">
        <f t="shared" ref="BS281:BS316" si="859">Rdcr_sec*BB281^2</f>
        <v>0.77773605471370677</v>
      </c>
      <c r="BT281" s="528">
        <f t="shared" ref="BT281:BT316" si="860">Rdcr_sec2*BC281^2</f>
        <v>4.7060416678120291E-5</v>
      </c>
      <c r="BU281" s="528">
        <f t="shared" ref="BU281:BU316" si="861">AI281^2.5*AM281^2.5*k_core</f>
        <v>1.3160849895909608</v>
      </c>
      <c r="BV281" s="528"/>
      <c r="BW281" s="625">
        <f t="shared" ref="BW281:BW316" si="862">0.5*Lleak*0.000000001*AI281^2*AM281*1000</f>
        <v>6.1676981295613893E-2</v>
      </c>
      <c r="BX281" s="460">
        <f t="shared" ref="BX281:BX316" si="863">SUM(BR281:BW281)*1000</f>
        <v>2177.424561220912</v>
      </c>
      <c r="BY281" s="173">
        <f t="shared" ref="BY281:BY315" si="864">SUM(BE281:BI281,BM281:BP281,BR281:BW281)</f>
        <v>6.0413986353724098</v>
      </c>
      <c r="BZ281" s="5">
        <f t="shared" ref="BZ281:BZ316" si="865">MIN(H281+I281,O281+P281)</f>
        <v>16.770000000000003</v>
      </c>
      <c r="CA281" s="173">
        <f t="shared" ref="CA281:CA316" si="866">BZ281/(BZ281+BY281)</f>
        <v>0.73515878040006122</v>
      </c>
      <c r="CB281" s="5">
        <f t="shared" ref="CB281:CB316" si="867">CA281*100</f>
        <v>73.515878040006129</v>
      </c>
      <c r="CC281">
        <f t="shared" ref="CC281:CC316" si="868">F281/Iout*100</f>
        <v>65</v>
      </c>
      <c r="CE281" s="562">
        <f t="shared" si="809"/>
        <v>-50</v>
      </c>
      <c r="CG281" s="173">
        <f t="shared" si="810"/>
        <v>0.68316725768321507</v>
      </c>
      <c r="CH281" s="173">
        <f t="shared" si="811"/>
        <v>0.17138544952896659</v>
      </c>
      <c r="CI281" s="170">
        <v>65</v>
      </c>
      <c r="CJ281" s="217">
        <f t="shared" ref="CJ281:CJ316" si="869">IF(PLOT_TYPE=1, CI281/100*Iout_max, min_I*EXP(CS281*rr/100))</f>
        <v>3.9000000000000004</v>
      </c>
      <c r="CK281" s="217">
        <f t="shared" si="812"/>
        <v>6.5000000000000002E-2</v>
      </c>
      <c r="CL281" s="217">
        <f t="shared" si="813"/>
        <v>15.600000000000001</v>
      </c>
      <c r="CM281" s="217">
        <f t="shared" si="814"/>
        <v>1.17</v>
      </c>
      <c r="CN281" s="541">
        <f t="shared" si="815"/>
        <v>36</v>
      </c>
      <c r="CO281" s="443">
        <f t="shared" si="816"/>
        <v>18.8</v>
      </c>
      <c r="CP281" s="443">
        <f t="shared" si="817"/>
        <v>54.8</v>
      </c>
      <c r="CQ281" s="443"/>
      <c r="CR281" s="217">
        <f t="shared" si="818"/>
        <v>0.34306569343065696</v>
      </c>
      <c r="CS281" s="172">
        <f t="shared" si="819"/>
        <v>38.295705313189622</v>
      </c>
      <c r="CT281" s="172">
        <f t="shared" si="820"/>
        <v>3.0875912408759132</v>
      </c>
      <c r="CU281" s="217">
        <f t="shared" si="821"/>
        <v>9.5739263282974054</v>
      </c>
      <c r="CV281" s="217">
        <f t="shared" si="822"/>
        <v>2.12753918406609</v>
      </c>
      <c r="CW281" s="217">
        <f t="shared" si="823"/>
        <v>4</v>
      </c>
      <c r="CX281" s="217">
        <f t="shared" si="824"/>
        <v>2.7157092198581561</v>
      </c>
      <c r="CY281" s="217">
        <f t="shared" si="825"/>
        <v>0.90523640661938543</v>
      </c>
      <c r="CZ281" s="217">
        <f t="shared" si="826"/>
        <v>1.7334314169307381</v>
      </c>
      <c r="DA281" s="197">
        <f t="shared" si="827"/>
        <v>350</v>
      </c>
      <c r="DB281" s="443">
        <f t="shared" si="828"/>
        <v>350</v>
      </c>
      <c r="DD281" s="217">
        <f t="shared" si="829"/>
        <v>2.940563086548488</v>
      </c>
      <c r="DE281" s="173">
        <f t="shared" si="830"/>
        <v>1.8769551616266944</v>
      </c>
      <c r="DF281" s="173">
        <f t="shared" si="831"/>
        <v>3.5939660877863036</v>
      </c>
      <c r="DG281" s="173"/>
      <c r="DH281" s="173">
        <f t="shared" si="832"/>
        <v>0.85106382978723416</v>
      </c>
      <c r="DI281" s="545">
        <f t="shared" si="833"/>
        <v>1718.4374999999998</v>
      </c>
      <c r="DJ281" s="528">
        <f t="shared" si="834"/>
        <v>0.79432624113475192</v>
      </c>
      <c r="DL281" s="173">
        <f t="shared" si="835"/>
        <v>2.8259006149746821</v>
      </c>
      <c r="DM281" s="173">
        <f t="shared" si="836"/>
        <v>2.7157092198581561</v>
      </c>
      <c r="DN281" s="173">
        <f t="shared" si="837"/>
        <v>2.223982138166535</v>
      </c>
      <c r="DP281" s="545">
        <f t="shared" si="838"/>
        <v>3900.0000000000005</v>
      </c>
      <c r="DQ281" s="460">
        <f t="shared" si="839"/>
        <v>350</v>
      </c>
      <c r="DS281">
        <f t="shared" si="840"/>
        <v>3900.0000000000005</v>
      </c>
      <c r="DT281">
        <f t="shared" si="841"/>
        <v>350</v>
      </c>
      <c r="DV281" s="5">
        <f t="shared" ref="DV281:DV316" si="870">1/DQ281*1000</f>
        <v>2.8571428571428572</v>
      </c>
      <c r="DW281" s="5">
        <f t="shared" si="842"/>
        <v>0.90523640661938543</v>
      </c>
      <c r="DX281" s="5">
        <f t="shared" si="843"/>
        <v>1.9519064505234718</v>
      </c>
      <c r="DY281" s="173">
        <f t="shared" si="844"/>
        <v>0.31683274231678488</v>
      </c>
      <c r="EA281" s="5">
        <f t="shared" ref="EA281:EA316" si="871">CJ281*DW281/Vout_ripple*1000</f>
        <v>88.260549645390086</v>
      </c>
      <c r="EB281" s="5">
        <f t="shared" ref="EB281:EB316" si="872">CK281*DW281/Vout_ripple2*1000</f>
        <v>0.32689092461255587</v>
      </c>
      <c r="EC281" s="5">
        <f t="shared" ref="EC281:EC316" si="873">CL281/Efficiency/CN281*DX281/Vinripple1</f>
        <v>0.70485510713347588</v>
      </c>
      <c r="ED281" s="5"/>
      <c r="EE281" s="173">
        <f t="shared" ref="EE281:EE316" si="874">DM281*SQRT(DY281/3)</f>
        <v>0.88254664342508682</v>
      </c>
      <c r="EF281" s="173">
        <f t="shared" ref="EF281:EF316" si="875">DM281*Npri_sec1*SQRT((1-DY281)/3)*(Pout/Pout_total)</f>
        <v>5.1837751151633027</v>
      </c>
      <c r="EG281" s="173">
        <f t="shared" ref="EG281:EG316" si="876">DM281*Npri_sec2*SQRT((1-DY281)/3)*(Pout2/Pout_total)</f>
        <v>9.8771931248381864E-2</v>
      </c>
      <c r="EH281" s="173"/>
      <c r="EI281" s="528">
        <f t="shared" ref="EI281:EI316" si="877">Rdson*EE281^2</f>
        <v>9.5024406494148249E-3</v>
      </c>
      <c r="EJ281" s="528">
        <f t="shared" ref="EJ281:EJ316" si="878">0.5*CP281*DM281*DQ281*1000*Trise</f>
        <v>1.0417460567375885</v>
      </c>
      <c r="EK281" s="528">
        <f t="shared" ref="EK281:EK316" si="879">Qg*Vdd*DQ281*1000</f>
        <v>4.3749999999999997E-2</v>
      </c>
      <c r="EL281" s="528">
        <f t="shared" ref="EL281:EL316" si="880">0.5*(Coss+Csw)*CP281^2*DQ281*1000</f>
        <v>0.10510639999999997</v>
      </c>
      <c r="EM281">
        <f t="shared" ref="EM281:EM316" si="881">CN281*IQ</f>
        <v>1.6199999999999999E-2</v>
      </c>
      <c r="EN281" s="460">
        <f t="shared" ref="EN281:EN316" si="882">(EK281+EM281)*1000</f>
        <v>59.949999999999996</v>
      </c>
      <c r="EP281" s="460">
        <f t="shared" ref="EP281:EP316" si="883">SUM(EI281:EM281)*1000</f>
        <v>1216.3048973870032</v>
      </c>
      <c r="EQ281" s="173">
        <f t="shared" ref="EQ281:EQ316" si="884">Vfwd2*CJ281</f>
        <v>2.73</v>
      </c>
      <c r="ER281" s="173">
        <f t="shared" si="845"/>
        <v>2.8843749999999998E-2</v>
      </c>
      <c r="ES281" s="528"/>
      <c r="EU281" s="460">
        <f t="shared" ref="EU281:EU316" si="885">SUM(EQ281:ET281)*1000</f>
        <v>2758.84375</v>
      </c>
      <c r="EV281" s="528">
        <f t="shared" ref="EV281:EV316" si="886">Rdcr_pri*EE281^2</f>
        <v>2.3366657334626621E-2</v>
      </c>
      <c r="EW281" s="528">
        <f t="shared" ref="EW281:EW316" si="887">Rdcr_sec*EF281^2</f>
        <v>0.80614573333758932</v>
      </c>
      <c r="EX281" s="528">
        <f t="shared" ref="EX281:EX316" si="888">Rdcr_sec2*EG281^2</f>
        <v>4.8779472012675373E-5</v>
      </c>
      <c r="EY281" s="528">
        <f t="shared" ref="EY281:EY316" si="889">DM281^2.5*DQ281^2.5*k_core</f>
        <v>1.392670197591785</v>
      </c>
      <c r="EZ281" s="528"/>
      <c r="FA281" s="625">
        <f t="shared" ref="FA281:FA316" si="890">0.5*Lleak*0.000000001*DM281^2*DQ281*1000</f>
        <v>6.4531919959697703E-2</v>
      </c>
      <c r="FB281" s="460">
        <f t="shared" ref="FB281:FB316" si="891">SUM(EV281:FA281)*1000</f>
        <v>2286.7632876957114</v>
      </c>
      <c r="FC281" s="173">
        <f t="shared" ref="FC281:FC316" si="892">SUM(EI281:EM281,EQ281:ET281,EV281:FA281)</f>
        <v>6.2619119350827139</v>
      </c>
      <c r="FD281" s="5">
        <f t="shared" ref="FD281:FD316" si="893">MIN(CL281+CM281,CS281+CT281)</f>
        <v>16.770000000000003</v>
      </c>
      <c r="FE281" s="173">
        <f t="shared" ref="FE281:FE316" si="894">FD281/(FD281+FC281)</f>
        <v>0.72812018590847283</v>
      </c>
      <c r="FF281" s="5">
        <f t="shared" ref="FF281:FF316" si="895">FE281*100</f>
        <v>72.812018590847288</v>
      </c>
      <c r="FG281">
        <f t="shared" ref="FG281:FG316" si="896">CJ281/Iout*100</f>
        <v>65</v>
      </c>
      <c r="FI281" s="562">
        <f t="shared" si="846"/>
        <v>-50</v>
      </c>
    </row>
    <row r="282" spans="5:165">
      <c r="E282" s="170">
        <v>66</v>
      </c>
      <c r="F282" s="217">
        <f t="shared" si="847"/>
        <v>3.96</v>
      </c>
      <c r="G282" s="217">
        <f t="shared" si="775"/>
        <v>6.6000000000000003E-2</v>
      </c>
      <c r="H282" s="217">
        <f t="shared" si="776"/>
        <v>15.84</v>
      </c>
      <c r="I282" s="217">
        <f t="shared" si="777"/>
        <v>1.1880000000000002</v>
      </c>
      <c r="J282" s="541">
        <f t="shared" si="778"/>
        <v>35.922536990283234</v>
      </c>
      <c r="K282" s="443">
        <f t="shared" si="779"/>
        <v>19.500582292007575</v>
      </c>
      <c r="L282" s="172">
        <f t="shared" si="780"/>
        <v>55.423119282290813</v>
      </c>
      <c r="M282" s="443"/>
      <c r="N282" s="217">
        <f t="shared" si="781"/>
        <v>0.35184923808932095</v>
      </c>
      <c r="O282" s="172">
        <f t="shared" si="782"/>
        <v>39.19168145819102</v>
      </c>
      <c r="P282" s="172">
        <f t="shared" si="783"/>
        <v>3.159829317566651</v>
      </c>
      <c r="Q282" s="217">
        <f t="shared" si="784"/>
        <v>9.7979203645477551</v>
      </c>
      <c r="R282" s="217">
        <f t="shared" si="785"/>
        <v>2.1773156365661679</v>
      </c>
      <c r="S282" s="217">
        <f t="shared" si="786"/>
        <v>4</v>
      </c>
      <c r="T282" s="217">
        <f t="shared" si="787"/>
        <v>2.6944493339141924</v>
      </c>
      <c r="U282" s="217">
        <f t="shared" si="788"/>
        <v>0.90008653942554895</v>
      </c>
      <c r="V282" s="217">
        <f t="shared" si="789"/>
        <v>1.6580731550884169</v>
      </c>
      <c r="W282" s="197">
        <f t="shared" si="790"/>
        <v>350</v>
      </c>
      <c r="X282" s="443">
        <f t="shared" si="848"/>
        <v>350</v>
      </c>
      <c r="Z282" s="217">
        <f t="shared" si="791"/>
        <v>3.0093612548253823</v>
      </c>
      <c r="AA282" s="173">
        <f t="shared" si="792"/>
        <v>1.8518593197447972</v>
      </c>
      <c r="AB282" s="173">
        <f t="shared" si="793"/>
        <v>3.6288740282410203</v>
      </c>
      <c r="AC282" s="173"/>
      <c r="AD282" s="173">
        <f t="shared" si="794"/>
        <v>0.82048831980559334</v>
      </c>
      <c r="AE282" s="545">
        <f t="shared" si="795"/>
        <v>1809.8977939769527</v>
      </c>
      <c r="AF282" s="528">
        <f t="shared" si="796"/>
        <v>0.76578909848522048</v>
      </c>
      <c r="AH282" s="173">
        <f t="shared" si="797"/>
        <v>2.8475553424949314</v>
      </c>
      <c r="AI282" s="173">
        <f t="shared" si="798"/>
        <v>2.6944493339141924</v>
      </c>
      <c r="AJ282" s="173">
        <f t="shared" si="799"/>
        <v>2.2082340745043396</v>
      </c>
      <c r="AL282" s="545">
        <f t="shared" si="800"/>
        <v>3960</v>
      </c>
      <c r="AM282" s="460">
        <f t="shared" si="801"/>
        <v>350</v>
      </c>
      <c r="AO282">
        <f t="shared" si="802"/>
        <v>3960</v>
      </c>
      <c r="AP282">
        <f t="shared" si="803"/>
        <v>350</v>
      </c>
      <c r="AR282" s="5">
        <f t="shared" si="774"/>
        <v>2.8571428571428572</v>
      </c>
      <c r="AS282" s="5">
        <f t="shared" si="739"/>
        <v>0.90008653942554895</v>
      </c>
      <c r="AT282" s="5">
        <f t="shared" si="740"/>
        <v>1.9570563177173081</v>
      </c>
      <c r="AU282" s="173">
        <f t="shared" si="741"/>
        <v>0.31503028879894213</v>
      </c>
      <c r="BA282" s="173">
        <f t="shared" si="849"/>
        <v>0.87314334839091257</v>
      </c>
      <c r="BB282" s="173">
        <f t="shared" si="850"/>
        <v>5.1499743908814413</v>
      </c>
      <c r="BC282" s="173">
        <f t="shared" si="851"/>
        <v>9.8127890420849087E-2</v>
      </c>
      <c r="BD282" s="173"/>
      <c r="BE282" s="528">
        <f t="shared" si="852"/>
        <v>9.3010275434393924E-3</v>
      </c>
      <c r="BF282" s="528">
        <f t="shared" si="804"/>
        <v>0.98000953859560047</v>
      </c>
      <c r="BG282" s="528">
        <f t="shared" si="805"/>
        <v>0.31432219866497829</v>
      </c>
      <c r="BH282" s="528">
        <f t="shared" si="853"/>
        <v>0.10751027528426625</v>
      </c>
      <c r="BI282">
        <f t="shared" si="854"/>
        <v>1.6165141645627455E-2</v>
      </c>
      <c r="BJ282" s="460">
        <f t="shared" si="855"/>
        <v>330.4873403106057</v>
      </c>
      <c r="BK282">
        <f t="shared" si="806"/>
        <v>1.1017669402226475</v>
      </c>
      <c r="BL282" s="460">
        <f t="shared" si="856"/>
        <v>1427.3081817339119</v>
      </c>
      <c r="BM282" s="173">
        <f t="shared" si="807"/>
        <v>2.4601499999999996</v>
      </c>
      <c r="BN282" s="173">
        <f t="shared" si="808"/>
        <v>2.9287500000000001E-2</v>
      </c>
      <c r="BQ282" s="460">
        <f t="shared" si="857"/>
        <v>2489.4374999999995</v>
      </c>
      <c r="BR282" s="528">
        <f t="shared" si="858"/>
        <v>2.2871379205178836E-2</v>
      </c>
      <c r="BS282" s="528">
        <f t="shared" si="859"/>
        <v>0.79566708680204012</v>
      </c>
      <c r="BT282" s="528">
        <f t="shared" si="860"/>
        <v>4.814541439223083E-5</v>
      </c>
      <c r="BU282" s="528">
        <f t="shared" si="861"/>
        <v>1.3655737792674958</v>
      </c>
      <c r="BV282" s="528"/>
      <c r="BW282" s="625">
        <f t="shared" si="862"/>
        <v>6.3525500614018057E-2</v>
      </c>
      <c r="BX282" s="460">
        <f t="shared" si="863"/>
        <v>2247.6858913031251</v>
      </c>
      <c r="BY282" s="173">
        <f t="shared" si="864"/>
        <v>6.1644315730370369</v>
      </c>
      <c r="BZ282" s="5">
        <f t="shared" si="865"/>
        <v>17.027999999999999</v>
      </c>
      <c r="CA282" s="173">
        <f t="shared" si="866"/>
        <v>0.73420503349878774</v>
      </c>
      <c r="CB282" s="5">
        <f t="shared" si="867"/>
        <v>73.420503349878771</v>
      </c>
      <c r="CC282">
        <f t="shared" si="868"/>
        <v>66</v>
      </c>
      <c r="CE282" s="562">
        <f t="shared" si="809"/>
        <v>-50</v>
      </c>
      <c r="CG282" s="173">
        <f t="shared" si="810"/>
        <v>0.67829290780141849</v>
      </c>
      <c r="CH282" s="173">
        <f t="shared" si="811"/>
        <v>0.17269876719867472</v>
      </c>
      <c r="CI282" s="170">
        <v>66</v>
      </c>
      <c r="CJ282" s="217">
        <f t="shared" si="869"/>
        <v>3.96</v>
      </c>
      <c r="CK282" s="217">
        <f t="shared" si="812"/>
        <v>6.6000000000000003E-2</v>
      </c>
      <c r="CL282" s="217">
        <f t="shared" si="813"/>
        <v>15.84</v>
      </c>
      <c r="CM282" s="217">
        <f t="shared" si="814"/>
        <v>1.1880000000000002</v>
      </c>
      <c r="CN282" s="541">
        <f t="shared" si="815"/>
        <v>36</v>
      </c>
      <c r="CO282" s="443">
        <f t="shared" si="816"/>
        <v>18.8</v>
      </c>
      <c r="CP282" s="443">
        <f t="shared" si="817"/>
        <v>54.8</v>
      </c>
      <c r="CQ282" s="443"/>
      <c r="CR282" s="217">
        <f t="shared" si="818"/>
        <v>0.34306569343065696</v>
      </c>
      <c r="CS282" s="172">
        <f t="shared" si="819"/>
        <v>38.295705313189622</v>
      </c>
      <c r="CT282" s="172">
        <f t="shared" si="820"/>
        <v>3.0875912408759132</v>
      </c>
      <c r="CU282" s="217">
        <f t="shared" si="821"/>
        <v>9.5739263282974054</v>
      </c>
      <c r="CV282" s="217">
        <f t="shared" si="822"/>
        <v>2.12753918406609</v>
      </c>
      <c r="CW282" s="217">
        <f t="shared" si="823"/>
        <v>4</v>
      </c>
      <c r="CX282" s="217">
        <f t="shared" si="824"/>
        <v>2.757489361702127</v>
      </c>
      <c r="CY282" s="217">
        <f t="shared" si="825"/>
        <v>0.9191631205673757</v>
      </c>
      <c r="CZ282" s="217">
        <f t="shared" si="826"/>
        <v>1.7600995925758256</v>
      </c>
      <c r="DA282" s="197">
        <f t="shared" si="827"/>
        <v>350</v>
      </c>
      <c r="DB282" s="443">
        <f t="shared" si="828"/>
        <v>350</v>
      </c>
      <c r="DD282" s="217">
        <f t="shared" si="829"/>
        <v>2.940563086548488</v>
      </c>
      <c r="DE282" s="173">
        <f t="shared" si="830"/>
        <v>1.8769551616266944</v>
      </c>
      <c r="DF282" s="173">
        <f t="shared" si="831"/>
        <v>3.5939660877863036</v>
      </c>
      <c r="DG282" s="173"/>
      <c r="DH282" s="173">
        <f t="shared" si="832"/>
        <v>0.85106382978723416</v>
      </c>
      <c r="DI282" s="545">
        <f t="shared" si="833"/>
        <v>1744.8749999999993</v>
      </c>
      <c r="DJ282" s="528">
        <f t="shared" si="834"/>
        <v>0.79432624113475192</v>
      </c>
      <c r="DL282" s="173">
        <f t="shared" si="835"/>
        <v>2.8475553424949314</v>
      </c>
      <c r="DM282" s="173">
        <f t="shared" si="836"/>
        <v>2.757489361702127</v>
      </c>
      <c r="DN282" s="173">
        <f t="shared" si="837"/>
        <v>2.2549303913842915</v>
      </c>
      <c r="DP282" s="545">
        <f t="shared" si="838"/>
        <v>3960</v>
      </c>
      <c r="DQ282" s="460">
        <f t="shared" si="839"/>
        <v>350</v>
      </c>
      <c r="DS282">
        <f t="shared" si="840"/>
        <v>3960</v>
      </c>
      <c r="DT282">
        <f t="shared" si="841"/>
        <v>350</v>
      </c>
      <c r="DV282" s="5">
        <f t="shared" si="870"/>
        <v>2.8571428571428572</v>
      </c>
      <c r="DW282" s="5">
        <f t="shared" si="842"/>
        <v>0.9191631205673757</v>
      </c>
      <c r="DX282" s="5">
        <f t="shared" si="843"/>
        <v>1.9379797365754814</v>
      </c>
      <c r="DY282" s="173">
        <f t="shared" si="844"/>
        <v>0.32170709219858151</v>
      </c>
      <c r="EA282" s="5">
        <f t="shared" si="871"/>
        <v>90.997148936170191</v>
      </c>
      <c r="EB282" s="5">
        <f t="shared" si="872"/>
        <v>0.33702647754137111</v>
      </c>
      <c r="EC282" s="5">
        <f t="shared" si="873"/>
        <v>0.7105925700776764</v>
      </c>
      <c r="ED282" s="5"/>
      <c r="EE282" s="173">
        <f t="shared" si="874"/>
        <v>0.90299123726677821</v>
      </c>
      <c r="EF282" s="173">
        <f t="shared" si="875"/>
        <v>5.2447144472169409</v>
      </c>
      <c r="EG282" s="173">
        <f t="shared" si="876"/>
        <v>9.9933072575349835E-2</v>
      </c>
      <c r="EH282" s="173"/>
      <c r="EI282" s="528">
        <f t="shared" si="877"/>
        <v>9.9477967298831592E-3</v>
      </c>
      <c r="EJ282" s="528">
        <f t="shared" si="878"/>
        <v>1.057772919148936</v>
      </c>
      <c r="EK282" s="528">
        <f t="shared" si="879"/>
        <v>4.3749999999999997E-2</v>
      </c>
      <c r="EL282" s="528">
        <f t="shared" si="880"/>
        <v>0.10510639999999997</v>
      </c>
      <c r="EM282">
        <f t="shared" si="881"/>
        <v>1.6199999999999999E-2</v>
      </c>
      <c r="EN282" s="460">
        <f t="shared" si="882"/>
        <v>59.949999999999996</v>
      </c>
      <c r="EP282" s="460">
        <f t="shared" si="883"/>
        <v>1232.7771158788189</v>
      </c>
      <c r="EQ282" s="173">
        <f t="shared" si="884"/>
        <v>2.7719999999999998</v>
      </c>
      <c r="ER282" s="173">
        <f t="shared" si="845"/>
        <v>2.9287500000000001E-2</v>
      </c>
      <c r="ES282" s="528"/>
      <c r="EU282" s="460">
        <f t="shared" si="885"/>
        <v>2801.2874999999999</v>
      </c>
      <c r="EV282" s="528">
        <f t="shared" si="886"/>
        <v>2.4461795237417608E-2</v>
      </c>
      <c r="EW282" s="528">
        <f t="shared" si="887"/>
        <v>0.82521088898538297</v>
      </c>
      <c r="EX282" s="528">
        <f t="shared" si="888"/>
        <v>4.993309497175069E-5</v>
      </c>
      <c r="EY282" s="528">
        <f t="shared" si="889"/>
        <v>1.4468540665721343</v>
      </c>
      <c r="EZ282" s="528"/>
      <c r="FA282" s="625">
        <f t="shared" si="890"/>
        <v>6.6532791324128551E-2</v>
      </c>
      <c r="FB282" s="460">
        <f t="shared" si="891"/>
        <v>2363.1094752140348</v>
      </c>
      <c r="FC282" s="173">
        <f t="shared" si="892"/>
        <v>6.3971740910928538</v>
      </c>
      <c r="FD282" s="5">
        <f t="shared" si="893"/>
        <v>17.027999999999999</v>
      </c>
      <c r="FE282" s="173">
        <f t="shared" si="894"/>
        <v>0.72691028607871455</v>
      </c>
      <c r="FF282" s="5">
        <f t="shared" si="895"/>
        <v>72.691028607871459</v>
      </c>
      <c r="FG282">
        <f t="shared" si="896"/>
        <v>66</v>
      </c>
      <c r="FI282" s="562">
        <f t="shared" si="846"/>
        <v>-50</v>
      </c>
    </row>
    <row r="283" spans="5:165">
      <c r="E283" s="170">
        <v>67</v>
      </c>
      <c r="F283" s="217">
        <f t="shared" si="847"/>
        <v>4.0200000000000005</v>
      </c>
      <c r="G283" s="217">
        <f t="shared" si="775"/>
        <v>6.7000000000000004E-2</v>
      </c>
      <c r="H283" s="217">
        <f t="shared" si="776"/>
        <v>16.080000000000002</v>
      </c>
      <c r="I283" s="217">
        <f t="shared" si="777"/>
        <v>1.206</v>
      </c>
      <c r="J283" s="541">
        <f t="shared" si="778"/>
        <v>35.921031411326425</v>
      </c>
      <c r="K283" s="443">
        <f t="shared" si="779"/>
        <v>19.516344974944364</v>
      </c>
      <c r="L283" s="172">
        <f t="shared" si="780"/>
        <v>55.437376386270785</v>
      </c>
      <c r="M283" s="443"/>
      <c r="N283" s="217">
        <f t="shared" si="781"/>
        <v>0.35204308441583537</v>
      </c>
      <c r="O283" s="172">
        <f t="shared" si="782"/>
        <v>39.21163005718283</v>
      </c>
      <c r="P283" s="172">
        <f t="shared" si="783"/>
        <v>3.1614376733603655</v>
      </c>
      <c r="Q283" s="217">
        <f t="shared" si="784"/>
        <v>9.8029075142957076</v>
      </c>
      <c r="R283" s="217">
        <f t="shared" si="785"/>
        <v>2.1784238920657129</v>
      </c>
      <c r="S283" s="217">
        <f t="shared" si="786"/>
        <v>4</v>
      </c>
      <c r="T283" s="217">
        <f t="shared" si="787"/>
        <v>2.7338827751784063</v>
      </c>
      <c r="U283" s="217">
        <f t="shared" si="788"/>
        <v>0.91329764244454503</v>
      </c>
      <c r="V283" s="217">
        <f t="shared" si="789"/>
        <v>1.6809803958814475</v>
      </c>
      <c r="W283" s="197">
        <f t="shared" si="790"/>
        <v>350</v>
      </c>
      <c r="X283" s="443">
        <f t="shared" si="848"/>
        <v>350</v>
      </c>
      <c r="Z283" s="217">
        <f t="shared" si="791"/>
        <v>3.0108930222479668</v>
      </c>
      <c r="AA283" s="173">
        <f t="shared" si="792"/>
        <v>1.8513054730976133</v>
      </c>
      <c r="AB283" s="173">
        <f t="shared" si="793"/>
        <v>3.6296352666970724</v>
      </c>
      <c r="AC283" s="173"/>
      <c r="AD283" s="173">
        <f t="shared" si="794"/>
        <v>0.81982563951094611</v>
      </c>
      <c r="AE283" s="545">
        <f t="shared" si="795"/>
        <v>1838.8056281080392</v>
      </c>
      <c r="AF283" s="528">
        <f t="shared" si="796"/>
        <v>0.76517059687688305</v>
      </c>
      <c r="AH283" s="173">
        <f t="shared" si="797"/>
        <v>2.869046631100403</v>
      </c>
      <c r="AI283" s="173">
        <f t="shared" si="798"/>
        <v>2.7338827751784063</v>
      </c>
      <c r="AJ283" s="173">
        <f t="shared" si="799"/>
        <v>2.2374440309963504</v>
      </c>
      <c r="AL283" s="545">
        <f t="shared" si="800"/>
        <v>4020.0000000000005</v>
      </c>
      <c r="AM283" s="460">
        <f t="shared" si="801"/>
        <v>350</v>
      </c>
      <c r="AO283">
        <f t="shared" si="802"/>
        <v>4020.0000000000005</v>
      </c>
      <c r="AP283">
        <f t="shared" si="803"/>
        <v>350</v>
      </c>
      <c r="AR283" s="5">
        <f t="shared" si="774"/>
        <v>2.8571428571428572</v>
      </c>
      <c r="AS283" s="5">
        <f t="shared" si="739"/>
        <v>0.91329764244454503</v>
      </c>
      <c r="AT283" s="5">
        <f t="shared" si="740"/>
        <v>1.9438452146983121</v>
      </c>
      <c r="AU283" s="173">
        <f t="shared" si="741"/>
        <v>0.31965417485559078</v>
      </c>
      <c r="BA283" s="173">
        <f t="shared" si="849"/>
        <v>0.89239977442557761</v>
      </c>
      <c r="BB283" s="173">
        <f t="shared" si="850"/>
        <v>5.2076778990167805</v>
      </c>
      <c r="BC283" s="173">
        <f t="shared" si="851"/>
        <v>9.9227376183968402E-2</v>
      </c>
      <c r="BD283" s="173"/>
      <c r="BE283" s="528">
        <f t="shared" si="852"/>
        <v>9.7158037602168255E-3</v>
      </c>
      <c r="BF283" s="528">
        <f t="shared" si="804"/>
        <v>0.99460783014802001</v>
      </c>
      <c r="BG283" s="528">
        <f t="shared" si="805"/>
        <v>0.31430902484910622</v>
      </c>
      <c r="BH283" s="528">
        <f t="shared" si="853"/>
        <v>0.10756559452075687</v>
      </c>
      <c r="BI283">
        <f t="shared" si="854"/>
        <v>1.6164464135096892E-2</v>
      </c>
      <c r="BJ283" s="460">
        <f t="shared" si="855"/>
        <v>330.47348898420307</v>
      </c>
      <c r="BK283">
        <f t="shared" si="806"/>
        <v>1.1170912726902922</v>
      </c>
      <c r="BL283" s="460">
        <f t="shared" si="856"/>
        <v>1442.3627174131971</v>
      </c>
      <c r="BM283" s="173">
        <f t="shared" si="807"/>
        <v>2.4974249999999998</v>
      </c>
      <c r="BN283" s="173">
        <f t="shared" si="808"/>
        <v>2.9731250000000001E-2</v>
      </c>
      <c r="BQ283" s="460">
        <f t="shared" si="857"/>
        <v>2527.15625</v>
      </c>
      <c r="BR283" s="528">
        <f t="shared" si="858"/>
        <v>2.3891320721844654E-2</v>
      </c>
      <c r="BS283" s="528">
        <f t="shared" si="859"/>
        <v>0.81359727299723483</v>
      </c>
      <c r="BT283" s="528">
        <f t="shared" si="860"/>
        <v>4.9230360921773894E-5</v>
      </c>
      <c r="BU283" s="528">
        <f t="shared" si="861"/>
        <v>1.4160866777047105</v>
      </c>
      <c r="BV283" s="528"/>
      <c r="BW283" s="625">
        <f t="shared" si="862"/>
        <v>6.5398506498650366E-2</v>
      </c>
      <c r="BX283" s="460">
        <f t="shared" si="863"/>
        <v>2319.0230082833618</v>
      </c>
      <c r="BY283" s="173">
        <f t="shared" si="864"/>
        <v>6.2885419756965595</v>
      </c>
      <c r="BZ283" s="5">
        <f t="shared" si="865"/>
        <v>17.286000000000001</v>
      </c>
      <c r="CA283" s="173">
        <f t="shared" si="866"/>
        <v>0.7332486042706774</v>
      </c>
      <c r="CB283" s="5">
        <f t="shared" si="867"/>
        <v>73.324860427067733</v>
      </c>
      <c r="CC283">
        <f t="shared" si="868"/>
        <v>67</v>
      </c>
      <c r="CE283" s="562">
        <f t="shared" si="809"/>
        <v>-50</v>
      </c>
      <c r="CG283" s="173">
        <f t="shared" si="810"/>
        <v>0.67341855791962169</v>
      </c>
      <c r="CH283" s="173">
        <f t="shared" si="811"/>
        <v>0.17400217261183304</v>
      </c>
      <c r="CI283" s="170">
        <v>67</v>
      </c>
      <c r="CJ283" s="217">
        <f t="shared" si="869"/>
        <v>4.0200000000000005</v>
      </c>
      <c r="CK283" s="217">
        <f t="shared" si="812"/>
        <v>6.7000000000000004E-2</v>
      </c>
      <c r="CL283" s="217">
        <f t="shared" si="813"/>
        <v>16.080000000000002</v>
      </c>
      <c r="CM283" s="217">
        <f t="shared" si="814"/>
        <v>1.206</v>
      </c>
      <c r="CN283" s="541">
        <f t="shared" si="815"/>
        <v>36</v>
      </c>
      <c r="CO283" s="443">
        <f t="shared" si="816"/>
        <v>18.8</v>
      </c>
      <c r="CP283" s="443">
        <f t="shared" si="817"/>
        <v>54.8</v>
      </c>
      <c r="CQ283" s="443"/>
      <c r="CR283" s="217">
        <f t="shared" si="818"/>
        <v>0.34306569343065696</v>
      </c>
      <c r="CS283" s="172">
        <f t="shared" si="819"/>
        <v>38.295705313189622</v>
      </c>
      <c r="CT283" s="172">
        <f t="shared" si="820"/>
        <v>3.0875912408759132</v>
      </c>
      <c r="CU283" s="217">
        <f t="shared" si="821"/>
        <v>9.5739263282974054</v>
      </c>
      <c r="CV283" s="217">
        <f t="shared" si="822"/>
        <v>2.12753918406609</v>
      </c>
      <c r="CW283" s="217">
        <f t="shared" si="823"/>
        <v>4</v>
      </c>
      <c r="CX283" s="217">
        <f t="shared" si="824"/>
        <v>2.7992695035460993</v>
      </c>
      <c r="CY283" s="217">
        <f t="shared" si="825"/>
        <v>0.93308983451536642</v>
      </c>
      <c r="CZ283" s="217">
        <f t="shared" si="826"/>
        <v>1.7867677682209144</v>
      </c>
      <c r="DA283" s="197">
        <f t="shared" si="827"/>
        <v>350</v>
      </c>
      <c r="DB283" s="443">
        <f t="shared" si="828"/>
        <v>350</v>
      </c>
      <c r="DD283" s="217">
        <f t="shared" si="829"/>
        <v>2.940563086548488</v>
      </c>
      <c r="DE283" s="173">
        <f t="shared" si="830"/>
        <v>1.8769551616266944</v>
      </c>
      <c r="DF283" s="173">
        <f t="shared" si="831"/>
        <v>3.5939660877863036</v>
      </c>
      <c r="DG283" s="173"/>
      <c r="DH283" s="173">
        <f t="shared" si="832"/>
        <v>0.85106382978723416</v>
      </c>
      <c r="DI283" s="545">
        <f t="shared" si="833"/>
        <v>1771.3124999999998</v>
      </c>
      <c r="DJ283" s="528">
        <f t="shared" si="834"/>
        <v>0.79432624113475192</v>
      </c>
      <c r="DL283" s="173">
        <f t="shared" si="835"/>
        <v>2.869046631100403</v>
      </c>
      <c r="DM283" s="173">
        <f t="shared" si="836"/>
        <v>2.7992695035460993</v>
      </c>
      <c r="DN283" s="173">
        <f t="shared" si="837"/>
        <v>2.2858786446020485</v>
      </c>
      <c r="DP283" s="545">
        <f t="shared" si="838"/>
        <v>4020.0000000000005</v>
      </c>
      <c r="DQ283" s="460">
        <f t="shared" si="839"/>
        <v>350</v>
      </c>
      <c r="DS283">
        <f t="shared" si="840"/>
        <v>4020.0000000000005</v>
      </c>
      <c r="DT283">
        <f t="shared" si="841"/>
        <v>350</v>
      </c>
      <c r="DV283" s="5">
        <f t="shared" si="870"/>
        <v>2.8571428571428572</v>
      </c>
      <c r="DW283" s="5">
        <f t="shared" si="842"/>
        <v>0.93308983451536642</v>
      </c>
      <c r="DX283" s="5">
        <f t="shared" si="843"/>
        <v>1.9240530226274908</v>
      </c>
      <c r="DY283" s="173">
        <f t="shared" si="844"/>
        <v>0.32658144208037826</v>
      </c>
      <c r="EA283" s="5">
        <f t="shared" si="871"/>
        <v>93.77552836879434</v>
      </c>
      <c r="EB283" s="5">
        <f t="shared" si="872"/>
        <v>0.34731677173627534</v>
      </c>
      <c r="EC283" s="5">
        <f t="shared" si="873"/>
        <v>0.7161752917557882</v>
      </c>
      <c r="ED283" s="5"/>
      <c r="EE283" s="173">
        <f t="shared" si="874"/>
        <v>0.92359130703723669</v>
      </c>
      <c r="EF283" s="173">
        <f t="shared" si="875"/>
        <v>5.3050150090539665</v>
      </c>
      <c r="EG283" s="173">
        <f t="shared" si="876"/>
        <v>0.10108204274008234</v>
      </c>
      <c r="EH283" s="173"/>
      <c r="EI283" s="528">
        <f t="shared" si="877"/>
        <v>1.0406855009703965E-2</v>
      </c>
      <c r="EJ283" s="528">
        <f t="shared" si="878"/>
        <v>1.0737997815602838</v>
      </c>
      <c r="EK283" s="528">
        <f t="shared" si="879"/>
        <v>4.3749999999999997E-2</v>
      </c>
      <c r="EL283" s="528">
        <f t="shared" si="880"/>
        <v>0.10510639999999997</v>
      </c>
      <c r="EM283">
        <f t="shared" si="881"/>
        <v>1.6199999999999999E-2</v>
      </c>
      <c r="EN283" s="460">
        <f t="shared" si="882"/>
        <v>59.949999999999996</v>
      </c>
      <c r="EP283" s="460">
        <f t="shared" si="883"/>
        <v>1249.2630365699877</v>
      </c>
      <c r="EQ283" s="173">
        <f t="shared" si="884"/>
        <v>2.8140000000000001</v>
      </c>
      <c r="ER283" s="173">
        <f t="shared" si="845"/>
        <v>2.9731250000000001E-2</v>
      </c>
      <c r="ES283" s="528"/>
      <c r="EU283" s="460">
        <f t="shared" si="885"/>
        <v>2843.7312500000003</v>
      </c>
      <c r="EV283" s="528">
        <f t="shared" si="886"/>
        <v>2.5590627073042539E-2</v>
      </c>
      <c r="EW283" s="528">
        <f t="shared" si="887"/>
        <v>0.84429552738863567</v>
      </c>
      <c r="EX283" s="528">
        <f t="shared" si="888"/>
        <v>5.1087896822539165E-5</v>
      </c>
      <c r="EY283" s="528">
        <f t="shared" si="889"/>
        <v>1.502283499556049</v>
      </c>
      <c r="EZ283" s="528"/>
      <c r="FA283" s="625">
        <f t="shared" si="890"/>
        <v>6.856421034297823E-2</v>
      </c>
      <c r="FB283" s="460">
        <f t="shared" si="891"/>
        <v>2440.7849522575284</v>
      </c>
      <c r="FC283" s="173">
        <f t="shared" si="892"/>
        <v>6.533779238827516</v>
      </c>
      <c r="FD283" s="5">
        <f t="shared" si="893"/>
        <v>17.286000000000001</v>
      </c>
      <c r="FE283" s="173">
        <f t="shared" si="894"/>
        <v>0.72569942091750761</v>
      </c>
      <c r="FF283" s="5">
        <f t="shared" si="895"/>
        <v>72.569942091750761</v>
      </c>
      <c r="FG283">
        <f t="shared" si="896"/>
        <v>67</v>
      </c>
      <c r="FI283" s="562">
        <f t="shared" si="846"/>
        <v>-50</v>
      </c>
    </row>
    <row r="284" spans="5:165">
      <c r="E284" s="170">
        <v>68</v>
      </c>
      <c r="F284" s="217">
        <f t="shared" si="847"/>
        <v>4.08</v>
      </c>
      <c r="G284" s="217">
        <f t="shared" si="775"/>
        <v>6.8000000000000005E-2</v>
      </c>
      <c r="H284" s="217">
        <f t="shared" si="776"/>
        <v>16.32</v>
      </c>
      <c r="I284" s="217">
        <f t="shared" si="777"/>
        <v>1.2240000000000002</v>
      </c>
      <c r="J284" s="541">
        <f t="shared" si="778"/>
        <v>35.91950651518961</v>
      </c>
      <c r="K284" s="443">
        <f t="shared" si="779"/>
        <v>19.532337509043678</v>
      </c>
      <c r="L284" s="172">
        <f t="shared" si="780"/>
        <v>55.451844024233289</v>
      </c>
      <c r="M284" s="443"/>
      <c r="N284" s="217">
        <f t="shared" si="781"/>
        <v>0.35223963878474002</v>
      </c>
      <c r="O284" s="172">
        <f t="shared" si="782"/>
        <v>39.231857365074433</v>
      </c>
      <c r="P284" s="172">
        <f t="shared" si="783"/>
        <v>3.1630685000591261</v>
      </c>
      <c r="Q284" s="217">
        <f t="shared" si="784"/>
        <v>9.8079643412686082</v>
      </c>
      <c r="R284" s="217">
        <f t="shared" si="785"/>
        <v>2.179547631393024</v>
      </c>
      <c r="S284" s="217">
        <f t="shared" si="786"/>
        <v>4</v>
      </c>
      <c r="T284" s="217">
        <f t="shared" si="787"/>
        <v>2.7732564121946863</v>
      </c>
      <c r="U284" s="217">
        <f t="shared" si="788"/>
        <v>0.92649037180572646</v>
      </c>
      <c r="V284" s="217">
        <f t="shared" si="789"/>
        <v>1.703793871620725</v>
      </c>
      <c r="W284" s="197">
        <f t="shared" si="790"/>
        <v>350</v>
      </c>
      <c r="X284" s="443">
        <f t="shared" si="848"/>
        <v>350</v>
      </c>
      <c r="Z284" s="217">
        <f t="shared" si="791"/>
        <v>3.0124461905325006</v>
      </c>
      <c r="AA284" s="173">
        <f t="shared" si="792"/>
        <v>1.8507438891864569</v>
      </c>
      <c r="AB284" s="173">
        <f t="shared" si="793"/>
        <v>3.6304060139923089</v>
      </c>
      <c r="AC284" s="173"/>
      <c r="AD284" s="173">
        <f t="shared" si="794"/>
        <v>0.81915438910431648</v>
      </c>
      <c r="AE284" s="545">
        <f t="shared" si="795"/>
        <v>1867.7797743023011</v>
      </c>
      <c r="AF284" s="528">
        <f t="shared" si="796"/>
        <v>0.76454409649736221</v>
      </c>
      <c r="AH284" s="173">
        <f t="shared" si="797"/>
        <v>2.8903781265235375</v>
      </c>
      <c r="AI284" s="173">
        <f t="shared" si="798"/>
        <v>2.7732564121946863</v>
      </c>
      <c r="AJ284" s="173">
        <f t="shared" si="799"/>
        <v>2.2666096880454463</v>
      </c>
      <c r="AL284" s="545">
        <f t="shared" si="800"/>
        <v>4080</v>
      </c>
      <c r="AM284" s="460">
        <f t="shared" si="801"/>
        <v>350</v>
      </c>
      <c r="AO284">
        <f t="shared" si="802"/>
        <v>4080</v>
      </c>
      <c r="AP284">
        <f t="shared" si="803"/>
        <v>350</v>
      </c>
      <c r="AR284" s="5">
        <f t="shared" si="774"/>
        <v>2.8571428571428572</v>
      </c>
      <c r="AS284" s="5">
        <f t="shared" si="739"/>
        <v>0.92649037180572646</v>
      </c>
      <c r="AT284" s="5">
        <f t="shared" si="740"/>
        <v>1.9306524853371307</v>
      </c>
      <c r="AU284" s="173">
        <f t="shared" si="741"/>
        <v>0.32427163013200427</v>
      </c>
      <c r="BA284" s="173">
        <f t="shared" si="849"/>
        <v>0.91176701327156584</v>
      </c>
      <c r="BB284" s="173">
        <f t="shared" si="850"/>
        <v>5.2647222748193094</v>
      </c>
      <c r="BC284" s="173">
        <f t="shared" si="851"/>
        <v>0.10031430280398955</v>
      </c>
      <c r="BD284" s="173"/>
      <c r="BE284" s="528">
        <f t="shared" si="852"/>
        <v>1.0142092855179851E-2</v>
      </c>
      <c r="BF284" s="528">
        <f t="shared" si="804"/>
        <v>1.0091955694289736</v>
      </c>
      <c r="BG284" s="528">
        <f t="shared" si="805"/>
        <v>0.31429568200790908</v>
      </c>
      <c r="BH284" s="528">
        <f t="shared" si="853"/>
        <v>0.1076217451990764</v>
      </c>
      <c r="BI284">
        <f t="shared" si="854"/>
        <v>1.6163777931835325E-2</v>
      </c>
      <c r="BJ284" s="460">
        <f t="shared" si="855"/>
        <v>330.45945993974442</v>
      </c>
      <c r="BK284">
        <f t="shared" si="806"/>
        <v>1.1324266504288307</v>
      </c>
      <c r="BL284" s="460">
        <f t="shared" si="856"/>
        <v>1457.4188674229742</v>
      </c>
      <c r="BM284" s="173">
        <f t="shared" si="807"/>
        <v>2.5347</v>
      </c>
      <c r="BN284" s="173">
        <f t="shared" si="808"/>
        <v>3.0175E-2</v>
      </c>
      <c r="BQ284" s="460">
        <f t="shared" si="857"/>
        <v>2564.875</v>
      </c>
      <c r="BR284" s="528">
        <f t="shared" si="858"/>
        <v>2.493957259470455E-2</v>
      </c>
      <c r="BS284" s="528">
        <f t="shared" si="859"/>
        <v>0.8315190189293582</v>
      </c>
      <c r="BT284" s="528">
        <f t="shared" si="860"/>
        <v>5.0314796735252534E-5</v>
      </c>
      <c r="BU284" s="528">
        <f t="shared" si="861"/>
        <v>1.4676252659399924</v>
      </c>
      <c r="BV284" s="528"/>
      <c r="BW284" s="625">
        <f t="shared" si="862"/>
        <v>6.7295822368065764E-2</v>
      </c>
      <c r="BX284" s="460">
        <f t="shared" si="863"/>
        <v>2391.4299946288561</v>
      </c>
      <c r="BY284" s="173">
        <f t="shared" si="864"/>
        <v>6.4137238620518309</v>
      </c>
      <c r="BZ284" s="5">
        <f t="shared" si="865"/>
        <v>17.544</v>
      </c>
      <c r="CA284" s="173">
        <f t="shared" si="866"/>
        <v>0.73228993292593469</v>
      </c>
      <c r="CB284" s="5">
        <f t="shared" si="867"/>
        <v>73.228993292593472</v>
      </c>
      <c r="CC284">
        <f t="shared" si="868"/>
        <v>68</v>
      </c>
      <c r="CE284" s="562">
        <f t="shared" si="809"/>
        <v>-50</v>
      </c>
      <c r="CG284" s="173">
        <f t="shared" si="810"/>
        <v>0.66854420803782511</v>
      </c>
      <c r="CH284" s="173">
        <f t="shared" si="811"/>
        <v>0.17529588687511818</v>
      </c>
      <c r="CI284" s="170">
        <v>68</v>
      </c>
      <c r="CJ284" s="217">
        <f t="shared" si="869"/>
        <v>4.08</v>
      </c>
      <c r="CK284" s="217">
        <f t="shared" si="812"/>
        <v>6.8000000000000005E-2</v>
      </c>
      <c r="CL284" s="217">
        <f t="shared" si="813"/>
        <v>16.32</v>
      </c>
      <c r="CM284" s="217">
        <f t="shared" si="814"/>
        <v>1.2240000000000002</v>
      </c>
      <c r="CN284" s="541">
        <f t="shared" si="815"/>
        <v>36</v>
      </c>
      <c r="CO284" s="443">
        <f t="shared" si="816"/>
        <v>18.8</v>
      </c>
      <c r="CP284" s="443">
        <f t="shared" si="817"/>
        <v>54.8</v>
      </c>
      <c r="CQ284" s="443"/>
      <c r="CR284" s="217">
        <f t="shared" si="818"/>
        <v>0.34306569343065696</v>
      </c>
      <c r="CS284" s="172">
        <f t="shared" si="819"/>
        <v>38.295705313189622</v>
      </c>
      <c r="CT284" s="172">
        <f t="shared" si="820"/>
        <v>3.0875912408759132</v>
      </c>
      <c r="CU284" s="217">
        <f t="shared" si="821"/>
        <v>9.5739263282974054</v>
      </c>
      <c r="CV284" s="217">
        <f t="shared" si="822"/>
        <v>2.12753918406609</v>
      </c>
      <c r="CW284" s="217">
        <f t="shared" si="823"/>
        <v>4</v>
      </c>
      <c r="CX284" s="217">
        <f t="shared" si="824"/>
        <v>2.8410496453900707</v>
      </c>
      <c r="CY284" s="217">
        <f t="shared" si="825"/>
        <v>0.94701654846335692</v>
      </c>
      <c r="CZ284" s="217">
        <f t="shared" si="826"/>
        <v>1.8134359438660024</v>
      </c>
      <c r="DA284" s="197">
        <f t="shared" si="827"/>
        <v>350</v>
      </c>
      <c r="DB284" s="443">
        <f t="shared" si="828"/>
        <v>350</v>
      </c>
      <c r="DD284" s="217">
        <f t="shared" si="829"/>
        <v>2.940563086548488</v>
      </c>
      <c r="DE284" s="173">
        <f t="shared" si="830"/>
        <v>1.8769551616266944</v>
      </c>
      <c r="DF284" s="173">
        <f t="shared" si="831"/>
        <v>3.5939660877863036</v>
      </c>
      <c r="DG284" s="173"/>
      <c r="DH284" s="173">
        <f t="shared" si="832"/>
        <v>0.85106382978723416</v>
      </c>
      <c r="DI284" s="545">
        <f t="shared" si="833"/>
        <v>1797.7499999999993</v>
      </c>
      <c r="DJ284" s="528">
        <f t="shared" si="834"/>
        <v>0.79432624113475192</v>
      </c>
      <c r="DL284" s="173">
        <f t="shared" si="835"/>
        <v>2.8903781265235375</v>
      </c>
      <c r="DM284" s="173">
        <f t="shared" si="836"/>
        <v>2.8410496453900707</v>
      </c>
      <c r="DN284" s="173">
        <f t="shared" si="837"/>
        <v>2.316826897819805</v>
      </c>
      <c r="DP284" s="545">
        <f t="shared" si="838"/>
        <v>4080</v>
      </c>
      <c r="DQ284" s="460">
        <f t="shared" si="839"/>
        <v>350</v>
      </c>
      <c r="DS284">
        <f t="shared" si="840"/>
        <v>4080</v>
      </c>
      <c r="DT284">
        <f t="shared" si="841"/>
        <v>350</v>
      </c>
      <c r="DV284" s="5">
        <f t="shared" si="870"/>
        <v>2.8571428571428572</v>
      </c>
      <c r="DW284" s="5">
        <f t="shared" si="842"/>
        <v>0.94701654846335692</v>
      </c>
      <c r="DX284" s="5">
        <f t="shared" si="843"/>
        <v>1.9101263086795002</v>
      </c>
      <c r="DY284" s="173">
        <f t="shared" si="844"/>
        <v>0.33145579196217489</v>
      </c>
      <c r="EA284" s="5">
        <f t="shared" si="871"/>
        <v>96.595687943262419</v>
      </c>
      <c r="EB284" s="5">
        <f t="shared" si="872"/>
        <v>0.35776180719726819</v>
      </c>
      <c r="EC284" s="5">
        <f t="shared" si="873"/>
        <v>0.72160327216781117</v>
      </c>
      <c r="ED284" s="5"/>
      <c r="EE284" s="173">
        <f t="shared" si="874"/>
        <v>0.94434568804075814</v>
      </c>
      <c r="EF284" s="173">
        <f t="shared" si="875"/>
        <v>5.3646729640031934</v>
      </c>
      <c r="EG284" s="173">
        <f t="shared" si="876"/>
        <v>0.10221876863843925</v>
      </c>
      <c r="EH284" s="173"/>
      <c r="EI284" s="528">
        <f t="shared" si="877"/>
        <v>1.0879823097958308E-2</v>
      </c>
      <c r="EJ284" s="528">
        <f t="shared" si="878"/>
        <v>1.0898266439716311</v>
      </c>
      <c r="EK284" s="528">
        <f t="shared" si="879"/>
        <v>4.3749999999999997E-2</v>
      </c>
      <c r="EL284" s="528">
        <f t="shared" si="880"/>
        <v>0.10510639999999997</v>
      </c>
      <c r="EM284">
        <f t="shared" si="881"/>
        <v>1.6199999999999999E-2</v>
      </c>
      <c r="EN284" s="460">
        <f t="shared" si="882"/>
        <v>59.949999999999996</v>
      </c>
      <c r="EP284" s="460">
        <f t="shared" si="883"/>
        <v>1265.7628670695892</v>
      </c>
      <c r="EQ284" s="173">
        <f t="shared" si="884"/>
        <v>2.8559999999999999</v>
      </c>
      <c r="ER284" s="173">
        <f t="shared" si="845"/>
        <v>3.0175E-2</v>
      </c>
      <c r="ES284" s="528"/>
      <c r="EU284" s="460">
        <f t="shared" si="885"/>
        <v>2886.1749999999997</v>
      </c>
      <c r="EV284" s="528">
        <f t="shared" si="886"/>
        <v>2.6753663355635185E-2</v>
      </c>
      <c r="EW284" s="528">
        <f t="shared" si="887"/>
        <v>0.86339148032120416</v>
      </c>
      <c r="EX284" s="528">
        <f t="shared" si="888"/>
        <v>5.2243383309793859E-5</v>
      </c>
      <c r="EY284" s="528">
        <f t="shared" si="889"/>
        <v>1.5589678973377763</v>
      </c>
      <c r="EZ284" s="528"/>
      <c r="FA284" s="625">
        <f t="shared" si="890"/>
        <v>7.0626177016246655E-2</v>
      </c>
      <c r="FB284" s="460">
        <f t="shared" si="891"/>
        <v>2519.7914614141723</v>
      </c>
      <c r="FC284" s="173">
        <f t="shared" si="892"/>
        <v>6.671729328483762</v>
      </c>
      <c r="FD284" s="5">
        <f t="shared" si="893"/>
        <v>17.544</v>
      </c>
      <c r="FE284" s="173">
        <f t="shared" si="894"/>
        <v>0.72448778073199982</v>
      </c>
      <c r="FF284" s="5">
        <f t="shared" si="895"/>
        <v>72.448778073199975</v>
      </c>
      <c r="FG284">
        <f t="shared" si="896"/>
        <v>68</v>
      </c>
      <c r="FI284" s="562">
        <f t="shared" si="846"/>
        <v>-50</v>
      </c>
    </row>
    <row r="285" spans="5:165">
      <c r="E285" s="170">
        <v>69</v>
      </c>
      <c r="F285" s="217">
        <f t="shared" si="847"/>
        <v>4.1399999999999997</v>
      </c>
      <c r="G285" s="217">
        <f t="shared" si="775"/>
        <v>6.8999999999999992E-2</v>
      </c>
      <c r="H285" s="217">
        <f t="shared" si="776"/>
        <v>16.559999999999999</v>
      </c>
      <c r="I285" s="217">
        <f t="shared" si="777"/>
        <v>1.2419999999999998</v>
      </c>
      <c r="J285" s="541">
        <f t="shared" si="778"/>
        <v>35.917961837048686</v>
      </c>
      <c r="K285" s="443">
        <f t="shared" si="779"/>
        <v>19.54856495875876</v>
      </c>
      <c r="L285" s="172">
        <f t="shared" si="780"/>
        <v>55.466526795807447</v>
      </c>
      <c r="M285" s="443"/>
      <c r="N285" s="217">
        <f t="shared" si="781"/>
        <v>0.35243895891884797</v>
      </c>
      <c r="O285" s="172">
        <f t="shared" si="782"/>
        <v>39.252369228949931</v>
      </c>
      <c r="P285" s="172">
        <f t="shared" si="783"/>
        <v>3.1647222690840882</v>
      </c>
      <c r="Q285" s="217">
        <f t="shared" si="784"/>
        <v>9.8130923072374827</v>
      </c>
      <c r="R285" s="217">
        <f t="shared" si="785"/>
        <v>2.1806871793861071</v>
      </c>
      <c r="S285" s="217">
        <f t="shared" si="786"/>
        <v>4</v>
      </c>
      <c r="T285" s="217">
        <f t="shared" si="787"/>
        <v>2.8125690797429965</v>
      </c>
      <c r="U285" s="217">
        <f t="shared" si="788"/>
        <v>0.93966436932127451</v>
      </c>
      <c r="V285" s="217">
        <f t="shared" si="789"/>
        <v>1.7265118451466617</v>
      </c>
      <c r="W285" s="197">
        <f t="shared" si="790"/>
        <v>350</v>
      </c>
      <c r="X285" s="443">
        <f t="shared" si="848"/>
        <v>348.89690136711829</v>
      </c>
      <c r="Z285" s="217">
        <f t="shared" si="791"/>
        <v>3.0140212086515117</v>
      </c>
      <c r="AA285" s="173">
        <f t="shared" si="792"/>
        <v>1.8501744030890057</v>
      </c>
      <c r="AB285" s="173">
        <f t="shared" si="793"/>
        <v>3.6311864404000835</v>
      </c>
      <c r="AC285" s="173"/>
      <c r="AD285" s="173">
        <f t="shared" si="794"/>
        <v>0.81847440125425586</v>
      </c>
      <c r="AE285" s="545">
        <f t="shared" si="795"/>
        <v>1896.8216936545602</v>
      </c>
      <c r="AF285" s="528">
        <f t="shared" si="796"/>
        <v>0.76390944117063886</v>
      </c>
      <c r="AH285" s="173">
        <f t="shared" si="797"/>
        <v>2.9115533409406837</v>
      </c>
      <c r="AI285" s="173">
        <f t="shared" si="798"/>
        <v>2.8125690797429965</v>
      </c>
      <c r="AJ285" s="173">
        <f t="shared" si="799"/>
        <v>2.2957301825256762</v>
      </c>
      <c r="AL285" s="545">
        <f t="shared" si="800"/>
        <v>4140</v>
      </c>
      <c r="AM285" s="460">
        <f t="shared" si="801"/>
        <v>348.89690136711829</v>
      </c>
      <c r="AO285">
        <f t="shared" si="802"/>
        <v>4140</v>
      </c>
      <c r="AP285">
        <f t="shared" si="803"/>
        <v>348.89690136711829</v>
      </c>
      <c r="AR285" s="5">
        <f t="shared" si="774"/>
        <v>2.8661762144679361</v>
      </c>
      <c r="AS285" s="5">
        <f t="shared" si="739"/>
        <v>0.93966436932127451</v>
      </c>
      <c r="AT285" s="5">
        <f t="shared" si="740"/>
        <v>1.9265118451466616</v>
      </c>
      <c r="AU285" s="173">
        <f t="shared" si="741"/>
        <v>0.32784598678128013</v>
      </c>
      <c r="BA285" s="173">
        <f t="shared" si="849"/>
        <v>0.92977423338862386</v>
      </c>
      <c r="BB285" s="173">
        <f t="shared" si="850"/>
        <v>5.325212710922087</v>
      </c>
      <c r="BC285" s="173">
        <f t="shared" si="851"/>
        <v>0.10146689084324517</v>
      </c>
      <c r="BD285" s="173"/>
      <c r="BE285" s="528">
        <f t="shared" si="852"/>
        <v>1.0546657525895519E-2</v>
      </c>
      <c r="BF285" s="528">
        <f t="shared" si="804"/>
        <v>1.0205459287478609</v>
      </c>
      <c r="BG285" s="528">
        <f t="shared" si="805"/>
        <v>0.31329163970921736</v>
      </c>
      <c r="BH285" s="528">
        <f t="shared" si="853"/>
        <v>0.10733937359678841</v>
      </c>
      <c r="BI285">
        <f t="shared" si="854"/>
        <v>1.6163082826671907E-2</v>
      </c>
      <c r="BJ285" s="460">
        <f t="shared" si="855"/>
        <v>329.45472253588923</v>
      </c>
      <c r="BK285">
        <f t="shared" si="806"/>
        <v>1.1441466582988964</v>
      </c>
      <c r="BL285" s="460">
        <f t="shared" si="856"/>
        <v>1467.8866824064341</v>
      </c>
      <c r="BM285" s="173">
        <f t="shared" si="807"/>
        <v>2.5719749999999997</v>
      </c>
      <c r="BN285" s="173">
        <f t="shared" si="808"/>
        <v>3.0618749999999993E-2</v>
      </c>
      <c r="BQ285" s="460">
        <f t="shared" si="857"/>
        <v>2602.5937499999995</v>
      </c>
      <c r="BR285" s="528">
        <f t="shared" si="858"/>
        <v>2.5934403752202094E-2</v>
      </c>
      <c r="BS285" s="528">
        <f t="shared" si="859"/>
        <v>0.8507367124969849</v>
      </c>
      <c r="BT285" s="528">
        <f t="shared" si="860"/>
        <v>5.1477649686975153E-5</v>
      </c>
      <c r="BU285" s="528">
        <f t="shared" si="861"/>
        <v>1.508241131428623</v>
      </c>
      <c r="BV285" s="528"/>
      <c r="BW285" s="625">
        <f t="shared" si="862"/>
        <v>6.8999114468218811E-2</v>
      </c>
      <c r="BX285" s="460">
        <f t="shared" si="863"/>
        <v>2453.9628397957158</v>
      </c>
      <c r="BY285" s="173">
        <f t="shared" si="864"/>
        <v>6.5244432722021495</v>
      </c>
      <c r="BZ285" s="5">
        <f t="shared" si="865"/>
        <v>17.802</v>
      </c>
      <c r="CA285" s="173">
        <f t="shared" si="866"/>
        <v>0.73179625154419359</v>
      </c>
      <c r="CB285" s="5">
        <f t="shared" si="867"/>
        <v>73.179625154419355</v>
      </c>
      <c r="CC285">
        <f t="shared" si="868"/>
        <v>69</v>
      </c>
      <c r="CE285" s="562">
        <f t="shared" si="809"/>
        <v>-50</v>
      </c>
      <c r="CG285" s="173">
        <f t="shared" si="810"/>
        <v>0.66366985815602852</v>
      </c>
      <c r="CH285" s="173">
        <f t="shared" si="811"/>
        <v>0.17658012299528597</v>
      </c>
      <c r="CI285" s="170">
        <v>69</v>
      </c>
      <c r="CJ285" s="217">
        <f t="shared" si="869"/>
        <v>4.1399999999999997</v>
      </c>
      <c r="CK285" s="217">
        <f t="shared" si="812"/>
        <v>6.8999999999999992E-2</v>
      </c>
      <c r="CL285" s="217">
        <f t="shared" si="813"/>
        <v>16.559999999999999</v>
      </c>
      <c r="CM285" s="217">
        <f t="shared" si="814"/>
        <v>1.2419999999999998</v>
      </c>
      <c r="CN285" s="541">
        <f t="shared" si="815"/>
        <v>36</v>
      </c>
      <c r="CO285" s="443">
        <f t="shared" si="816"/>
        <v>18.8</v>
      </c>
      <c r="CP285" s="443">
        <f t="shared" si="817"/>
        <v>54.8</v>
      </c>
      <c r="CQ285" s="443"/>
      <c r="CR285" s="217">
        <f t="shared" si="818"/>
        <v>0.34306569343065696</v>
      </c>
      <c r="CS285" s="172">
        <f t="shared" si="819"/>
        <v>38.295705313189622</v>
      </c>
      <c r="CT285" s="172">
        <f t="shared" si="820"/>
        <v>3.0875912408759132</v>
      </c>
      <c r="CU285" s="217">
        <f t="shared" si="821"/>
        <v>9.5739263282974054</v>
      </c>
      <c r="CV285" s="217">
        <f t="shared" si="822"/>
        <v>2.12753918406609</v>
      </c>
      <c r="CW285" s="217">
        <f t="shared" si="823"/>
        <v>4</v>
      </c>
      <c r="CX285" s="217">
        <f t="shared" si="824"/>
        <v>2.882829787234042</v>
      </c>
      <c r="CY285" s="217">
        <f t="shared" si="825"/>
        <v>0.96094326241134731</v>
      </c>
      <c r="CZ285" s="217">
        <f t="shared" si="826"/>
        <v>1.8401041195110908</v>
      </c>
      <c r="DA285" s="197">
        <f t="shared" si="827"/>
        <v>350</v>
      </c>
      <c r="DB285" s="443">
        <f t="shared" si="828"/>
        <v>350</v>
      </c>
      <c r="DD285" s="217">
        <f t="shared" si="829"/>
        <v>2.940563086548488</v>
      </c>
      <c r="DE285" s="173">
        <f t="shared" si="830"/>
        <v>1.8769551616266944</v>
      </c>
      <c r="DF285" s="173">
        <f t="shared" si="831"/>
        <v>3.5939660877863036</v>
      </c>
      <c r="DG285" s="173"/>
      <c r="DH285" s="173">
        <f t="shared" si="832"/>
        <v>0.85106382978723416</v>
      </c>
      <c r="DI285" s="545">
        <f t="shared" si="833"/>
        <v>1824.1874999999993</v>
      </c>
      <c r="DJ285" s="528">
        <f t="shared" si="834"/>
        <v>0.79432624113475192</v>
      </c>
      <c r="DL285" s="173">
        <f t="shared" si="835"/>
        <v>2.9115533409406837</v>
      </c>
      <c r="DM285" s="173">
        <f t="shared" si="836"/>
        <v>2.882829787234042</v>
      </c>
      <c r="DN285" s="173">
        <f t="shared" si="837"/>
        <v>2.347775151037562</v>
      </c>
      <c r="DP285" s="545">
        <f t="shared" si="838"/>
        <v>4140</v>
      </c>
      <c r="DQ285" s="460">
        <f t="shared" si="839"/>
        <v>350</v>
      </c>
      <c r="DS285">
        <f t="shared" si="840"/>
        <v>4140</v>
      </c>
      <c r="DT285">
        <f t="shared" si="841"/>
        <v>350</v>
      </c>
      <c r="DV285" s="5">
        <f t="shared" si="870"/>
        <v>2.8571428571428572</v>
      </c>
      <c r="DW285" s="5">
        <f t="shared" si="842"/>
        <v>0.96094326241134731</v>
      </c>
      <c r="DX285" s="5">
        <f t="shared" si="843"/>
        <v>1.89619959473151</v>
      </c>
      <c r="DY285" s="173">
        <f t="shared" si="844"/>
        <v>0.33633014184397153</v>
      </c>
      <c r="EA285" s="5">
        <f t="shared" si="871"/>
        <v>99.457627659574442</v>
      </c>
      <c r="EB285" s="5">
        <f t="shared" si="872"/>
        <v>0.36836158392434976</v>
      </c>
      <c r="EC285" s="5">
        <f t="shared" si="873"/>
        <v>0.72687651131374531</v>
      </c>
      <c r="ED285" s="5"/>
      <c r="EE285" s="173">
        <f t="shared" si="874"/>
        <v>0.96525324137122093</v>
      </c>
      <c r="EF285" s="173">
        <f t="shared" si="875"/>
        <v>5.423684416694825</v>
      </c>
      <c r="EG285" s="173">
        <f t="shared" si="876"/>
        <v>0.10334317604783384</v>
      </c>
      <c r="EH285" s="173"/>
      <c r="EI285" s="528">
        <f t="shared" si="877"/>
        <v>1.136690860372731E-2</v>
      </c>
      <c r="EJ285" s="528">
        <f t="shared" si="878"/>
        <v>1.1058535063829784</v>
      </c>
      <c r="EK285" s="528">
        <f t="shared" si="879"/>
        <v>4.3749999999999997E-2</v>
      </c>
      <c r="EL285" s="528">
        <f t="shared" si="880"/>
        <v>0.10510639999999997</v>
      </c>
      <c r="EM285">
        <f t="shared" si="881"/>
        <v>1.6199999999999999E-2</v>
      </c>
      <c r="EN285" s="460">
        <f t="shared" si="882"/>
        <v>59.949999999999996</v>
      </c>
      <c r="EP285" s="460">
        <f t="shared" si="883"/>
        <v>1282.2768149867056</v>
      </c>
      <c r="EQ285" s="173">
        <f t="shared" si="884"/>
        <v>2.8979999999999997</v>
      </c>
      <c r="ER285" s="173">
        <f t="shared" si="845"/>
        <v>3.0618749999999993E-2</v>
      </c>
      <c r="ES285" s="528"/>
      <c r="EU285" s="460">
        <f t="shared" si="885"/>
        <v>2928.6187499999996</v>
      </c>
      <c r="EV285" s="528">
        <f t="shared" si="886"/>
        <v>2.7951414599329451E-2</v>
      </c>
      <c r="EW285" s="528">
        <f t="shared" si="887"/>
        <v>0.88249057955694854</v>
      </c>
      <c r="EX285" s="528">
        <f t="shared" si="888"/>
        <v>5.3399060178267888E-5</v>
      </c>
      <c r="EY285" s="528">
        <f t="shared" si="889"/>
        <v>1.6169165908103971</v>
      </c>
      <c r="EZ285" s="528"/>
      <c r="FA285" s="625">
        <f t="shared" si="890"/>
        <v>7.2718691343933883E-2</v>
      </c>
      <c r="FB285" s="460">
        <f t="shared" si="891"/>
        <v>2600.1306753707872</v>
      </c>
      <c r="FC285" s="173">
        <f t="shared" si="892"/>
        <v>6.811026240357493</v>
      </c>
      <c r="FD285" s="5">
        <f t="shared" si="893"/>
        <v>17.802</v>
      </c>
      <c r="FE285" s="173">
        <f t="shared" si="894"/>
        <v>0.72327554629631086</v>
      </c>
      <c r="FF285" s="5">
        <f t="shared" si="895"/>
        <v>72.327554629631081</v>
      </c>
      <c r="FG285">
        <f t="shared" si="896"/>
        <v>69</v>
      </c>
      <c r="FI285" s="562">
        <f t="shared" si="846"/>
        <v>-50</v>
      </c>
    </row>
    <row r="286" spans="5:165">
      <c r="E286" s="170">
        <v>70</v>
      </c>
      <c r="F286" s="217">
        <f t="shared" si="847"/>
        <v>4.1999999999999993</v>
      </c>
      <c r="G286" s="217">
        <f t="shared" si="775"/>
        <v>6.9999999999999993E-2</v>
      </c>
      <c r="H286" s="217">
        <f t="shared" si="776"/>
        <v>16.799999999999997</v>
      </c>
      <c r="I286" s="217">
        <f t="shared" si="777"/>
        <v>1.2599999999999998</v>
      </c>
      <c r="J286" s="541">
        <f t="shared" si="778"/>
        <v>35.916396899608877</v>
      </c>
      <c r="K286" s="443">
        <f t="shared" si="779"/>
        <v>19.565032538427999</v>
      </c>
      <c r="L286" s="172">
        <f t="shared" si="780"/>
        <v>55.481429438036876</v>
      </c>
      <c r="M286" s="443"/>
      <c r="N286" s="217">
        <f t="shared" si="781"/>
        <v>0.35264110417844846</v>
      </c>
      <c r="O286" s="172">
        <f t="shared" si="782"/>
        <v>39.273171661362724</v>
      </c>
      <c r="P286" s="172">
        <f t="shared" si="783"/>
        <v>3.1663994651973693</v>
      </c>
      <c r="Q286" s="217">
        <f t="shared" si="784"/>
        <v>9.818292915340681</v>
      </c>
      <c r="R286" s="217">
        <f t="shared" si="785"/>
        <v>2.1818428700757071</v>
      </c>
      <c r="S286" s="217">
        <f t="shared" si="786"/>
        <v>4</v>
      </c>
      <c r="T286" s="217">
        <f t="shared" si="787"/>
        <v>2.851819582226065</v>
      </c>
      <c r="U286" s="217">
        <f t="shared" si="788"/>
        <v>0.95281926754421864</v>
      </c>
      <c r="V286" s="217">
        <f t="shared" si="789"/>
        <v>1.7491325362989871</v>
      </c>
      <c r="W286" s="197">
        <f t="shared" si="790"/>
        <v>350</v>
      </c>
      <c r="X286" s="443">
        <f t="shared" si="848"/>
        <v>344.59566098776969</v>
      </c>
      <c r="Z286" s="217">
        <f t="shared" si="791"/>
        <v>3.015618538283209</v>
      </c>
      <c r="AA286" s="173">
        <f t="shared" si="792"/>
        <v>1.8495968452044331</v>
      </c>
      <c r="AB286" s="173">
        <f t="shared" si="793"/>
        <v>3.6319767203014317</v>
      </c>
      <c r="AC286" s="173"/>
      <c r="AD286" s="173">
        <f t="shared" si="794"/>
        <v>0.8177855042445823</v>
      </c>
      <c r="AE286" s="545">
        <f t="shared" si="795"/>
        <v>1925.9328905015052</v>
      </c>
      <c r="AF286" s="528">
        <f t="shared" si="796"/>
        <v>0.76326647062827702</v>
      </c>
      <c r="AH286" s="173">
        <f t="shared" si="797"/>
        <v>2.9325756597230357</v>
      </c>
      <c r="AI286" s="173">
        <f t="shared" si="798"/>
        <v>2.851819582226065</v>
      </c>
      <c r="AJ286" s="173">
        <f t="shared" si="799"/>
        <v>2.3248046288094306</v>
      </c>
      <c r="AL286" s="545">
        <f t="shared" si="800"/>
        <v>4199.9999999999991</v>
      </c>
      <c r="AM286" s="460">
        <f t="shared" si="801"/>
        <v>344.59566098776969</v>
      </c>
      <c r="AO286">
        <f t="shared" si="802"/>
        <v>4199.9999999999991</v>
      </c>
      <c r="AP286">
        <f t="shared" si="803"/>
        <v>344.59566098776969</v>
      </c>
      <c r="AR286" s="5">
        <f t="shared" si="774"/>
        <v>2.9019518038432053</v>
      </c>
      <c r="AS286" s="5">
        <f t="shared" si="739"/>
        <v>0.95281926754421864</v>
      </c>
      <c r="AT286" s="5">
        <f t="shared" si="740"/>
        <v>1.9491325362989866</v>
      </c>
      <c r="AU286" s="173">
        <f t="shared" si="741"/>
        <v>0.32833738530128265</v>
      </c>
      <c r="BA286" s="173">
        <f t="shared" si="849"/>
        <v>0.94345586177568952</v>
      </c>
      <c r="BB286" s="173">
        <f t="shared" si="850"/>
        <v>5.3975540338002839</v>
      </c>
      <c r="BC286" s="173">
        <f t="shared" si="851"/>
        <v>0.10284528631970812</v>
      </c>
      <c r="BD286" s="173"/>
      <c r="BE286" s="528">
        <f t="shared" si="852"/>
        <v>1.0859329350050689E-2</v>
      </c>
      <c r="BF286" s="528">
        <f t="shared" si="804"/>
        <v>1.0223056602267497</v>
      </c>
      <c r="BG286" s="528">
        <f t="shared" si="805"/>
        <v>0.30941586324799508</v>
      </c>
      <c r="BH286" s="528">
        <f t="shared" si="853"/>
        <v>0.10607305774035458</v>
      </c>
      <c r="BI286">
        <f t="shared" si="854"/>
        <v>1.6162378604823995E-2</v>
      </c>
      <c r="BJ286" s="460">
        <f t="shared" si="855"/>
        <v>325.57824185281908</v>
      </c>
      <c r="BK286">
        <f t="shared" si="806"/>
        <v>1.1451246902328365</v>
      </c>
      <c r="BL286" s="460">
        <f t="shared" si="856"/>
        <v>1464.816289169974</v>
      </c>
      <c r="BM286" s="173">
        <f t="shared" si="807"/>
        <v>2.6092499999999994</v>
      </c>
      <c r="BN286" s="173">
        <f t="shared" si="808"/>
        <v>3.1062499999999996E-2</v>
      </c>
      <c r="BQ286" s="460">
        <f t="shared" si="857"/>
        <v>2640.3124999999995</v>
      </c>
      <c r="BR286" s="528">
        <f t="shared" si="858"/>
        <v>2.6703268893567268E-2</v>
      </c>
      <c r="BS286" s="528">
        <f t="shared" si="859"/>
        <v>0.87400768643381144</v>
      </c>
      <c r="BT286" s="528">
        <f t="shared" si="860"/>
        <v>5.2885764590913707E-5</v>
      </c>
      <c r="BU286" s="528">
        <f t="shared" si="861"/>
        <v>1.5137342346383726</v>
      </c>
      <c r="BV286" s="528"/>
      <c r="BW286" s="625">
        <f t="shared" si="862"/>
        <v>7.0063835302134073E-2</v>
      </c>
      <c r="BX286" s="460">
        <f t="shared" si="863"/>
        <v>2484.561911032476</v>
      </c>
      <c r="BY286" s="173">
        <f t="shared" si="864"/>
        <v>6.5896907002024498</v>
      </c>
      <c r="BZ286" s="5">
        <f t="shared" si="865"/>
        <v>18.059999999999995</v>
      </c>
      <c r="CA286" s="173">
        <f t="shared" si="866"/>
        <v>0.73266639405952749</v>
      </c>
      <c r="CB286" s="5">
        <f t="shared" si="867"/>
        <v>73.266639405952745</v>
      </c>
      <c r="CC286">
        <f t="shared" si="868"/>
        <v>69.999999999999986</v>
      </c>
      <c r="CE286" s="562">
        <f t="shared" si="809"/>
        <v>-50</v>
      </c>
      <c r="CG286" s="173">
        <f t="shared" si="810"/>
        <v>0.65879550827423183</v>
      </c>
      <c r="CH286" s="173">
        <f t="shared" si="811"/>
        <v>0.17785508628860297</v>
      </c>
      <c r="CI286" s="170">
        <v>70</v>
      </c>
      <c r="CJ286" s="217">
        <f t="shared" si="869"/>
        <v>4.1999999999999993</v>
      </c>
      <c r="CK286" s="217">
        <f t="shared" si="812"/>
        <v>6.9999999999999993E-2</v>
      </c>
      <c r="CL286" s="217">
        <f t="shared" si="813"/>
        <v>16.799999999999997</v>
      </c>
      <c r="CM286" s="217">
        <f t="shared" si="814"/>
        <v>1.2599999999999998</v>
      </c>
      <c r="CN286" s="541">
        <f t="shared" si="815"/>
        <v>36</v>
      </c>
      <c r="CO286" s="443">
        <f t="shared" si="816"/>
        <v>18.8</v>
      </c>
      <c r="CP286" s="443">
        <f t="shared" si="817"/>
        <v>54.8</v>
      </c>
      <c r="CQ286" s="443"/>
      <c r="CR286" s="217">
        <f t="shared" si="818"/>
        <v>0.34306569343065696</v>
      </c>
      <c r="CS286" s="172">
        <f t="shared" si="819"/>
        <v>38.295705313189622</v>
      </c>
      <c r="CT286" s="172">
        <f t="shared" si="820"/>
        <v>3.0875912408759132</v>
      </c>
      <c r="CU286" s="217">
        <f t="shared" si="821"/>
        <v>9.5739263282974054</v>
      </c>
      <c r="CV286" s="217">
        <f t="shared" si="822"/>
        <v>2.12753918406609</v>
      </c>
      <c r="CW286" s="217">
        <f t="shared" si="823"/>
        <v>4</v>
      </c>
      <c r="CX286" s="217">
        <f t="shared" si="824"/>
        <v>2.924609929078013</v>
      </c>
      <c r="CY286" s="217">
        <f t="shared" si="825"/>
        <v>0.9748699763593377</v>
      </c>
      <c r="CZ286" s="217">
        <f t="shared" si="826"/>
        <v>1.8667722951561785</v>
      </c>
      <c r="DA286" s="197">
        <f t="shared" si="827"/>
        <v>350</v>
      </c>
      <c r="DB286" s="443">
        <f t="shared" si="828"/>
        <v>350</v>
      </c>
      <c r="DD286" s="217">
        <f t="shared" si="829"/>
        <v>2.940563086548488</v>
      </c>
      <c r="DE286" s="173">
        <f t="shared" si="830"/>
        <v>1.8769551616266944</v>
      </c>
      <c r="DF286" s="173">
        <f t="shared" si="831"/>
        <v>3.5939660877863036</v>
      </c>
      <c r="DG286" s="173"/>
      <c r="DH286" s="173">
        <f t="shared" si="832"/>
        <v>0.85106382978723416</v>
      </c>
      <c r="DI286" s="545">
        <f t="shared" si="833"/>
        <v>1850.6249999999993</v>
      </c>
      <c r="DJ286" s="528">
        <f t="shared" si="834"/>
        <v>0.79432624113475192</v>
      </c>
      <c r="DL286" s="173">
        <f t="shared" si="835"/>
        <v>2.9325756597230357</v>
      </c>
      <c r="DM286" s="173">
        <f t="shared" si="836"/>
        <v>2.924609929078013</v>
      </c>
      <c r="DN286" s="173">
        <f t="shared" si="837"/>
        <v>2.378723404255318</v>
      </c>
      <c r="DP286" s="545">
        <f t="shared" si="838"/>
        <v>4199.9999999999991</v>
      </c>
      <c r="DQ286" s="460">
        <f t="shared" si="839"/>
        <v>350</v>
      </c>
      <c r="DS286">
        <f t="shared" si="840"/>
        <v>4199.9999999999991</v>
      </c>
      <c r="DT286">
        <f t="shared" si="841"/>
        <v>350</v>
      </c>
      <c r="DV286" s="5">
        <f t="shared" si="870"/>
        <v>2.8571428571428572</v>
      </c>
      <c r="DW286" s="5">
        <f t="shared" si="842"/>
        <v>0.9748699763593377</v>
      </c>
      <c r="DX286" s="5">
        <f t="shared" si="843"/>
        <v>1.8822728807835194</v>
      </c>
      <c r="DY286" s="173">
        <f t="shared" si="844"/>
        <v>0.34120449172576817</v>
      </c>
      <c r="EA286" s="5">
        <f t="shared" si="871"/>
        <v>102.36134751773045</v>
      </c>
      <c r="EB286" s="5">
        <f t="shared" si="872"/>
        <v>0.37911610191752021</v>
      </c>
      <c r="EC286" s="5">
        <f t="shared" si="873"/>
        <v>0.73199500919359062</v>
      </c>
      <c r="ED286" s="5"/>
      <c r="EE286" s="173">
        <f t="shared" si="874"/>
        <v>0.98631285297413207</v>
      </c>
      <c r="EF286" s="173">
        <f t="shared" si="875"/>
        <v>5.4820454116741422</v>
      </c>
      <c r="EG286" s="173">
        <f t="shared" si="876"/>
        <v>0.10445518960081814</v>
      </c>
      <c r="EH286" s="173"/>
      <c r="EI286" s="528">
        <f t="shared" si="877"/>
        <v>1.1868319136092056E-2</v>
      </c>
      <c r="EJ286" s="528">
        <f t="shared" si="878"/>
        <v>1.1218803687943257</v>
      </c>
      <c r="EK286" s="528">
        <f t="shared" si="879"/>
        <v>4.3749999999999997E-2</v>
      </c>
      <c r="EL286" s="528">
        <f t="shared" si="880"/>
        <v>0.10510639999999997</v>
      </c>
      <c r="EM286">
        <f t="shared" si="881"/>
        <v>1.6199999999999999E-2</v>
      </c>
      <c r="EN286" s="460">
        <f t="shared" si="882"/>
        <v>59.949999999999996</v>
      </c>
      <c r="EP286" s="460">
        <f t="shared" si="883"/>
        <v>1298.8050879304176</v>
      </c>
      <c r="EQ286" s="173">
        <f t="shared" si="884"/>
        <v>2.9399999999999995</v>
      </c>
      <c r="ER286" s="173">
        <f t="shared" si="845"/>
        <v>3.1062499999999996E-2</v>
      </c>
      <c r="ES286" s="528"/>
      <c r="EU286" s="460">
        <f t="shared" si="885"/>
        <v>2971.0624999999995</v>
      </c>
      <c r="EV286" s="528">
        <f t="shared" si="886"/>
        <v>2.9184391318259156E-2</v>
      </c>
      <c r="EW286" s="528">
        <f t="shared" si="887"/>
        <v>0.90158465686972544</v>
      </c>
      <c r="EX286" s="528">
        <f t="shared" si="888"/>
        <v>5.4554433172714325E-5</v>
      </c>
      <c r="EY286" s="528">
        <f t="shared" si="889"/>
        <v>1.6761388425023549</v>
      </c>
      <c r="EZ286" s="528"/>
      <c r="FA286" s="625">
        <f t="shared" si="890"/>
        <v>7.4841753326039873E-2</v>
      </c>
      <c r="FB286" s="460">
        <f t="shared" si="891"/>
        <v>2681.8041984495521</v>
      </c>
      <c r="FC286" s="173">
        <f t="shared" si="892"/>
        <v>6.9516717863799693</v>
      </c>
      <c r="FD286" s="5">
        <f t="shared" si="893"/>
        <v>18.059999999999995</v>
      </c>
      <c r="FE286" s="173">
        <f t="shared" si="894"/>
        <v>0.7220628894480583</v>
      </c>
      <c r="FF286" s="5">
        <f t="shared" si="895"/>
        <v>72.206288944805834</v>
      </c>
      <c r="FG286">
        <f t="shared" si="896"/>
        <v>69.999999999999986</v>
      </c>
      <c r="FI286" s="562">
        <f t="shared" si="846"/>
        <v>-50</v>
      </c>
    </row>
    <row r="287" spans="5:165">
      <c r="E287" s="170">
        <v>71</v>
      </c>
      <c r="F287" s="217">
        <f t="shared" si="847"/>
        <v>4.26</v>
      </c>
      <c r="G287" s="217">
        <f t="shared" si="775"/>
        <v>7.0999999999999994E-2</v>
      </c>
      <c r="H287" s="217">
        <f t="shared" si="776"/>
        <v>17.04</v>
      </c>
      <c r="I287" s="217">
        <f t="shared" si="777"/>
        <v>1.2779999999999998</v>
      </c>
      <c r="J287" s="541">
        <f t="shared" si="778"/>
        <v>35.915054320635186</v>
      </c>
      <c r="K287" s="443">
        <f t="shared" si="779"/>
        <v>19.57816</v>
      </c>
      <c r="L287" s="172">
        <f t="shared" si="780"/>
        <v>55.49321432063519</v>
      </c>
      <c r="M287" s="443"/>
      <c r="N287" s="217">
        <f t="shared" si="781"/>
        <v>0.35280277489206185</v>
      </c>
      <c r="O287" s="172">
        <f t="shared" si="782"/>
        <v>39.289707983625519</v>
      </c>
      <c r="P287" s="172">
        <f t="shared" si="783"/>
        <v>3.1677327061798075</v>
      </c>
      <c r="Q287" s="217">
        <f t="shared" si="784"/>
        <v>9.8224269959063797</v>
      </c>
      <c r="R287" s="217">
        <f t="shared" si="785"/>
        <v>2.1827615546458623</v>
      </c>
      <c r="S287" s="217">
        <f t="shared" si="786"/>
        <v>4</v>
      </c>
      <c r="T287" s="217">
        <f t="shared" si="787"/>
        <v>2.8913424362264091</v>
      </c>
      <c r="U287" s="217">
        <f t="shared" si="788"/>
        <v>0.96606033016027137</v>
      </c>
      <c r="V287" s="217">
        <f t="shared" si="789"/>
        <v>1.7721843745641526</v>
      </c>
      <c r="W287" s="197">
        <f t="shared" si="790"/>
        <v>350</v>
      </c>
      <c r="X287" s="443">
        <f t="shared" si="848"/>
        <v>340.33925029868783</v>
      </c>
      <c r="Z287" s="217">
        <f t="shared" si="791"/>
        <v>3.0168882915998165</v>
      </c>
      <c r="AA287" s="173">
        <f t="shared" si="792"/>
        <v>1.8491349288798229</v>
      </c>
      <c r="AB287" s="173">
        <f t="shared" si="793"/>
        <v>3.6325985689005189</v>
      </c>
      <c r="AC287" s="173"/>
      <c r="AD287" s="173">
        <f t="shared" si="794"/>
        <v>0.81723716631184962</v>
      </c>
      <c r="AE287" s="545">
        <f t="shared" si="795"/>
        <v>1954.7569124999993</v>
      </c>
      <c r="AF287" s="528">
        <f t="shared" si="796"/>
        <v>0.76275468855772643</v>
      </c>
      <c r="AH287" s="173">
        <f t="shared" si="797"/>
        <v>2.9534483477550677</v>
      </c>
      <c r="AI287" s="173">
        <f t="shared" si="798"/>
        <v>2.8913424362264091</v>
      </c>
      <c r="AJ287" s="173">
        <f t="shared" si="799"/>
        <v>2.3540808169578336</v>
      </c>
      <c r="AL287" s="545">
        <f t="shared" si="800"/>
        <v>4260</v>
      </c>
      <c r="AM287" s="460">
        <f t="shared" si="801"/>
        <v>340.33925029868783</v>
      </c>
      <c r="AO287">
        <f t="shared" si="802"/>
        <v>4260</v>
      </c>
      <c r="AP287">
        <f t="shared" si="803"/>
        <v>340.33925029868783</v>
      </c>
      <c r="AR287" s="5">
        <f t="shared" si="774"/>
        <v>2.9382447047244242</v>
      </c>
      <c r="AS287" s="5">
        <f t="shared" si="739"/>
        <v>0.96606033016027137</v>
      </c>
      <c r="AT287" s="5">
        <f t="shared" si="740"/>
        <v>1.972184374564153</v>
      </c>
      <c r="AU287" s="173">
        <f t="shared" si="741"/>
        <v>0.32878824851004962</v>
      </c>
      <c r="BA287" s="173">
        <f t="shared" si="849"/>
        <v>0.95718756145962525</v>
      </c>
      <c r="BB287" s="173">
        <f t="shared" si="850"/>
        <v>5.4705207552649417</v>
      </c>
      <c r="BC287" s="173">
        <f t="shared" si="851"/>
        <v>0.10423559817464281</v>
      </c>
      <c r="BD287" s="173"/>
      <c r="BE287" s="528">
        <f t="shared" si="852"/>
        <v>1.117773793931889E-2</v>
      </c>
      <c r="BF287" s="528">
        <f t="shared" si="804"/>
        <v>1.0238886325771586</v>
      </c>
      <c r="BG287" s="528">
        <f t="shared" si="805"/>
        <v>0.30558256654804067</v>
      </c>
      <c r="BH287" s="528">
        <f t="shared" si="853"/>
        <v>0.10480736443375209</v>
      </c>
      <c r="BI287">
        <f t="shared" si="854"/>
        <v>1.6161774444285834E-2</v>
      </c>
      <c r="BJ287" s="460">
        <f t="shared" si="855"/>
        <v>321.7443409923265</v>
      </c>
      <c r="BK287">
        <f t="shared" si="806"/>
        <v>1.1459351337123802</v>
      </c>
      <c r="BL287" s="460">
        <f t="shared" si="856"/>
        <v>1461.6180759425563</v>
      </c>
      <c r="BM287" s="173">
        <f t="shared" si="807"/>
        <v>2.6465249999999996</v>
      </c>
      <c r="BN287" s="173">
        <f t="shared" si="808"/>
        <v>3.1506249999999993E-2</v>
      </c>
      <c r="BQ287" s="460">
        <f t="shared" si="857"/>
        <v>2678.0312499999995</v>
      </c>
      <c r="BR287" s="528">
        <f t="shared" si="858"/>
        <v>2.7486240834390715E-2</v>
      </c>
      <c r="BS287" s="528">
        <f t="shared" si="859"/>
        <v>0.89779792001353531</v>
      </c>
      <c r="BT287" s="528">
        <f t="shared" si="860"/>
        <v>5.4325299634128001E-5</v>
      </c>
      <c r="BU287" s="528">
        <f t="shared" si="861"/>
        <v>1.5187941824750932</v>
      </c>
      <c r="BV287" s="528"/>
      <c r="BW287" s="625">
        <f t="shared" si="862"/>
        <v>7.1129721344190516E-2</v>
      </c>
      <c r="BX287" s="460">
        <f t="shared" si="863"/>
        <v>2515.2623899668442</v>
      </c>
      <c r="BY287" s="173">
        <f t="shared" si="864"/>
        <v>6.6549117159093987</v>
      </c>
      <c r="BZ287" s="5">
        <f t="shared" si="865"/>
        <v>18.317999999999998</v>
      </c>
      <c r="CA287" s="173">
        <f t="shared" si="866"/>
        <v>0.73351478627661271</v>
      </c>
      <c r="CB287" s="5">
        <f t="shared" si="867"/>
        <v>73.351478627661265</v>
      </c>
      <c r="CC287">
        <f t="shared" si="868"/>
        <v>71</v>
      </c>
      <c r="CE287" s="562">
        <f t="shared" si="809"/>
        <v>-50</v>
      </c>
      <c r="CG287" s="173">
        <f t="shared" si="810"/>
        <v>0.65693430656934304</v>
      </c>
      <c r="CH287" s="173">
        <f t="shared" si="811"/>
        <v>0.17833950839807344</v>
      </c>
      <c r="CI287" s="170">
        <v>71</v>
      </c>
      <c r="CJ287" s="217">
        <f t="shared" si="869"/>
        <v>4.26</v>
      </c>
      <c r="CK287" s="217">
        <f t="shared" si="812"/>
        <v>7.0999999999999994E-2</v>
      </c>
      <c r="CL287" s="217">
        <f t="shared" si="813"/>
        <v>17.04</v>
      </c>
      <c r="CM287" s="217">
        <f t="shared" si="814"/>
        <v>1.2779999999999998</v>
      </c>
      <c r="CN287" s="541">
        <f t="shared" si="815"/>
        <v>36</v>
      </c>
      <c r="CO287" s="443">
        <f t="shared" si="816"/>
        <v>18.8</v>
      </c>
      <c r="CP287" s="443">
        <f t="shared" si="817"/>
        <v>54.8</v>
      </c>
      <c r="CQ287" s="443"/>
      <c r="CR287" s="217">
        <f t="shared" si="818"/>
        <v>0.34306569343065696</v>
      </c>
      <c r="CS287" s="172">
        <f t="shared" si="819"/>
        <v>38.295705313189622</v>
      </c>
      <c r="CT287" s="172">
        <f t="shared" si="820"/>
        <v>3.0875912408759132</v>
      </c>
      <c r="CU287" s="217">
        <f t="shared" si="821"/>
        <v>9.5739263282974054</v>
      </c>
      <c r="CV287" s="217">
        <f t="shared" si="822"/>
        <v>2.12753918406609</v>
      </c>
      <c r="CW287" s="217">
        <f t="shared" si="823"/>
        <v>4</v>
      </c>
      <c r="CX287" s="217">
        <f t="shared" si="824"/>
        <v>2.9663900709219853</v>
      </c>
      <c r="CY287" s="217">
        <f t="shared" si="825"/>
        <v>0.98879669030732831</v>
      </c>
      <c r="CZ287" s="217">
        <f t="shared" si="826"/>
        <v>1.8934404708012671</v>
      </c>
      <c r="DA287" s="197">
        <f t="shared" si="827"/>
        <v>350</v>
      </c>
      <c r="DB287" s="443">
        <f t="shared" si="828"/>
        <v>346.95271211317316</v>
      </c>
      <c r="DD287" s="217">
        <f t="shared" si="829"/>
        <v>2.940563086548488</v>
      </c>
      <c r="DE287" s="173">
        <f t="shared" si="830"/>
        <v>1.8769551616266944</v>
      </c>
      <c r="DF287" s="173">
        <f t="shared" si="831"/>
        <v>3.5939660877863036</v>
      </c>
      <c r="DG287" s="173"/>
      <c r="DH287" s="173">
        <f t="shared" si="832"/>
        <v>0.85106382978723416</v>
      </c>
      <c r="DI287" s="545">
        <f t="shared" si="833"/>
        <v>1877.0624999999993</v>
      </c>
      <c r="DJ287" s="528">
        <f t="shared" si="834"/>
        <v>0.79432624113475192</v>
      </c>
      <c r="DL287" s="173">
        <f t="shared" si="835"/>
        <v>2.9534483477550677</v>
      </c>
      <c r="DM287" s="173">
        <f t="shared" si="836"/>
        <v>2.9663900709219853</v>
      </c>
      <c r="DN287" s="173">
        <f t="shared" si="837"/>
        <v>2.4096716574730754</v>
      </c>
      <c r="DP287" s="545">
        <f t="shared" si="838"/>
        <v>4260</v>
      </c>
      <c r="DQ287" s="460">
        <f t="shared" si="839"/>
        <v>346.95271211317316</v>
      </c>
      <c r="DS287">
        <f t="shared" si="840"/>
        <v>4260</v>
      </c>
      <c r="DT287">
        <f t="shared" si="841"/>
        <v>346.95271211317316</v>
      </c>
      <c r="DV287" s="5">
        <f t="shared" si="870"/>
        <v>2.8822371611085953</v>
      </c>
      <c r="DW287" s="5">
        <f t="shared" si="842"/>
        <v>0.98879669030732831</v>
      </c>
      <c r="DX287" s="5">
        <f t="shared" si="843"/>
        <v>1.8934404708012669</v>
      </c>
      <c r="DY287" s="173">
        <f t="shared" si="844"/>
        <v>0.34306569343065696</v>
      </c>
      <c r="EA287" s="5">
        <f t="shared" si="871"/>
        <v>105.30684751773045</v>
      </c>
      <c r="EB287" s="5">
        <f t="shared" si="872"/>
        <v>0.39002536117677944</v>
      </c>
      <c r="EC287" s="5">
        <f t="shared" si="873"/>
        <v>0.74685707459383288</v>
      </c>
      <c r="ED287" s="5"/>
      <c r="EE287" s="173">
        <f t="shared" si="874"/>
        <v>1.0031278242756956</v>
      </c>
      <c r="EF287" s="173">
        <f t="shared" si="875"/>
        <v>5.5525003412186686</v>
      </c>
      <c r="EG287" s="173">
        <f t="shared" si="876"/>
        <v>0.10579764163673409</v>
      </c>
      <c r="EH287" s="173"/>
      <c r="EI287" s="528">
        <f t="shared" si="877"/>
        <v>1.2276438268400308E-2</v>
      </c>
      <c r="EJ287" s="528">
        <f t="shared" si="878"/>
        <v>1.1280000000000001</v>
      </c>
      <c r="EK287" s="528">
        <f t="shared" si="879"/>
        <v>4.3369089014146642E-2</v>
      </c>
      <c r="EL287" s="528">
        <f t="shared" si="880"/>
        <v>0.10419128725843435</v>
      </c>
      <c r="EM287">
        <f t="shared" si="881"/>
        <v>1.6199999999999999E-2</v>
      </c>
      <c r="EN287" s="460">
        <f t="shared" si="882"/>
        <v>59.569089014146641</v>
      </c>
      <c r="EP287" s="460">
        <f t="shared" si="883"/>
        <v>1304.0368145409816</v>
      </c>
      <c r="EQ287" s="173">
        <f t="shared" si="884"/>
        <v>2.9819999999999998</v>
      </c>
      <c r="ER287" s="173">
        <f t="shared" si="845"/>
        <v>3.1506249999999993E-2</v>
      </c>
      <c r="ES287" s="528"/>
      <c r="EU287" s="460">
        <f t="shared" si="885"/>
        <v>3013.5062499999999</v>
      </c>
      <c r="EV287" s="528">
        <f t="shared" si="886"/>
        <v>3.0187962955082723E-2</v>
      </c>
      <c r="EW287" s="528">
        <f t="shared" si="887"/>
        <v>0.924907801177003</v>
      </c>
      <c r="EX287" s="528">
        <f t="shared" si="888"/>
        <v>5.5965704879474061E-5</v>
      </c>
      <c r="EY287" s="528">
        <f t="shared" si="889"/>
        <v>1.6990899383038445</v>
      </c>
      <c r="EZ287" s="528"/>
      <c r="FA287" s="625">
        <f t="shared" si="890"/>
        <v>7.6325000000000004E-2</v>
      </c>
      <c r="FB287" s="460">
        <f t="shared" si="891"/>
        <v>2730.5666681408097</v>
      </c>
      <c r="FC287" s="173">
        <f t="shared" si="892"/>
        <v>7.0481097326817901</v>
      </c>
      <c r="FD287" s="5">
        <f t="shared" si="893"/>
        <v>18.317999999999998</v>
      </c>
      <c r="FE287" s="173">
        <f t="shared" si="894"/>
        <v>0.72214463286023789</v>
      </c>
      <c r="FF287" s="5">
        <f t="shared" si="895"/>
        <v>72.214463286023786</v>
      </c>
      <c r="FG287">
        <f t="shared" si="896"/>
        <v>71</v>
      </c>
      <c r="FI287" s="562">
        <f t="shared" si="846"/>
        <v>-50</v>
      </c>
    </row>
    <row r="288" spans="5:165">
      <c r="E288" s="170">
        <v>72</v>
      </c>
      <c r="F288" s="217">
        <f t="shared" si="847"/>
        <v>4.32</v>
      </c>
      <c r="G288" s="217">
        <f t="shared" si="775"/>
        <v>7.1999999999999995E-2</v>
      </c>
      <c r="H288" s="217">
        <f t="shared" si="776"/>
        <v>17.28</v>
      </c>
      <c r="I288" s="217">
        <f t="shared" si="777"/>
        <v>1.2959999999999998</v>
      </c>
      <c r="J288" s="541">
        <f t="shared" si="778"/>
        <v>35.913857902615959</v>
      </c>
      <c r="K288" s="443">
        <f t="shared" si="779"/>
        <v>19.589120000000001</v>
      </c>
      <c r="L288" s="172">
        <f t="shared" si="780"/>
        <v>55.50297790261596</v>
      </c>
      <c r="M288" s="443"/>
      <c r="N288" s="217">
        <f t="shared" si="781"/>
        <v>0.35293817990037485</v>
      </c>
      <c r="O288" s="172">
        <f t="shared" si="782"/>
        <v>39.303477957674332</v>
      </c>
      <c r="P288" s="172">
        <f t="shared" si="783"/>
        <v>3.1688429103374927</v>
      </c>
      <c r="Q288" s="217">
        <f t="shared" si="784"/>
        <v>9.825869489418583</v>
      </c>
      <c r="R288" s="217">
        <f t="shared" si="785"/>
        <v>2.1835265532041297</v>
      </c>
      <c r="S288" s="217">
        <f t="shared" si="786"/>
        <v>4</v>
      </c>
      <c r="T288" s="217">
        <f t="shared" si="787"/>
        <v>2.931038319918104</v>
      </c>
      <c r="U288" s="217">
        <f t="shared" si="788"/>
        <v>0.97935621214493063</v>
      </c>
      <c r="V288" s="217">
        <f t="shared" si="789"/>
        <v>1.7955099483293402</v>
      </c>
      <c r="W288" s="197">
        <f t="shared" si="790"/>
        <v>350</v>
      </c>
      <c r="X288" s="443">
        <f t="shared" si="848"/>
        <v>336.14957650416585</v>
      </c>
      <c r="Z288" s="217">
        <f t="shared" si="791"/>
        <v>3.0179456288928499</v>
      </c>
      <c r="AA288" s="173">
        <f t="shared" si="792"/>
        <v>1.8487480574275004</v>
      </c>
      <c r="AB288" s="173">
        <f t="shared" si="793"/>
        <v>3.6331114262197493</v>
      </c>
      <c r="AC288" s="173"/>
      <c r="AD288" s="173">
        <f t="shared" si="794"/>
        <v>0.81677992681651868</v>
      </c>
      <c r="AE288" s="545">
        <f t="shared" si="795"/>
        <v>1983.3983999999994</v>
      </c>
      <c r="AF288" s="528">
        <f t="shared" si="796"/>
        <v>0.76232793169541757</v>
      </c>
      <c r="AH288" s="173">
        <f t="shared" si="797"/>
        <v>2.9741745553538523</v>
      </c>
      <c r="AI288" s="173">
        <f t="shared" si="798"/>
        <v>2.931038319918104</v>
      </c>
      <c r="AJ288" s="173">
        <f t="shared" si="799"/>
        <v>2.3834851752479782</v>
      </c>
      <c r="AL288" s="545">
        <f t="shared" si="800"/>
        <v>4320</v>
      </c>
      <c r="AM288" s="460">
        <f t="shared" si="801"/>
        <v>336.14957650416585</v>
      </c>
      <c r="AO288">
        <f t="shared" si="802"/>
        <v>4320</v>
      </c>
      <c r="AP288">
        <f t="shared" si="803"/>
        <v>336.14957650416585</v>
      </c>
      <c r="AR288" s="5">
        <f t="shared" si="774"/>
        <v>2.9748661604742708</v>
      </c>
      <c r="AS288" s="5">
        <f t="shared" si="739"/>
        <v>0.97935621214493063</v>
      </c>
      <c r="AT288" s="5">
        <f t="shared" si="740"/>
        <v>1.9955099483293401</v>
      </c>
      <c r="AU288" s="173">
        <f t="shared" si="741"/>
        <v>0.32921017595924246</v>
      </c>
      <c r="BA288" s="173">
        <f t="shared" si="849"/>
        <v>0.97095140486822551</v>
      </c>
      <c r="BB288" s="173">
        <f t="shared" si="850"/>
        <v>5.5438834720709878</v>
      </c>
      <c r="BC288" s="173">
        <f t="shared" si="851"/>
        <v>0.10563345534621747</v>
      </c>
      <c r="BD288" s="173"/>
      <c r="BE288" s="528">
        <f t="shared" si="852"/>
        <v>1.1501508893510084E-2</v>
      </c>
      <c r="BF288" s="528">
        <f t="shared" si="804"/>
        <v>1.0253487866757478</v>
      </c>
      <c r="BG288" s="528">
        <f t="shared" si="805"/>
        <v>0.30181070311487862</v>
      </c>
      <c r="BH288" s="528">
        <f t="shared" si="853"/>
        <v>0.10355358493059572</v>
      </c>
      <c r="BI288">
        <f t="shared" si="854"/>
        <v>1.616123605617718E-2</v>
      </c>
      <c r="BJ288" s="460">
        <f t="shared" si="855"/>
        <v>317.97193917105579</v>
      </c>
      <c r="BK288">
        <f t="shared" si="806"/>
        <v>1.1466427857353019</v>
      </c>
      <c r="BL288" s="460">
        <f t="shared" si="856"/>
        <v>1458.3758196709093</v>
      </c>
      <c r="BM288" s="173">
        <f t="shared" si="807"/>
        <v>2.6837999999999997</v>
      </c>
      <c r="BN288" s="173">
        <f t="shared" si="808"/>
        <v>3.1949999999999999E-2</v>
      </c>
      <c r="BQ288" s="460">
        <f t="shared" si="857"/>
        <v>2715.75</v>
      </c>
      <c r="BR288" s="528">
        <f t="shared" si="858"/>
        <v>2.828239891846742E-2</v>
      </c>
      <c r="BS288" s="528">
        <f t="shared" si="859"/>
        <v>0.92203931855705601</v>
      </c>
      <c r="BT288" s="528">
        <f t="shared" si="860"/>
        <v>5.5792134441906606E-5</v>
      </c>
      <c r="BU288" s="528">
        <f t="shared" si="861"/>
        <v>1.5235445795540334</v>
      </c>
      <c r="BV288" s="528"/>
      <c r="BW288" s="625">
        <f t="shared" si="862"/>
        <v>7.2196404555715521E-2</v>
      </c>
      <c r="BX288" s="460">
        <f t="shared" si="863"/>
        <v>2546.1184937197145</v>
      </c>
      <c r="BY288" s="173">
        <f t="shared" si="864"/>
        <v>6.7202443133906229</v>
      </c>
      <c r="BZ288" s="5">
        <f t="shared" si="865"/>
        <v>18.576000000000001</v>
      </c>
      <c r="CA288" s="173">
        <f t="shared" si="866"/>
        <v>0.73433825867054714</v>
      </c>
      <c r="CB288" s="5">
        <f t="shared" si="867"/>
        <v>73.433825867054708</v>
      </c>
      <c r="CC288">
        <f t="shared" si="868"/>
        <v>72.000000000000014</v>
      </c>
      <c r="CE288" s="562">
        <f t="shared" si="809"/>
        <v>-50</v>
      </c>
      <c r="CG288" s="173">
        <f t="shared" si="810"/>
        <v>0.65693430656934304</v>
      </c>
      <c r="CH288" s="173">
        <f t="shared" si="811"/>
        <v>0.17833950839807344</v>
      </c>
      <c r="CI288" s="170">
        <v>72</v>
      </c>
      <c r="CJ288" s="217">
        <f t="shared" si="869"/>
        <v>4.32</v>
      </c>
      <c r="CK288" s="217">
        <f t="shared" si="812"/>
        <v>7.1999999999999995E-2</v>
      </c>
      <c r="CL288" s="217">
        <f t="shared" si="813"/>
        <v>17.28</v>
      </c>
      <c r="CM288" s="217">
        <f t="shared" si="814"/>
        <v>1.2959999999999998</v>
      </c>
      <c r="CN288" s="541">
        <f t="shared" si="815"/>
        <v>36</v>
      </c>
      <c r="CO288" s="443">
        <f t="shared" si="816"/>
        <v>18.8</v>
      </c>
      <c r="CP288" s="443">
        <f t="shared" si="817"/>
        <v>54.8</v>
      </c>
      <c r="CQ288" s="443"/>
      <c r="CR288" s="217">
        <f t="shared" si="818"/>
        <v>0.34306569343065696</v>
      </c>
      <c r="CS288" s="172">
        <f t="shared" si="819"/>
        <v>38.295705313189622</v>
      </c>
      <c r="CT288" s="172">
        <f t="shared" si="820"/>
        <v>3.0875912408759132</v>
      </c>
      <c r="CU288" s="217">
        <f t="shared" si="821"/>
        <v>9.5739263282974054</v>
      </c>
      <c r="CV288" s="217">
        <f t="shared" si="822"/>
        <v>2.12753918406609</v>
      </c>
      <c r="CW288" s="217">
        <f t="shared" si="823"/>
        <v>4</v>
      </c>
      <c r="CX288" s="217">
        <f t="shared" si="824"/>
        <v>3.0081702127659571</v>
      </c>
      <c r="CY288" s="217">
        <f t="shared" si="825"/>
        <v>1.002723404255319</v>
      </c>
      <c r="CZ288" s="217">
        <f t="shared" si="826"/>
        <v>1.9201086464463557</v>
      </c>
      <c r="DA288" s="197">
        <f t="shared" si="827"/>
        <v>350</v>
      </c>
      <c r="DB288" s="443">
        <f t="shared" si="828"/>
        <v>342.13392444493462</v>
      </c>
      <c r="DD288" s="217">
        <f t="shared" si="829"/>
        <v>2.940563086548488</v>
      </c>
      <c r="DE288" s="173">
        <f t="shared" si="830"/>
        <v>1.8769551616266944</v>
      </c>
      <c r="DF288" s="173">
        <f t="shared" si="831"/>
        <v>3.5939660877863036</v>
      </c>
      <c r="DG288" s="173"/>
      <c r="DH288" s="173">
        <f t="shared" si="832"/>
        <v>0.85106382978723416</v>
      </c>
      <c r="DI288" s="545">
        <f t="shared" si="833"/>
        <v>1903.4999999999998</v>
      </c>
      <c r="DJ288" s="528">
        <f t="shared" si="834"/>
        <v>0.79432624113475192</v>
      </c>
      <c r="DL288" s="173">
        <f t="shared" si="835"/>
        <v>2.9741745553538523</v>
      </c>
      <c r="DM288" s="173">
        <f t="shared" si="836"/>
        <v>3.0081702127659571</v>
      </c>
      <c r="DN288" s="173">
        <f t="shared" si="837"/>
        <v>2.4406199106908324</v>
      </c>
      <c r="DP288" s="545">
        <f t="shared" si="838"/>
        <v>4320</v>
      </c>
      <c r="DQ288" s="460">
        <f t="shared" si="839"/>
        <v>342.13392444493462</v>
      </c>
      <c r="DS288">
        <f t="shared" si="840"/>
        <v>4320</v>
      </c>
      <c r="DT288">
        <f t="shared" si="841"/>
        <v>342.13392444493462</v>
      </c>
      <c r="DV288" s="5">
        <f t="shared" si="870"/>
        <v>2.9228320507016745</v>
      </c>
      <c r="DW288" s="5">
        <f t="shared" si="842"/>
        <v>1.002723404255319</v>
      </c>
      <c r="DX288" s="5">
        <f t="shared" si="843"/>
        <v>1.9201086464463555</v>
      </c>
      <c r="DY288" s="173">
        <f t="shared" si="844"/>
        <v>0.34306569343065696</v>
      </c>
      <c r="EA288" s="5">
        <f t="shared" si="871"/>
        <v>108.29412765957447</v>
      </c>
      <c r="EB288" s="5">
        <f t="shared" si="872"/>
        <v>0.40108936170212761</v>
      </c>
      <c r="EC288" s="5">
        <f t="shared" si="873"/>
        <v>0.76804345857854217</v>
      </c>
      <c r="ED288" s="5"/>
      <c r="EE288" s="173">
        <f t="shared" si="874"/>
        <v>1.0172563851809873</v>
      </c>
      <c r="EF288" s="173">
        <f t="shared" si="875"/>
        <v>5.6307045713766781</v>
      </c>
      <c r="EG288" s="173">
        <f t="shared" si="876"/>
        <v>0.10728774926542049</v>
      </c>
      <c r="EH288" s="173"/>
      <c r="EI288" s="528">
        <f t="shared" si="877"/>
        <v>1.2624688748936165E-2</v>
      </c>
      <c r="EJ288" s="528">
        <f t="shared" si="878"/>
        <v>1.1280000000000001</v>
      </c>
      <c r="EK288" s="528">
        <f t="shared" si="879"/>
        <v>4.2766740555616828E-2</v>
      </c>
      <c r="EL288" s="528">
        <f t="shared" si="880"/>
        <v>0.10274418604651163</v>
      </c>
      <c r="EM288">
        <f t="shared" si="881"/>
        <v>1.6199999999999999E-2</v>
      </c>
      <c r="EN288" s="460">
        <f t="shared" si="882"/>
        <v>58.96674055561683</v>
      </c>
      <c r="EP288" s="460">
        <f t="shared" si="883"/>
        <v>1302.3356153510647</v>
      </c>
      <c r="EQ288" s="173">
        <f t="shared" si="884"/>
        <v>3.024</v>
      </c>
      <c r="ER288" s="173">
        <f t="shared" si="845"/>
        <v>3.1949999999999999E-2</v>
      </c>
      <c r="ES288" s="528"/>
      <c r="EU288" s="460">
        <f t="shared" si="885"/>
        <v>3055.9500000000003</v>
      </c>
      <c r="EV288" s="528">
        <f t="shared" si="886"/>
        <v>3.1044316595744671E-2</v>
      </c>
      <c r="EW288" s="528">
        <f t="shared" si="887"/>
        <v>0.95114501910366656</v>
      </c>
      <c r="EX288" s="528">
        <f t="shared" si="888"/>
        <v>5.7553305712198675E-5</v>
      </c>
      <c r="EY288" s="528">
        <f t="shared" si="889"/>
        <v>1.6990899383038465</v>
      </c>
      <c r="EZ288" s="528"/>
      <c r="FA288" s="625">
        <f t="shared" si="890"/>
        <v>7.7399999999999997E-2</v>
      </c>
      <c r="FB288" s="460">
        <f t="shared" si="891"/>
        <v>2758.7368273089696</v>
      </c>
      <c r="FC288" s="173">
        <f t="shared" si="892"/>
        <v>7.1170224426600344</v>
      </c>
      <c r="FD288" s="5">
        <f t="shared" si="893"/>
        <v>18.576000000000001</v>
      </c>
      <c r="FE288" s="173">
        <f t="shared" si="894"/>
        <v>0.72299785054314547</v>
      </c>
      <c r="FF288" s="5">
        <f t="shared" si="895"/>
        <v>72.29978505431454</v>
      </c>
      <c r="FG288">
        <f t="shared" si="896"/>
        <v>72.000000000000014</v>
      </c>
      <c r="FI288" s="562">
        <f t="shared" si="846"/>
        <v>-50</v>
      </c>
    </row>
    <row r="289" spans="5:165">
      <c r="E289" s="170">
        <v>73</v>
      </c>
      <c r="F289" s="217">
        <f t="shared" si="847"/>
        <v>4.38</v>
      </c>
      <c r="G289" s="217">
        <f t="shared" si="775"/>
        <v>7.2999999999999995E-2</v>
      </c>
      <c r="H289" s="217">
        <f t="shared" si="776"/>
        <v>17.52</v>
      </c>
      <c r="I289" s="217">
        <f t="shared" si="777"/>
        <v>1.3139999999999998</v>
      </c>
      <c r="J289" s="541">
        <f t="shared" si="778"/>
        <v>35.91266148459674</v>
      </c>
      <c r="K289" s="443">
        <f t="shared" si="779"/>
        <v>19.600080000000002</v>
      </c>
      <c r="L289" s="172">
        <f t="shared" si="780"/>
        <v>55.512741484596745</v>
      </c>
      <c r="M289" s="443"/>
      <c r="N289" s="217">
        <f t="shared" si="781"/>
        <v>0.35307353727861707</v>
      </c>
      <c r="O289" s="172">
        <f t="shared" si="782"/>
        <v>39.317241623119756</v>
      </c>
      <c r="P289" s="172">
        <f t="shared" si="783"/>
        <v>3.1699526058640304</v>
      </c>
      <c r="Q289" s="217">
        <f t="shared" si="784"/>
        <v>9.829310405779939</v>
      </c>
      <c r="R289" s="217">
        <f t="shared" si="785"/>
        <v>2.1842912012844309</v>
      </c>
      <c r="S289" s="217">
        <f t="shared" si="786"/>
        <v>4</v>
      </c>
      <c r="T289" s="217">
        <f t="shared" si="787"/>
        <v>2.9707068751058565</v>
      </c>
      <c r="U289" s="217">
        <f t="shared" si="788"/>
        <v>0.99264384836975195</v>
      </c>
      <c r="V289" s="217">
        <f t="shared" si="789"/>
        <v>1.8187927039721405</v>
      </c>
      <c r="W289" s="197">
        <f t="shared" si="790"/>
        <v>350</v>
      </c>
      <c r="X289" s="443">
        <f t="shared" si="848"/>
        <v>332.06743114754772</v>
      </c>
      <c r="Z289" s="217">
        <f t="shared" si="791"/>
        <v>3.0190024817752676</v>
      </c>
      <c r="AA289" s="173">
        <f t="shared" si="792"/>
        <v>1.8483613220610939</v>
      </c>
      <c r="AB289" s="173">
        <f t="shared" si="793"/>
        <v>3.6336234353152563</v>
      </c>
      <c r="AC289" s="173"/>
      <c r="AD289" s="173">
        <f t="shared" si="794"/>
        <v>0.81632319868082182</v>
      </c>
      <c r="AE289" s="545">
        <f t="shared" si="795"/>
        <v>2012.0707124999997</v>
      </c>
      <c r="AF289" s="528">
        <f t="shared" si="796"/>
        <v>0.76190165210210048</v>
      </c>
      <c r="AH289" s="173">
        <f t="shared" si="797"/>
        <v>2.9947573238196492</v>
      </c>
      <c r="AI289" s="173">
        <f t="shared" si="798"/>
        <v>2.9707068751058565</v>
      </c>
      <c r="AJ289" s="173">
        <f t="shared" si="799"/>
        <v>2.4128692902018689</v>
      </c>
      <c r="AL289" s="545">
        <f t="shared" si="800"/>
        <v>4380</v>
      </c>
      <c r="AM289" s="460">
        <f t="shared" si="801"/>
        <v>332.06743114754772</v>
      </c>
      <c r="AO289">
        <f t="shared" si="802"/>
        <v>4380</v>
      </c>
      <c r="AP289">
        <f t="shared" si="803"/>
        <v>332.06743114754772</v>
      </c>
      <c r="AR289" s="5">
        <f t="shared" si="774"/>
        <v>3.0114365523418929</v>
      </c>
      <c r="AS289" s="5">
        <f t="shared" si="739"/>
        <v>0.99264384836975195</v>
      </c>
      <c r="AT289" s="5">
        <f t="shared" si="740"/>
        <v>2.0187927039721409</v>
      </c>
      <c r="AU289" s="173">
        <f t="shared" si="741"/>
        <v>0.3296246927725594</v>
      </c>
      <c r="BA289" s="173">
        <f t="shared" si="849"/>
        <v>0.98471157501575712</v>
      </c>
      <c r="BB289" s="173">
        <f t="shared" si="850"/>
        <v>5.6171777871768374</v>
      </c>
      <c r="BC289" s="173">
        <f t="shared" si="851"/>
        <v>0.1070300091880992</v>
      </c>
      <c r="BD289" s="173"/>
      <c r="BE289" s="528">
        <f t="shared" si="852"/>
        <v>1.1829814008834158E-2</v>
      </c>
      <c r="BF289" s="528">
        <f t="shared" si="804"/>
        <v>1.0267862192880528</v>
      </c>
      <c r="BG289" s="528">
        <f t="shared" si="805"/>
        <v>0.2981356311215379</v>
      </c>
      <c r="BH289" s="528">
        <f t="shared" si="853"/>
        <v>0.1023320403260418</v>
      </c>
      <c r="BI289">
        <f t="shared" si="854"/>
        <v>1.6160697668068533E-2</v>
      </c>
      <c r="BJ289" s="460">
        <f t="shared" si="855"/>
        <v>314.29632878960643</v>
      </c>
      <c r="BK289">
        <f t="shared" si="806"/>
        <v>1.1473671013287914</v>
      </c>
      <c r="BL289" s="460">
        <f t="shared" si="856"/>
        <v>1455.2444024125352</v>
      </c>
      <c r="BM289" s="173">
        <f t="shared" si="807"/>
        <v>2.7210749999999999</v>
      </c>
      <c r="BN289" s="173">
        <f t="shared" si="808"/>
        <v>3.2393749999999999E-2</v>
      </c>
      <c r="BQ289" s="460">
        <f t="shared" si="857"/>
        <v>2753.4687499999995</v>
      </c>
      <c r="BR289" s="528">
        <f t="shared" si="858"/>
        <v>2.9089706579100393E-2</v>
      </c>
      <c r="BS289" s="528">
        <f t="shared" si="859"/>
        <v>0.94658058878258611</v>
      </c>
      <c r="BT289" s="528">
        <f t="shared" si="860"/>
        <v>5.727711433402299E-5</v>
      </c>
      <c r="BU289" s="528">
        <f t="shared" si="861"/>
        <v>1.5282176593760366</v>
      </c>
      <c r="BV289" s="528"/>
      <c r="BW289" s="625">
        <f t="shared" si="862"/>
        <v>7.3263201668139266E-2</v>
      </c>
      <c r="BX289" s="460">
        <f t="shared" si="863"/>
        <v>2577.2084335201962</v>
      </c>
      <c r="BY289" s="173">
        <f t="shared" si="864"/>
        <v>6.78592158593273</v>
      </c>
      <c r="BZ289" s="5">
        <f t="shared" si="865"/>
        <v>18.834</v>
      </c>
      <c r="CA289" s="173">
        <f t="shared" si="866"/>
        <v>0.73513105560562242</v>
      </c>
      <c r="CB289" s="5">
        <f t="shared" si="867"/>
        <v>73.513105560562238</v>
      </c>
      <c r="CC289">
        <f t="shared" si="868"/>
        <v>73</v>
      </c>
      <c r="CE289" s="562">
        <f t="shared" si="809"/>
        <v>-50</v>
      </c>
      <c r="CG289" s="173">
        <f t="shared" si="810"/>
        <v>0.65693430656934304</v>
      </c>
      <c r="CH289" s="173">
        <f t="shared" si="811"/>
        <v>0.17833950839807342</v>
      </c>
      <c r="CI289" s="170">
        <v>73</v>
      </c>
      <c r="CJ289" s="217">
        <f t="shared" si="869"/>
        <v>4.38</v>
      </c>
      <c r="CK289" s="217">
        <f t="shared" si="812"/>
        <v>7.2999999999999995E-2</v>
      </c>
      <c r="CL289" s="217">
        <f t="shared" si="813"/>
        <v>17.52</v>
      </c>
      <c r="CM289" s="217">
        <f t="shared" si="814"/>
        <v>1.3139999999999998</v>
      </c>
      <c r="CN289" s="541">
        <f t="shared" si="815"/>
        <v>36</v>
      </c>
      <c r="CO289" s="443">
        <f t="shared" si="816"/>
        <v>18.8</v>
      </c>
      <c r="CP289" s="443">
        <f t="shared" si="817"/>
        <v>54.8</v>
      </c>
      <c r="CQ289" s="443"/>
      <c r="CR289" s="217">
        <f t="shared" si="818"/>
        <v>0.34306569343065696</v>
      </c>
      <c r="CS289" s="172">
        <f t="shared" si="819"/>
        <v>38.295705313189622</v>
      </c>
      <c r="CT289" s="172">
        <f t="shared" si="820"/>
        <v>3.0875912408759132</v>
      </c>
      <c r="CU289" s="217">
        <f t="shared" si="821"/>
        <v>9.5739263282974054</v>
      </c>
      <c r="CV289" s="217">
        <f t="shared" si="822"/>
        <v>2.12753918406609</v>
      </c>
      <c r="CW289" s="217">
        <f t="shared" si="823"/>
        <v>4</v>
      </c>
      <c r="CX289" s="217">
        <f t="shared" si="824"/>
        <v>3.0499503546099285</v>
      </c>
      <c r="CY289" s="217">
        <f t="shared" si="825"/>
        <v>1.0166501182033096</v>
      </c>
      <c r="CZ289" s="217">
        <f t="shared" si="826"/>
        <v>1.9467768220914436</v>
      </c>
      <c r="DA289" s="197">
        <f t="shared" si="827"/>
        <v>350</v>
      </c>
      <c r="DB289" s="443">
        <f t="shared" si="828"/>
        <v>337.44715835664783</v>
      </c>
      <c r="DD289" s="217">
        <f t="shared" si="829"/>
        <v>2.940563086548488</v>
      </c>
      <c r="DE289" s="173">
        <f t="shared" si="830"/>
        <v>1.8769551616266944</v>
      </c>
      <c r="DF289" s="173">
        <f t="shared" si="831"/>
        <v>3.5939660877863036</v>
      </c>
      <c r="DG289" s="173"/>
      <c r="DH289" s="173">
        <f t="shared" si="832"/>
        <v>0.85106382978723416</v>
      </c>
      <c r="DI289" s="545">
        <f t="shared" si="833"/>
        <v>1929.9374999999993</v>
      </c>
      <c r="DJ289" s="528">
        <f t="shared" si="834"/>
        <v>0.79432624113475192</v>
      </c>
      <c r="DL289" s="173">
        <f t="shared" si="835"/>
        <v>2.9947573238196492</v>
      </c>
      <c r="DM289" s="173">
        <f t="shared" si="836"/>
        <v>3.0499503546099285</v>
      </c>
      <c r="DN289" s="173">
        <f t="shared" si="837"/>
        <v>2.4715681639085889</v>
      </c>
      <c r="DP289" s="545">
        <f t="shared" si="838"/>
        <v>4380</v>
      </c>
      <c r="DQ289" s="460">
        <f t="shared" si="839"/>
        <v>337.44715835664783</v>
      </c>
      <c r="DS289">
        <f t="shared" si="840"/>
        <v>4380</v>
      </c>
      <c r="DT289">
        <f t="shared" si="841"/>
        <v>337.44715835664783</v>
      </c>
      <c r="DV289" s="5">
        <f t="shared" si="870"/>
        <v>2.9634269402947533</v>
      </c>
      <c r="DW289" s="5">
        <f t="shared" si="842"/>
        <v>1.0166501182033096</v>
      </c>
      <c r="DX289" s="5">
        <f t="shared" si="843"/>
        <v>1.9467768220914436</v>
      </c>
      <c r="DY289" s="173">
        <f t="shared" si="844"/>
        <v>0.34306569343065696</v>
      </c>
      <c r="EA289" s="5">
        <f t="shared" si="871"/>
        <v>111.32318794326238</v>
      </c>
      <c r="EB289" s="5">
        <f t="shared" si="872"/>
        <v>0.4123081034935645</v>
      </c>
      <c r="EC289" s="5">
        <f t="shared" si="873"/>
        <v>0.78952615562597428</v>
      </c>
      <c r="ED289" s="5"/>
      <c r="EE289" s="173">
        <f t="shared" si="874"/>
        <v>1.0313849460862787</v>
      </c>
      <c r="EF289" s="173">
        <f t="shared" si="875"/>
        <v>5.7089088015346867</v>
      </c>
      <c r="EG289" s="173">
        <f t="shared" si="876"/>
        <v>0.10877785689410689</v>
      </c>
      <c r="EH289" s="173"/>
      <c r="EI289" s="528">
        <f t="shared" si="877"/>
        <v>1.297780986556343E-2</v>
      </c>
      <c r="EJ289" s="528">
        <f t="shared" si="878"/>
        <v>1.1279999999999999</v>
      </c>
      <c r="EK289" s="528">
        <f t="shared" si="879"/>
        <v>4.2180894794580981E-2</v>
      </c>
      <c r="EL289" s="528">
        <f t="shared" si="880"/>
        <v>0.10133673144313476</v>
      </c>
      <c r="EM289">
        <f t="shared" si="881"/>
        <v>1.6199999999999999E-2</v>
      </c>
      <c r="EN289" s="460">
        <f t="shared" si="882"/>
        <v>58.380894794580982</v>
      </c>
      <c r="EP289" s="460">
        <f t="shared" si="883"/>
        <v>1300.6954361032792</v>
      </c>
      <c r="EQ289" s="173">
        <f t="shared" si="884"/>
        <v>3.0659999999999998</v>
      </c>
      <c r="ER289" s="173">
        <f t="shared" si="845"/>
        <v>3.2393749999999999E-2</v>
      </c>
      <c r="ES289" s="528"/>
      <c r="EU289" s="460">
        <f t="shared" si="885"/>
        <v>3098.3937499999997</v>
      </c>
      <c r="EV289" s="528">
        <f t="shared" si="886"/>
        <v>3.1912647210401879E-2</v>
      </c>
      <c r="EW289" s="528">
        <f t="shared" si="887"/>
        <v>0.97774919112720637</v>
      </c>
      <c r="EX289" s="528">
        <f t="shared" si="888"/>
        <v>5.9163110752373997E-5</v>
      </c>
      <c r="EY289" s="528">
        <f t="shared" si="889"/>
        <v>1.699089938303846</v>
      </c>
      <c r="EZ289" s="528"/>
      <c r="FA289" s="625">
        <f t="shared" si="890"/>
        <v>7.8475000000000003E-2</v>
      </c>
      <c r="FB289" s="460">
        <f t="shared" si="891"/>
        <v>2787.2859397522066</v>
      </c>
      <c r="FC289" s="173">
        <f t="shared" si="892"/>
        <v>7.186375125855486</v>
      </c>
      <c r="FD289" s="5">
        <f t="shared" si="893"/>
        <v>18.834</v>
      </c>
      <c r="FE289" s="173">
        <f t="shared" si="894"/>
        <v>0.72381738959963526</v>
      </c>
      <c r="FF289" s="5">
        <f t="shared" si="895"/>
        <v>72.381738959963528</v>
      </c>
      <c r="FG289">
        <f t="shared" si="896"/>
        <v>73</v>
      </c>
      <c r="FI289" s="562">
        <f t="shared" si="846"/>
        <v>-50</v>
      </c>
    </row>
    <row r="290" spans="5:165">
      <c r="E290" s="170">
        <v>74</v>
      </c>
      <c r="F290" s="217">
        <f t="shared" si="847"/>
        <v>4.4399999999999995</v>
      </c>
      <c r="G290" s="217">
        <f t="shared" si="775"/>
        <v>7.3999999999999996E-2</v>
      </c>
      <c r="H290" s="217">
        <f t="shared" si="776"/>
        <v>17.759999999999998</v>
      </c>
      <c r="I290" s="217">
        <f t="shared" si="777"/>
        <v>1.3319999999999999</v>
      </c>
      <c r="J290" s="541">
        <f t="shared" si="778"/>
        <v>35.911465066577513</v>
      </c>
      <c r="K290" s="443">
        <f t="shared" si="779"/>
        <v>19.611039999999999</v>
      </c>
      <c r="L290" s="172">
        <f t="shared" si="780"/>
        <v>55.522505066577509</v>
      </c>
      <c r="M290" s="443"/>
      <c r="N290" s="217">
        <f t="shared" si="781"/>
        <v>0.35320884705191585</v>
      </c>
      <c r="O290" s="172">
        <f t="shared" si="782"/>
        <v>39.330998983289916</v>
      </c>
      <c r="P290" s="172">
        <f t="shared" si="783"/>
        <v>3.1710617930277492</v>
      </c>
      <c r="Q290" s="217">
        <f t="shared" si="784"/>
        <v>9.8327497458224791</v>
      </c>
      <c r="R290" s="217">
        <f t="shared" si="785"/>
        <v>2.185055499071662</v>
      </c>
      <c r="S290" s="217">
        <f t="shared" si="786"/>
        <v>4</v>
      </c>
      <c r="T290" s="217">
        <f t="shared" si="787"/>
        <v>3.0103481493135522</v>
      </c>
      <c r="U290" s="217">
        <f t="shared" si="788"/>
        <v>1.0059232538909444</v>
      </c>
      <c r="V290" s="217">
        <f t="shared" si="789"/>
        <v>1.8420327423615797</v>
      </c>
      <c r="W290" s="197">
        <f t="shared" si="790"/>
        <v>350</v>
      </c>
      <c r="X290" s="443">
        <f t="shared" si="848"/>
        <v>328.0887260936525</v>
      </c>
      <c r="Z290" s="217">
        <f t="shared" si="791"/>
        <v>3.0200588505026178</v>
      </c>
      <c r="AA290" s="173">
        <f t="shared" si="792"/>
        <v>1.8479747227088119</v>
      </c>
      <c r="AB290" s="173">
        <f t="shared" si="793"/>
        <v>3.6341345970002865</v>
      </c>
      <c r="AC290" s="173"/>
      <c r="AD290" s="173">
        <f t="shared" si="794"/>
        <v>0.81586698104741018</v>
      </c>
      <c r="AE290" s="545">
        <f t="shared" si="795"/>
        <v>2040.7738499999989</v>
      </c>
      <c r="AF290" s="528">
        <f t="shared" si="796"/>
        <v>0.7614758489775828</v>
      </c>
      <c r="AH290" s="173">
        <f t="shared" si="797"/>
        <v>3.0151995906454636</v>
      </c>
      <c r="AI290" s="173">
        <f t="shared" si="798"/>
        <v>3.0103481493135522</v>
      </c>
      <c r="AJ290" s="173">
        <f t="shared" si="799"/>
        <v>2.4422331970223841</v>
      </c>
      <c r="AL290" s="545">
        <f t="shared" si="800"/>
        <v>4439.9999999999991</v>
      </c>
      <c r="AM290" s="460">
        <f t="shared" si="801"/>
        <v>328.0887260936525</v>
      </c>
      <c r="AO290">
        <f t="shared" si="802"/>
        <v>4439.9999999999991</v>
      </c>
      <c r="AP290">
        <f t="shared" si="803"/>
        <v>328.0887260936525</v>
      </c>
      <c r="AR290" s="5">
        <f t="shared" si="774"/>
        <v>3.047955996252524</v>
      </c>
      <c r="AS290" s="5">
        <f t="shared" si="739"/>
        <v>1.0059232538909444</v>
      </c>
      <c r="AT290" s="5">
        <f t="shared" si="740"/>
        <v>2.0420327423615796</v>
      </c>
      <c r="AU290" s="173">
        <f t="shared" si="741"/>
        <v>0.33003207891706171</v>
      </c>
      <c r="BA290" s="173">
        <f t="shared" si="849"/>
        <v>0.99846805638407321</v>
      </c>
      <c r="BB290" s="173">
        <f t="shared" si="850"/>
        <v>5.6904038995334894</v>
      </c>
      <c r="BC290" s="173">
        <f t="shared" si="851"/>
        <v>0.10842526349111109</v>
      </c>
      <c r="BD290" s="173"/>
      <c r="BE290" s="528">
        <f t="shared" si="852"/>
        <v>1.2162649207356543E-2</v>
      </c>
      <c r="BF290" s="528">
        <f t="shared" si="804"/>
        <v>1.0282017927214533</v>
      </c>
      <c r="BG290" s="528">
        <f t="shared" si="805"/>
        <v>0.29455367064625304</v>
      </c>
      <c r="BH290" s="528">
        <f t="shared" si="853"/>
        <v>0.10114150508269734</v>
      </c>
      <c r="BI290">
        <f t="shared" si="854"/>
        <v>1.6160159279959882E-2</v>
      </c>
      <c r="BJ290" s="460">
        <f t="shared" si="855"/>
        <v>310.71382992621295</v>
      </c>
      <c r="BK290">
        <f t="shared" si="806"/>
        <v>1.1481077161590605</v>
      </c>
      <c r="BL290" s="460">
        <f t="shared" si="856"/>
        <v>1452.2197769377201</v>
      </c>
      <c r="BM290" s="173">
        <f t="shared" si="807"/>
        <v>2.7583499999999996</v>
      </c>
      <c r="BN290" s="173">
        <f t="shared" si="808"/>
        <v>3.2837499999999999E-2</v>
      </c>
      <c r="BQ290" s="460">
        <f t="shared" si="857"/>
        <v>2791.1874999999995</v>
      </c>
      <c r="BR290" s="528">
        <f t="shared" si="858"/>
        <v>2.9908153788581662E-2</v>
      </c>
      <c r="BS290" s="528">
        <f t="shared" si="859"/>
        <v>0.97142089619477823</v>
      </c>
      <c r="BT290" s="528">
        <f t="shared" si="860"/>
        <v>5.8780188815584339E-5</v>
      </c>
      <c r="BU290" s="528">
        <f t="shared" si="861"/>
        <v>1.5328162116753854</v>
      </c>
      <c r="BV290" s="528"/>
      <c r="BW290" s="625">
        <f t="shared" si="862"/>
        <v>7.4330108367849992E-2</v>
      </c>
      <c r="BX290" s="460">
        <f t="shared" si="863"/>
        <v>2608.534150215411</v>
      </c>
      <c r="BY290" s="173">
        <f t="shared" si="864"/>
        <v>6.8519414271531307</v>
      </c>
      <c r="BZ290" s="5">
        <f t="shared" si="865"/>
        <v>19.091999999999999</v>
      </c>
      <c r="CA290" s="173">
        <f t="shared" si="866"/>
        <v>0.73589435335442765</v>
      </c>
      <c r="CB290" s="5">
        <f t="shared" si="867"/>
        <v>73.589435335442772</v>
      </c>
      <c r="CC290">
        <f t="shared" si="868"/>
        <v>73.999999999999986</v>
      </c>
      <c r="CE290" s="562">
        <f t="shared" si="809"/>
        <v>-50</v>
      </c>
      <c r="CG290" s="173">
        <f t="shared" si="810"/>
        <v>0.65693430656934293</v>
      </c>
      <c r="CH290" s="173">
        <f t="shared" si="811"/>
        <v>0.17833950839807344</v>
      </c>
      <c r="CI290" s="170">
        <v>74</v>
      </c>
      <c r="CJ290" s="217">
        <f t="shared" si="869"/>
        <v>4.4399999999999995</v>
      </c>
      <c r="CK290" s="217">
        <f t="shared" si="812"/>
        <v>7.3999999999999996E-2</v>
      </c>
      <c r="CL290" s="217">
        <f t="shared" si="813"/>
        <v>17.759999999999998</v>
      </c>
      <c r="CM290" s="217">
        <f t="shared" si="814"/>
        <v>1.3319999999999999</v>
      </c>
      <c r="CN290" s="541">
        <f t="shared" si="815"/>
        <v>36</v>
      </c>
      <c r="CO290" s="443">
        <f t="shared" si="816"/>
        <v>18.8</v>
      </c>
      <c r="CP290" s="443">
        <f t="shared" si="817"/>
        <v>54.8</v>
      </c>
      <c r="CQ290" s="443"/>
      <c r="CR290" s="217">
        <f t="shared" si="818"/>
        <v>0.34306569343065696</v>
      </c>
      <c r="CS290" s="172">
        <f t="shared" si="819"/>
        <v>38.295705313189622</v>
      </c>
      <c r="CT290" s="172">
        <f t="shared" si="820"/>
        <v>3.0875912408759132</v>
      </c>
      <c r="CU290" s="217">
        <f t="shared" si="821"/>
        <v>9.5739263282974054</v>
      </c>
      <c r="CV290" s="217">
        <f t="shared" si="822"/>
        <v>2.12753918406609</v>
      </c>
      <c r="CW290" s="217">
        <f t="shared" si="823"/>
        <v>4</v>
      </c>
      <c r="CX290" s="217">
        <f t="shared" si="824"/>
        <v>3.0917304964539003</v>
      </c>
      <c r="CY290" s="217">
        <f t="shared" si="825"/>
        <v>1.0305768321513002</v>
      </c>
      <c r="CZ290" s="217">
        <f t="shared" si="826"/>
        <v>1.973444997736532</v>
      </c>
      <c r="DA290" s="197">
        <f t="shared" si="827"/>
        <v>350</v>
      </c>
      <c r="DB290" s="443">
        <f t="shared" si="828"/>
        <v>332.88706162209854</v>
      </c>
      <c r="DD290" s="217">
        <f t="shared" si="829"/>
        <v>2.940563086548488</v>
      </c>
      <c r="DE290" s="173">
        <f t="shared" si="830"/>
        <v>1.8769551616266944</v>
      </c>
      <c r="DF290" s="173">
        <f t="shared" si="831"/>
        <v>3.5939660877863036</v>
      </c>
      <c r="DG290" s="173"/>
      <c r="DH290" s="173">
        <f t="shared" si="832"/>
        <v>0.85106382978723416</v>
      </c>
      <c r="DI290" s="545">
        <f t="shared" si="833"/>
        <v>1956.3749999999993</v>
      </c>
      <c r="DJ290" s="528">
        <f t="shared" si="834"/>
        <v>0.79432624113475192</v>
      </c>
      <c r="DL290" s="173">
        <f t="shared" si="835"/>
        <v>3.0151995906454636</v>
      </c>
      <c r="DM290" s="173">
        <f t="shared" si="836"/>
        <v>3.0917304964539003</v>
      </c>
      <c r="DN290" s="173">
        <f t="shared" si="837"/>
        <v>2.5025164171263459</v>
      </c>
      <c r="DP290" s="545">
        <f t="shared" si="838"/>
        <v>4439.9999999999991</v>
      </c>
      <c r="DQ290" s="460">
        <f t="shared" si="839"/>
        <v>332.88706162209854</v>
      </c>
      <c r="DS290">
        <f t="shared" si="840"/>
        <v>4439.9999999999991</v>
      </c>
      <c r="DT290">
        <f t="shared" si="841"/>
        <v>332.88706162209854</v>
      </c>
      <c r="DV290" s="5">
        <f t="shared" si="870"/>
        <v>3.0040218298878321</v>
      </c>
      <c r="DW290" s="5">
        <f t="shared" si="842"/>
        <v>1.0305768321513002</v>
      </c>
      <c r="DX290" s="5">
        <f t="shared" si="843"/>
        <v>1.9734449977365318</v>
      </c>
      <c r="DY290" s="173">
        <f t="shared" si="844"/>
        <v>0.34306569343065701</v>
      </c>
      <c r="EA290" s="5">
        <f t="shared" si="871"/>
        <v>114.39402836879431</v>
      </c>
      <c r="EB290" s="5">
        <f t="shared" si="872"/>
        <v>0.42368158655109012</v>
      </c>
      <c r="EC290" s="5">
        <f t="shared" si="873"/>
        <v>0.81130516573612954</v>
      </c>
      <c r="ED290" s="5"/>
      <c r="EE290" s="173">
        <f t="shared" si="874"/>
        <v>1.0455135069915704</v>
      </c>
      <c r="EF290" s="173">
        <f t="shared" si="875"/>
        <v>5.7871130316926962</v>
      </c>
      <c r="EG290" s="173">
        <f t="shared" si="876"/>
        <v>0.11026796452279328</v>
      </c>
      <c r="EH290" s="173"/>
      <c r="EI290" s="528">
        <f t="shared" si="877"/>
        <v>1.3335801618282113E-2</v>
      </c>
      <c r="EJ290" s="528">
        <f t="shared" si="878"/>
        <v>1.1280000000000001</v>
      </c>
      <c r="EK290" s="528">
        <f t="shared" si="879"/>
        <v>4.1610882702762315E-2</v>
      </c>
      <c r="EL290" s="528">
        <f t="shared" si="880"/>
        <v>9.996731615336267E-2</v>
      </c>
      <c r="EM290">
        <f t="shared" si="881"/>
        <v>1.6199999999999999E-2</v>
      </c>
      <c r="EN290" s="460">
        <f t="shared" si="882"/>
        <v>57.810882702762314</v>
      </c>
      <c r="EP290" s="460">
        <f t="shared" si="883"/>
        <v>1299.1140004744072</v>
      </c>
      <c r="EQ290" s="173">
        <f t="shared" si="884"/>
        <v>3.1079999999999997</v>
      </c>
      <c r="ER290" s="173">
        <f t="shared" si="845"/>
        <v>3.2837499999999999E-2</v>
      </c>
      <c r="ES290" s="528"/>
      <c r="EU290" s="460">
        <f t="shared" si="885"/>
        <v>3140.8374999999996</v>
      </c>
      <c r="EV290" s="528">
        <f t="shared" si="886"/>
        <v>3.2792954799054377E-2</v>
      </c>
      <c r="EW290" s="528">
        <f t="shared" si="887"/>
        <v>1.0047203172476227</v>
      </c>
      <c r="EX290" s="528">
        <f t="shared" si="888"/>
        <v>6.0795119999999991E-5</v>
      </c>
      <c r="EY290" s="528">
        <f t="shared" si="889"/>
        <v>1.6990899383038498</v>
      </c>
      <c r="EZ290" s="528"/>
      <c r="FA290" s="625">
        <f t="shared" si="890"/>
        <v>7.9549999999999996E-2</v>
      </c>
      <c r="FB290" s="460">
        <f t="shared" si="891"/>
        <v>2816.2140054705269</v>
      </c>
      <c r="FC290" s="173">
        <f t="shared" si="892"/>
        <v>7.2561655059449341</v>
      </c>
      <c r="FD290" s="5">
        <f t="shared" si="893"/>
        <v>19.091999999999999</v>
      </c>
      <c r="FE290" s="173">
        <f t="shared" si="894"/>
        <v>0.72460452685756327</v>
      </c>
      <c r="FF290" s="5">
        <f t="shared" si="895"/>
        <v>72.460452685756323</v>
      </c>
      <c r="FG290">
        <f t="shared" si="896"/>
        <v>73.999999999999986</v>
      </c>
      <c r="FI290" s="562">
        <f t="shared" si="846"/>
        <v>-50</v>
      </c>
    </row>
    <row r="291" spans="5:165">
      <c r="E291" s="170">
        <v>75</v>
      </c>
      <c r="F291" s="217">
        <f t="shared" si="847"/>
        <v>4.5</v>
      </c>
      <c r="G291" s="217">
        <f t="shared" si="775"/>
        <v>7.5000000000000011E-2</v>
      </c>
      <c r="H291" s="217">
        <f t="shared" si="776"/>
        <v>18</v>
      </c>
      <c r="I291" s="217">
        <f t="shared" si="777"/>
        <v>1.35</v>
      </c>
      <c r="J291" s="541">
        <f t="shared" si="778"/>
        <v>35.910268648558294</v>
      </c>
      <c r="K291" s="443">
        <f t="shared" si="779"/>
        <v>19.622</v>
      </c>
      <c r="L291" s="172">
        <f t="shared" si="780"/>
        <v>55.532268648558293</v>
      </c>
      <c r="M291" s="443"/>
      <c r="N291" s="217">
        <f t="shared" si="781"/>
        <v>0.35334410924538051</v>
      </c>
      <c r="O291" s="172">
        <f t="shared" si="782"/>
        <v>39.34475004151053</v>
      </c>
      <c r="P291" s="172">
        <f t="shared" si="783"/>
        <v>3.172170472096786</v>
      </c>
      <c r="Q291" s="217">
        <f t="shared" si="784"/>
        <v>9.8361875103776324</v>
      </c>
      <c r="R291" s="217">
        <f t="shared" si="785"/>
        <v>2.1858194467505849</v>
      </c>
      <c r="S291" s="217">
        <f t="shared" si="786"/>
        <v>4</v>
      </c>
      <c r="T291" s="217">
        <f t="shared" si="787"/>
        <v>3.04996218995913</v>
      </c>
      <c r="U291" s="217">
        <f t="shared" si="788"/>
        <v>1.0191944437313181</v>
      </c>
      <c r="V291" s="217">
        <f t="shared" si="789"/>
        <v>1.8652301640765245</v>
      </c>
      <c r="W291" s="197">
        <f t="shared" si="790"/>
        <v>350</v>
      </c>
      <c r="X291" s="443">
        <f t="shared" si="848"/>
        <v>324.20957784755791</v>
      </c>
      <c r="Z291" s="217">
        <f t="shared" si="791"/>
        <v>3.0211147353302725</v>
      </c>
      <c r="AA291" s="173">
        <f t="shared" si="792"/>
        <v>1.8475882592989128</v>
      </c>
      <c r="AB291" s="173">
        <f t="shared" si="793"/>
        <v>3.6346449120872633</v>
      </c>
      <c r="AC291" s="173"/>
      <c r="AD291" s="173">
        <f t="shared" si="794"/>
        <v>0.81541127306085015</v>
      </c>
      <c r="AE291" s="545">
        <f t="shared" si="795"/>
        <v>2069.5078124999995</v>
      </c>
      <c r="AF291" s="528">
        <f t="shared" si="796"/>
        <v>0.7610505215234602</v>
      </c>
      <c r="AH291" s="173">
        <f t="shared" si="797"/>
        <v>3.0355041944108256</v>
      </c>
      <c r="AI291" s="173">
        <f t="shared" si="798"/>
        <v>3.04996218995913</v>
      </c>
      <c r="AJ291" s="173">
        <f t="shared" si="799"/>
        <v>2.4715769308339235</v>
      </c>
      <c r="AL291" s="545">
        <f t="shared" si="800"/>
        <v>4500</v>
      </c>
      <c r="AM291" s="460">
        <f t="shared" si="801"/>
        <v>324.20957784755791</v>
      </c>
      <c r="AO291">
        <f t="shared" si="802"/>
        <v>4500</v>
      </c>
      <c r="AP291">
        <f t="shared" si="803"/>
        <v>324.20957784755791</v>
      </c>
      <c r="AR291" s="5">
        <f t="shared" si="774"/>
        <v>3.0844246078078426</v>
      </c>
      <c r="AS291" s="5">
        <f t="shared" si="739"/>
        <v>1.0191944437313181</v>
      </c>
      <c r="AT291" s="5">
        <f t="shared" si="740"/>
        <v>2.0652301640765245</v>
      </c>
      <c r="AU291" s="173">
        <f t="shared" si="741"/>
        <v>0.33043260034670724</v>
      </c>
      <c r="BA291" s="173">
        <f t="shared" si="849"/>
        <v>1.0122208345695247</v>
      </c>
      <c r="BB291" s="173">
        <f t="shared" si="850"/>
        <v>5.7635620034236545</v>
      </c>
      <c r="BC291" s="173">
        <f t="shared" si="851"/>
        <v>0.1098192219571264</v>
      </c>
      <c r="BD291" s="173"/>
      <c r="BE291" s="528">
        <f t="shared" si="852"/>
        <v>1.2500010418826825E-2</v>
      </c>
      <c r="BF291" s="528">
        <f t="shared" si="804"/>
        <v>1.0295963261187326</v>
      </c>
      <c r="BG291" s="528">
        <f t="shared" si="805"/>
        <v>0.2910613259735369</v>
      </c>
      <c r="BH291" s="528">
        <f t="shared" si="853"/>
        <v>9.9980815010012103E-2</v>
      </c>
      <c r="BI291">
        <f t="shared" si="854"/>
        <v>1.6159620891851231E-2</v>
      </c>
      <c r="BJ291" s="460">
        <f t="shared" si="855"/>
        <v>307.22094686538816</v>
      </c>
      <c r="BK291">
        <f t="shared" si="806"/>
        <v>1.1488642841285455</v>
      </c>
      <c r="BL291" s="460">
        <f t="shared" si="856"/>
        <v>1449.2980984129597</v>
      </c>
      <c r="BM291" s="173">
        <f t="shared" si="807"/>
        <v>2.7956249999999998</v>
      </c>
      <c r="BN291" s="173">
        <f t="shared" si="808"/>
        <v>3.3281250000000005E-2</v>
      </c>
      <c r="BQ291" s="460">
        <f t="shared" si="857"/>
        <v>2828.9062499999995</v>
      </c>
      <c r="BR291" s="528">
        <f t="shared" si="858"/>
        <v>3.0737730538098751E-2</v>
      </c>
      <c r="BS291" s="528">
        <f t="shared" si="859"/>
        <v>0.99655940901926676</v>
      </c>
      <c r="BT291" s="528">
        <f t="shared" si="860"/>
        <v>6.0301307556342967E-5</v>
      </c>
      <c r="BU291" s="528">
        <f t="shared" si="861"/>
        <v>1.5373428940069018</v>
      </c>
      <c r="BV291" s="528"/>
      <c r="BW291" s="625">
        <f t="shared" si="862"/>
        <v>7.5397120557208139E-2</v>
      </c>
      <c r="BX291" s="460">
        <f t="shared" si="863"/>
        <v>2640.0974554290319</v>
      </c>
      <c r="BY291" s="173">
        <f t="shared" si="864"/>
        <v>6.9183018038419917</v>
      </c>
      <c r="BZ291" s="5">
        <f t="shared" si="865"/>
        <v>19.350000000000001</v>
      </c>
      <c r="CA291" s="173">
        <f t="shared" si="866"/>
        <v>0.73662927068889839</v>
      </c>
      <c r="CB291" s="5">
        <f t="shared" si="867"/>
        <v>73.662927068889843</v>
      </c>
      <c r="CC291">
        <f t="shared" si="868"/>
        <v>75</v>
      </c>
      <c r="CE291" s="562">
        <f t="shared" si="809"/>
        <v>-50</v>
      </c>
      <c r="CG291" s="173">
        <f t="shared" si="810"/>
        <v>0.65693430656934304</v>
      </c>
      <c r="CH291" s="173">
        <f t="shared" si="811"/>
        <v>0.17833950839807344</v>
      </c>
      <c r="CI291" s="170">
        <v>75</v>
      </c>
      <c r="CJ291" s="217">
        <f t="shared" si="869"/>
        <v>4.5</v>
      </c>
      <c r="CK291" s="217">
        <f t="shared" si="812"/>
        <v>7.5000000000000011E-2</v>
      </c>
      <c r="CL291" s="217">
        <f t="shared" si="813"/>
        <v>18</v>
      </c>
      <c r="CM291" s="217">
        <f t="shared" si="814"/>
        <v>1.35</v>
      </c>
      <c r="CN291" s="541">
        <f t="shared" si="815"/>
        <v>36</v>
      </c>
      <c r="CO291" s="443">
        <f t="shared" si="816"/>
        <v>18.8</v>
      </c>
      <c r="CP291" s="443">
        <f t="shared" si="817"/>
        <v>54.8</v>
      </c>
      <c r="CQ291" s="443"/>
      <c r="CR291" s="217">
        <f t="shared" si="818"/>
        <v>0.34306569343065696</v>
      </c>
      <c r="CS291" s="172">
        <f t="shared" si="819"/>
        <v>38.295705313189622</v>
      </c>
      <c r="CT291" s="172">
        <f t="shared" si="820"/>
        <v>3.0875912408759132</v>
      </c>
      <c r="CU291" s="217">
        <f t="shared" si="821"/>
        <v>9.5739263282974054</v>
      </c>
      <c r="CV291" s="217">
        <f t="shared" si="822"/>
        <v>2.12753918406609</v>
      </c>
      <c r="CW291" s="217">
        <f t="shared" si="823"/>
        <v>4</v>
      </c>
      <c r="CX291" s="217">
        <f t="shared" si="824"/>
        <v>3.1335106382978721</v>
      </c>
      <c r="CY291" s="217">
        <f t="shared" si="825"/>
        <v>1.0445035460992909</v>
      </c>
      <c r="CZ291" s="217">
        <f t="shared" si="826"/>
        <v>2.0001131733816204</v>
      </c>
      <c r="DA291" s="197">
        <f t="shared" si="827"/>
        <v>350</v>
      </c>
      <c r="DB291" s="443">
        <f t="shared" si="828"/>
        <v>328.4485674671372</v>
      </c>
      <c r="DD291" s="217">
        <f t="shared" si="829"/>
        <v>2.940563086548488</v>
      </c>
      <c r="DE291" s="173">
        <f t="shared" si="830"/>
        <v>1.8769551616266944</v>
      </c>
      <c r="DF291" s="173">
        <f t="shared" si="831"/>
        <v>3.5939660877863036</v>
      </c>
      <c r="DG291" s="173"/>
      <c r="DH291" s="173">
        <f t="shared" si="832"/>
        <v>0.85106382978723416</v>
      </c>
      <c r="DI291" s="545">
        <f t="shared" si="833"/>
        <v>1982.8124999999993</v>
      </c>
      <c r="DJ291" s="528">
        <f t="shared" si="834"/>
        <v>0.79432624113475192</v>
      </c>
      <c r="DL291" s="173">
        <f t="shared" si="835"/>
        <v>3.0355041944108256</v>
      </c>
      <c r="DM291" s="173">
        <f t="shared" si="836"/>
        <v>3.1335106382978721</v>
      </c>
      <c r="DN291" s="173">
        <f t="shared" si="837"/>
        <v>2.5334646703441024</v>
      </c>
      <c r="DP291" s="545">
        <f t="shared" si="838"/>
        <v>4500</v>
      </c>
      <c r="DQ291" s="460">
        <f t="shared" si="839"/>
        <v>328.4485674671372</v>
      </c>
      <c r="DS291">
        <f t="shared" si="840"/>
        <v>4500</v>
      </c>
      <c r="DT291">
        <f t="shared" si="841"/>
        <v>328.4485674671372</v>
      </c>
      <c r="DV291" s="5">
        <f t="shared" si="870"/>
        <v>3.0446167194809113</v>
      </c>
      <c r="DW291" s="5">
        <f t="shared" si="842"/>
        <v>1.0445035460992909</v>
      </c>
      <c r="DX291" s="5">
        <f t="shared" si="843"/>
        <v>2.0001131733816204</v>
      </c>
      <c r="DY291" s="173">
        <f t="shared" si="844"/>
        <v>0.34306569343065696</v>
      </c>
      <c r="EA291" s="5">
        <f t="shared" si="871"/>
        <v>117.50664893617022</v>
      </c>
      <c r="EB291" s="5">
        <f t="shared" si="872"/>
        <v>0.43520981087470456</v>
      </c>
      <c r="EC291" s="5">
        <f t="shared" si="873"/>
        <v>0.8333804889090084</v>
      </c>
      <c r="ED291" s="5"/>
      <c r="EE291" s="173">
        <f t="shared" si="874"/>
        <v>1.0596420678968617</v>
      </c>
      <c r="EF291" s="173">
        <f t="shared" si="875"/>
        <v>5.8653172618507066</v>
      </c>
      <c r="EG291" s="173">
        <f t="shared" si="876"/>
        <v>0.11175807215147969</v>
      </c>
      <c r="EH291" s="173"/>
      <c r="EI291" s="528">
        <f t="shared" si="877"/>
        <v>1.3698664007092191E-2</v>
      </c>
      <c r="EJ291" s="528">
        <f t="shared" si="878"/>
        <v>1.1279999999999999</v>
      </c>
      <c r="EK291" s="528">
        <f t="shared" si="879"/>
        <v>4.1056070933392148E-2</v>
      </c>
      <c r="EL291" s="528">
        <f t="shared" si="880"/>
        <v>9.863441860465115E-2</v>
      </c>
      <c r="EM291">
        <f t="shared" si="881"/>
        <v>1.6199999999999999E-2</v>
      </c>
      <c r="EN291" s="460">
        <f t="shared" si="882"/>
        <v>57.256070933392145</v>
      </c>
      <c r="EP291" s="460">
        <f t="shared" si="883"/>
        <v>1297.5891535451353</v>
      </c>
      <c r="EQ291" s="173">
        <f t="shared" si="884"/>
        <v>3.15</v>
      </c>
      <c r="ER291" s="173">
        <f t="shared" si="845"/>
        <v>3.3281250000000005E-2</v>
      </c>
      <c r="ES291" s="528"/>
      <c r="EU291" s="460">
        <f t="shared" si="885"/>
        <v>3183.28125</v>
      </c>
      <c r="EV291" s="528">
        <f t="shared" si="886"/>
        <v>3.3685239361702111E-2</v>
      </c>
      <c r="EW291" s="528">
        <f t="shared" si="887"/>
        <v>1.0320583974649162</v>
      </c>
      <c r="EX291" s="528">
        <f t="shared" si="888"/>
        <v>6.24493334550767E-5</v>
      </c>
      <c r="EY291" s="528">
        <f t="shared" si="889"/>
        <v>1.6990899383038491</v>
      </c>
      <c r="EZ291" s="528"/>
      <c r="FA291" s="625">
        <f t="shared" si="890"/>
        <v>8.0624999999999988E-2</v>
      </c>
      <c r="FB291" s="460">
        <f t="shared" si="891"/>
        <v>2845.5210244639225</v>
      </c>
      <c r="FC291" s="173">
        <f t="shared" si="892"/>
        <v>7.3263914280090576</v>
      </c>
      <c r="FD291" s="5">
        <f t="shared" si="893"/>
        <v>19.350000000000001</v>
      </c>
      <c r="FE291" s="173">
        <f t="shared" si="894"/>
        <v>0.72536047659292247</v>
      </c>
      <c r="FF291" s="5">
        <f t="shared" si="895"/>
        <v>72.536047659292251</v>
      </c>
      <c r="FG291">
        <f t="shared" si="896"/>
        <v>75</v>
      </c>
      <c r="FI291" s="562">
        <f t="shared" si="846"/>
        <v>-50</v>
      </c>
    </row>
    <row r="292" spans="5:165">
      <c r="E292" s="170">
        <v>76</v>
      </c>
      <c r="F292" s="217">
        <f t="shared" si="847"/>
        <v>4.5600000000000005</v>
      </c>
      <c r="G292" s="217">
        <f t="shared" si="775"/>
        <v>7.6000000000000012E-2</v>
      </c>
      <c r="H292" s="217">
        <f t="shared" si="776"/>
        <v>18.240000000000002</v>
      </c>
      <c r="I292" s="217">
        <f t="shared" si="777"/>
        <v>1.3680000000000003</v>
      </c>
      <c r="J292" s="541">
        <f t="shared" si="778"/>
        <v>35.909072230539067</v>
      </c>
      <c r="K292" s="443">
        <f t="shared" si="779"/>
        <v>19.632960000000001</v>
      </c>
      <c r="L292" s="172">
        <f t="shared" si="780"/>
        <v>55.542032230539064</v>
      </c>
      <c r="M292" s="443"/>
      <c r="N292" s="217">
        <f t="shared" si="781"/>
        <v>0.35347932388410291</v>
      </c>
      <c r="O292" s="172">
        <f t="shared" si="782"/>
        <v>39.35849480110501</v>
      </c>
      <c r="P292" s="172">
        <f t="shared" si="783"/>
        <v>3.1732786433390912</v>
      </c>
      <c r="Q292" s="217">
        <f t="shared" si="784"/>
        <v>9.8396237002762525</v>
      </c>
      <c r="R292" s="217">
        <f t="shared" si="785"/>
        <v>2.1865830445058339</v>
      </c>
      <c r="S292" s="217">
        <f t="shared" si="786"/>
        <v>4</v>
      </c>
      <c r="T292" s="217">
        <f t="shared" si="787"/>
        <v>3.0895490443548681</v>
      </c>
      <c r="U292" s="217">
        <f t="shared" si="788"/>
        <v>1.0324574328803777</v>
      </c>
      <c r="V292" s="217">
        <f t="shared" si="789"/>
        <v>1.8883850694066724</v>
      </c>
      <c r="W292" s="197">
        <f t="shared" si="790"/>
        <v>350</v>
      </c>
      <c r="X292" s="443">
        <f t="shared" si="848"/>
        <v>320.42629490823998</v>
      </c>
      <c r="Z292" s="217">
        <f t="shared" si="791"/>
        <v>3.0221701365134201</v>
      </c>
      <c r="AA292" s="173">
        <f t="shared" si="792"/>
        <v>1.8472019317597059</v>
      </c>
      <c r="AB292" s="173">
        <f t="shared" si="793"/>
        <v>3.6351543813877751</v>
      </c>
      <c r="AC292" s="173"/>
      <c r="AD292" s="173">
        <f t="shared" si="794"/>
        <v>0.81495607386761859</v>
      </c>
      <c r="AE292" s="545">
        <f t="shared" si="795"/>
        <v>2098.2725999999998</v>
      </c>
      <c r="AF292" s="528">
        <f t="shared" si="796"/>
        <v>0.76062566894311079</v>
      </c>
      <c r="AH292" s="173">
        <f t="shared" si="797"/>
        <v>3.0556738793828861</v>
      </c>
      <c r="AI292" s="173">
        <f t="shared" si="798"/>
        <v>3.0895490443548681</v>
      </c>
      <c r="AJ292" s="173">
        <f t="shared" si="799"/>
        <v>2.5009005266826181</v>
      </c>
      <c r="AL292" s="545">
        <f t="shared" si="800"/>
        <v>4560.0000000000009</v>
      </c>
      <c r="AM292" s="460">
        <f t="shared" si="801"/>
        <v>320.42629490823998</v>
      </c>
      <c r="AO292">
        <f t="shared" si="802"/>
        <v>4560.0000000000009</v>
      </c>
      <c r="AP292">
        <f t="shared" si="803"/>
        <v>320.42629490823998</v>
      </c>
      <c r="AR292" s="5">
        <f t="shared" si="774"/>
        <v>3.1208425022870503</v>
      </c>
      <c r="AS292" s="5">
        <f t="shared" si="739"/>
        <v>1.0324574328803777</v>
      </c>
      <c r="AT292" s="5">
        <f t="shared" si="740"/>
        <v>2.0883850694066726</v>
      </c>
      <c r="AU292" s="173">
        <f t="shared" si="741"/>
        <v>0.33082650986833229</v>
      </c>
      <c r="BA292" s="173">
        <f t="shared" si="849"/>
        <v>1.0259698962125434</v>
      </c>
      <c r="BB292" s="173">
        <f t="shared" si="850"/>
        <v>5.8366522887335321</v>
      </c>
      <c r="BC292" s="173">
        <f t="shared" si="851"/>
        <v>0.11121188820424703</v>
      </c>
      <c r="BD292" s="173"/>
      <c r="BE292" s="528">
        <f t="shared" si="852"/>
        <v>1.28418935807994E-2</v>
      </c>
      <c r="BF292" s="528">
        <f t="shared" si="804"/>
        <v>1.0309705981255595</v>
      </c>
      <c r="BG292" s="528">
        <f t="shared" si="805"/>
        <v>0.2876552742106</v>
      </c>
      <c r="BH292" s="528">
        <f t="shared" si="853"/>
        <v>9.8848863473165238E-2</v>
      </c>
      <c r="BI292">
        <f t="shared" si="854"/>
        <v>1.6159082503742581E-2</v>
      </c>
      <c r="BJ292" s="460">
        <f t="shared" si="855"/>
        <v>303.81435671434258</v>
      </c>
      <c r="BK292">
        <f t="shared" si="806"/>
        <v>1.1496364762523699</v>
      </c>
      <c r="BL292" s="460">
        <f t="shared" si="856"/>
        <v>1446.4757118938667</v>
      </c>
      <c r="BM292" s="173">
        <f t="shared" si="807"/>
        <v>2.8329</v>
      </c>
      <c r="BN292" s="173">
        <f t="shared" si="808"/>
        <v>3.3725000000000005E-2</v>
      </c>
      <c r="BQ292" s="460">
        <f t="shared" si="857"/>
        <v>2866.625</v>
      </c>
      <c r="BR292" s="528">
        <f t="shared" si="858"/>
        <v>3.1578426838031311E-2</v>
      </c>
      <c r="BS292" s="528">
        <f t="shared" si="859"/>
        <v>1.0219952981873515</v>
      </c>
      <c r="BT292" s="528">
        <f t="shared" si="860"/>
        <v>6.1840420389769698E-5</v>
      </c>
      <c r="BU292" s="528">
        <f t="shared" si="861"/>
        <v>1.5418002394620101</v>
      </c>
      <c r="BV292" s="528"/>
      <c r="BW292" s="625">
        <f t="shared" si="862"/>
        <v>7.6464234341199366E-2</v>
      </c>
      <c r="BX292" s="460">
        <f t="shared" si="863"/>
        <v>2671.9000392489816</v>
      </c>
      <c r="BY292" s="173">
        <f t="shared" si="864"/>
        <v>6.9850007511428496</v>
      </c>
      <c r="BZ292" s="5">
        <f t="shared" si="865"/>
        <v>19.608000000000004</v>
      </c>
      <c r="CA292" s="173">
        <f t="shared" si="866"/>
        <v>0.7373368723406416</v>
      </c>
      <c r="CB292" s="5">
        <f t="shared" si="867"/>
        <v>73.733687234064163</v>
      </c>
      <c r="CC292">
        <f t="shared" si="868"/>
        <v>76.000000000000014</v>
      </c>
      <c r="CE292" s="562">
        <f t="shared" si="809"/>
        <v>-50</v>
      </c>
      <c r="CG292" s="173">
        <f t="shared" si="810"/>
        <v>0.65693430656934315</v>
      </c>
      <c r="CH292" s="173">
        <f t="shared" si="811"/>
        <v>0.17833950839807344</v>
      </c>
      <c r="CI292" s="170">
        <v>76</v>
      </c>
      <c r="CJ292" s="217">
        <f t="shared" si="869"/>
        <v>4.5600000000000005</v>
      </c>
      <c r="CK292" s="217">
        <f t="shared" si="812"/>
        <v>7.6000000000000012E-2</v>
      </c>
      <c r="CL292" s="217">
        <f t="shared" si="813"/>
        <v>18.240000000000002</v>
      </c>
      <c r="CM292" s="217">
        <f t="shared" si="814"/>
        <v>1.3680000000000003</v>
      </c>
      <c r="CN292" s="541">
        <f t="shared" si="815"/>
        <v>36</v>
      </c>
      <c r="CO292" s="443">
        <f t="shared" si="816"/>
        <v>18.8</v>
      </c>
      <c r="CP292" s="443">
        <f t="shared" si="817"/>
        <v>54.8</v>
      </c>
      <c r="CQ292" s="443"/>
      <c r="CR292" s="217">
        <f t="shared" si="818"/>
        <v>0.34306569343065696</v>
      </c>
      <c r="CS292" s="172">
        <f t="shared" si="819"/>
        <v>38.295705313189622</v>
      </c>
      <c r="CT292" s="172">
        <f t="shared" si="820"/>
        <v>3.0875912408759132</v>
      </c>
      <c r="CU292" s="217">
        <f t="shared" si="821"/>
        <v>9.5739263282974054</v>
      </c>
      <c r="CV292" s="217">
        <f t="shared" si="822"/>
        <v>2.12753918406609</v>
      </c>
      <c r="CW292" s="217">
        <f t="shared" si="823"/>
        <v>4</v>
      </c>
      <c r="CX292" s="217">
        <f t="shared" si="824"/>
        <v>3.1752907801418444</v>
      </c>
      <c r="CY292" s="217">
        <f t="shared" si="825"/>
        <v>1.0584302600472812</v>
      </c>
      <c r="CZ292" s="217">
        <f t="shared" si="826"/>
        <v>2.026781349026709</v>
      </c>
      <c r="DA292" s="197">
        <f t="shared" si="827"/>
        <v>350</v>
      </c>
      <c r="DB292" s="443">
        <f t="shared" si="828"/>
        <v>324.12687578993797</v>
      </c>
      <c r="DD292" s="217">
        <f t="shared" si="829"/>
        <v>2.940563086548488</v>
      </c>
      <c r="DE292" s="173">
        <f t="shared" si="830"/>
        <v>1.8769551616266944</v>
      </c>
      <c r="DF292" s="173">
        <f t="shared" si="831"/>
        <v>3.5939660877863036</v>
      </c>
      <c r="DG292" s="173"/>
      <c r="DH292" s="173">
        <f t="shared" si="832"/>
        <v>0.85106382978723416</v>
      </c>
      <c r="DI292" s="545">
        <f t="shared" si="833"/>
        <v>2009.2499999999998</v>
      </c>
      <c r="DJ292" s="528">
        <f t="shared" si="834"/>
        <v>0.79432624113475192</v>
      </c>
      <c r="DL292" s="173">
        <f t="shared" si="835"/>
        <v>3.0556738793828861</v>
      </c>
      <c r="DM292" s="173">
        <f t="shared" si="836"/>
        <v>3.1752907801418444</v>
      </c>
      <c r="DN292" s="173">
        <f t="shared" si="837"/>
        <v>2.5644129235618598</v>
      </c>
      <c r="DP292" s="545">
        <f t="shared" si="838"/>
        <v>4560.0000000000009</v>
      </c>
      <c r="DQ292" s="460">
        <f t="shared" si="839"/>
        <v>324.12687578993797</v>
      </c>
      <c r="DS292">
        <f t="shared" si="840"/>
        <v>4560.0000000000009</v>
      </c>
      <c r="DT292">
        <f t="shared" si="841"/>
        <v>324.12687578993797</v>
      </c>
      <c r="DV292" s="5">
        <f t="shared" si="870"/>
        <v>3.0852116090739905</v>
      </c>
      <c r="DW292" s="5">
        <f t="shared" si="842"/>
        <v>1.0584302600472812</v>
      </c>
      <c r="DX292" s="5">
        <f t="shared" si="843"/>
        <v>2.0267813490267095</v>
      </c>
      <c r="DY292" s="173">
        <f t="shared" si="844"/>
        <v>0.3430656934306569</v>
      </c>
      <c r="EA292" s="5">
        <f t="shared" si="871"/>
        <v>120.66104964539008</v>
      </c>
      <c r="EB292" s="5">
        <f t="shared" si="872"/>
        <v>0.44689277646440767</v>
      </c>
      <c r="EC292" s="5">
        <f t="shared" si="873"/>
        <v>0.85575212514461063</v>
      </c>
      <c r="ED292" s="5"/>
      <c r="EE292" s="173">
        <f t="shared" si="874"/>
        <v>1.0737706288021536</v>
      </c>
      <c r="EF292" s="173">
        <f t="shared" si="875"/>
        <v>5.9435214920087178</v>
      </c>
      <c r="EG292" s="173">
        <f t="shared" si="876"/>
        <v>0.11324817978016612</v>
      </c>
      <c r="EH292" s="173"/>
      <c r="EI292" s="528">
        <f t="shared" si="877"/>
        <v>1.4066397031993701E-2</v>
      </c>
      <c r="EJ292" s="528">
        <f t="shared" si="878"/>
        <v>1.1279999999999999</v>
      </c>
      <c r="EK292" s="528">
        <f t="shared" si="879"/>
        <v>4.0515859473742248E-2</v>
      </c>
      <c r="EL292" s="528">
        <f t="shared" si="880"/>
        <v>9.7336597307221523E-2</v>
      </c>
      <c r="EM292">
        <f t="shared" si="881"/>
        <v>1.6199999999999999E-2</v>
      </c>
      <c r="EN292" s="460">
        <f t="shared" si="882"/>
        <v>56.715859473742249</v>
      </c>
      <c r="EP292" s="460">
        <f t="shared" si="883"/>
        <v>1296.1188538129572</v>
      </c>
      <c r="EQ292" s="173">
        <f t="shared" si="884"/>
        <v>3.1920000000000002</v>
      </c>
      <c r="ER292" s="173">
        <f t="shared" si="845"/>
        <v>3.3725000000000005E-2</v>
      </c>
      <c r="ES292" s="528"/>
      <c r="EU292" s="460">
        <f t="shared" si="885"/>
        <v>3225.7250000000004</v>
      </c>
      <c r="EV292" s="528">
        <f t="shared" si="886"/>
        <v>3.4589500898345164E-2</v>
      </c>
      <c r="EW292" s="528">
        <f t="shared" si="887"/>
        <v>1.0597634317790858</v>
      </c>
      <c r="EX292" s="528">
        <f t="shared" si="888"/>
        <v>6.4125751117604122E-5</v>
      </c>
      <c r="EY292" s="528">
        <f t="shared" si="889"/>
        <v>1.6990899383038476</v>
      </c>
      <c r="EZ292" s="528"/>
      <c r="FA292" s="625">
        <f t="shared" si="890"/>
        <v>8.1700000000000023E-2</v>
      </c>
      <c r="FB292" s="460">
        <f t="shared" si="891"/>
        <v>2875.206996732396</v>
      </c>
      <c r="FC292" s="173">
        <f t="shared" si="892"/>
        <v>7.3970508505453534</v>
      </c>
      <c r="FD292" s="5">
        <f t="shared" si="893"/>
        <v>19.608000000000004</v>
      </c>
      <c r="FE292" s="173">
        <f t="shared" si="894"/>
        <v>0.72608639430145805</v>
      </c>
      <c r="FF292" s="5">
        <f t="shared" si="895"/>
        <v>72.6086394301458</v>
      </c>
      <c r="FG292">
        <f t="shared" si="896"/>
        <v>76.000000000000014</v>
      </c>
      <c r="FI292" s="562">
        <f t="shared" si="846"/>
        <v>-50</v>
      </c>
    </row>
    <row r="293" spans="5:165">
      <c r="E293" s="170">
        <v>77</v>
      </c>
      <c r="F293" s="217">
        <f t="shared" si="847"/>
        <v>4.62</v>
      </c>
      <c r="G293" s="217">
        <f t="shared" si="775"/>
        <v>7.7000000000000013E-2</v>
      </c>
      <c r="H293" s="217">
        <f t="shared" si="776"/>
        <v>18.48</v>
      </c>
      <c r="I293" s="217">
        <f t="shared" si="777"/>
        <v>1.3860000000000001</v>
      </c>
      <c r="J293" s="541">
        <f t="shared" si="778"/>
        <v>35.907875812519848</v>
      </c>
      <c r="K293" s="443">
        <f t="shared" si="779"/>
        <v>19.643920000000001</v>
      </c>
      <c r="L293" s="172">
        <f t="shared" si="780"/>
        <v>55.551795812519849</v>
      </c>
      <c r="M293" s="443"/>
      <c r="N293" s="217">
        <f t="shared" si="781"/>
        <v>0.35361449099315706</v>
      </c>
      <c r="O293" s="172">
        <f t="shared" si="782"/>
        <v>39.372233265394428</v>
      </c>
      <c r="P293" s="172">
        <f t="shared" si="783"/>
        <v>3.1743863070224259</v>
      </c>
      <c r="Q293" s="217">
        <f t="shared" si="784"/>
        <v>9.843058316348607</v>
      </c>
      <c r="R293" s="217">
        <f t="shared" si="785"/>
        <v>2.1873462925219127</v>
      </c>
      <c r="S293" s="217">
        <f t="shared" si="786"/>
        <v>4</v>
      </c>
      <c r="T293" s="217">
        <f t="shared" si="787"/>
        <v>3.1291087597076848</v>
      </c>
      <c r="U293" s="217">
        <f t="shared" si="788"/>
        <v>1.0457122362944138</v>
      </c>
      <c r="V293" s="217">
        <f t="shared" si="789"/>
        <v>1.9114975583535372</v>
      </c>
      <c r="W293" s="197">
        <f t="shared" si="790"/>
        <v>350</v>
      </c>
      <c r="X293" s="443">
        <f t="shared" si="848"/>
        <v>316.73536604858612</v>
      </c>
      <c r="Z293" s="217">
        <f t="shared" si="791"/>
        <v>3.0232250543070718</v>
      </c>
      <c r="AA293" s="173">
        <f t="shared" si="792"/>
        <v>1.8468157400195513</v>
      </c>
      <c r="AB293" s="173">
        <f t="shared" si="793"/>
        <v>3.63566300571259</v>
      </c>
      <c r="AC293" s="173"/>
      <c r="AD293" s="173">
        <f t="shared" si="794"/>
        <v>0.81450138261609706</v>
      </c>
      <c r="AE293" s="545">
        <f t="shared" si="795"/>
        <v>2127.0682124999998</v>
      </c>
      <c r="AF293" s="528">
        <f t="shared" si="796"/>
        <v>0.7602012904416906</v>
      </c>
      <c r="AH293" s="173">
        <f t="shared" si="797"/>
        <v>3.0757112998459397</v>
      </c>
      <c r="AI293" s="173">
        <f t="shared" si="798"/>
        <v>3.1291087597076848</v>
      </c>
      <c r="AJ293" s="173">
        <f t="shared" si="799"/>
        <v>2.5302040195365567</v>
      </c>
      <c r="AL293" s="545">
        <f t="shared" si="800"/>
        <v>4620</v>
      </c>
      <c r="AM293" s="460">
        <f t="shared" si="801"/>
        <v>316.73536604858612</v>
      </c>
      <c r="AO293">
        <f t="shared" si="802"/>
        <v>4620</v>
      </c>
      <c r="AP293">
        <f t="shared" si="803"/>
        <v>316.73536604858612</v>
      </c>
      <c r="AR293" s="5">
        <f t="shared" si="774"/>
        <v>3.1572097946479505</v>
      </c>
      <c r="AS293" s="5">
        <f t="shared" si="739"/>
        <v>1.0457122362944138</v>
      </c>
      <c r="AT293" s="5">
        <f t="shared" si="740"/>
        <v>2.1114975583535367</v>
      </c>
      <c r="AU293" s="173">
        <f t="shared" si="741"/>
        <v>0.33121404794419673</v>
      </c>
      <c r="BA293" s="173">
        <f t="shared" si="849"/>
        <v>1.0397152289324478</v>
      </c>
      <c r="BB293" s="173">
        <f t="shared" si="850"/>
        <v>5.9096749412048979</v>
      </c>
      <c r="BC293" s="173">
        <f t="shared" si="851"/>
        <v>0.11260326577160683</v>
      </c>
      <c r="BD293" s="173"/>
      <c r="BE293" s="528">
        <f t="shared" si="852"/>
        <v>1.3188294638743438E-2</v>
      </c>
      <c r="BF293" s="528">
        <f t="shared" si="804"/>
        <v>1.0323253493625817</v>
      </c>
      <c r="BG293" s="528">
        <f t="shared" si="805"/>
        <v>0.28433235473764112</v>
      </c>
      <c r="BH293" s="528">
        <f t="shared" si="853"/>
        <v>9.7744597879660625E-2</v>
      </c>
      <c r="BI293">
        <f t="shared" si="854"/>
        <v>1.615854411563393E-2</v>
      </c>
      <c r="BJ293" s="460">
        <f t="shared" si="855"/>
        <v>300.49089885327504</v>
      </c>
      <c r="BK293">
        <f t="shared" si="806"/>
        <v>1.1504239796171201</v>
      </c>
      <c r="BL293" s="460">
        <f t="shared" si="856"/>
        <v>1443.7491407342609</v>
      </c>
      <c r="BM293" s="173">
        <f t="shared" si="807"/>
        <v>2.8701749999999997</v>
      </c>
      <c r="BN293" s="173">
        <f t="shared" si="808"/>
        <v>3.4168750000000005E-2</v>
      </c>
      <c r="BQ293" s="460">
        <f t="shared" si="857"/>
        <v>2904.34375</v>
      </c>
      <c r="BR293" s="528">
        <f t="shared" si="858"/>
        <v>3.2430232718221569E-2</v>
      </c>
      <c r="BS293" s="528">
        <f t="shared" si="859"/>
        <v>1.0477277373211535</v>
      </c>
      <c r="BT293" s="528">
        <f t="shared" si="860"/>
        <v>6.339747731215561E-5</v>
      </c>
      <c r="BU293" s="528">
        <f t="shared" si="861"/>
        <v>1.5461906638519405</v>
      </c>
      <c r="BV293" s="528"/>
      <c r="BW293" s="625">
        <f t="shared" si="862"/>
        <v>7.7531446015065661E-2</v>
      </c>
      <c r="BX293" s="460">
        <f t="shared" si="863"/>
        <v>2703.9434773836938</v>
      </c>
      <c r="BY293" s="173">
        <f t="shared" si="864"/>
        <v>7.0520363681179541</v>
      </c>
      <c r="BZ293" s="5">
        <f t="shared" si="865"/>
        <v>19.866</v>
      </c>
      <c r="CA293" s="173">
        <f t="shared" si="866"/>
        <v>0.73801817221443133</v>
      </c>
      <c r="CB293" s="5">
        <f t="shared" si="867"/>
        <v>73.80181722144313</v>
      </c>
      <c r="CC293">
        <f t="shared" si="868"/>
        <v>77</v>
      </c>
      <c r="CE293" s="562">
        <f t="shared" si="809"/>
        <v>-50</v>
      </c>
      <c r="CG293" s="173">
        <f t="shared" si="810"/>
        <v>0.65693430656934315</v>
      </c>
      <c r="CH293" s="173">
        <f t="shared" si="811"/>
        <v>0.17833950839807344</v>
      </c>
      <c r="CI293" s="170">
        <v>77</v>
      </c>
      <c r="CJ293" s="217">
        <f t="shared" si="869"/>
        <v>4.62</v>
      </c>
      <c r="CK293" s="217">
        <f t="shared" si="812"/>
        <v>7.7000000000000013E-2</v>
      </c>
      <c r="CL293" s="217">
        <f t="shared" si="813"/>
        <v>18.48</v>
      </c>
      <c r="CM293" s="217">
        <f t="shared" si="814"/>
        <v>1.3860000000000001</v>
      </c>
      <c r="CN293" s="541">
        <f t="shared" si="815"/>
        <v>36</v>
      </c>
      <c r="CO293" s="443">
        <f t="shared" si="816"/>
        <v>18.8</v>
      </c>
      <c r="CP293" s="443">
        <f t="shared" si="817"/>
        <v>54.8</v>
      </c>
      <c r="CQ293" s="443"/>
      <c r="CR293" s="217">
        <f t="shared" si="818"/>
        <v>0.34306569343065696</v>
      </c>
      <c r="CS293" s="172">
        <f t="shared" si="819"/>
        <v>38.295705313189622</v>
      </c>
      <c r="CT293" s="172">
        <f t="shared" si="820"/>
        <v>3.0875912408759132</v>
      </c>
      <c r="CU293" s="217">
        <f t="shared" si="821"/>
        <v>9.5739263282974054</v>
      </c>
      <c r="CV293" s="217">
        <f t="shared" si="822"/>
        <v>2.12753918406609</v>
      </c>
      <c r="CW293" s="217">
        <f t="shared" si="823"/>
        <v>4</v>
      </c>
      <c r="CX293" s="217">
        <f t="shared" si="824"/>
        <v>3.2170709219858153</v>
      </c>
      <c r="CY293" s="217">
        <f t="shared" si="825"/>
        <v>1.0723569739952719</v>
      </c>
      <c r="CZ293" s="217">
        <f t="shared" si="826"/>
        <v>2.0534495246717972</v>
      </c>
      <c r="DA293" s="197">
        <f t="shared" si="827"/>
        <v>350</v>
      </c>
      <c r="DB293" s="443">
        <f t="shared" si="828"/>
        <v>319.91743584461415</v>
      </c>
      <c r="DD293" s="217">
        <f t="shared" si="829"/>
        <v>2.940563086548488</v>
      </c>
      <c r="DE293" s="173">
        <f t="shared" si="830"/>
        <v>1.8769551616266944</v>
      </c>
      <c r="DF293" s="173">
        <f t="shared" si="831"/>
        <v>3.5939660877863036</v>
      </c>
      <c r="DG293" s="173"/>
      <c r="DH293" s="173">
        <f t="shared" si="832"/>
        <v>0.85106382978723416</v>
      </c>
      <c r="DI293" s="545">
        <f t="shared" si="833"/>
        <v>2035.6874999999993</v>
      </c>
      <c r="DJ293" s="528">
        <f t="shared" si="834"/>
        <v>0.79432624113475192</v>
      </c>
      <c r="DL293" s="173">
        <f t="shared" si="835"/>
        <v>3.0757112998459397</v>
      </c>
      <c r="DM293" s="173">
        <f t="shared" si="836"/>
        <v>3.2170709219858153</v>
      </c>
      <c r="DN293" s="173">
        <f t="shared" si="837"/>
        <v>2.5953611767796163</v>
      </c>
      <c r="DP293" s="545">
        <f t="shared" si="838"/>
        <v>4620</v>
      </c>
      <c r="DQ293" s="460">
        <f t="shared" si="839"/>
        <v>319.91743584461415</v>
      </c>
      <c r="DS293">
        <f t="shared" si="840"/>
        <v>4620</v>
      </c>
      <c r="DT293">
        <f t="shared" si="841"/>
        <v>319.91743584461415</v>
      </c>
      <c r="DV293" s="5">
        <f t="shared" si="870"/>
        <v>3.1258064986670693</v>
      </c>
      <c r="DW293" s="5">
        <f t="shared" si="842"/>
        <v>1.0723569739952719</v>
      </c>
      <c r="DX293" s="5">
        <f t="shared" si="843"/>
        <v>2.0534495246717972</v>
      </c>
      <c r="DY293" s="173">
        <f t="shared" si="844"/>
        <v>0.3430656934306569</v>
      </c>
      <c r="EA293" s="5">
        <f t="shared" si="871"/>
        <v>123.85723049645389</v>
      </c>
      <c r="EB293" s="5">
        <f t="shared" si="872"/>
        <v>0.45873048332019967</v>
      </c>
      <c r="EC293" s="5">
        <f t="shared" si="873"/>
        <v>0.87842007444293535</v>
      </c>
      <c r="ED293" s="5"/>
      <c r="EE293" s="173">
        <f t="shared" si="874"/>
        <v>1.0878991897074448</v>
      </c>
      <c r="EF293" s="173">
        <f t="shared" si="875"/>
        <v>6.0217257221667264</v>
      </c>
      <c r="EG293" s="173">
        <f t="shared" si="876"/>
        <v>0.11473828740885249</v>
      </c>
      <c r="EH293" s="173"/>
      <c r="EI293" s="528">
        <f t="shared" si="877"/>
        <v>1.4439000692986601E-2</v>
      </c>
      <c r="EJ293" s="528">
        <f t="shared" si="878"/>
        <v>1.1280000000000001</v>
      </c>
      <c r="EK293" s="528">
        <f t="shared" si="879"/>
        <v>3.9989679480576766E-2</v>
      </c>
      <c r="EL293" s="528">
        <f t="shared" si="880"/>
        <v>9.6072485653881004E-2</v>
      </c>
      <c r="EM293">
        <f t="shared" si="881"/>
        <v>1.6199999999999999E-2</v>
      </c>
      <c r="EN293" s="460">
        <f t="shared" si="882"/>
        <v>56.189679480576764</v>
      </c>
      <c r="EP293" s="460">
        <f t="shared" si="883"/>
        <v>1294.7011658274446</v>
      </c>
      <c r="EQ293" s="173">
        <f t="shared" si="884"/>
        <v>3.234</v>
      </c>
      <c r="ER293" s="173">
        <f t="shared" si="845"/>
        <v>3.4168750000000005E-2</v>
      </c>
      <c r="ES293" s="528"/>
      <c r="EU293" s="460">
        <f t="shared" si="885"/>
        <v>3268.1687500000003</v>
      </c>
      <c r="EV293" s="528">
        <f t="shared" si="886"/>
        <v>3.5505739408983446E-2</v>
      </c>
      <c r="EW293" s="528">
        <f t="shared" si="887"/>
        <v>1.0878354201901315</v>
      </c>
      <c r="EX293" s="528">
        <f t="shared" si="888"/>
        <v>6.5824372987582184E-5</v>
      </c>
      <c r="EY293" s="528">
        <f t="shared" si="889"/>
        <v>1.6990899383038467</v>
      </c>
      <c r="EZ293" s="528"/>
      <c r="FA293" s="625">
        <f t="shared" si="890"/>
        <v>8.2774999999999987E-2</v>
      </c>
      <c r="FB293" s="460">
        <f t="shared" si="891"/>
        <v>2905.2719222759488</v>
      </c>
      <c r="FC293" s="173">
        <f t="shared" si="892"/>
        <v>7.4681418381033939</v>
      </c>
      <c r="FD293" s="5">
        <f t="shared" si="893"/>
        <v>19.866</v>
      </c>
      <c r="FE293" s="173">
        <f t="shared" si="894"/>
        <v>0.72678338020135269</v>
      </c>
      <c r="FF293" s="5">
        <f t="shared" si="895"/>
        <v>72.678338020135271</v>
      </c>
      <c r="FG293">
        <f t="shared" si="896"/>
        <v>77</v>
      </c>
      <c r="FI293" s="562">
        <f t="shared" si="846"/>
        <v>-50</v>
      </c>
    </row>
    <row r="294" spans="5:165">
      <c r="E294" s="170">
        <v>78</v>
      </c>
      <c r="F294" s="217">
        <f t="shared" si="847"/>
        <v>4.68</v>
      </c>
      <c r="G294" s="217">
        <f t="shared" si="775"/>
        <v>7.8000000000000014E-2</v>
      </c>
      <c r="H294" s="217">
        <f t="shared" si="776"/>
        <v>18.72</v>
      </c>
      <c r="I294" s="217">
        <f t="shared" si="777"/>
        <v>1.4040000000000004</v>
      </c>
      <c r="J294" s="541">
        <f t="shared" si="778"/>
        <v>35.906679394500621</v>
      </c>
      <c r="K294" s="443">
        <f t="shared" si="779"/>
        <v>19.654880000000002</v>
      </c>
      <c r="L294" s="172">
        <f t="shared" si="780"/>
        <v>55.56155939450062</v>
      </c>
      <c r="M294" s="443"/>
      <c r="N294" s="217">
        <f t="shared" si="781"/>
        <v>0.35374961059759968</v>
      </c>
      <c r="O294" s="172">
        <f t="shared" si="782"/>
        <v>39.385965437697521</v>
      </c>
      <c r="P294" s="172">
        <f t="shared" si="783"/>
        <v>3.1754934634143628</v>
      </c>
      <c r="Q294" s="217">
        <f t="shared" si="784"/>
        <v>9.8464913594243804</v>
      </c>
      <c r="R294" s="217">
        <f t="shared" si="785"/>
        <v>2.1881091909831958</v>
      </c>
      <c r="S294" s="217">
        <f t="shared" si="786"/>
        <v>4</v>
      </c>
      <c r="T294" s="217">
        <f t="shared" si="787"/>
        <v>3.1686413831194313</v>
      </c>
      <c r="U294" s="217">
        <f t="shared" si="788"/>
        <v>1.0589588688965983</v>
      </c>
      <c r="V294" s="217">
        <f t="shared" si="789"/>
        <v>1.9345677306314348</v>
      </c>
      <c r="W294" s="197">
        <f t="shared" si="790"/>
        <v>350</v>
      </c>
      <c r="X294" s="443">
        <f t="shared" si="848"/>
        <v>313.13344944356771</v>
      </c>
      <c r="Z294" s="217">
        <f t="shared" si="791"/>
        <v>3.0242794889660596</v>
      </c>
      <c r="AA294" s="173">
        <f t="shared" si="792"/>
        <v>1.8464296840068579</v>
      </c>
      <c r="AB294" s="173">
        <f t="shared" si="793"/>
        <v>3.6361707858716432</v>
      </c>
      <c r="AC294" s="173"/>
      <c r="AD294" s="173">
        <f t="shared" si="794"/>
        <v>0.81404719845656659</v>
      </c>
      <c r="AE294" s="545">
        <f t="shared" si="795"/>
        <v>2155.8946499999993</v>
      </c>
      <c r="AF294" s="528">
        <f t="shared" si="796"/>
        <v>0.75977738522612892</v>
      </c>
      <c r="AH294" s="173">
        <f t="shared" si="797"/>
        <v>3.0956190241787089</v>
      </c>
      <c r="AI294" s="173">
        <f t="shared" si="798"/>
        <v>3.1686413831194313</v>
      </c>
      <c r="AJ294" s="173">
        <f t="shared" si="799"/>
        <v>2.5594874442859981</v>
      </c>
      <c r="AL294" s="545">
        <f t="shared" si="800"/>
        <v>4680</v>
      </c>
      <c r="AM294" s="460">
        <f t="shared" si="801"/>
        <v>313.13344944356771</v>
      </c>
      <c r="AO294">
        <f t="shared" si="802"/>
        <v>4680</v>
      </c>
      <c r="AP294">
        <f t="shared" si="803"/>
        <v>313.13344944356771</v>
      </c>
      <c r="AR294" s="5">
        <f t="shared" si="774"/>
        <v>3.1935265995280329</v>
      </c>
      <c r="AS294" s="5">
        <f t="shared" si="739"/>
        <v>1.0589588688965983</v>
      </c>
      <c r="AT294" s="5">
        <f t="shared" si="740"/>
        <v>2.1345677306314346</v>
      </c>
      <c r="AU294" s="173">
        <f t="shared" si="741"/>
        <v>0.33159544343645059</v>
      </c>
      <c r="BA294" s="173">
        <f t="shared" si="849"/>
        <v>1.0534568212670163</v>
      </c>
      <c r="BB294" s="173">
        <f t="shared" si="850"/>
        <v>5.9826301426691382</v>
      </c>
      <c r="BC294" s="173">
        <f t="shared" si="851"/>
        <v>0.11399335812383088</v>
      </c>
      <c r="BD294" s="173"/>
      <c r="BE294" s="528">
        <f t="shared" si="852"/>
        <v>1.3539209546142877E-2</v>
      </c>
      <c r="BF294" s="528">
        <f t="shared" si="804"/>
        <v>1.0336612847186031</v>
      </c>
      <c r="BG294" s="528">
        <f t="shared" si="805"/>
        <v>0.28108955942160635</v>
      </c>
      <c r="BH294" s="528">
        <f t="shared" si="853"/>
        <v>9.6667016420181259E-2</v>
      </c>
      <c r="BI294">
        <f t="shared" si="854"/>
        <v>1.6158005727525279E-2</v>
      </c>
      <c r="BJ294" s="460">
        <f t="shared" si="855"/>
        <v>297.24756514913162</v>
      </c>
      <c r="BK294">
        <f t="shared" si="806"/>
        <v>1.1512264964149459</v>
      </c>
      <c r="BL294" s="460">
        <f t="shared" si="856"/>
        <v>1441.1150758340586</v>
      </c>
      <c r="BM294" s="173">
        <f t="shared" si="807"/>
        <v>2.9074499999999999</v>
      </c>
      <c r="BN294" s="173">
        <f t="shared" si="808"/>
        <v>3.4612500000000004E-2</v>
      </c>
      <c r="BQ294" s="460">
        <f t="shared" si="857"/>
        <v>2942.0625</v>
      </c>
      <c r="BR294" s="528">
        <f t="shared" si="858"/>
        <v>3.3293138228220193E-2</v>
      </c>
      <c r="BS294" s="528">
        <f t="shared" si="859"/>
        <v>1.0737559027192005</v>
      </c>
      <c r="BT294" s="528">
        <f t="shared" si="860"/>
        <v>6.4972428481739809E-5</v>
      </c>
      <c r="BU294" s="528">
        <f t="shared" si="861"/>
        <v>1.5505164724004219</v>
      </c>
      <c r="BV294" s="528"/>
      <c r="BW294" s="625">
        <f t="shared" si="862"/>
        <v>7.8598752052831386E-2</v>
      </c>
      <c r="BX294" s="460">
        <f t="shared" si="863"/>
        <v>2736.2292378291559</v>
      </c>
      <c r="BY294" s="173">
        <f t="shared" si="864"/>
        <v>7.1194068136632138</v>
      </c>
      <c r="BZ294" s="5">
        <f t="shared" si="865"/>
        <v>20.123999999999999</v>
      </c>
      <c r="CA294" s="173">
        <f t="shared" si="866"/>
        <v>0.73867413637516643</v>
      </c>
      <c r="CB294" s="5">
        <f t="shared" si="867"/>
        <v>73.867413637516648</v>
      </c>
      <c r="CC294">
        <f t="shared" si="868"/>
        <v>77.999999999999986</v>
      </c>
      <c r="CE294" s="562">
        <f t="shared" si="809"/>
        <v>-50</v>
      </c>
      <c r="CG294" s="173">
        <f t="shared" si="810"/>
        <v>0.65693430656934304</v>
      </c>
      <c r="CH294" s="173">
        <f t="shared" si="811"/>
        <v>0.17833950839807347</v>
      </c>
      <c r="CI294" s="170">
        <v>78</v>
      </c>
      <c r="CJ294" s="217">
        <f t="shared" si="869"/>
        <v>4.68</v>
      </c>
      <c r="CK294" s="217">
        <f t="shared" si="812"/>
        <v>7.8000000000000014E-2</v>
      </c>
      <c r="CL294" s="217">
        <f t="shared" si="813"/>
        <v>18.72</v>
      </c>
      <c r="CM294" s="217">
        <f t="shared" si="814"/>
        <v>1.4040000000000004</v>
      </c>
      <c r="CN294" s="541">
        <f t="shared" si="815"/>
        <v>36</v>
      </c>
      <c r="CO294" s="443">
        <f t="shared" si="816"/>
        <v>18.8</v>
      </c>
      <c r="CP294" s="443">
        <f t="shared" si="817"/>
        <v>54.8</v>
      </c>
      <c r="CQ294" s="443"/>
      <c r="CR294" s="217">
        <f t="shared" si="818"/>
        <v>0.34306569343065696</v>
      </c>
      <c r="CS294" s="172">
        <f t="shared" si="819"/>
        <v>38.295705313189622</v>
      </c>
      <c r="CT294" s="172">
        <f t="shared" si="820"/>
        <v>3.0875912408759132</v>
      </c>
      <c r="CU294" s="217">
        <f t="shared" si="821"/>
        <v>9.5739263282974054</v>
      </c>
      <c r="CV294" s="217">
        <f t="shared" si="822"/>
        <v>2.12753918406609</v>
      </c>
      <c r="CW294" s="217">
        <f t="shared" si="823"/>
        <v>4</v>
      </c>
      <c r="CX294" s="217">
        <f t="shared" si="824"/>
        <v>3.2588510638297867</v>
      </c>
      <c r="CY294" s="217">
        <f t="shared" si="825"/>
        <v>1.0862836879432622</v>
      </c>
      <c r="CZ294" s="217">
        <f t="shared" si="826"/>
        <v>2.0801177003168854</v>
      </c>
      <c r="DA294" s="197">
        <f t="shared" si="827"/>
        <v>350</v>
      </c>
      <c r="DB294" s="443">
        <f t="shared" si="828"/>
        <v>315.81593025686271</v>
      </c>
      <c r="DD294" s="217">
        <f t="shared" si="829"/>
        <v>2.940563086548488</v>
      </c>
      <c r="DE294" s="173">
        <f t="shared" si="830"/>
        <v>1.8769551616266944</v>
      </c>
      <c r="DF294" s="173">
        <f t="shared" si="831"/>
        <v>3.5939660877863036</v>
      </c>
      <c r="DG294" s="173"/>
      <c r="DH294" s="173">
        <f t="shared" si="832"/>
        <v>0.85106382978723416</v>
      </c>
      <c r="DI294" s="545">
        <f t="shared" si="833"/>
        <v>2062.1249999999991</v>
      </c>
      <c r="DJ294" s="528">
        <f t="shared" si="834"/>
        <v>0.79432624113475192</v>
      </c>
      <c r="DL294" s="173">
        <f t="shared" si="835"/>
        <v>3.0956190241787089</v>
      </c>
      <c r="DM294" s="173">
        <f t="shared" si="836"/>
        <v>3.2588510638297867</v>
      </c>
      <c r="DN294" s="173">
        <f t="shared" si="837"/>
        <v>2.6263094299973728</v>
      </c>
      <c r="DP294" s="545">
        <f t="shared" si="838"/>
        <v>4680</v>
      </c>
      <c r="DQ294" s="460">
        <f t="shared" si="839"/>
        <v>315.81593025686271</v>
      </c>
      <c r="DS294">
        <f t="shared" si="840"/>
        <v>4680</v>
      </c>
      <c r="DT294">
        <f t="shared" si="841"/>
        <v>315.81593025686271</v>
      </c>
      <c r="DV294" s="5">
        <f t="shared" si="870"/>
        <v>3.1664013882601472</v>
      </c>
      <c r="DW294" s="5">
        <f t="shared" si="842"/>
        <v>1.0862836879432622</v>
      </c>
      <c r="DX294" s="5">
        <f t="shared" si="843"/>
        <v>2.0801177003168849</v>
      </c>
      <c r="DY294" s="173">
        <f t="shared" si="844"/>
        <v>0.34306569343065696</v>
      </c>
      <c r="EA294" s="5">
        <f t="shared" si="871"/>
        <v>127.09519148936168</v>
      </c>
      <c r="EB294" s="5">
        <f t="shared" si="872"/>
        <v>0.47072293144208038</v>
      </c>
      <c r="EC294" s="5">
        <f t="shared" si="873"/>
        <v>0.90138433680398333</v>
      </c>
      <c r="ED294" s="5"/>
      <c r="EE294" s="173">
        <f t="shared" si="874"/>
        <v>1.1020277506127361</v>
      </c>
      <c r="EF294" s="173">
        <f t="shared" si="875"/>
        <v>6.0999299523247341</v>
      </c>
      <c r="EG294" s="173">
        <f t="shared" si="876"/>
        <v>0.11622839503753887</v>
      </c>
      <c r="EH294" s="173"/>
      <c r="EI294" s="528">
        <f t="shared" si="877"/>
        <v>1.4816474990070914E-2</v>
      </c>
      <c r="EJ294" s="528">
        <f t="shared" si="878"/>
        <v>1.1279999999999999</v>
      </c>
      <c r="EK294" s="528">
        <f t="shared" si="879"/>
        <v>3.947699128210784E-2</v>
      </c>
      <c r="EL294" s="528">
        <f t="shared" si="880"/>
        <v>9.4840787119856884E-2</v>
      </c>
      <c r="EM294">
        <f t="shared" si="881"/>
        <v>1.6199999999999999E-2</v>
      </c>
      <c r="EN294" s="460">
        <f t="shared" si="882"/>
        <v>55.676991282107842</v>
      </c>
      <c r="EP294" s="460">
        <f t="shared" si="883"/>
        <v>1293.3342533920356</v>
      </c>
      <c r="EQ294" s="173">
        <f t="shared" si="884"/>
        <v>3.2759999999999998</v>
      </c>
      <c r="ER294" s="173">
        <f t="shared" si="845"/>
        <v>3.4612500000000004E-2</v>
      </c>
      <c r="ES294" s="528"/>
      <c r="EU294" s="460">
        <f t="shared" si="885"/>
        <v>3310.6125000000002</v>
      </c>
      <c r="EV294" s="528">
        <f t="shared" si="886"/>
        <v>3.6433954893616997E-2</v>
      </c>
      <c r="EW294" s="528">
        <f t="shared" si="887"/>
        <v>1.1162743626980529</v>
      </c>
      <c r="EX294" s="528">
        <f t="shared" si="888"/>
        <v>6.7545199065010953E-5</v>
      </c>
      <c r="EY294" s="528">
        <f t="shared" si="889"/>
        <v>1.6990899383038454</v>
      </c>
      <c r="EZ294" s="528"/>
      <c r="FA294" s="625">
        <f t="shared" si="890"/>
        <v>8.3849999999999994E-2</v>
      </c>
      <c r="FB294" s="460">
        <f t="shared" si="891"/>
        <v>2935.71580109458</v>
      </c>
      <c r="FC294" s="173">
        <f t="shared" si="892"/>
        <v>7.5396625544866156</v>
      </c>
      <c r="FD294" s="5">
        <f t="shared" si="893"/>
        <v>20.123999999999999</v>
      </c>
      <c r="FE294" s="173">
        <f t="shared" si="894"/>
        <v>0.72745248248902605</v>
      </c>
      <c r="FF294" s="5">
        <f t="shared" si="895"/>
        <v>72.745248248902612</v>
      </c>
      <c r="FG294">
        <f t="shared" si="896"/>
        <v>77.999999999999986</v>
      </c>
      <c r="FI294" s="562">
        <f t="shared" si="846"/>
        <v>-50</v>
      </c>
    </row>
    <row r="295" spans="5:165">
      <c r="E295" s="170">
        <v>79</v>
      </c>
      <c r="F295" s="217">
        <f t="shared" si="847"/>
        <v>4.74</v>
      </c>
      <c r="G295" s="217">
        <f t="shared" si="775"/>
        <v>7.9000000000000015E-2</v>
      </c>
      <c r="H295" s="217">
        <f t="shared" si="776"/>
        <v>18.96</v>
      </c>
      <c r="I295" s="217">
        <f t="shared" si="777"/>
        <v>1.4220000000000002</v>
      </c>
      <c r="J295" s="541">
        <f t="shared" si="778"/>
        <v>35.905482976481402</v>
      </c>
      <c r="K295" s="443">
        <f t="shared" si="779"/>
        <v>19.665839999999999</v>
      </c>
      <c r="L295" s="172">
        <f t="shared" si="780"/>
        <v>55.571322976481397</v>
      </c>
      <c r="M295" s="443"/>
      <c r="N295" s="217">
        <f t="shared" si="781"/>
        <v>0.35388468272246953</v>
      </c>
      <c r="O295" s="172">
        <f t="shared" si="782"/>
        <v>39.399691321330707</v>
      </c>
      <c r="P295" s="172">
        <f t="shared" si="783"/>
        <v>3.176600112782288</v>
      </c>
      <c r="Q295" s="217">
        <f t="shared" si="784"/>
        <v>9.8499228303326767</v>
      </c>
      <c r="R295" s="217">
        <f t="shared" si="785"/>
        <v>2.1888717400739282</v>
      </c>
      <c r="S295" s="217">
        <f t="shared" si="786"/>
        <v>4</v>
      </c>
      <c r="T295" s="217">
        <f t="shared" si="787"/>
        <v>3.2081469615871834</v>
      </c>
      <c r="U295" s="217">
        <f t="shared" si="788"/>
        <v>1.0721973455770746</v>
      </c>
      <c r="V295" s="217">
        <f t="shared" si="789"/>
        <v>1.9575956856684584</v>
      </c>
      <c r="W295" s="197">
        <f t="shared" si="790"/>
        <v>350</v>
      </c>
      <c r="X295" s="443">
        <f t="shared" si="848"/>
        <v>309.61736257581845</v>
      </c>
      <c r="Z295" s="217">
        <f t="shared" si="791"/>
        <v>3.0253334407450354</v>
      </c>
      <c r="AA295" s="173">
        <f t="shared" si="792"/>
        <v>1.846043763650087</v>
      </c>
      <c r="AB295" s="173">
        <f t="shared" si="793"/>
        <v>3.6366777226740492</v>
      </c>
      <c r="AC295" s="173"/>
      <c r="AD295" s="173">
        <f t="shared" si="794"/>
        <v>0.81359352054120249</v>
      </c>
      <c r="AE295" s="545">
        <f t="shared" si="795"/>
        <v>2184.7519124999994</v>
      </c>
      <c r="AF295" s="528">
        <f t="shared" si="796"/>
        <v>0.7593539525051225</v>
      </c>
      <c r="AH295" s="173">
        <f t="shared" si="797"/>
        <v>3.1153995386971292</v>
      </c>
      <c r="AI295" s="173">
        <f t="shared" si="798"/>
        <v>3.2081469615871834</v>
      </c>
      <c r="AJ295" s="173">
        <f t="shared" si="799"/>
        <v>2.5887508357435927</v>
      </c>
      <c r="AL295" s="545">
        <f t="shared" si="800"/>
        <v>4740</v>
      </c>
      <c r="AM295" s="460">
        <f t="shared" si="801"/>
        <v>309.61736257581845</v>
      </c>
      <c r="AO295">
        <f t="shared" si="802"/>
        <v>4740</v>
      </c>
      <c r="AP295">
        <f t="shared" si="803"/>
        <v>309.61736257581845</v>
      </c>
      <c r="AR295" s="5">
        <f t="shared" si="774"/>
        <v>3.2297930312455332</v>
      </c>
      <c r="AS295" s="5">
        <f t="shared" si="739"/>
        <v>1.0721973455770746</v>
      </c>
      <c r="AT295" s="5">
        <f t="shared" si="740"/>
        <v>2.1575956856684586</v>
      </c>
      <c r="AU295" s="173">
        <f t="shared" si="741"/>
        <v>0.33197091429836723</v>
      </c>
      <c r="BA295" s="173">
        <f t="shared" si="849"/>
        <v>1.0671946626164337</v>
      </c>
      <c r="BB295" s="173">
        <f t="shared" si="850"/>
        <v>6.0555180712647276</v>
      </c>
      <c r="BC295" s="173">
        <f t="shared" si="851"/>
        <v>0.11538216865517927</v>
      </c>
      <c r="BD295" s="173"/>
      <c r="BE295" s="528">
        <f t="shared" si="852"/>
        <v>1.3894634264587445E-2</v>
      </c>
      <c r="BF295" s="528">
        <f t="shared" si="804"/>
        <v>1.0349790754797998</v>
      </c>
      <c r="BG295" s="528">
        <f t="shared" si="805"/>
        <v>0.27792402352972795</v>
      </c>
      <c r="BH295" s="528">
        <f t="shared" si="853"/>
        <v>9.5615165042494704E-2</v>
      </c>
      <c r="BI295">
        <f t="shared" si="854"/>
        <v>1.6157467339416632E-2</v>
      </c>
      <c r="BJ295" s="460">
        <f t="shared" si="855"/>
        <v>294.0814908691446</v>
      </c>
      <c r="BK295">
        <f t="shared" si="806"/>
        <v>1.1520437430467472</v>
      </c>
      <c r="BL295" s="460">
        <f t="shared" si="856"/>
        <v>1438.5703656560268</v>
      </c>
      <c r="BM295" s="173">
        <f t="shared" si="807"/>
        <v>2.944725</v>
      </c>
      <c r="BN295" s="173">
        <f t="shared" si="808"/>
        <v>3.5056250000000004E-2</v>
      </c>
      <c r="BQ295" s="460">
        <f t="shared" si="857"/>
        <v>2979.78125</v>
      </c>
      <c r="BR295" s="528">
        <f t="shared" si="858"/>
        <v>3.4167133437510114E-2</v>
      </c>
      <c r="BS295" s="528">
        <f t="shared" si="859"/>
        <v>1.1000789733424106</v>
      </c>
      <c r="BT295" s="528">
        <f t="shared" si="860"/>
        <v>6.6565224217861167E-5</v>
      </c>
      <c r="BU295" s="528">
        <f t="shared" si="861"/>
        <v>1.5547798659843459</v>
      </c>
      <c r="BV295" s="528"/>
      <c r="BW295" s="625">
        <f t="shared" si="862"/>
        <v>7.9666149096649735E-2</v>
      </c>
      <c r="BX295" s="460">
        <f t="shared" si="863"/>
        <v>2768.7586870851342</v>
      </c>
      <c r="BY295" s="173">
        <f t="shared" si="864"/>
        <v>7.1871103027411616</v>
      </c>
      <c r="BZ295" s="5">
        <f t="shared" si="865"/>
        <v>20.382000000000001</v>
      </c>
      <c r="CA295" s="173">
        <f t="shared" si="866"/>
        <v>0.7393056858267002</v>
      </c>
      <c r="CB295" s="5">
        <f t="shared" si="867"/>
        <v>73.93056858267002</v>
      </c>
      <c r="CC295">
        <f t="shared" si="868"/>
        <v>79</v>
      </c>
      <c r="CE295" s="562">
        <f t="shared" si="809"/>
        <v>-50</v>
      </c>
      <c r="CG295" s="173">
        <f t="shared" si="810"/>
        <v>0.65693430656934315</v>
      </c>
      <c r="CH295" s="173">
        <f t="shared" si="811"/>
        <v>0.17833950839807344</v>
      </c>
      <c r="CI295" s="170">
        <v>79</v>
      </c>
      <c r="CJ295" s="217">
        <f t="shared" si="869"/>
        <v>4.74</v>
      </c>
      <c r="CK295" s="217">
        <f t="shared" si="812"/>
        <v>7.9000000000000015E-2</v>
      </c>
      <c r="CL295" s="217">
        <f t="shared" si="813"/>
        <v>18.96</v>
      </c>
      <c r="CM295" s="217">
        <f t="shared" si="814"/>
        <v>1.4220000000000002</v>
      </c>
      <c r="CN295" s="541">
        <f t="shared" si="815"/>
        <v>36</v>
      </c>
      <c r="CO295" s="443">
        <f t="shared" si="816"/>
        <v>18.8</v>
      </c>
      <c r="CP295" s="443">
        <f t="shared" si="817"/>
        <v>54.8</v>
      </c>
      <c r="CQ295" s="443"/>
      <c r="CR295" s="217">
        <f t="shared" si="818"/>
        <v>0.34306569343065696</v>
      </c>
      <c r="CS295" s="172">
        <f t="shared" si="819"/>
        <v>38.295705313189622</v>
      </c>
      <c r="CT295" s="172">
        <f t="shared" si="820"/>
        <v>3.0875912408759132</v>
      </c>
      <c r="CU295" s="217">
        <f t="shared" si="821"/>
        <v>9.5739263282974054</v>
      </c>
      <c r="CV295" s="217">
        <f t="shared" si="822"/>
        <v>2.12753918406609</v>
      </c>
      <c r="CW295" s="217">
        <f t="shared" si="823"/>
        <v>4</v>
      </c>
      <c r="CX295" s="217">
        <f t="shared" si="824"/>
        <v>3.3006312056737586</v>
      </c>
      <c r="CY295" s="217">
        <f t="shared" si="825"/>
        <v>1.1002104018912529</v>
      </c>
      <c r="CZ295" s="217">
        <f t="shared" si="826"/>
        <v>2.1067858759619735</v>
      </c>
      <c r="DA295" s="197">
        <f t="shared" si="827"/>
        <v>350</v>
      </c>
      <c r="DB295" s="443">
        <f t="shared" si="828"/>
        <v>311.81826025361124</v>
      </c>
      <c r="DD295" s="217">
        <f t="shared" si="829"/>
        <v>2.940563086548488</v>
      </c>
      <c r="DE295" s="173">
        <f t="shared" si="830"/>
        <v>1.8769551616266944</v>
      </c>
      <c r="DF295" s="173">
        <f t="shared" si="831"/>
        <v>3.5939660877863036</v>
      </c>
      <c r="DG295" s="173"/>
      <c r="DH295" s="173">
        <f t="shared" si="832"/>
        <v>0.85106382978723416</v>
      </c>
      <c r="DI295" s="545">
        <f t="shared" si="833"/>
        <v>2088.5624999999995</v>
      </c>
      <c r="DJ295" s="528">
        <f t="shared" si="834"/>
        <v>0.79432624113475192</v>
      </c>
      <c r="DL295" s="173">
        <f t="shared" si="835"/>
        <v>3.1153995386971292</v>
      </c>
      <c r="DM295" s="173">
        <f t="shared" si="836"/>
        <v>3.3006312056737586</v>
      </c>
      <c r="DN295" s="173">
        <f t="shared" si="837"/>
        <v>2.6572576832151293</v>
      </c>
      <c r="DP295" s="545">
        <f t="shared" si="838"/>
        <v>4740</v>
      </c>
      <c r="DQ295" s="460">
        <f t="shared" si="839"/>
        <v>311.81826025361124</v>
      </c>
      <c r="DS295">
        <f t="shared" si="840"/>
        <v>4740</v>
      </c>
      <c r="DT295">
        <f t="shared" si="841"/>
        <v>311.81826025361124</v>
      </c>
      <c r="DV295" s="5">
        <f t="shared" si="870"/>
        <v>3.2069962778532268</v>
      </c>
      <c r="DW295" s="5">
        <f t="shared" si="842"/>
        <v>1.1002104018912529</v>
      </c>
      <c r="DX295" s="5">
        <f t="shared" si="843"/>
        <v>2.106785875961974</v>
      </c>
      <c r="DY295" s="173">
        <f t="shared" si="844"/>
        <v>0.3430656934306569</v>
      </c>
      <c r="EA295" s="5">
        <f t="shared" si="871"/>
        <v>130.37493262411346</v>
      </c>
      <c r="EB295" s="5">
        <f t="shared" si="872"/>
        <v>0.48287012083004993</v>
      </c>
      <c r="EC295" s="5">
        <f t="shared" si="873"/>
        <v>0.92464491222775524</v>
      </c>
      <c r="ED295" s="5"/>
      <c r="EE295" s="173">
        <f t="shared" si="874"/>
        <v>1.1161563115180277</v>
      </c>
      <c r="EF295" s="173">
        <f t="shared" si="875"/>
        <v>6.1781341824827454</v>
      </c>
      <c r="EG295" s="173">
        <f t="shared" si="876"/>
        <v>0.11771850266622529</v>
      </c>
      <c r="EH295" s="173"/>
      <c r="EI295" s="528">
        <f t="shared" si="877"/>
        <v>1.5198819923246648E-2</v>
      </c>
      <c r="EJ295" s="528">
        <f t="shared" si="878"/>
        <v>1.1279999999999999</v>
      </c>
      <c r="EK295" s="528">
        <f t="shared" si="879"/>
        <v>3.8977282531701407E-2</v>
      </c>
      <c r="EL295" s="528">
        <f t="shared" si="880"/>
        <v>9.3640270827200459E-2</v>
      </c>
      <c r="EM295">
        <f t="shared" si="881"/>
        <v>1.6199999999999999E-2</v>
      </c>
      <c r="EN295" s="460">
        <f t="shared" si="882"/>
        <v>55.177282531701408</v>
      </c>
      <c r="EP295" s="460">
        <f t="shared" si="883"/>
        <v>1292.0163732821484</v>
      </c>
      <c r="EQ295" s="173">
        <f t="shared" si="884"/>
        <v>3.3180000000000001</v>
      </c>
      <c r="ER295" s="173">
        <f t="shared" si="845"/>
        <v>3.5056250000000004E-2</v>
      </c>
      <c r="ES295" s="528"/>
      <c r="EU295" s="460">
        <f t="shared" si="885"/>
        <v>3353.0562499999996</v>
      </c>
      <c r="EV295" s="528">
        <f t="shared" si="886"/>
        <v>3.7374147352245861E-2</v>
      </c>
      <c r="EW295" s="528">
        <f t="shared" si="887"/>
        <v>1.1450802593028522</v>
      </c>
      <c r="EX295" s="528">
        <f t="shared" si="888"/>
        <v>6.9288229349890443E-5</v>
      </c>
      <c r="EY295" s="528">
        <f t="shared" si="889"/>
        <v>1.6990899383038467</v>
      </c>
      <c r="EZ295" s="528"/>
      <c r="FA295" s="625">
        <f t="shared" si="890"/>
        <v>8.4924999999999987E-2</v>
      </c>
      <c r="FB295" s="460">
        <f t="shared" si="891"/>
        <v>2966.5386331882946</v>
      </c>
      <c r="FC295" s="173">
        <f t="shared" si="892"/>
        <v>7.611611256470443</v>
      </c>
      <c r="FD295" s="5">
        <f t="shared" si="893"/>
        <v>20.382000000000001</v>
      </c>
      <c r="FE295" s="173">
        <f t="shared" si="894"/>
        <v>0.72809470036806723</v>
      </c>
      <c r="FF295" s="5">
        <f t="shared" si="895"/>
        <v>72.809470036806729</v>
      </c>
      <c r="FG295">
        <f t="shared" si="896"/>
        <v>79</v>
      </c>
      <c r="FI295" s="562">
        <f t="shared" si="846"/>
        <v>-50</v>
      </c>
    </row>
    <row r="296" spans="5:165">
      <c r="E296" s="170">
        <v>80</v>
      </c>
      <c r="F296" s="217">
        <f t="shared" si="847"/>
        <v>4.8000000000000007</v>
      </c>
      <c r="G296" s="217">
        <f t="shared" si="775"/>
        <v>8.0000000000000016E-2</v>
      </c>
      <c r="H296" s="217">
        <f t="shared" si="776"/>
        <v>19.200000000000003</v>
      </c>
      <c r="I296" s="217">
        <f t="shared" si="777"/>
        <v>1.4400000000000004</v>
      </c>
      <c r="J296" s="541">
        <f t="shared" si="778"/>
        <v>35.904286558462182</v>
      </c>
      <c r="K296" s="443">
        <f t="shared" si="779"/>
        <v>19.6768</v>
      </c>
      <c r="L296" s="172">
        <f t="shared" si="780"/>
        <v>55.581086558462182</v>
      </c>
      <c r="M296" s="443"/>
      <c r="N296" s="217">
        <f t="shared" si="781"/>
        <v>0.35401970739278793</v>
      </c>
      <c r="O296" s="172">
        <f t="shared" si="782"/>
        <v>39.413410919608033</v>
      </c>
      <c r="P296" s="172">
        <f t="shared" si="783"/>
        <v>3.1777062553933977</v>
      </c>
      <c r="Q296" s="217">
        <f t="shared" si="784"/>
        <v>9.8533527299020083</v>
      </c>
      <c r="R296" s="217">
        <f t="shared" si="785"/>
        <v>2.1896339399782239</v>
      </c>
      <c r="S296" s="217">
        <f t="shared" si="786"/>
        <v>4</v>
      </c>
      <c r="T296" s="217">
        <f t="shared" si="787"/>
        <v>3.2476255420035334</v>
      </c>
      <c r="U296" s="217">
        <f t="shared" si="788"/>
        <v>1.0854276811930499</v>
      </c>
      <c r="V296" s="217">
        <f t="shared" si="789"/>
        <v>1.9805815226074563</v>
      </c>
      <c r="W296" s="197">
        <f t="shared" si="790"/>
        <v>350</v>
      </c>
      <c r="X296" s="443">
        <f t="shared" si="848"/>
        <v>306.18407285452395</v>
      </c>
      <c r="Z296" s="217">
        <f t="shared" si="791"/>
        <v>3.0263869098984739</v>
      </c>
      <c r="AA296" s="173">
        <f t="shared" si="792"/>
        <v>1.8456579788777487</v>
      </c>
      <c r="AB296" s="173">
        <f t="shared" si="793"/>
        <v>3.6371838169280974</v>
      </c>
      <c r="AC296" s="173"/>
      <c r="AD296" s="173">
        <f t="shared" si="794"/>
        <v>0.81314034802406909</v>
      </c>
      <c r="AE296" s="545">
        <f t="shared" si="795"/>
        <v>2213.6399999999994</v>
      </c>
      <c r="AF296" s="528">
        <f t="shared" si="796"/>
        <v>0.75893099148913135</v>
      </c>
      <c r="AH296" s="173">
        <f t="shared" si="797"/>
        <v>3.1350552512789038</v>
      </c>
      <c r="AI296" s="173">
        <f t="shared" si="798"/>
        <v>3.2476255420035334</v>
      </c>
      <c r="AJ296" s="173">
        <f t="shared" si="799"/>
        <v>2.6179942286445925</v>
      </c>
      <c r="AL296" s="545">
        <f t="shared" si="800"/>
        <v>4800.0000000000009</v>
      </c>
      <c r="AM296" s="460">
        <f t="shared" si="801"/>
        <v>306.18407285452395</v>
      </c>
      <c r="AO296">
        <f t="shared" si="802"/>
        <v>4800.0000000000009</v>
      </c>
      <c r="AP296">
        <f t="shared" si="803"/>
        <v>306.18407285452395</v>
      </c>
      <c r="AR296" s="5">
        <f t="shared" si="774"/>
        <v>3.2660092038005062</v>
      </c>
      <c r="AS296" s="5">
        <f t="shared" si="739"/>
        <v>1.0854276811930499</v>
      </c>
      <c r="AT296" s="5">
        <f t="shared" si="740"/>
        <v>2.1805815226074561</v>
      </c>
      <c r="AU296" s="173">
        <f t="shared" si="741"/>
        <v>0.33234066821672981</v>
      </c>
      <c r="BA296" s="173">
        <f t="shared" si="849"/>
        <v>1.0809287431912402</v>
      </c>
      <c r="BB296" s="173">
        <f t="shared" si="850"/>
        <v>6.1283389016395029</v>
      </c>
      <c r="BC296" s="173">
        <f t="shared" si="851"/>
        <v>0.11676970069340134</v>
      </c>
      <c r="BD296" s="173"/>
      <c r="BE296" s="528">
        <f t="shared" si="852"/>
        <v>1.4254564763855327E-2</v>
      </c>
      <c r="BF296" s="528">
        <f t="shared" si="804"/>
        <v>1.0362793613084651</v>
      </c>
      <c r="BG296" s="528">
        <f t="shared" si="805"/>
        <v>0.2748330172851472</v>
      </c>
      <c r="BH296" s="528">
        <f t="shared" si="853"/>
        <v>9.4588134639193217E-2</v>
      </c>
      <c r="BI296">
        <f t="shared" si="854"/>
        <v>1.6156928951307981E-2</v>
      </c>
      <c r="BJ296" s="460">
        <f t="shared" si="855"/>
        <v>290.98994623645518</v>
      </c>
      <c r="BK296">
        <f t="shared" si="806"/>
        <v>1.1528754492887097</v>
      </c>
      <c r="BL296" s="460">
        <f t="shared" si="856"/>
        <v>1436.1120069479687</v>
      </c>
      <c r="BM296" s="173">
        <f t="shared" si="807"/>
        <v>2.9820000000000002</v>
      </c>
      <c r="BN296" s="173">
        <f t="shared" si="808"/>
        <v>3.5500000000000004E-2</v>
      </c>
      <c r="BQ296" s="460">
        <f t="shared" si="857"/>
        <v>3017.5</v>
      </c>
      <c r="BR296" s="528">
        <f t="shared" si="858"/>
        <v>3.5052208435709824E-2</v>
      </c>
      <c r="BS296" s="528">
        <f t="shared" si="859"/>
        <v>1.126696130800442</v>
      </c>
      <c r="BT296" s="528">
        <f t="shared" si="860"/>
        <v>6.8175815000132665E-5</v>
      </c>
      <c r="BU296" s="528">
        <f t="shared" si="861"/>
        <v>1.5589829469575749</v>
      </c>
      <c r="BV296" s="528"/>
      <c r="BW296" s="625">
        <f t="shared" si="862"/>
        <v>8.0733633946902222E-2</v>
      </c>
      <c r="BX296" s="460">
        <f t="shared" si="863"/>
        <v>2801.5330959556291</v>
      </c>
      <c r="BY296" s="173">
        <f t="shared" si="864"/>
        <v>7.2551451029035983</v>
      </c>
      <c r="BZ296" s="5">
        <f t="shared" si="865"/>
        <v>20.640000000000004</v>
      </c>
      <c r="CA296" s="173">
        <f t="shared" si="866"/>
        <v>0.73991369909925975</v>
      </c>
      <c r="CB296" s="5">
        <f t="shared" si="867"/>
        <v>73.991369909925979</v>
      </c>
      <c r="CC296">
        <f t="shared" si="868"/>
        <v>80.000000000000014</v>
      </c>
      <c r="CE296" s="562">
        <f t="shared" si="809"/>
        <v>-50</v>
      </c>
      <c r="CG296" s="173">
        <f t="shared" si="810"/>
        <v>0.65693430656934304</v>
      </c>
      <c r="CH296" s="173">
        <f t="shared" si="811"/>
        <v>0.17833950839807344</v>
      </c>
      <c r="CI296" s="170">
        <v>80</v>
      </c>
      <c r="CJ296" s="217">
        <f t="shared" si="869"/>
        <v>4.8000000000000007</v>
      </c>
      <c r="CK296" s="217">
        <f t="shared" si="812"/>
        <v>8.0000000000000016E-2</v>
      </c>
      <c r="CL296" s="217">
        <f t="shared" si="813"/>
        <v>19.200000000000003</v>
      </c>
      <c r="CM296" s="217">
        <f t="shared" si="814"/>
        <v>1.4400000000000004</v>
      </c>
      <c r="CN296" s="541">
        <f t="shared" si="815"/>
        <v>36</v>
      </c>
      <c r="CO296" s="443">
        <f t="shared" si="816"/>
        <v>18.8</v>
      </c>
      <c r="CP296" s="443">
        <f t="shared" si="817"/>
        <v>54.8</v>
      </c>
      <c r="CQ296" s="443"/>
      <c r="CR296" s="217">
        <f t="shared" si="818"/>
        <v>0.34306569343065696</v>
      </c>
      <c r="CS296" s="172">
        <f t="shared" si="819"/>
        <v>38.295705313189622</v>
      </c>
      <c r="CT296" s="172">
        <f t="shared" si="820"/>
        <v>3.0875912408759132</v>
      </c>
      <c r="CU296" s="217">
        <f t="shared" si="821"/>
        <v>9.5739263282974054</v>
      </c>
      <c r="CV296" s="217">
        <f t="shared" si="822"/>
        <v>2.12753918406609</v>
      </c>
      <c r="CW296" s="217">
        <f t="shared" si="823"/>
        <v>4</v>
      </c>
      <c r="CX296" s="217">
        <f t="shared" si="824"/>
        <v>3.3424113475177308</v>
      </c>
      <c r="CY296" s="217">
        <f t="shared" si="825"/>
        <v>1.1141371158392437</v>
      </c>
      <c r="CZ296" s="217">
        <f t="shared" si="826"/>
        <v>2.1334540516070626</v>
      </c>
      <c r="DA296" s="197">
        <f t="shared" si="827"/>
        <v>350</v>
      </c>
      <c r="DB296" s="443">
        <f t="shared" si="828"/>
        <v>307.92053200044103</v>
      </c>
      <c r="DD296" s="217">
        <f t="shared" si="829"/>
        <v>2.940563086548488</v>
      </c>
      <c r="DE296" s="173">
        <f t="shared" si="830"/>
        <v>1.8769551616266944</v>
      </c>
      <c r="DF296" s="173">
        <f t="shared" si="831"/>
        <v>3.5939660877863036</v>
      </c>
      <c r="DG296" s="173"/>
      <c r="DH296" s="173">
        <f t="shared" si="832"/>
        <v>0.85106382978723416</v>
      </c>
      <c r="DI296" s="545">
        <f t="shared" si="833"/>
        <v>2115</v>
      </c>
      <c r="DJ296" s="528">
        <f t="shared" si="834"/>
        <v>0.79432624113475192</v>
      </c>
      <c r="DL296" s="173">
        <f t="shared" si="835"/>
        <v>3.1350552512789038</v>
      </c>
      <c r="DM296" s="173">
        <f t="shared" si="836"/>
        <v>3.3424113475177308</v>
      </c>
      <c r="DN296" s="173">
        <f t="shared" si="837"/>
        <v>2.6882059364328867</v>
      </c>
      <c r="DP296" s="545">
        <f t="shared" si="838"/>
        <v>4800.0000000000009</v>
      </c>
      <c r="DQ296" s="460">
        <f t="shared" si="839"/>
        <v>307.92053200044103</v>
      </c>
      <c r="DS296">
        <f t="shared" si="840"/>
        <v>4800.0000000000009</v>
      </c>
      <c r="DT296">
        <f t="shared" si="841"/>
        <v>307.92053200044103</v>
      </c>
      <c r="DV296" s="5">
        <f t="shared" si="870"/>
        <v>3.247591167446306</v>
      </c>
      <c r="DW296" s="5">
        <f t="shared" si="842"/>
        <v>1.1141371158392437</v>
      </c>
      <c r="DX296" s="5">
        <f t="shared" si="843"/>
        <v>2.1334540516070621</v>
      </c>
      <c r="DY296" s="173">
        <f t="shared" si="844"/>
        <v>0.34306569343065696</v>
      </c>
      <c r="EA296" s="5">
        <f t="shared" si="871"/>
        <v>133.69645390070926</v>
      </c>
      <c r="EB296" s="5">
        <f t="shared" si="872"/>
        <v>0.49517205148410842</v>
      </c>
      <c r="EC296" s="5">
        <f t="shared" si="873"/>
        <v>0.94820180071424998</v>
      </c>
      <c r="ED296" s="5"/>
      <c r="EE296" s="173">
        <f t="shared" si="874"/>
        <v>1.1302848724233194</v>
      </c>
      <c r="EF296" s="173">
        <f t="shared" si="875"/>
        <v>6.2563384126407549</v>
      </c>
      <c r="EG296" s="173">
        <f t="shared" si="876"/>
        <v>0.11920861029491168</v>
      </c>
      <c r="EH296" s="173"/>
      <c r="EI296" s="528">
        <f t="shared" si="877"/>
        <v>1.5586035492513793E-2</v>
      </c>
      <c r="EJ296" s="528">
        <f t="shared" si="878"/>
        <v>1.1279999999999997</v>
      </c>
      <c r="EK296" s="528">
        <f t="shared" si="879"/>
        <v>3.8490066500055133E-2</v>
      </c>
      <c r="EL296" s="528">
        <f t="shared" si="880"/>
        <v>9.2469767441860432E-2</v>
      </c>
      <c r="EM296">
        <f t="shared" si="881"/>
        <v>1.6199999999999999E-2</v>
      </c>
      <c r="EN296" s="460">
        <f t="shared" si="882"/>
        <v>54.690066500055131</v>
      </c>
      <c r="EP296" s="460">
        <f t="shared" si="883"/>
        <v>1290.7458694344289</v>
      </c>
      <c r="EQ296" s="173">
        <f t="shared" si="884"/>
        <v>3.3600000000000003</v>
      </c>
      <c r="ER296" s="173">
        <f t="shared" si="845"/>
        <v>3.5500000000000004E-2</v>
      </c>
      <c r="ES296" s="528"/>
      <c r="EU296" s="460">
        <f t="shared" si="885"/>
        <v>3395.5</v>
      </c>
      <c r="EV296" s="528">
        <f t="shared" si="886"/>
        <v>3.8326316784869981E-2</v>
      </c>
      <c r="EW296" s="528">
        <f t="shared" si="887"/>
        <v>1.174253110004527</v>
      </c>
      <c r="EX296" s="528">
        <f t="shared" si="888"/>
        <v>7.1053463842220627E-5</v>
      </c>
      <c r="EY296" s="528">
        <f t="shared" si="889"/>
        <v>1.6990899383038438</v>
      </c>
      <c r="EZ296" s="528"/>
      <c r="FA296" s="625">
        <f t="shared" si="890"/>
        <v>8.6000000000000007E-2</v>
      </c>
      <c r="FB296" s="460">
        <f t="shared" si="891"/>
        <v>2997.7404185570831</v>
      </c>
      <c r="FC296" s="173">
        <f t="shared" si="892"/>
        <v>7.6839862879915124</v>
      </c>
      <c r="FD296" s="5">
        <f t="shared" si="893"/>
        <v>20.640000000000004</v>
      </c>
      <c r="FE296" s="173">
        <f t="shared" si="894"/>
        <v>0.7287109868694831</v>
      </c>
      <c r="FF296" s="5">
        <f t="shared" si="895"/>
        <v>72.871098686948315</v>
      </c>
      <c r="FG296">
        <f t="shared" si="896"/>
        <v>80.000000000000014</v>
      </c>
      <c r="FI296" s="562">
        <f t="shared" si="846"/>
        <v>-50</v>
      </c>
    </row>
    <row r="297" spans="5:165">
      <c r="E297" s="170">
        <v>81</v>
      </c>
      <c r="F297" s="217">
        <f t="shared" si="847"/>
        <v>4.8600000000000003</v>
      </c>
      <c r="G297" s="217">
        <f t="shared" si="775"/>
        <v>8.1000000000000016E-2</v>
      </c>
      <c r="H297" s="217">
        <f t="shared" si="776"/>
        <v>19.440000000000001</v>
      </c>
      <c r="I297" s="217">
        <f t="shared" si="777"/>
        <v>1.4580000000000002</v>
      </c>
      <c r="J297" s="541">
        <f t="shared" si="778"/>
        <v>35.903090140442956</v>
      </c>
      <c r="K297" s="443">
        <f t="shared" si="779"/>
        <v>19.687760000000001</v>
      </c>
      <c r="L297" s="172">
        <f t="shared" si="780"/>
        <v>55.590850140442953</v>
      </c>
      <c r="M297" s="443"/>
      <c r="N297" s="217">
        <f t="shared" si="781"/>
        <v>0.35415468463355876</v>
      </c>
      <c r="O297" s="172">
        <f t="shared" si="782"/>
        <v>39.427124235841262</v>
      </c>
      <c r="P297" s="172">
        <f t="shared" si="783"/>
        <v>3.1788118915147021</v>
      </c>
      <c r="Q297" s="217">
        <f t="shared" si="784"/>
        <v>9.8567810589603155</v>
      </c>
      <c r="R297" s="217">
        <f t="shared" si="785"/>
        <v>2.19039579088007</v>
      </c>
      <c r="S297" s="217">
        <f t="shared" si="786"/>
        <v>4</v>
      </c>
      <c r="T297" s="217">
        <f t="shared" si="787"/>
        <v>3.2870771711568811</v>
      </c>
      <c r="U297" s="217">
        <f t="shared" si="788"/>
        <v>1.098649890568888</v>
      </c>
      <c r="V297" s="217">
        <f t="shared" si="789"/>
        <v>2.0035253403070015</v>
      </c>
      <c r="W297" s="197">
        <f t="shared" si="790"/>
        <v>350</v>
      </c>
      <c r="X297" s="443">
        <f t="shared" si="848"/>
        <v>302.83068888950322</v>
      </c>
      <c r="Z297" s="217">
        <f t="shared" si="791"/>
        <v>3.027439896680669</v>
      </c>
      <c r="AA297" s="173">
        <f t="shared" si="792"/>
        <v>1.8452723296184039</v>
      </c>
      <c r="AB297" s="173">
        <f t="shared" si="793"/>
        <v>3.6376890694412527</v>
      </c>
      <c r="AC297" s="173"/>
      <c r="AD297" s="173">
        <f t="shared" si="794"/>
        <v>0.81268768006111425</v>
      </c>
      <c r="AE297" s="545">
        <f t="shared" si="795"/>
        <v>2242.5589124999997</v>
      </c>
      <c r="AF297" s="528">
        <f t="shared" si="796"/>
        <v>0.75850850139037329</v>
      </c>
      <c r="AH297" s="173">
        <f t="shared" si="797"/>
        <v>3.1545884947847909</v>
      </c>
      <c r="AI297" s="173">
        <f t="shared" si="798"/>
        <v>3.2870771711568811</v>
      </c>
      <c r="AJ297" s="173">
        <f t="shared" si="799"/>
        <v>2.6472176576470723</v>
      </c>
      <c r="AL297" s="545">
        <f t="shared" si="800"/>
        <v>4860</v>
      </c>
      <c r="AM297" s="460">
        <f t="shared" si="801"/>
        <v>302.83068888950322</v>
      </c>
      <c r="AO297">
        <f t="shared" si="802"/>
        <v>4860</v>
      </c>
      <c r="AP297">
        <f t="shared" si="803"/>
        <v>302.83068888950322</v>
      </c>
      <c r="AR297" s="5">
        <f t="shared" si="774"/>
        <v>3.3021752308758896</v>
      </c>
      <c r="AS297" s="5">
        <f t="shared" si="739"/>
        <v>1.098649890568888</v>
      </c>
      <c r="AT297" s="5">
        <f t="shared" si="740"/>
        <v>2.2035253403070016</v>
      </c>
      <c r="AU297" s="173">
        <f t="shared" si="741"/>
        <v>0.33270490320935364</v>
      </c>
      <c r="BA297" s="173">
        <f t="shared" si="849"/>
        <v>1.0946590539639578</v>
      </c>
      <c r="BB297" s="173">
        <f t="shared" si="850"/>
        <v>6.2010928051389662</v>
      </c>
      <c r="BC297" s="173">
        <f t="shared" si="851"/>
        <v>0.11815595750332357</v>
      </c>
      <c r="BD297" s="173"/>
      <c r="BE297" s="528">
        <f t="shared" si="852"/>
        <v>1.4618997021988257E-2</v>
      </c>
      <c r="BF297" s="528">
        <f t="shared" si="804"/>
        <v>1.0375627520835591</v>
      </c>
      <c r="BG297" s="528">
        <f t="shared" si="805"/>
        <v>0.27181393801230674</v>
      </c>
      <c r="BH297" s="528">
        <f t="shared" si="853"/>
        <v>9.3585058431847196E-2</v>
      </c>
      <c r="BI297">
        <f t="shared" si="854"/>
        <v>1.6156390563199331E-2</v>
      </c>
      <c r="BJ297" s="460">
        <f t="shared" si="855"/>
        <v>287.97032857550607</v>
      </c>
      <c r="BK297">
        <f t="shared" si="806"/>
        <v>1.1537213575170551</v>
      </c>
      <c r="BL297" s="460">
        <f t="shared" si="856"/>
        <v>1433.7371361129008</v>
      </c>
      <c r="BM297" s="173">
        <f t="shared" si="807"/>
        <v>3.0192749999999999</v>
      </c>
      <c r="BN297" s="173">
        <f t="shared" si="808"/>
        <v>3.5943750000000003E-2</v>
      </c>
      <c r="BQ297" s="460">
        <f t="shared" si="857"/>
        <v>3055.21875</v>
      </c>
      <c r="BR297" s="528">
        <f t="shared" si="858"/>
        <v>3.5948353332758011E-2</v>
      </c>
      <c r="BS297" s="528">
        <f t="shared" si="859"/>
        <v>1.1536065593383875</v>
      </c>
      <c r="BT297" s="528">
        <f t="shared" si="860"/>
        <v>6.9804151467636025E-5</v>
      </c>
      <c r="BU297" s="528">
        <f t="shared" si="861"/>
        <v>1.563127724589908</v>
      </c>
      <c r="BV297" s="528"/>
      <c r="BW297" s="625">
        <f t="shared" si="862"/>
        <v>8.180120355298931E-2</v>
      </c>
      <c r="BX297" s="460">
        <f t="shared" si="863"/>
        <v>2834.5536449655106</v>
      </c>
      <c r="BY297" s="173">
        <f t="shared" si="864"/>
        <v>7.3235095310784111</v>
      </c>
      <c r="BZ297" s="5">
        <f t="shared" si="865"/>
        <v>20.898000000000003</v>
      </c>
      <c r="CA297" s="173">
        <f t="shared" si="866"/>
        <v>0.74049901466066048</v>
      </c>
      <c r="CB297" s="5">
        <f t="shared" si="867"/>
        <v>74.049901466066046</v>
      </c>
      <c r="CC297">
        <f t="shared" si="868"/>
        <v>81</v>
      </c>
      <c r="CE297" s="562">
        <f t="shared" si="809"/>
        <v>-50</v>
      </c>
      <c r="CG297" s="173">
        <f t="shared" si="810"/>
        <v>0.65693430656934304</v>
      </c>
      <c r="CH297" s="173">
        <f t="shared" si="811"/>
        <v>0.17833950839807344</v>
      </c>
      <c r="CI297" s="170">
        <v>81</v>
      </c>
      <c r="CJ297" s="217">
        <f t="shared" si="869"/>
        <v>4.8600000000000003</v>
      </c>
      <c r="CK297" s="217">
        <f t="shared" si="812"/>
        <v>8.1000000000000016E-2</v>
      </c>
      <c r="CL297" s="217">
        <f t="shared" si="813"/>
        <v>19.440000000000001</v>
      </c>
      <c r="CM297" s="217">
        <f t="shared" si="814"/>
        <v>1.4580000000000002</v>
      </c>
      <c r="CN297" s="541">
        <f t="shared" si="815"/>
        <v>36</v>
      </c>
      <c r="CO297" s="443">
        <f t="shared" si="816"/>
        <v>18.8</v>
      </c>
      <c r="CP297" s="443">
        <f t="shared" si="817"/>
        <v>54.8</v>
      </c>
      <c r="CQ297" s="443"/>
      <c r="CR297" s="217">
        <f t="shared" si="818"/>
        <v>0.34306569343065696</v>
      </c>
      <c r="CS297" s="172">
        <f t="shared" si="819"/>
        <v>38.295705313189622</v>
      </c>
      <c r="CT297" s="172">
        <f t="shared" si="820"/>
        <v>3.0875912408759132</v>
      </c>
      <c r="CU297" s="217">
        <f t="shared" si="821"/>
        <v>9.5739263282974054</v>
      </c>
      <c r="CV297" s="217">
        <f t="shared" si="822"/>
        <v>2.12753918406609</v>
      </c>
      <c r="CW297" s="217">
        <f t="shared" si="823"/>
        <v>4</v>
      </c>
      <c r="CX297" s="217">
        <f t="shared" si="824"/>
        <v>3.3841914893617022</v>
      </c>
      <c r="CY297" s="217">
        <f t="shared" si="825"/>
        <v>1.1280638297872341</v>
      </c>
      <c r="CZ297" s="217">
        <f t="shared" si="826"/>
        <v>2.1601222272521503</v>
      </c>
      <c r="DA297" s="197">
        <f t="shared" si="827"/>
        <v>350</v>
      </c>
      <c r="DB297" s="443">
        <f t="shared" si="828"/>
        <v>304.11904395105296</v>
      </c>
      <c r="DD297" s="217">
        <f t="shared" si="829"/>
        <v>2.940563086548488</v>
      </c>
      <c r="DE297" s="173">
        <f t="shared" si="830"/>
        <v>1.8769551616266944</v>
      </c>
      <c r="DF297" s="173">
        <f t="shared" si="831"/>
        <v>3.5939660877863036</v>
      </c>
      <c r="DG297" s="173"/>
      <c r="DH297" s="173">
        <f t="shared" si="832"/>
        <v>0.85106382978723416</v>
      </c>
      <c r="DI297" s="545">
        <f t="shared" si="833"/>
        <v>2141.4374999999995</v>
      </c>
      <c r="DJ297" s="528">
        <f t="shared" si="834"/>
        <v>0.79432624113475192</v>
      </c>
      <c r="DL297" s="173">
        <f t="shared" si="835"/>
        <v>3.1545884947847909</v>
      </c>
      <c r="DM297" s="173">
        <f t="shared" si="836"/>
        <v>3.3841914893617022</v>
      </c>
      <c r="DN297" s="173">
        <f t="shared" si="837"/>
        <v>2.7191541896506433</v>
      </c>
      <c r="DP297" s="545">
        <f t="shared" si="838"/>
        <v>4860</v>
      </c>
      <c r="DQ297" s="460">
        <f t="shared" si="839"/>
        <v>304.11904395105296</v>
      </c>
      <c r="DS297">
        <f t="shared" si="840"/>
        <v>4860</v>
      </c>
      <c r="DT297">
        <f t="shared" si="841"/>
        <v>304.11904395105296</v>
      </c>
      <c r="DV297" s="5">
        <f t="shared" si="870"/>
        <v>3.2881860570393844</v>
      </c>
      <c r="DW297" s="5">
        <f t="shared" si="842"/>
        <v>1.1280638297872341</v>
      </c>
      <c r="DX297" s="5">
        <f t="shared" si="843"/>
        <v>2.1601222272521503</v>
      </c>
      <c r="DY297" s="173">
        <f t="shared" si="844"/>
        <v>0.34306569343065696</v>
      </c>
      <c r="EA297" s="5">
        <f t="shared" si="871"/>
        <v>137.05975531914896</v>
      </c>
      <c r="EB297" s="5">
        <f t="shared" si="872"/>
        <v>0.50762872340425547</v>
      </c>
      <c r="EC297" s="5">
        <f t="shared" si="873"/>
        <v>0.97205500226346764</v>
      </c>
      <c r="ED297" s="5"/>
      <c r="EE297" s="173">
        <f t="shared" si="874"/>
        <v>1.1444134333286109</v>
      </c>
      <c r="EF297" s="173">
        <f t="shared" si="875"/>
        <v>6.3345426427987634</v>
      </c>
      <c r="EG297" s="173">
        <f t="shared" si="876"/>
        <v>0.12069871792359808</v>
      </c>
      <c r="EH297" s="173"/>
      <c r="EI297" s="528">
        <f t="shared" si="877"/>
        <v>1.5978121697872341E-2</v>
      </c>
      <c r="EJ297" s="528">
        <f t="shared" si="878"/>
        <v>1.1280000000000001</v>
      </c>
      <c r="EK297" s="528">
        <f t="shared" si="879"/>
        <v>3.8014880493881624E-2</v>
      </c>
      <c r="EL297" s="528">
        <f t="shared" si="880"/>
        <v>9.1328165374677001E-2</v>
      </c>
      <c r="EM297">
        <f t="shared" si="881"/>
        <v>1.6199999999999999E-2</v>
      </c>
      <c r="EN297" s="460">
        <f t="shared" si="882"/>
        <v>54.214880493881623</v>
      </c>
      <c r="EP297" s="460">
        <f t="shared" si="883"/>
        <v>1289.5211675664309</v>
      </c>
      <c r="EQ297" s="173">
        <f t="shared" si="884"/>
        <v>3.4020000000000001</v>
      </c>
      <c r="ER297" s="173">
        <f t="shared" si="845"/>
        <v>3.5943750000000003E-2</v>
      </c>
      <c r="ES297" s="528"/>
      <c r="EU297" s="460">
        <f t="shared" si="885"/>
        <v>3437.9437499999999</v>
      </c>
      <c r="EV297" s="528">
        <f t="shared" si="886"/>
        <v>3.9290463191489364E-2</v>
      </c>
      <c r="EW297" s="528">
        <f t="shared" si="887"/>
        <v>1.2037929148030782</v>
      </c>
      <c r="EX297" s="528">
        <f t="shared" si="888"/>
        <v>7.284090254200149E-5</v>
      </c>
      <c r="EY297" s="528">
        <f t="shared" si="889"/>
        <v>1.699089938303846</v>
      </c>
      <c r="EZ297" s="528"/>
      <c r="FA297" s="625">
        <f t="shared" si="890"/>
        <v>8.7075000000000027E-2</v>
      </c>
      <c r="FB297" s="460">
        <f t="shared" si="891"/>
        <v>3029.3211572009554</v>
      </c>
      <c r="FC297" s="173">
        <f t="shared" si="892"/>
        <v>7.7567860747673869</v>
      </c>
      <c r="FD297" s="5">
        <f t="shared" si="893"/>
        <v>20.898000000000003</v>
      </c>
      <c r="FE297" s="173">
        <f t="shared" si="894"/>
        <v>0.72930225147980432</v>
      </c>
      <c r="FF297" s="5">
        <f t="shared" si="895"/>
        <v>72.930225147980437</v>
      </c>
      <c r="FG297">
        <f t="shared" si="896"/>
        <v>81</v>
      </c>
      <c r="FI297" s="562">
        <f t="shared" si="846"/>
        <v>-50</v>
      </c>
    </row>
    <row r="298" spans="5:165">
      <c r="E298" s="170">
        <v>82</v>
      </c>
      <c r="F298" s="217">
        <f t="shared" si="847"/>
        <v>4.92</v>
      </c>
      <c r="G298" s="217">
        <f t="shared" si="775"/>
        <v>8.2000000000000003E-2</v>
      </c>
      <c r="H298" s="217">
        <f t="shared" si="776"/>
        <v>19.68</v>
      </c>
      <c r="I298" s="217">
        <f t="shared" si="777"/>
        <v>1.476</v>
      </c>
      <c r="J298" s="541">
        <f t="shared" si="778"/>
        <v>35.901893722423736</v>
      </c>
      <c r="K298" s="443">
        <f t="shared" si="779"/>
        <v>19.698720000000002</v>
      </c>
      <c r="L298" s="172">
        <f t="shared" si="780"/>
        <v>55.600613722423738</v>
      </c>
      <c r="M298" s="443"/>
      <c r="N298" s="217">
        <f t="shared" si="781"/>
        <v>0.35428961446976803</v>
      </c>
      <c r="O298" s="172">
        <f t="shared" si="782"/>
        <v>39.440831273339818</v>
      </c>
      <c r="P298" s="172">
        <f t="shared" si="783"/>
        <v>3.1799170214130226</v>
      </c>
      <c r="Q298" s="217">
        <f t="shared" si="784"/>
        <v>9.8602078183349544</v>
      </c>
      <c r="R298" s="217">
        <f t="shared" si="785"/>
        <v>2.1911572929633234</v>
      </c>
      <c r="S298" s="217">
        <f t="shared" si="786"/>
        <v>4</v>
      </c>
      <c r="T298" s="217">
        <f t="shared" si="787"/>
        <v>3.3265018957317247</v>
      </c>
      <c r="U298" s="217">
        <f t="shared" si="788"/>
        <v>1.1118639884961987</v>
      </c>
      <c r="V298" s="217">
        <f t="shared" si="789"/>
        <v>2.02642723734236</v>
      </c>
      <c r="W298" s="197">
        <f t="shared" si="790"/>
        <v>350</v>
      </c>
      <c r="X298" s="443">
        <f t="shared" si="848"/>
        <v>299.55445236770976</v>
      </c>
      <c r="Z298" s="217">
        <f t="shared" si="791"/>
        <v>3.0284924013457357</v>
      </c>
      <c r="AA298" s="173">
        <f t="shared" si="792"/>
        <v>1.8448868158006626</v>
      </c>
      <c r="AB298" s="173">
        <f t="shared" si="793"/>
        <v>3.6381934810201542</v>
      </c>
      <c r="AC298" s="173"/>
      <c r="AD298" s="173">
        <f t="shared" si="794"/>
        <v>0.8122355158101644</v>
      </c>
      <c r="AE298" s="545">
        <f t="shared" si="795"/>
        <v>2271.5086499999998</v>
      </c>
      <c r="AF298" s="528">
        <f t="shared" si="796"/>
        <v>0.7580864814228202</v>
      </c>
      <c r="AH298" s="173">
        <f t="shared" si="797"/>
        <v>3.1740015302903863</v>
      </c>
      <c r="AI298" s="173">
        <f t="shared" si="798"/>
        <v>3.3265018957317247</v>
      </c>
      <c r="AJ298" s="173">
        <f t="shared" si="799"/>
        <v>2.6764211573321415</v>
      </c>
      <c r="AL298" s="545">
        <f t="shared" si="800"/>
        <v>4920</v>
      </c>
      <c r="AM298" s="460">
        <f t="shared" si="801"/>
        <v>299.55445236770976</v>
      </c>
      <c r="AO298">
        <f t="shared" si="802"/>
        <v>4920</v>
      </c>
      <c r="AP298">
        <f t="shared" si="803"/>
        <v>299.55445236770976</v>
      </c>
      <c r="AR298" s="5">
        <f t="shared" si="774"/>
        <v>3.3382912258385589</v>
      </c>
      <c r="AS298" s="5">
        <f t="shared" si="739"/>
        <v>1.1118639884961987</v>
      </c>
      <c r="AT298" s="5">
        <f t="shared" si="740"/>
        <v>2.2264272373423601</v>
      </c>
      <c r="AU298" s="173">
        <f t="shared" si="741"/>
        <v>0.33306380818135634</v>
      </c>
      <c r="BA298" s="173">
        <f t="shared" si="849"/>
        <v>1.1083855866240928</v>
      </c>
      <c r="BB298" s="173">
        <f t="shared" si="850"/>
        <v>6.2737799499817344</v>
      </c>
      <c r="BC298" s="173">
        <f t="shared" si="851"/>
        <v>0.11954094229019251</v>
      </c>
      <c r="BD298" s="173"/>
      <c r="BE298" s="528">
        <f t="shared" si="852"/>
        <v>1.4987927025359619E-2</v>
      </c>
      <c r="BF298" s="528">
        <f t="shared" si="804"/>
        <v>1.038829829614196</v>
      </c>
      <c r="BG298" s="528">
        <f t="shared" si="805"/>
        <v>0.26886430282460894</v>
      </c>
      <c r="BH298" s="528">
        <f t="shared" si="853"/>
        <v>9.2605109535751379E-2</v>
      </c>
      <c r="BI298">
        <f t="shared" si="854"/>
        <v>1.615585217509068E-2</v>
      </c>
      <c r="BJ298" s="460">
        <f t="shared" si="855"/>
        <v>285.02015499969963</v>
      </c>
      <c r="BK298">
        <f t="shared" si="806"/>
        <v>1.1545812219863099</v>
      </c>
      <c r="BL298" s="460">
        <f t="shared" si="856"/>
        <v>1431.4430211750066</v>
      </c>
      <c r="BM298" s="173">
        <f t="shared" si="807"/>
        <v>3.0565499999999997</v>
      </c>
      <c r="BN298" s="173">
        <f t="shared" si="808"/>
        <v>3.6387500000000003E-2</v>
      </c>
      <c r="BQ298" s="460">
        <f t="shared" si="857"/>
        <v>3092.9374999999995</v>
      </c>
      <c r="BR298" s="528">
        <f t="shared" si="858"/>
        <v>3.6855558259081031E-2</v>
      </c>
      <c r="BS298" s="528">
        <f t="shared" si="859"/>
        <v>1.1808094458237843</v>
      </c>
      <c r="BT298" s="528">
        <f t="shared" si="860"/>
        <v>7.1450184418135685E-5</v>
      </c>
      <c r="BU298" s="528">
        <f t="shared" si="861"/>
        <v>1.5672161201504775</v>
      </c>
      <c r="BV298" s="528"/>
      <c r="BW298" s="625">
        <f t="shared" si="862"/>
        <v>8.2868855004757283E-2</v>
      </c>
      <c r="BX298" s="460">
        <f t="shared" si="863"/>
        <v>2867.8214294225181</v>
      </c>
      <c r="BY298" s="173">
        <f t="shared" si="864"/>
        <v>7.3922019505975234</v>
      </c>
      <c r="BZ298" s="5">
        <f t="shared" si="865"/>
        <v>21.155999999999999</v>
      </c>
      <c r="CA298" s="173">
        <f t="shared" si="866"/>
        <v>0.74106243316515408</v>
      </c>
      <c r="CB298" s="5">
        <f t="shared" si="867"/>
        <v>74.106243316515403</v>
      </c>
      <c r="CC298">
        <f t="shared" si="868"/>
        <v>82</v>
      </c>
      <c r="CE298" s="562">
        <f t="shared" si="809"/>
        <v>-50</v>
      </c>
      <c r="CG298" s="173">
        <f t="shared" si="810"/>
        <v>0.65693430656934315</v>
      </c>
      <c r="CH298" s="173">
        <f t="shared" si="811"/>
        <v>0.17833950839807344</v>
      </c>
      <c r="CI298" s="170">
        <v>82</v>
      </c>
      <c r="CJ298" s="217">
        <f t="shared" si="869"/>
        <v>4.92</v>
      </c>
      <c r="CK298" s="217">
        <f t="shared" si="812"/>
        <v>8.2000000000000003E-2</v>
      </c>
      <c r="CL298" s="217">
        <f t="shared" si="813"/>
        <v>19.68</v>
      </c>
      <c r="CM298" s="217">
        <f t="shared" si="814"/>
        <v>1.476</v>
      </c>
      <c r="CN298" s="541">
        <f t="shared" si="815"/>
        <v>36</v>
      </c>
      <c r="CO298" s="443">
        <f t="shared" si="816"/>
        <v>18.8</v>
      </c>
      <c r="CP298" s="443">
        <f t="shared" si="817"/>
        <v>54.8</v>
      </c>
      <c r="CQ298" s="443"/>
      <c r="CR298" s="217">
        <f t="shared" si="818"/>
        <v>0.34306569343065696</v>
      </c>
      <c r="CS298" s="172">
        <f t="shared" si="819"/>
        <v>38.295705313189622</v>
      </c>
      <c r="CT298" s="172">
        <f t="shared" si="820"/>
        <v>3.0875912408759132</v>
      </c>
      <c r="CU298" s="217">
        <f t="shared" si="821"/>
        <v>9.5739263282974054</v>
      </c>
      <c r="CV298" s="217">
        <f t="shared" si="822"/>
        <v>2.12753918406609</v>
      </c>
      <c r="CW298" s="217">
        <f t="shared" si="823"/>
        <v>4</v>
      </c>
      <c r="CX298" s="217">
        <f t="shared" si="824"/>
        <v>3.4259716312056732</v>
      </c>
      <c r="CY298" s="217">
        <f t="shared" si="825"/>
        <v>1.1419905437352245</v>
      </c>
      <c r="CZ298" s="217">
        <f t="shared" si="826"/>
        <v>2.1867904028972385</v>
      </c>
      <c r="DA298" s="197">
        <f t="shared" si="827"/>
        <v>350</v>
      </c>
      <c r="DB298" s="443">
        <f t="shared" si="828"/>
        <v>300.41027512238156</v>
      </c>
      <c r="DD298" s="217">
        <f t="shared" si="829"/>
        <v>2.940563086548488</v>
      </c>
      <c r="DE298" s="173">
        <f t="shared" si="830"/>
        <v>1.8769551616266944</v>
      </c>
      <c r="DF298" s="173">
        <f t="shared" si="831"/>
        <v>3.5939660877863036</v>
      </c>
      <c r="DG298" s="173"/>
      <c r="DH298" s="173">
        <f t="shared" si="832"/>
        <v>0.85106382978723416</v>
      </c>
      <c r="DI298" s="545">
        <f t="shared" si="833"/>
        <v>2167.8749999999995</v>
      </c>
      <c r="DJ298" s="528">
        <f t="shared" si="834"/>
        <v>0.79432624113475192</v>
      </c>
      <c r="DL298" s="173">
        <f t="shared" si="835"/>
        <v>3.1740015302903863</v>
      </c>
      <c r="DM298" s="173">
        <f t="shared" si="836"/>
        <v>3.4259716312056732</v>
      </c>
      <c r="DN298" s="173">
        <f t="shared" si="837"/>
        <v>2.7501024428683998</v>
      </c>
      <c r="DP298" s="545">
        <f t="shared" si="838"/>
        <v>4920</v>
      </c>
      <c r="DQ298" s="460">
        <f t="shared" si="839"/>
        <v>300.41027512238156</v>
      </c>
      <c r="DS298">
        <f t="shared" si="840"/>
        <v>4920</v>
      </c>
      <c r="DT298">
        <f t="shared" si="841"/>
        <v>300.41027512238156</v>
      </c>
      <c r="DV298" s="5">
        <f t="shared" si="870"/>
        <v>3.3287809466324632</v>
      </c>
      <c r="DW298" s="5">
        <f t="shared" si="842"/>
        <v>1.1419905437352245</v>
      </c>
      <c r="DX298" s="5">
        <f t="shared" si="843"/>
        <v>2.1867904028972385</v>
      </c>
      <c r="DY298" s="173">
        <f t="shared" si="844"/>
        <v>0.3430656934306569</v>
      </c>
      <c r="EA298" s="5">
        <f t="shared" si="871"/>
        <v>140.46483687943262</v>
      </c>
      <c r="EB298" s="5">
        <f t="shared" si="872"/>
        <v>0.52024013659049118</v>
      </c>
      <c r="EC298" s="5">
        <f t="shared" si="873"/>
        <v>0.99620451687540845</v>
      </c>
      <c r="ED298" s="5"/>
      <c r="EE298" s="173">
        <f t="shared" si="874"/>
        <v>1.1585419942339021</v>
      </c>
      <c r="EF298" s="173">
        <f t="shared" si="875"/>
        <v>6.4127468729567729</v>
      </c>
      <c r="EG298" s="173">
        <f t="shared" si="876"/>
        <v>0.12218882555228447</v>
      </c>
      <c r="EH298" s="173"/>
      <c r="EI298" s="528">
        <f t="shared" si="877"/>
        <v>1.6375078539322296E-2</v>
      </c>
      <c r="EJ298" s="528">
        <f t="shared" si="878"/>
        <v>1.1279999999999997</v>
      </c>
      <c r="EK298" s="528">
        <f t="shared" si="879"/>
        <v>3.7551284390297694E-2</v>
      </c>
      <c r="EL298" s="528">
        <f t="shared" si="880"/>
        <v>9.0214407260351667E-2</v>
      </c>
      <c r="EM298">
        <f t="shared" si="881"/>
        <v>1.6199999999999999E-2</v>
      </c>
      <c r="EN298" s="460">
        <f t="shared" si="882"/>
        <v>53.751284390297691</v>
      </c>
      <c r="EP298" s="460">
        <f t="shared" si="883"/>
        <v>1288.3407701899712</v>
      </c>
      <c r="EQ298" s="173">
        <f t="shared" si="884"/>
        <v>3.444</v>
      </c>
      <c r="ER298" s="173">
        <f t="shared" si="845"/>
        <v>3.6387500000000003E-2</v>
      </c>
      <c r="ES298" s="528"/>
      <c r="EU298" s="460">
        <f t="shared" si="885"/>
        <v>3480.3874999999998</v>
      </c>
      <c r="EV298" s="528">
        <f t="shared" si="886"/>
        <v>4.026658657210401E-2</v>
      </c>
      <c r="EW298" s="528">
        <f t="shared" si="887"/>
        <v>1.233699673698506</v>
      </c>
      <c r="EX298" s="528">
        <f t="shared" si="888"/>
        <v>7.4650545449233034E-5</v>
      </c>
      <c r="EY298" s="528">
        <f t="shared" si="889"/>
        <v>1.6990899383038434</v>
      </c>
      <c r="EZ298" s="528"/>
      <c r="FA298" s="625">
        <f t="shared" si="890"/>
        <v>8.8149999999999978E-2</v>
      </c>
      <c r="FB298" s="460">
        <f t="shared" si="891"/>
        <v>3061.280849119903</v>
      </c>
      <c r="FC298" s="173">
        <f t="shared" si="892"/>
        <v>7.8300091193098735</v>
      </c>
      <c r="FD298" s="5">
        <f t="shared" si="893"/>
        <v>21.155999999999999</v>
      </c>
      <c r="FE298" s="173">
        <f t="shared" si="894"/>
        <v>0.72986936259211743</v>
      </c>
      <c r="FF298" s="5">
        <f t="shared" si="895"/>
        <v>72.986936259211745</v>
      </c>
      <c r="FG298">
        <f t="shared" si="896"/>
        <v>82</v>
      </c>
      <c r="FI298" s="562">
        <f t="shared" si="846"/>
        <v>-50</v>
      </c>
    </row>
    <row r="299" spans="5:165">
      <c r="E299" s="170">
        <v>83</v>
      </c>
      <c r="F299" s="217">
        <f t="shared" si="847"/>
        <v>4.9799999999999995</v>
      </c>
      <c r="G299" s="217">
        <f t="shared" si="775"/>
        <v>8.3000000000000004E-2</v>
      </c>
      <c r="H299" s="217">
        <f t="shared" si="776"/>
        <v>19.919999999999998</v>
      </c>
      <c r="I299" s="217">
        <f t="shared" si="777"/>
        <v>1.494</v>
      </c>
      <c r="J299" s="541">
        <f t="shared" si="778"/>
        <v>35.90069730440451</v>
      </c>
      <c r="K299" s="443">
        <f t="shared" si="779"/>
        <v>19.709680000000002</v>
      </c>
      <c r="L299" s="172">
        <f t="shared" si="780"/>
        <v>55.610377304404508</v>
      </c>
      <c r="M299" s="443"/>
      <c r="N299" s="217">
        <f t="shared" si="781"/>
        <v>0.35442449692638456</v>
      </c>
      <c r="O299" s="172">
        <f t="shared" si="782"/>
        <v>39.454532035410786</v>
      </c>
      <c r="P299" s="172">
        <f t="shared" si="783"/>
        <v>3.1810216453549947</v>
      </c>
      <c r="Q299" s="217">
        <f t="shared" si="784"/>
        <v>9.8636330088526964</v>
      </c>
      <c r="R299" s="217">
        <f t="shared" si="785"/>
        <v>2.1919184464117105</v>
      </c>
      <c r="S299" s="217">
        <f t="shared" si="786"/>
        <v>4</v>
      </c>
      <c r="T299" s="217">
        <f t="shared" si="787"/>
        <v>3.3658997623089491</v>
      </c>
      <c r="U299" s="217">
        <f t="shared" si="788"/>
        <v>1.1250699897339325</v>
      </c>
      <c r="V299" s="217">
        <f t="shared" si="789"/>
        <v>2.049287312006455</v>
      </c>
      <c r="W299" s="197">
        <f t="shared" si="790"/>
        <v>350</v>
      </c>
      <c r="X299" s="443">
        <f t="shared" si="848"/>
        <v>296.35273048418179</v>
      </c>
      <c r="Z299" s="217">
        <f t="shared" si="791"/>
        <v>3.0295444241476135</v>
      </c>
      <c r="AA299" s="173">
        <f t="shared" si="792"/>
        <v>1.8445014373531865</v>
      </c>
      <c r="AB299" s="173">
        <f t="shared" si="793"/>
        <v>3.6386970524706266</v>
      </c>
      <c r="AC299" s="173"/>
      <c r="AD299" s="173">
        <f t="shared" si="794"/>
        <v>0.81178385443091927</v>
      </c>
      <c r="AE299" s="545">
        <f t="shared" si="795"/>
        <v>2300.4892124999997</v>
      </c>
      <c r="AF299" s="528">
        <f t="shared" si="796"/>
        <v>0.75766493080219144</v>
      </c>
      <c r="AH299" s="173">
        <f t="shared" si="797"/>
        <v>3.1932965501410693</v>
      </c>
      <c r="AI299" s="173">
        <f t="shared" si="798"/>
        <v>3.3658997623089491</v>
      </c>
      <c r="AJ299" s="173">
        <f t="shared" si="799"/>
        <v>2.7056047622041595</v>
      </c>
      <c r="AL299" s="545">
        <f t="shared" si="800"/>
        <v>4979.9999999999991</v>
      </c>
      <c r="AM299" s="460">
        <f t="shared" si="801"/>
        <v>296.35273048418179</v>
      </c>
      <c r="AO299">
        <f t="shared" si="802"/>
        <v>4979.9999999999991</v>
      </c>
      <c r="AP299">
        <f t="shared" si="803"/>
        <v>296.35273048418179</v>
      </c>
      <c r="AR299" s="5">
        <f t="shared" si="774"/>
        <v>3.3743573017403876</v>
      </c>
      <c r="AS299" s="5">
        <f t="shared" si="739"/>
        <v>1.1250699897339325</v>
      </c>
      <c r="AT299" s="5">
        <f t="shared" si="740"/>
        <v>2.2492873120064552</v>
      </c>
      <c r="AU299" s="173">
        <f t="shared" si="741"/>
        <v>0.33341756344346124</v>
      </c>
      <c r="BA299" s="173">
        <f t="shared" si="849"/>
        <v>1.1221083335362441</v>
      </c>
      <c r="BB299" s="173">
        <f t="shared" si="850"/>
        <v>6.3464005014231404</v>
      </c>
      <c r="BC299" s="173">
        <f t="shared" si="851"/>
        <v>0.12092465820279227</v>
      </c>
      <c r="BD299" s="173"/>
      <c r="BE299" s="528">
        <f t="shared" si="852"/>
        <v>1.5361350768736137E-2</v>
      </c>
      <c r="BF299" s="528">
        <f t="shared" si="804"/>
        <v>1.040081149236173</v>
      </c>
      <c r="BG299" s="528">
        <f t="shared" si="805"/>
        <v>0.26598174181115952</v>
      </c>
      <c r="BH299" s="528">
        <f t="shared" si="853"/>
        <v>9.1647498690882734E-2</v>
      </c>
      <c r="BI299">
        <f t="shared" si="854"/>
        <v>1.6155313786982029E-2</v>
      </c>
      <c r="BJ299" s="460">
        <f t="shared" si="855"/>
        <v>282.13705559814156</v>
      </c>
      <c r="BK299">
        <f t="shared" si="806"/>
        <v>1.1554548081568221</v>
      </c>
      <c r="BL299" s="460">
        <f t="shared" si="856"/>
        <v>1429.2270542939339</v>
      </c>
      <c r="BM299" s="173">
        <f t="shared" si="807"/>
        <v>3.0938249999999994</v>
      </c>
      <c r="BN299" s="173">
        <f t="shared" si="808"/>
        <v>3.6831250000000003E-2</v>
      </c>
      <c r="BQ299" s="460">
        <f t="shared" si="857"/>
        <v>3130.6562499999995</v>
      </c>
      <c r="BR299" s="528">
        <f t="shared" si="858"/>
        <v>3.7773813365744598E-2</v>
      </c>
      <c r="BS299" s="528">
        <f t="shared" si="859"/>
        <v>1.2083039797339166</v>
      </c>
      <c r="BT299" s="528">
        <f t="shared" si="860"/>
        <v>7.3113864807310686E-5</v>
      </c>
      <c r="BU299" s="528">
        <f t="shared" si="861"/>
        <v>1.571249971662382</v>
      </c>
      <c r="BV299" s="528"/>
      <c r="BW299" s="625">
        <f t="shared" si="862"/>
        <v>8.3936585524509749E-2</v>
      </c>
      <c r="BX299" s="460">
        <f t="shared" si="863"/>
        <v>2901.3374641513601</v>
      </c>
      <c r="BY299" s="173">
        <f t="shared" si="864"/>
        <v>7.4612207684452914</v>
      </c>
      <c r="BZ299" s="5">
        <f t="shared" si="865"/>
        <v>21.413999999999998</v>
      </c>
      <c r="CA299" s="173">
        <f t="shared" si="866"/>
        <v>0.74160471955252094</v>
      </c>
      <c r="CB299" s="5">
        <f t="shared" si="867"/>
        <v>74.160471955252092</v>
      </c>
      <c r="CC299">
        <f t="shared" si="868"/>
        <v>83</v>
      </c>
      <c r="CE299" s="562">
        <f t="shared" si="809"/>
        <v>-50</v>
      </c>
      <c r="CG299" s="173">
        <f t="shared" si="810"/>
        <v>0.65693430656934304</v>
      </c>
      <c r="CH299" s="173">
        <f t="shared" si="811"/>
        <v>0.17833950839807344</v>
      </c>
      <c r="CI299" s="170">
        <v>83</v>
      </c>
      <c r="CJ299" s="217">
        <f t="shared" si="869"/>
        <v>4.9799999999999995</v>
      </c>
      <c r="CK299" s="217">
        <f t="shared" si="812"/>
        <v>8.3000000000000004E-2</v>
      </c>
      <c r="CL299" s="217">
        <f t="shared" si="813"/>
        <v>19.919999999999998</v>
      </c>
      <c r="CM299" s="217">
        <f t="shared" si="814"/>
        <v>1.494</v>
      </c>
      <c r="CN299" s="541">
        <f t="shared" si="815"/>
        <v>36</v>
      </c>
      <c r="CO299" s="443">
        <f t="shared" si="816"/>
        <v>18.8</v>
      </c>
      <c r="CP299" s="443">
        <f t="shared" si="817"/>
        <v>54.8</v>
      </c>
      <c r="CQ299" s="443"/>
      <c r="CR299" s="217">
        <f t="shared" si="818"/>
        <v>0.34306569343065696</v>
      </c>
      <c r="CS299" s="172">
        <f t="shared" si="819"/>
        <v>38.295705313189622</v>
      </c>
      <c r="CT299" s="172">
        <f t="shared" si="820"/>
        <v>3.0875912408759132</v>
      </c>
      <c r="CU299" s="217">
        <f t="shared" si="821"/>
        <v>9.5739263282974054</v>
      </c>
      <c r="CV299" s="217">
        <f t="shared" si="822"/>
        <v>2.12753918406609</v>
      </c>
      <c r="CW299" s="217">
        <f t="shared" si="823"/>
        <v>4</v>
      </c>
      <c r="CX299" s="217">
        <f t="shared" si="824"/>
        <v>3.4677517730496445</v>
      </c>
      <c r="CY299" s="217">
        <f t="shared" si="825"/>
        <v>1.1559172576832148</v>
      </c>
      <c r="CZ299" s="217">
        <f t="shared" si="826"/>
        <v>2.2134585785423262</v>
      </c>
      <c r="DA299" s="197">
        <f t="shared" si="827"/>
        <v>350</v>
      </c>
      <c r="DB299" s="443">
        <f t="shared" si="828"/>
        <v>296.7908742172927</v>
      </c>
      <c r="DD299" s="217">
        <f t="shared" si="829"/>
        <v>2.940563086548488</v>
      </c>
      <c r="DE299" s="173">
        <f t="shared" si="830"/>
        <v>1.8769551616266944</v>
      </c>
      <c r="DF299" s="173">
        <f t="shared" si="831"/>
        <v>3.5939660877863036</v>
      </c>
      <c r="DG299" s="173"/>
      <c r="DH299" s="173">
        <f t="shared" si="832"/>
        <v>0.85106382978723416</v>
      </c>
      <c r="DI299" s="545">
        <f t="shared" si="833"/>
        <v>2194.3124999999991</v>
      </c>
      <c r="DJ299" s="528">
        <f t="shared" si="834"/>
        <v>0.79432624113475192</v>
      </c>
      <c r="DL299" s="173">
        <f t="shared" si="835"/>
        <v>3.1932965501410693</v>
      </c>
      <c r="DM299" s="173">
        <f t="shared" si="836"/>
        <v>3.4677517730496445</v>
      </c>
      <c r="DN299" s="173">
        <f t="shared" si="837"/>
        <v>2.7810506960861563</v>
      </c>
      <c r="DP299" s="545">
        <f t="shared" si="838"/>
        <v>4979.9999999999991</v>
      </c>
      <c r="DQ299" s="460">
        <f t="shared" si="839"/>
        <v>296.7908742172927</v>
      </c>
      <c r="DS299">
        <f t="shared" si="840"/>
        <v>4979.9999999999991</v>
      </c>
      <c r="DT299">
        <f t="shared" si="841"/>
        <v>296.7908742172927</v>
      </c>
      <c r="DV299" s="5">
        <f t="shared" si="870"/>
        <v>3.369375836225541</v>
      </c>
      <c r="DW299" s="5">
        <f t="shared" si="842"/>
        <v>1.1559172576832148</v>
      </c>
      <c r="DX299" s="5">
        <f t="shared" si="843"/>
        <v>2.2134585785423262</v>
      </c>
      <c r="DY299" s="173">
        <f t="shared" si="844"/>
        <v>0.34306569343065696</v>
      </c>
      <c r="EA299" s="5">
        <f t="shared" si="871"/>
        <v>143.91169858156022</v>
      </c>
      <c r="EB299" s="5">
        <f t="shared" si="872"/>
        <v>0.53300629104281572</v>
      </c>
      <c r="EC299" s="5">
        <f t="shared" si="873"/>
        <v>1.0206503445500723</v>
      </c>
      <c r="ED299" s="5"/>
      <c r="EE299" s="173">
        <f t="shared" si="874"/>
        <v>1.1726705551391934</v>
      </c>
      <c r="EF299" s="173">
        <f t="shared" si="875"/>
        <v>6.4909511031147806</v>
      </c>
      <c r="EG299" s="173">
        <f t="shared" si="876"/>
        <v>0.12367893318097083</v>
      </c>
      <c r="EH299" s="173"/>
      <c r="EI299" s="528">
        <f t="shared" si="877"/>
        <v>1.6776906016863657E-2</v>
      </c>
      <c r="EJ299" s="528">
        <f t="shared" si="878"/>
        <v>1.1279999999999999</v>
      </c>
      <c r="EK299" s="528">
        <f t="shared" si="879"/>
        <v>3.709885927716159E-2</v>
      </c>
      <c r="EL299" s="528">
        <f t="shared" si="880"/>
        <v>8.9127486690949859E-2</v>
      </c>
      <c r="EM299">
        <f t="shared" si="881"/>
        <v>1.6199999999999999E-2</v>
      </c>
      <c r="EN299" s="460">
        <f t="shared" si="882"/>
        <v>53.29885927716159</v>
      </c>
      <c r="EP299" s="460">
        <f t="shared" si="883"/>
        <v>1287.2032519849749</v>
      </c>
      <c r="EQ299" s="173">
        <f t="shared" si="884"/>
        <v>3.4859999999999993</v>
      </c>
      <c r="ER299" s="173">
        <f t="shared" si="845"/>
        <v>3.6831250000000003E-2</v>
      </c>
      <c r="ES299" s="528"/>
      <c r="EU299" s="460">
        <f t="shared" si="885"/>
        <v>3522.8312499999993</v>
      </c>
      <c r="EV299" s="528">
        <f t="shared" si="886"/>
        <v>4.1254686926713913E-2</v>
      </c>
      <c r="EW299" s="528">
        <f t="shared" si="887"/>
        <v>1.2639733866908096</v>
      </c>
      <c r="EX299" s="528">
        <f t="shared" si="888"/>
        <v>7.648239256391523E-5</v>
      </c>
      <c r="EY299" s="528">
        <f t="shared" si="889"/>
        <v>1.699089938303846</v>
      </c>
      <c r="EZ299" s="528"/>
      <c r="FA299" s="625">
        <f t="shared" si="890"/>
        <v>8.9224999999999985E-2</v>
      </c>
      <c r="FB299" s="460">
        <f t="shared" si="891"/>
        <v>3093.619494313933</v>
      </c>
      <c r="FC299" s="173">
        <f t="shared" si="892"/>
        <v>7.9036539962989067</v>
      </c>
      <c r="FD299" s="5">
        <f t="shared" si="893"/>
        <v>21.413999999999998</v>
      </c>
      <c r="FE299" s="173">
        <f t="shared" si="894"/>
        <v>0.73041314979374972</v>
      </c>
      <c r="FF299" s="5">
        <f t="shared" si="895"/>
        <v>73.041314979374974</v>
      </c>
      <c r="FG299">
        <f t="shared" si="896"/>
        <v>83</v>
      </c>
      <c r="FI299" s="562">
        <f t="shared" si="846"/>
        <v>-50</v>
      </c>
    </row>
    <row r="300" spans="5:165">
      <c r="E300" s="170">
        <v>84</v>
      </c>
      <c r="F300" s="217">
        <f t="shared" si="847"/>
        <v>5.04</v>
      </c>
      <c r="G300" s="217">
        <f t="shared" si="775"/>
        <v>8.4000000000000005E-2</v>
      </c>
      <c r="H300" s="217">
        <f t="shared" si="776"/>
        <v>20.16</v>
      </c>
      <c r="I300" s="217">
        <f t="shared" si="777"/>
        <v>1.512</v>
      </c>
      <c r="J300" s="541">
        <f t="shared" si="778"/>
        <v>35.89950088638529</v>
      </c>
      <c r="K300" s="443">
        <f t="shared" si="779"/>
        <v>19.72064</v>
      </c>
      <c r="L300" s="172">
        <f t="shared" si="780"/>
        <v>55.620140886385286</v>
      </c>
      <c r="M300" s="443"/>
      <c r="N300" s="217">
        <f t="shared" si="781"/>
        <v>0.35455933202835921</v>
      </c>
      <c r="O300" s="172">
        <f t="shared" si="782"/>
        <v>39.468226525358943</v>
      </c>
      <c r="P300" s="172">
        <f t="shared" si="783"/>
        <v>3.1821257636070643</v>
      </c>
      <c r="Q300" s="217">
        <f t="shared" si="784"/>
        <v>9.8670566313397359</v>
      </c>
      <c r="R300" s="217">
        <f t="shared" si="785"/>
        <v>2.1926792514088302</v>
      </c>
      <c r="S300" s="217">
        <f t="shared" si="786"/>
        <v>4</v>
      </c>
      <c r="T300" s="217">
        <f t="shared" si="787"/>
        <v>3.405270817366115</v>
      </c>
      <c r="U300" s="217">
        <f t="shared" si="788"/>
        <v>1.1382679090084669</v>
      </c>
      <c r="V300" s="217">
        <f t="shared" si="789"/>
        <v>2.0721056623108267</v>
      </c>
      <c r="W300" s="197">
        <f t="shared" si="790"/>
        <v>350</v>
      </c>
      <c r="X300" s="443">
        <f t="shared" si="848"/>
        <v>293.22300888378999</v>
      </c>
      <c r="Z300" s="217">
        <f t="shared" si="791"/>
        <v>3.0305959653400616</v>
      </c>
      <c r="AA300" s="173">
        <f t="shared" si="792"/>
        <v>1.8441161942046882</v>
      </c>
      <c r="AB300" s="173">
        <f t="shared" si="793"/>
        <v>3.6391997845976727</v>
      </c>
      <c r="AC300" s="173"/>
      <c r="AD300" s="173">
        <f t="shared" si="794"/>
        <v>0.81133269508494665</v>
      </c>
      <c r="AE300" s="545">
        <f t="shared" si="795"/>
        <v>2329.5005999999998</v>
      </c>
      <c r="AF300" s="528">
        <f t="shared" si="796"/>
        <v>0.7572438487459503</v>
      </c>
      <c r="AH300" s="173">
        <f t="shared" si="797"/>
        <v>3.212475680841802</v>
      </c>
      <c r="AI300" s="173">
        <f t="shared" si="798"/>
        <v>3.405270817366115</v>
      </c>
      <c r="AJ300" s="173">
        <f t="shared" si="799"/>
        <v>2.7347685066909495</v>
      </c>
      <c r="AL300" s="545">
        <f t="shared" si="800"/>
        <v>5040</v>
      </c>
      <c r="AM300" s="460">
        <f t="shared" si="801"/>
        <v>293.22300888378999</v>
      </c>
      <c r="AO300">
        <f t="shared" si="802"/>
        <v>5040</v>
      </c>
      <c r="AP300">
        <f t="shared" si="803"/>
        <v>293.22300888378999</v>
      </c>
      <c r="AR300" s="5">
        <f t="shared" si="774"/>
        <v>3.4103735713192944</v>
      </c>
      <c r="AS300" s="5">
        <f t="shared" si="739"/>
        <v>1.1382679090084669</v>
      </c>
      <c r="AT300" s="5">
        <f t="shared" si="740"/>
        <v>2.2721056623108273</v>
      </c>
      <c r="AU300" s="173">
        <f t="shared" si="741"/>
        <v>0.33376634119532272</v>
      </c>
      <c r="BA300" s="173">
        <f t="shared" si="849"/>
        <v>1.135827287701066</v>
      </c>
      <c r="BB300" s="173">
        <f t="shared" si="850"/>
        <v>6.4189546219079254</v>
      </c>
      <c r="BC300" s="173">
        <f t="shared" si="851"/>
        <v>0.12230710833635372</v>
      </c>
      <c r="BD300" s="173"/>
      <c r="BE300" s="528">
        <f t="shared" si="852"/>
        <v>1.5739264255333594E-2</v>
      </c>
      <c r="BF300" s="528">
        <f t="shared" si="804"/>
        <v>1.0413172413007648</v>
      </c>
      <c r="BG300" s="528">
        <f t="shared" si="805"/>
        <v>0.26316399168330451</v>
      </c>
      <c r="BH300" s="528">
        <f t="shared" si="853"/>
        <v>9.0711472145985364E-2</v>
      </c>
      <c r="BI300">
        <f t="shared" si="854"/>
        <v>1.6154775398873378E-2</v>
      </c>
      <c r="BJ300" s="460">
        <f t="shared" si="855"/>
        <v>279.31876708217789</v>
      </c>
      <c r="BK300">
        <f t="shared" si="806"/>
        <v>1.1563418920676665</v>
      </c>
      <c r="BL300" s="460">
        <f t="shared" si="856"/>
        <v>1427.0867447842618</v>
      </c>
      <c r="BM300" s="173">
        <f t="shared" si="807"/>
        <v>3.1310999999999996</v>
      </c>
      <c r="BN300" s="173">
        <f t="shared" si="808"/>
        <v>3.7275000000000003E-2</v>
      </c>
      <c r="BQ300" s="460">
        <f t="shared" si="857"/>
        <v>3168.3749999999995</v>
      </c>
      <c r="BR300" s="528">
        <f t="shared" si="858"/>
        <v>3.8703108824590805E-2</v>
      </c>
      <c r="BS300" s="528">
        <f t="shared" si="859"/>
        <v>1.2360893531433936</v>
      </c>
      <c r="BT300" s="528">
        <f t="shared" si="860"/>
        <v>7.4795143748002831E-5</v>
      </c>
      <c r="BU300" s="528">
        <f t="shared" si="861"/>
        <v>1.5752310383529531</v>
      </c>
      <c r="BV300" s="528"/>
      <c r="BW300" s="625">
        <f t="shared" si="862"/>
        <v>8.500439245955875E-2</v>
      </c>
      <c r="BX300" s="460">
        <f t="shared" si="863"/>
        <v>2935.1026879242445</v>
      </c>
      <c r="BY300" s="173">
        <f t="shared" si="864"/>
        <v>7.5305644327085055</v>
      </c>
      <c r="BZ300" s="5">
        <f t="shared" si="865"/>
        <v>21.672000000000001</v>
      </c>
      <c r="CA300" s="173">
        <f t="shared" si="866"/>
        <v>0.74212660500891314</v>
      </c>
      <c r="CB300" s="5">
        <f t="shared" si="867"/>
        <v>74.212660500891317</v>
      </c>
      <c r="CC300">
        <f t="shared" si="868"/>
        <v>84</v>
      </c>
      <c r="CE300" s="562">
        <f t="shared" si="809"/>
        <v>-50</v>
      </c>
      <c r="CG300" s="173">
        <f t="shared" si="810"/>
        <v>0.65693430656934304</v>
      </c>
      <c r="CH300" s="173">
        <f t="shared" si="811"/>
        <v>0.17833950839807344</v>
      </c>
      <c r="CI300" s="170">
        <v>84</v>
      </c>
      <c r="CJ300" s="217">
        <f t="shared" si="869"/>
        <v>5.04</v>
      </c>
      <c r="CK300" s="217">
        <f t="shared" si="812"/>
        <v>8.4000000000000005E-2</v>
      </c>
      <c r="CL300" s="217">
        <f t="shared" si="813"/>
        <v>20.16</v>
      </c>
      <c r="CM300" s="217">
        <f t="shared" si="814"/>
        <v>1.512</v>
      </c>
      <c r="CN300" s="541">
        <f t="shared" si="815"/>
        <v>36</v>
      </c>
      <c r="CO300" s="443">
        <f t="shared" si="816"/>
        <v>18.8</v>
      </c>
      <c r="CP300" s="443">
        <f t="shared" si="817"/>
        <v>54.8</v>
      </c>
      <c r="CQ300" s="443"/>
      <c r="CR300" s="217">
        <f t="shared" si="818"/>
        <v>0.34306569343065696</v>
      </c>
      <c r="CS300" s="172">
        <f t="shared" si="819"/>
        <v>38.295705313189622</v>
      </c>
      <c r="CT300" s="172">
        <f t="shared" si="820"/>
        <v>3.0875912408759132</v>
      </c>
      <c r="CU300" s="217">
        <f t="shared" si="821"/>
        <v>9.5739263282974054</v>
      </c>
      <c r="CV300" s="217">
        <f t="shared" si="822"/>
        <v>2.12753918406609</v>
      </c>
      <c r="CW300" s="217">
        <f t="shared" si="823"/>
        <v>4</v>
      </c>
      <c r="CX300" s="217">
        <f t="shared" si="824"/>
        <v>3.5095319148936168</v>
      </c>
      <c r="CY300" s="217">
        <f t="shared" si="825"/>
        <v>1.1698439716312057</v>
      </c>
      <c r="CZ300" s="217">
        <f t="shared" si="826"/>
        <v>2.2401267541874152</v>
      </c>
      <c r="DA300" s="197">
        <f t="shared" si="827"/>
        <v>350</v>
      </c>
      <c r="DB300" s="443">
        <f t="shared" si="828"/>
        <v>293.25764952422963</v>
      </c>
      <c r="DD300" s="217">
        <f t="shared" si="829"/>
        <v>2.940563086548488</v>
      </c>
      <c r="DE300" s="173">
        <f t="shared" si="830"/>
        <v>1.8769551616266944</v>
      </c>
      <c r="DF300" s="173">
        <f t="shared" si="831"/>
        <v>3.5939660877863036</v>
      </c>
      <c r="DG300" s="173"/>
      <c r="DH300" s="173">
        <f t="shared" si="832"/>
        <v>0.85106382978723416</v>
      </c>
      <c r="DI300" s="545">
        <f t="shared" si="833"/>
        <v>2220.7499999999995</v>
      </c>
      <c r="DJ300" s="528">
        <f t="shared" si="834"/>
        <v>0.79432624113475192</v>
      </c>
      <c r="DL300" s="173">
        <f t="shared" si="835"/>
        <v>3.212475680841802</v>
      </c>
      <c r="DM300" s="173">
        <f t="shared" si="836"/>
        <v>3.5095319148936168</v>
      </c>
      <c r="DN300" s="173">
        <f t="shared" si="837"/>
        <v>2.8119989493039137</v>
      </c>
      <c r="DP300" s="545">
        <f t="shared" si="838"/>
        <v>5040</v>
      </c>
      <c r="DQ300" s="460">
        <f t="shared" si="839"/>
        <v>293.25764952422963</v>
      </c>
      <c r="DS300">
        <f t="shared" si="840"/>
        <v>5040</v>
      </c>
      <c r="DT300">
        <f t="shared" si="841"/>
        <v>293.25764952422963</v>
      </c>
      <c r="DV300" s="5">
        <f t="shared" si="870"/>
        <v>3.4099707258186207</v>
      </c>
      <c r="DW300" s="5">
        <f t="shared" si="842"/>
        <v>1.1698439716312057</v>
      </c>
      <c r="DX300" s="5">
        <f t="shared" si="843"/>
        <v>2.2401267541874148</v>
      </c>
      <c r="DY300" s="173">
        <f t="shared" si="844"/>
        <v>0.34306569343065696</v>
      </c>
      <c r="EA300" s="5">
        <f t="shared" si="871"/>
        <v>147.40034042553191</v>
      </c>
      <c r="EB300" s="5">
        <f t="shared" si="872"/>
        <v>0.54592718676122942</v>
      </c>
      <c r="EC300" s="5">
        <f t="shared" si="873"/>
        <v>1.0453924852874603</v>
      </c>
      <c r="ED300" s="5"/>
      <c r="EE300" s="173">
        <f t="shared" si="874"/>
        <v>1.1867991160444853</v>
      </c>
      <c r="EF300" s="173">
        <f t="shared" si="875"/>
        <v>6.5691553332727919</v>
      </c>
      <c r="EG300" s="173">
        <f t="shared" si="876"/>
        <v>0.12516904080965724</v>
      </c>
      <c r="EH300" s="173"/>
      <c r="EI300" s="528">
        <f t="shared" si="877"/>
        <v>1.7183604130496456E-2</v>
      </c>
      <c r="EJ300" s="528">
        <f t="shared" si="878"/>
        <v>1.1279999999999999</v>
      </c>
      <c r="EK300" s="528">
        <f t="shared" si="879"/>
        <v>3.6657206190528702E-2</v>
      </c>
      <c r="EL300" s="528">
        <f t="shared" si="880"/>
        <v>8.8066445182724246E-2</v>
      </c>
      <c r="EM300">
        <f t="shared" si="881"/>
        <v>1.6199999999999999E-2</v>
      </c>
      <c r="EN300" s="460">
        <f t="shared" si="882"/>
        <v>52.8572061905287</v>
      </c>
      <c r="EP300" s="460">
        <f t="shared" si="883"/>
        <v>1286.1072555037495</v>
      </c>
      <c r="EQ300" s="173">
        <f t="shared" si="884"/>
        <v>3.5279999999999996</v>
      </c>
      <c r="ER300" s="173">
        <f t="shared" si="845"/>
        <v>3.7275000000000003E-2</v>
      </c>
      <c r="ES300" s="528"/>
      <c r="EU300" s="460">
        <f t="shared" si="885"/>
        <v>3565.2749999999996</v>
      </c>
      <c r="EV300" s="528">
        <f t="shared" si="886"/>
        <v>4.2254764255319148E-2</v>
      </c>
      <c r="EW300" s="528">
        <f t="shared" si="887"/>
        <v>1.2946140537799908</v>
      </c>
      <c r="EX300" s="528">
        <f t="shared" si="888"/>
        <v>7.8336443886048188E-5</v>
      </c>
      <c r="EY300" s="528">
        <f t="shared" si="889"/>
        <v>1.6990899383038491</v>
      </c>
      <c r="EZ300" s="528"/>
      <c r="FA300" s="625">
        <f t="shared" si="890"/>
        <v>9.0300000000000005E-2</v>
      </c>
      <c r="FB300" s="460">
        <f t="shared" si="891"/>
        <v>3126.3370927830451</v>
      </c>
      <c r="FC300" s="173">
        <f t="shared" si="892"/>
        <v>7.9777193482867945</v>
      </c>
      <c r="FD300" s="5">
        <f t="shared" si="893"/>
        <v>21.672000000000001</v>
      </c>
      <c r="FE300" s="173">
        <f t="shared" si="894"/>
        <v>0.7309344060031463</v>
      </c>
      <c r="FF300" s="5">
        <f t="shared" si="895"/>
        <v>73.093440600314636</v>
      </c>
      <c r="FG300">
        <f t="shared" si="896"/>
        <v>84</v>
      </c>
      <c r="FI300" s="562">
        <f t="shared" si="846"/>
        <v>-50</v>
      </c>
    </row>
    <row r="301" spans="5:165">
      <c r="E301" s="170">
        <v>85</v>
      </c>
      <c r="F301" s="217">
        <f t="shared" si="847"/>
        <v>5.0999999999999996</v>
      </c>
      <c r="G301" s="217">
        <f t="shared" si="775"/>
        <v>8.5000000000000006E-2</v>
      </c>
      <c r="H301" s="217">
        <f t="shared" si="776"/>
        <v>20.399999999999999</v>
      </c>
      <c r="I301" s="217">
        <f t="shared" si="777"/>
        <v>1.53</v>
      </c>
      <c r="J301" s="541">
        <f t="shared" si="778"/>
        <v>35.898304468366064</v>
      </c>
      <c r="K301" s="443">
        <f t="shared" si="779"/>
        <v>19.7316</v>
      </c>
      <c r="L301" s="172">
        <f t="shared" si="780"/>
        <v>55.629904468366064</v>
      </c>
      <c r="M301" s="443"/>
      <c r="N301" s="217">
        <f t="shared" si="781"/>
        <v>0.35469411980062576</v>
      </c>
      <c r="O301" s="172">
        <f t="shared" si="782"/>
        <v>39.48191474648673</v>
      </c>
      <c r="P301" s="172">
        <f t="shared" si="783"/>
        <v>3.1832293764354929</v>
      </c>
      <c r="Q301" s="217">
        <f t="shared" si="784"/>
        <v>9.8704786866216825</v>
      </c>
      <c r="R301" s="217">
        <f t="shared" si="785"/>
        <v>2.1934397081381518</v>
      </c>
      <c r="S301" s="217">
        <f t="shared" si="786"/>
        <v>4</v>
      </c>
      <c r="T301" s="217">
        <f t="shared" si="787"/>
        <v>3.4446151072777402</v>
      </c>
      <c r="U301" s="217">
        <f t="shared" si="788"/>
        <v>1.1514577610137</v>
      </c>
      <c r="V301" s="217">
        <f t="shared" si="789"/>
        <v>2.0948823859865842</v>
      </c>
      <c r="W301" s="197">
        <f t="shared" si="790"/>
        <v>350</v>
      </c>
      <c r="X301" s="443">
        <f t="shared" si="848"/>
        <v>290.16288507401282</v>
      </c>
      <c r="Z301" s="217">
        <f t="shared" si="791"/>
        <v>3.0316470251766598</v>
      </c>
      <c r="AA301" s="173">
        <f t="shared" si="792"/>
        <v>1.843731086283926</v>
      </c>
      <c r="AB301" s="173">
        <f t="shared" si="793"/>
        <v>3.639701678205467</v>
      </c>
      <c r="AC301" s="173"/>
      <c r="AD301" s="173">
        <f t="shared" si="794"/>
        <v>0.81088203693567695</v>
      </c>
      <c r="AE301" s="545">
        <f t="shared" si="795"/>
        <v>2358.5428124999989</v>
      </c>
      <c r="AF301" s="528">
        <f t="shared" si="796"/>
        <v>0.75682323447329858</v>
      </c>
      <c r="AH301" s="173">
        <f t="shared" si="797"/>
        <v>3.231540985792559</v>
      </c>
      <c r="AI301" s="173">
        <f t="shared" si="798"/>
        <v>3.4446151072777402</v>
      </c>
      <c r="AJ301" s="173">
        <f t="shared" si="799"/>
        <v>2.7639124251440048</v>
      </c>
      <c r="AL301" s="545">
        <f t="shared" si="800"/>
        <v>5100</v>
      </c>
      <c r="AM301" s="460">
        <f t="shared" si="801"/>
        <v>290.16288507401282</v>
      </c>
      <c r="AO301">
        <f t="shared" si="802"/>
        <v>5100</v>
      </c>
      <c r="AP301">
        <f t="shared" si="803"/>
        <v>290.16288507401282</v>
      </c>
      <c r="AR301" s="5">
        <f t="shared" si="774"/>
        <v>3.4463401470002841</v>
      </c>
      <c r="AS301" s="5">
        <f t="shared" si="739"/>
        <v>1.1514577610137</v>
      </c>
      <c r="AT301" s="5">
        <f t="shared" si="740"/>
        <v>2.2948823859865843</v>
      </c>
      <c r="AU301" s="173">
        <f t="shared" si="741"/>
        <v>0.33411030597659841</v>
      </c>
      <c r="BA301" s="173">
        <f t="shared" si="849"/>
        <v>1.1495424427188672</v>
      </c>
      <c r="BB301" s="173">
        <f t="shared" si="850"/>
        <v>6.4914424712128431</v>
      </c>
      <c r="BC301" s="173">
        <f t="shared" si="851"/>
        <v>0.12368829573527175</v>
      </c>
      <c r="BD301" s="173"/>
      <c r="BE301" s="528">
        <f t="shared" si="852"/>
        <v>1.6121663496867132E-2</v>
      </c>
      <c r="BF301" s="528">
        <f t="shared" si="804"/>
        <v>1.0425386125641585</v>
      </c>
      <c r="BG301" s="528">
        <f t="shared" si="805"/>
        <v>0.26040888984516058</v>
      </c>
      <c r="BH301" s="528">
        <f t="shared" si="853"/>
        <v>8.9796309683858919E-2</v>
      </c>
      <c r="BI301">
        <f t="shared" si="854"/>
        <v>1.6154237010764728E-2</v>
      </c>
      <c r="BJ301" s="460">
        <f t="shared" si="855"/>
        <v>276.5631268559253</v>
      </c>
      <c r="BK301">
        <f t="shared" si="806"/>
        <v>1.1572422597513841</v>
      </c>
      <c r="BL301" s="460">
        <f t="shared" si="856"/>
        <v>1425.01971260081</v>
      </c>
      <c r="BM301" s="173">
        <f t="shared" si="807"/>
        <v>3.1683749999999993</v>
      </c>
      <c r="BN301" s="173">
        <f t="shared" si="808"/>
        <v>3.7718750000000002E-2</v>
      </c>
      <c r="BQ301" s="460">
        <f t="shared" si="857"/>
        <v>3206.0937499999991</v>
      </c>
      <c r="BR301" s="528">
        <f t="shared" si="858"/>
        <v>3.9643434828361801E-2</v>
      </c>
      <c r="BS301" s="528">
        <f t="shared" si="859"/>
        <v>1.264164760711977</v>
      </c>
      <c r="BT301" s="528">
        <f t="shared" si="860"/>
        <v>7.6493972509480214E-5</v>
      </c>
      <c r="BU301" s="528">
        <f t="shared" si="861"/>
        <v>1.5791610048221854</v>
      </c>
      <c r="BV301" s="528"/>
      <c r="BW301" s="625">
        <f t="shared" si="862"/>
        <v>8.6072273275272421E-2</v>
      </c>
      <c r="BX301" s="460">
        <f t="shared" si="863"/>
        <v>2969.1179676103066</v>
      </c>
      <c r="BY301" s="173">
        <f t="shared" si="864"/>
        <v>7.6002314302111147</v>
      </c>
      <c r="BZ301" s="5">
        <f t="shared" si="865"/>
        <v>21.93</v>
      </c>
      <c r="CA301" s="173">
        <f t="shared" si="866"/>
        <v>0.74262878879995353</v>
      </c>
      <c r="CB301" s="5">
        <f t="shared" si="867"/>
        <v>74.262878879995355</v>
      </c>
      <c r="CC301">
        <f t="shared" si="868"/>
        <v>85</v>
      </c>
      <c r="CE301" s="562">
        <f t="shared" si="809"/>
        <v>-50</v>
      </c>
      <c r="CG301" s="173">
        <f t="shared" si="810"/>
        <v>0.65693430656934304</v>
      </c>
      <c r="CH301" s="173">
        <f t="shared" si="811"/>
        <v>0.17833950839807344</v>
      </c>
      <c r="CI301" s="170">
        <v>85</v>
      </c>
      <c r="CJ301" s="217">
        <f t="shared" si="869"/>
        <v>5.0999999999999996</v>
      </c>
      <c r="CK301" s="217">
        <f t="shared" si="812"/>
        <v>8.5000000000000006E-2</v>
      </c>
      <c r="CL301" s="217">
        <f t="shared" si="813"/>
        <v>20.399999999999999</v>
      </c>
      <c r="CM301" s="217">
        <f t="shared" si="814"/>
        <v>1.53</v>
      </c>
      <c r="CN301" s="541">
        <f t="shared" si="815"/>
        <v>36</v>
      </c>
      <c r="CO301" s="443">
        <f t="shared" si="816"/>
        <v>18.8</v>
      </c>
      <c r="CP301" s="443">
        <f t="shared" si="817"/>
        <v>54.8</v>
      </c>
      <c r="CQ301" s="443"/>
      <c r="CR301" s="217">
        <f t="shared" si="818"/>
        <v>0.34306569343065696</v>
      </c>
      <c r="CS301" s="172">
        <f t="shared" si="819"/>
        <v>38.295705313189622</v>
      </c>
      <c r="CT301" s="172">
        <f t="shared" si="820"/>
        <v>3.0875912408759132</v>
      </c>
      <c r="CU301" s="217">
        <f t="shared" si="821"/>
        <v>9.5739263282974054</v>
      </c>
      <c r="CV301" s="217">
        <f t="shared" si="822"/>
        <v>2.12753918406609</v>
      </c>
      <c r="CW301" s="217">
        <f t="shared" si="823"/>
        <v>4</v>
      </c>
      <c r="CX301" s="217">
        <f t="shared" si="824"/>
        <v>3.5513120567375882</v>
      </c>
      <c r="CY301" s="217">
        <f t="shared" si="825"/>
        <v>1.1837706855791961</v>
      </c>
      <c r="CZ301" s="217">
        <f t="shared" si="826"/>
        <v>2.266794929832503</v>
      </c>
      <c r="DA301" s="197">
        <f t="shared" si="827"/>
        <v>350</v>
      </c>
      <c r="DB301" s="443">
        <f t="shared" si="828"/>
        <v>289.80755952982696</v>
      </c>
      <c r="DD301" s="217">
        <f t="shared" si="829"/>
        <v>2.940563086548488</v>
      </c>
      <c r="DE301" s="173">
        <f t="shared" si="830"/>
        <v>1.8769551616266944</v>
      </c>
      <c r="DF301" s="173">
        <f t="shared" si="831"/>
        <v>3.5939660877863036</v>
      </c>
      <c r="DG301" s="173"/>
      <c r="DH301" s="173">
        <f t="shared" si="832"/>
        <v>0.85106382978723416</v>
      </c>
      <c r="DI301" s="545">
        <f t="shared" si="833"/>
        <v>2247.1874999999995</v>
      </c>
      <c r="DJ301" s="528">
        <f t="shared" si="834"/>
        <v>0.79432624113475192</v>
      </c>
      <c r="DL301" s="173">
        <f t="shared" si="835"/>
        <v>3.231540985792559</v>
      </c>
      <c r="DM301" s="173">
        <f t="shared" si="836"/>
        <v>3.5513120567375882</v>
      </c>
      <c r="DN301" s="173">
        <f t="shared" si="837"/>
        <v>2.8429472025216702</v>
      </c>
      <c r="DP301" s="545">
        <f t="shared" si="838"/>
        <v>5100</v>
      </c>
      <c r="DQ301" s="460">
        <f t="shared" si="839"/>
        <v>289.80755952982696</v>
      </c>
      <c r="DS301">
        <f t="shared" si="840"/>
        <v>5100</v>
      </c>
      <c r="DT301">
        <f t="shared" si="841"/>
        <v>289.80755952982696</v>
      </c>
      <c r="DV301" s="5">
        <f t="shared" si="870"/>
        <v>3.450565615411699</v>
      </c>
      <c r="DW301" s="5">
        <f t="shared" si="842"/>
        <v>1.1837706855791961</v>
      </c>
      <c r="DX301" s="5">
        <f t="shared" si="843"/>
        <v>2.266794929832503</v>
      </c>
      <c r="DY301" s="173">
        <f t="shared" si="844"/>
        <v>0.34306569343065696</v>
      </c>
      <c r="EA301" s="5">
        <f t="shared" si="871"/>
        <v>150.93076241134747</v>
      </c>
      <c r="EB301" s="5">
        <f t="shared" si="872"/>
        <v>0.55900282374573151</v>
      </c>
      <c r="EC301" s="5">
        <f t="shared" si="873"/>
        <v>1.0704309390875706</v>
      </c>
      <c r="ED301" s="5"/>
      <c r="EE301" s="173">
        <f t="shared" si="874"/>
        <v>1.2009276769497765</v>
      </c>
      <c r="EF301" s="173">
        <f t="shared" si="875"/>
        <v>6.6473595634308005</v>
      </c>
      <c r="EG301" s="173">
        <f t="shared" si="876"/>
        <v>0.12665914843834364</v>
      </c>
      <c r="EH301" s="173"/>
      <c r="EI301" s="528">
        <f t="shared" si="877"/>
        <v>1.7595172880220639E-2</v>
      </c>
      <c r="EJ301" s="528">
        <f t="shared" si="878"/>
        <v>1.1279999999999999</v>
      </c>
      <c r="EK301" s="528">
        <f t="shared" si="879"/>
        <v>3.6225944941228369E-2</v>
      </c>
      <c r="EL301" s="528">
        <f t="shared" si="880"/>
        <v>8.703036935704514E-2</v>
      </c>
      <c r="EM301">
        <f t="shared" si="881"/>
        <v>1.6199999999999999E-2</v>
      </c>
      <c r="EN301" s="460">
        <f t="shared" si="882"/>
        <v>52.425944941228366</v>
      </c>
      <c r="EP301" s="460">
        <f t="shared" si="883"/>
        <v>1285.051487178494</v>
      </c>
      <c r="EQ301" s="173">
        <f t="shared" si="884"/>
        <v>3.5699999999999994</v>
      </c>
      <c r="ER301" s="173">
        <f t="shared" si="845"/>
        <v>3.7718750000000002E-2</v>
      </c>
      <c r="ES301" s="528"/>
      <c r="EU301" s="460">
        <f t="shared" si="885"/>
        <v>3607.7187499999991</v>
      </c>
      <c r="EV301" s="528">
        <f t="shared" si="886"/>
        <v>4.3266818557919605E-2</v>
      </c>
      <c r="EW301" s="528">
        <f t="shared" si="887"/>
        <v>1.3256216749660477</v>
      </c>
      <c r="EX301" s="528">
        <f t="shared" si="888"/>
        <v>8.021269941563184E-5</v>
      </c>
      <c r="EY301" s="528">
        <f t="shared" si="889"/>
        <v>1.6990899383038454</v>
      </c>
      <c r="EZ301" s="528"/>
      <c r="FA301" s="625">
        <f t="shared" si="890"/>
        <v>9.1374999999999998E-2</v>
      </c>
      <c r="FB301" s="460">
        <f t="shared" si="891"/>
        <v>3159.4336445272288</v>
      </c>
      <c r="FC301" s="173">
        <f t="shared" si="892"/>
        <v>8.0522038817057204</v>
      </c>
      <c r="FD301" s="5">
        <f t="shared" si="893"/>
        <v>21.93</v>
      </c>
      <c r="FE301" s="173">
        <f t="shared" si="894"/>
        <v>0.73143388946738019</v>
      </c>
      <c r="FF301" s="5">
        <f t="shared" si="895"/>
        <v>73.143388946738014</v>
      </c>
      <c r="FG301">
        <f t="shared" si="896"/>
        <v>85</v>
      </c>
      <c r="FI301" s="562">
        <f t="shared" si="846"/>
        <v>-50</v>
      </c>
    </row>
    <row r="302" spans="5:165">
      <c r="E302" s="170">
        <v>86</v>
      </c>
      <c r="F302" s="217">
        <f t="shared" si="847"/>
        <v>5.16</v>
      </c>
      <c r="G302" s="217">
        <f t="shared" si="775"/>
        <v>8.6000000000000007E-2</v>
      </c>
      <c r="H302" s="217">
        <f t="shared" si="776"/>
        <v>20.64</v>
      </c>
      <c r="I302" s="217">
        <f t="shared" si="777"/>
        <v>1.548</v>
      </c>
      <c r="J302" s="541">
        <f t="shared" si="778"/>
        <v>35.897108050346844</v>
      </c>
      <c r="K302" s="443">
        <f t="shared" si="779"/>
        <v>19.742560000000001</v>
      </c>
      <c r="L302" s="172">
        <f t="shared" si="780"/>
        <v>55.639668050346842</v>
      </c>
      <c r="M302" s="443"/>
      <c r="N302" s="217">
        <f t="shared" si="781"/>
        <v>0.35482886026810023</v>
      </c>
      <c r="O302" s="172">
        <f t="shared" si="782"/>
        <v>39.495596702094311</v>
      </c>
      <c r="P302" s="172">
        <f t="shared" si="783"/>
        <v>3.1843324841063541</v>
      </c>
      <c r="Q302" s="217">
        <f t="shared" si="784"/>
        <v>9.8738991755235777</v>
      </c>
      <c r="R302" s="217">
        <f t="shared" si="785"/>
        <v>2.1941998167830175</v>
      </c>
      <c r="S302" s="217">
        <f t="shared" si="786"/>
        <v>4</v>
      </c>
      <c r="T302" s="217">
        <f t="shared" si="787"/>
        <v>3.4839326783155946</v>
      </c>
      <c r="U302" s="217">
        <f t="shared" si="788"/>
        <v>1.1646395604111399</v>
      </c>
      <c r="V302" s="217">
        <f t="shared" si="789"/>
        <v>2.1176175804853643</v>
      </c>
      <c r="W302" s="197">
        <f t="shared" si="790"/>
        <v>350</v>
      </c>
      <c r="X302" s="443">
        <f t="shared" si="848"/>
        <v>287.17006227246929</v>
      </c>
      <c r="Z302" s="217">
        <f t="shared" si="791"/>
        <v>3.0326976039108131</v>
      </c>
      <c r="AA302" s="173">
        <f t="shared" si="792"/>
        <v>1.8433461135197136</v>
      </c>
      <c r="AB302" s="173">
        <f t="shared" si="793"/>
        <v>3.6402027340973779</v>
      </c>
      <c r="AC302" s="173"/>
      <c r="AD302" s="173">
        <f t="shared" si="794"/>
        <v>0.81043187914839832</v>
      </c>
      <c r="AE302" s="545">
        <f t="shared" si="795"/>
        <v>2387.6158499999992</v>
      </c>
      <c r="AF302" s="528">
        <f t="shared" si="796"/>
        <v>0.75640308720517191</v>
      </c>
      <c r="AH302" s="173">
        <f t="shared" si="797"/>
        <v>3.2504944678793541</v>
      </c>
      <c r="AI302" s="173">
        <f t="shared" si="798"/>
        <v>3.4839326783155946</v>
      </c>
      <c r="AJ302" s="173">
        <f t="shared" si="799"/>
        <v>2.7930365518387119</v>
      </c>
      <c r="AL302" s="545">
        <f t="shared" si="800"/>
        <v>5160</v>
      </c>
      <c r="AM302" s="460">
        <f t="shared" si="801"/>
        <v>287.17006227246929</v>
      </c>
      <c r="AO302">
        <f t="shared" si="802"/>
        <v>5160</v>
      </c>
      <c r="AP302">
        <f t="shared" si="803"/>
        <v>287.17006227246929</v>
      </c>
      <c r="AR302" s="5">
        <f t="shared" si="774"/>
        <v>3.4822571408965044</v>
      </c>
      <c r="AS302" s="5">
        <f t="shared" si="739"/>
        <v>1.1646395604111399</v>
      </c>
      <c r="AT302" s="5">
        <f t="shared" si="740"/>
        <v>2.3176175804853645</v>
      </c>
      <c r="AU302" s="173">
        <f t="shared" si="741"/>
        <v>0.33444961508824828</v>
      </c>
      <c r="BA302" s="173">
        <f t="shared" si="849"/>
        <v>1.1632537927556375</v>
      </c>
      <c r="BB302" s="173">
        <f t="shared" si="850"/>
        <v>6.5638642065800017</v>
      </c>
      <c r="BC302" s="173">
        <f t="shared" si="851"/>
        <v>0.12506822339564597</v>
      </c>
      <c r="BD302" s="173"/>
      <c r="BE302" s="528">
        <f t="shared" si="852"/>
        <v>1.6508544513596578E-2</v>
      </c>
      <c r="BF302" s="528">
        <f t="shared" si="804"/>
        <v>1.0437457474851908</v>
      </c>
      <c r="BG302" s="528">
        <f t="shared" si="805"/>
        <v>0.25771436885549154</v>
      </c>
      <c r="BH302" s="528">
        <f t="shared" si="853"/>
        <v>8.8901322776978584E-2</v>
      </c>
      <c r="BI302">
        <f t="shared" si="854"/>
        <v>1.6153698622656081E-2</v>
      </c>
      <c r="BJ302" s="460">
        <f t="shared" si="855"/>
        <v>273.86806747814762</v>
      </c>
      <c r="BK302">
        <f t="shared" si="806"/>
        <v>1.1581557066873529</v>
      </c>
      <c r="BL302" s="460">
        <f t="shared" si="856"/>
        <v>1423.0236822539134</v>
      </c>
      <c r="BM302" s="173">
        <f t="shared" si="807"/>
        <v>3.2056499999999994</v>
      </c>
      <c r="BN302" s="173">
        <f t="shared" si="808"/>
        <v>3.8162500000000002E-2</v>
      </c>
      <c r="BQ302" s="460">
        <f t="shared" si="857"/>
        <v>3243.8124999999995</v>
      </c>
      <c r="BR302" s="528">
        <f t="shared" si="858"/>
        <v>4.0594781590811264E-2</v>
      </c>
      <c r="BS302" s="528">
        <f t="shared" si="859"/>
        <v>1.2925293996726632</v>
      </c>
      <c r="BT302" s="528">
        <f t="shared" si="860"/>
        <v>7.8210302516716035E-5</v>
      </c>
      <c r="BU302" s="528">
        <f t="shared" si="861"/>
        <v>1.5830414849498442</v>
      </c>
      <c r="BV302" s="528"/>
      <c r="BW302" s="625">
        <f t="shared" si="862"/>
        <v>8.7140225548582043E-2</v>
      </c>
      <c r="BX302" s="460">
        <f t="shared" si="863"/>
        <v>3003.3841020644177</v>
      </c>
      <c r="BY302" s="173">
        <f t="shared" si="864"/>
        <v>7.6702202843183311</v>
      </c>
      <c r="BZ302" s="5">
        <f t="shared" si="865"/>
        <v>22.188000000000002</v>
      </c>
      <c r="CA302" s="173">
        <f t="shared" si="866"/>
        <v>0.74311193998569414</v>
      </c>
      <c r="CB302" s="5">
        <f t="shared" si="867"/>
        <v>74.311193998569408</v>
      </c>
      <c r="CC302">
        <f t="shared" si="868"/>
        <v>86</v>
      </c>
      <c r="CE302" s="562">
        <f t="shared" si="809"/>
        <v>-50</v>
      </c>
      <c r="CG302" s="173">
        <f t="shared" si="810"/>
        <v>0.65693430656934315</v>
      </c>
      <c r="CH302" s="173">
        <f t="shared" si="811"/>
        <v>0.17833950839807339</v>
      </c>
      <c r="CI302" s="170">
        <v>86</v>
      </c>
      <c r="CJ302" s="217">
        <f t="shared" si="869"/>
        <v>5.16</v>
      </c>
      <c r="CK302" s="217">
        <f t="shared" si="812"/>
        <v>8.6000000000000007E-2</v>
      </c>
      <c r="CL302" s="217">
        <f t="shared" si="813"/>
        <v>20.64</v>
      </c>
      <c r="CM302" s="217">
        <f t="shared" si="814"/>
        <v>1.548</v>
      </c>
      <c r="CN302" s="541">
        <f t="shared" si="815"/>
        <v>36</v>
      </c>
      <c r="CO302" s="443">
        <f t="shared" si="816"/>
        <v>18.8</v>
      </c>
      <c r="CP302" s="443">
        <f t="shared" si="817"/>
        <v>54.8</v>
      </c>
      <c r="CQ302" s="443"/>
      <c r="CR302" s="217">
        <f t="shared" si="818"/>
        <v>0.34306569343065696</v>
      </c>
      <c r="CS302" s="172">
        <f t="shared" si="819"/>
        <v>38.295705313189622</v>
      </c>
      <c r="CT302" s="172">
        <f t="shared" si="820"/>
        <v>3.0875912408759132</v>
      </c>
      <c r="CU302" s="217">
        <f t="shared" si="821"/>
        <v>9.5739263282974054</v>
      </c>
      <c r="CV302" s="217">
        <f t="shared" si="822"/>
        <v>2.12753918406609</v>
      </c>
      <c r="CW302" s="217">
        <f t="shared" si="823"/>
        <v>4</v>
      </c>
      <c r="CX302" s="217">
        <f t="shared" si="824"/>
        <v>3.5930921985815605</v>
      </c>
      <c r="CY302" s="217">
        <f t="shared" si="825"/>
        <v>1.1976973995271869</v>
      </c>
      <c r="CZ302" s="217">
        <f t="shared" si="826"/>
        <v>2.293463105477592</v>
      </c>
      <c r="DA302" s="197">
        <f t="shared" si="827"/>
        <v>350</v>
      </c>
      <c r="DB302" s="443">
        <f t="shared" si="828"/>
        <v>286.43770418645676</v>
      </c>
      <c r="DD302" s="217">
        <f t="shared" si="829"/>
        <v>2.940563086548488</v>
      </c>
      <c r="DE302" s="173">
        <f t="shared" si="830"/>
        <v>1.8769551616266944</v>
      </c>
      <c r="DF302" s="173">
        <f t="shared" si="831"/>
        <v>3.5939660877863036</v>
      </c>
      <c r="DG302" s="173"/>
      <c r="DH302" s="173">
        <f t="shared" si="832"/>
        <v>0.85106382978723416</v>
      </c>
      <c r="DI302" s="545">
        <f t="shared" si="833"/>
        <v>2273.6249999999995</v>
      </c>
      <c r="DJ302" s="528">
        <f t="shared" si="834"/>
        <v>0.79432624113475192</v>
      </c>
      <c r="DL302" s="173">
        <f t="shared" si="835"/>
        <v>3.2504944678793541</v>
      </c>
      <c r="DM302" s="173">
        <f t="shared" si="836"/>
        <v>3.5930921985815605</v>
      </c>
      <c r="DN302" s="173">
        <f t="shared" si="837"/>
        <v>2.8738954557394276</v>
      </c>
      <c r="DP302" s="545">
        <f t="shared" si="838"/>
        <v>5160</v>
      </c>
      <c r="DQ302" s="460">
        <f t="shared" si="839"/>
        <v>286.43770418645676</v>
      </c>
      <c r="DS302">
        <f t="shared" si="840"/>
        <v>5160</v>
      </c>
      <c r="DT302">
        <f t="shared" si="841"/>
        <v>286.43770418645676</v>
      </c>
      <c r="DV302" s="5">
        <f t="shared" si="870"/>
        <v>3.4911605050047796</v>
      </c>
      <c r="DW302" s="5">
        <f t="shared" si="842"/>
        <v>1.1976973995271869</v>
      </c>
      <c r="DX302" s="5">
        <f t="shared" si="843"/>
        <v>2.2934631054775929</v>
      </c>
      <c r="DY302" s="173">
        <f t="shared" si="844"/>
        <v>0.34306569343065685</v>
      </c>
      <c r="EA302" s="5">
        <f t="shared" si="871"/>
        <v>154.50296453900711</v>
      </c>
      <c r="EB302" s="5">
        <f t="shared" si="872"/>
        <v>0.57223320199632266</v>
      </c>
      <c r="EC302" s="5">
        <f t="shared" si="873"/>
        <v>1.0957657059504053</v>
      </c>
      <c r="ED302" s="5"/>
      <c r="EE302" s="173">
        <f t="shared" si="874"/>
        <v>1.215056237855068</v>
      </c>
      <c r="EF302" s="173">
        <f t="shared" si="875"/>
        <v>6.7255637935888117</v>
      </c>
      <c r="EG302" s="173">
        <f t="shared" si="876"/>
        <v>0.12814925606703007</v>
      </c>
      <c r="EH302" s="173"/>
      <c r="EI302" s="528">
        <f t="shared" si="877"/>
        <v>1.8011612266036238E-2</v>
      </c>
      <c r="EJ302" s="528">
        <f t="shared" si="878"/>
        <v>1.1279999999999997</v>
      </c>
      <c r="EK302" s="528">
        <f t="shared" si="879"/>
        <v>3.5804713023307094E-2</v>
      </c>
      <c r="EL302" s="528">
        <f t="shared" si="880"/>
        <v>8.6018388318009689E-2</v>
      </c>
      <c r="EM302">
        <f t="shared" si="881"/>
        <v>1.6199999999999999E-2</v>
      </c>
      <c r="EN302" s="460">
        <f t="shared" si="882"/>
        <v>52.00471302330709</v>
      </c>
      <c r="EP302" s="460">
        <f t="shared" si="883"/>
        <v>1284.0347136073526</v>
      </c>
      <c r="EQ302" s="173">
        <f t="shared" si="884"/>
        <v>3.6119999999999997</v>
      </c>
      <c r="ER302" s="173">
        <f t="shared" si="845"/>
        <v>3.8162500000000002E-2</v>
      </c>
      <c r="ES302" s="528"/>
      <c r="EU302" s="460">
        <f t="shared" si="885"/>
        <v>3650.1624999999995</v>
      </c>
      <c r="EV302" s="528">
        <f t="shared" si="886"/>
        <v>4.4290849834515346E-2</v>
      </c>
      <c r="EW302" s="528">
        <f t="shared" si="887"/>
        <v>1.3569962502489816</v>
      </c>
      <c r="EX302" s="528">
        <f t="shared" si="888"/>
        <v>8.2111159152666212E-5</v>
      </c>
      <c r="EY302" s="528">
        <f t="shared" si="889"/>
        <v>1.6990899383038454</v>
      </c>
      <c r="EZ302" s="528"/>
      <c r="FA302" s="625">
        <f t="shared" si="890"/>
        <v>9.2449999999999991E-2</v>
      </c>
      <c r="FB302" s="460">
        <f t="shared" si="891"/>
        <v>3192.909149546495</v>
      </c>
      <c r="FC302" s="173">
        <f t="shared" si="892"/>
        <v>8.127106363153846</v>
      </c>
      <c r="FD302" s="5">
        <f t="shared" si="893"/>
        <v>22.188000000000002</v>
      </c>
      <c r="FE302" s="173">
        <f t="shared" si="894"/>
        <v>0.73191232563076725</v>
      </c>
      <c r="FF302" s="5">
        <f t="shared" si="895"/>
        <v>73.191232563076724</v>
      </c>
      <c r="FG302">
        <f t="shared" si="896"/>
        <v>86</v>
      </c>
      <c r="FI302" s="562">
        <f t="shared" si="846"/>
        <v>-50</v>
      </c>
    </row>
    <row r="303" spans="5:165">
      <c r="E303" s="170">
        <v>87</v>
      </c>
      <c r="F303" s="217">
        <f t="shared" si="847"/>
        <v>5.22</v>
      </c>
      <c r="G303" s="217">
        <f t="shared" si="775"/>
        <v>8.7000000000000008E-2</v>
      </c>
      <c r="H303" s="217">
        <f t="shared" si="776"/>
        <v>20.88</v>
      </c>
      <c r="I303" s="217">
        <f t="shared" si="777"/>
        <v>1.5660000000000001</v>
      </c>
      <c r="J303" s="541">
        <f t="shared" si="778"/>
        <v>35.895911632327618</v>
      </c>
      <c r="K303" s="443">
        <f t="shared" si="779"/>
        <v>19.753520000000002</v>
      </c>
      <c r="L303" s="172">
        <f t="shared" si="780"/>
        <v>55.649431632327619</v>
      </c>
      <c r="M303" s="443"/>
      <c r="N303" s="217">
        <f t="shared" si="781"/>
        <v>0.3549635534556812</v>
      </c>
      <c r="O303" s="172">
        <f t="shared" si="782"/>
        <v>39.509272395479485</v>
      </c>
      <c r="P303" s="172">
        <f t="shared" si="783"/>
        <v>3.1854350868855335</v>
      </c>
      <c r="Q303" s="217">
        <f t="shared" si="784"/>
        <v>9.8773180988698712</v>
      </c>
      <c r="R303" s="217">
        <f t="shared" si="785"/>
        <v>2.194959577526638</v>
      </c>
      <c r="S303" s="217">
        <f t="shared" si="786"/>
        <v>4</v>
      </c>
      <c r="T303" s="217">
        <f t="shared" si="787"/>
        <v>3.5232235766489786</v>
      </c>
      <c r="U303" s="217">
        <f t="shared" si="788"/>
        <v>1.1778133218299949</v>
      </c>
      <c r="V303" s="217">
        <f t="shared" si="789"/>
        <v>2.1403113429802758</v>
      </c>
      <c r="W303" s="197">
        <f t="shared" si="790"/>
        <v>350</v>
      </c>
      <c r="X303" s="443">
        <f t="shared" si="848"/>
        <v>284.24234365609925</v>
      </c>
      <c r="Z303" s="217">
        <f t="shared" si="791"/>
        <v>3.0337477017957459</v>
      </c>
      <c r="AA303" s="173">
        <f t="shared" si="792"/>
        <v>1.8429612758409109</v>
      </c>
      <c r="AB303" s="173">
        <f t="shared" si="793"/>
        <v>3.6407029530759472</v>
      </c>
      <c r="AC303" s="173"/>
      <c r="AD303" s="173">
        <f t="shared" si="794"/>
        <v>0.80998222089025151</v>
      </c>
      <c r="AE303" s="545">
        <f t="shared" si="795"/>
        <v>2416.7197124999993</v>
      </c>
      <c r="AF303" s="528">
        <f t="shared" si="796"/>
        <v>0.75598340616423487</v>
      </c>
      <c r="AH303" s="173">
        <f t="shared" si="797"/>
        <v>3.2693380719300698</v>
      </c>
      <c r="AI303" s="173">
        <f t="shared" si="798"/>
        <v>3.5232235766489786</v>
      </c>
      <c r="AJ303" s="173">
        <f t="shared" si="799"/>
        <v>2.8221409209745518</v>
      </c>
      <c r="AL303" s="545">
        <f t="shared" si="800"/>
        <v>5220</v>
      </c>
      <c r="AM303" s="460">
        <f t="shared" si="801"/>
        <v>284.24234365609925</v>
      </c>
      <c r="AO303">
        <f t="shared" si="802"/>
        <v>5220</v>
      </c>
      <c r="AP303">
        <f t="shared" si="803"/>
        <v>284.24234365609925</v>
      </c>
      <c r="AR303" s="5">
        <f t="shared" si="774"/>
        <v>3.5181246648102706</v>
      </c>
      <c r="AS303" s="5">
        <f t="shared" si="739"/>
        <v>1.1778133218299949</v>
      </c>
      <c r="AT303" s="5">
        <f t="shared" si="740"/>
        <v>2.340311342980276</v>
      </c>
      <c r="AU303" s="173">
        <f t="shared" si="741"/>
        <v>0.33478441898633327</v>
      </c>
      <c r="BA303" s="173">
        <f t="shared" si="849"/>
        <v>1.1769613325113157</v>
      </c>
      <c r="BB303" s="173">
        <f t="shared" si="850"/>
        <v>6.6362199828415509</v>
      </c>
      <c r="BC303" s="173">
        <f t="shared" si="851"/>
        <v>0.1264468942676566</v>
      </c>
      <c r="BD303" s="173"/>
      <c r="BE303" s="528">
        <f t="shared" si="852"/>
        <v>1.6899903334367104E-2</v>
      </c>
      <c r="BF303" s="528">
        <f t="shared" si="804"/>
        <v>1.0449391094383611</v>
      </c>
      <c r="BG303" s="528">
        <f t="shared" si="805"/>
        <v>0.25507845125112594</v>
      </c>
      <c r="BH303" s="528">
        <f t="shared" si="853"/>
        <v>8.8025852863520312E-2</v>
      </c>
      <c r="BI303">
        <f t="shared" si="854"/>
        <v>1.6153160234547426E-2</v>
      </c>
      <c r="BJ303" s="460">
        <f t="shared" si="855"/>
        <v>271.2316114856734</v>
      </c>
      <c r="BK303">
        <f t="shared" si="806"/>
        <v>1.159082037290835</v>
      </c>
      <c r="BL303" s="460">
        <f t="shared" si="856"/>
        <v>1421.0964771219219</v>
      </c>
      <c r="BM303" s="173">
        <f t="shared" si="807"/>
        <v>3.2429249999999992</v>
      </c>
      <c r="BN303" s="173">
        <f t="shared" si="808"/>
        <v>3.8606250000000002E-2</v>
      </c>
      <c r="BQ303" s="460">
        <f t="shared" si="857"/>
        <v>3281.5312499999991</v>
      </c>
      <c r="BR303" s="528">
        <f t="shared" si="858"/>
        <v>4.1557139346804356E-2</v>
      </c>
      <c r="BS303" s="528">
        <f t="shared" si="859"/>
        <v>1.3211824698199652</v>
      </c>
      <c r="BT303" s="528">
        <f t="shared" si="860"/>
        <v>7.9944085349679641E-5</v>
      </c>
      <c r="BU303" s="528">
        <f t="shared" si="861"/>
        <v>1.5868740255601061</v>
      </c>
      <c r="BV303" s="528"/>
      <c r="BW303" s="625">
        <f t="shared" si="862"/>
        <v>8.8208246961912651E-2</v>
      </c>
      <c r="BX303" s="460">
        <f t="shared" si="863"/>
        <v>3037.9018257741382</v>
      </c>
      <c r="BY303" s="173">
        <f t="shared" si="864"/>
        <v>7.7405295528960592</v>
      </c>
      <c r="BZ303" s="5">
        <f t="shared" si="865"/>
        <v>22.445999999999998</v>
      </c>
      <c r="CA303" s="173">
        <f t="shared" si="866"/>
        <v>0.7435766990262237</v>
      </c>
      <c r="CB303" s="5">
        <f t="shared" si="867"/>
        <v>74.357669902622376</v>
      </c>
      <c r="CC303">
        <f t="shared" si="868"/>
        <v>87</v>
      </c>
      <c r="CE303" s="562">
        <f t="shared" si="809"/>
        <v>-50</v>
      </c>
      <c r="CG303" s="173">
        <f t="shared" si="810"/>
        <v>0.65693430656934304</v>
      </c>
      <c r="CH303" s="173">
        <f t="shared" si="811"/>
        <v>0.17833950839807347</v>
      </c>
      <c r="CI303" s="170">
        <v>87</v>
      </c>
      <c r="CJ303" s="217">
        <f t="shared" si="869"/>
        <v>5.22</v>
      </c>
      <c r="CK303" s="217">
        <f t="shared" si="812"/>
        <v>8.7000000000000008E-2</v>
      </c>
      <c r="CL303" s="217">
        <f t="shared" si="813"/>
        <v>20.88</v>
      </c>
      <c r="CM303" s="217">
        <f t="shared" si="814"/>
        <v>1.5660000000000001</v>
      </c>
      <c r="CN303" s="541">
        <f t="shared" si="815"/>
        <v>36</v>
      </c>
      <c r="CO303" s="443">
        <f t="shared" si="816"/>
        <v>18.8</v>
      </c>
      <c r="CP303" s="443">
        <f t="shared" si="817"/>
        <v>54.8</v>
      </c>
      <c r="CQ303" s="443"/>
      <c r="CR303" s="217">
        <f t="shared" si="818"/>
        <v>0.34306569343065696</v>
      </c>
      <c r="CS303" s="172">
        <f t="shared" si="819"/>
        <v>38.295705313189622</v>
      </c>
      <c r="CT303" s="172">
        <f t="shared" si="820"/>
        <v>3.0875912408759132</v>
      </c>
      <c r="CU303" s="217">
        <f t="shared" si="821"/>
        <v>9.5739263282974054</v>
      </c>
      <c r="CV303" s="217">
        <f t="shared" si="822"/>
        <v>2.12753918406609</v>
      </c>
      <c r="CW303" s="217">
        <f t="shared" si="823"/>
        <v>4</v>
      </c>
      <c r="CX303" s="217">
        <f t="shared" si="824"/>
        <v>3.634872340425531</v>
      </c>
      <c r="CY303" s="217">
        <f t="shared" si="825"/>
        <v>1.2116241134751771</v>
      </c>
      <c r="CZ303" s="217">
        <f t="shared" si="826"/>
        <v>2.3201312811226793</v>
      </c>
      <c r="DA303" s="197">
        <f t="shared" si="827"/>
        <v>350</v>
      </c>
      <c r="DB303" s="443">
        <f t="shared" si="828"/>
        <v>283.1453167820149</v>
      </c>
      <c r="DD303" s="217">
        <f t="shared" si="829"/>
        <v>2.940563086548488</v>
      </c>
      <c r="DE303" s="173">
        <f t="shared" si="830"/>
        <v>1.8769551616266944</v>
      </c>
      <c r="DF303" s="173">
        <f t="shared" si="831"/>
        <v>3.5939660877863036</v>
      </c>
      <c r="DG303" s="173"/>
      <c r="DH303" s="173">
        <f t="shared" si="832"/>
        <v>0.85106382978723416</v>
      </c>
      <c r="DI303" s="545">
        <f t="shared" si="833"/>
        <v>2300.0624999999995</v>
      </c>
      <c r="DJ303" s="528">
        <f t="shared" si="834"/>
        <v>0.79432624113475192</v>
      </c>
      <c r="DL303" s="173">
        <f t="shared" si="835"/>
        <v>3.2693380719300698</v>
      </c>
      <c r="DM303" s="173">
        <f t="shared" si="836"/>
        <v>3.634872340425531</v>
      </c>
      <c r="DN303" s="173">
        <f t="shared" si="837"/>
        <v>2.9048437089571832</v>
      </c>
      <c r="DP303" s="545">
        <f t="shared" si="838"/>
        <v>5220</v>
      </c>
      <c r="DQ303" s="460">
        <f t="shared" si="839"/>
        <v>283.1453167820149</v>
      </c>
      <c r="DS303">
        <f t="shared" si="840"/>
        <v>5220</v>
      </c>
      <c r="DT303">
        <f t="shared" si="841"/>
        <v>283.1453167820149</v>
      </c>
      <c r="DV303" s="5">
        <f t="shared" si="870"/>
        <v>3.5317553945978561</v>
      </c>
      <c r="DW303" s="5">
        <f t="shared" si="842"/>
        <v>1.2116241134751771</v>
      </c>
      <c r="DX303" s="5">
        <f t="shared" si="843"/>
        <v>2.3201312811226789</v>
      </c>
      <c r="DY303" s="173">
        <f t="shared" si="844"/>
        <v>0.34306569343065696</v>
      </c>
      <c r="EA303" s="5">
        <f t="shared" si="871"/>
        <v>158.11694680851059</v>
      </c>
      <c r="EB303" s="5">
        <f t="shared" si="872"/>
        <v>0.5856183215130023</v>
      </c>
      <c r="EC303" s="5">
        <f t="shared" si="873"/>
        <v>1.1213967858759613</v>
      </c>
      <c r="ED303" s="5"/>
      <c r="EE303" s="173">
        <f t="shared" si="874"/>
        <v>1.2291847987603595</v>
      </c>
      <c r="EF303" s="173">
        <f t="shared" si="875"/>
        <v>6.8037680237468185</v>
      </c>
      <c r="EG303" s="173">
        <f t="shared" si="876"/>
        <v>0.12963936369571641</v>
      </c>
      <c r="EH303" s="173"/>
      <c r="EI303" s="528">
        <f t="shared" si="877"/>
        <v>1.8432922287943253E-2</v>
      </c>
      <c r="EJ303" s="528">
        <f t="shared" si="878"/>
        <v>1.1280000000000001</v>
      </c>
      <c r="EK303" s="528">
        <f t="shared" si="879"/>
        <v>3.539316459775186E-2</v>
      </c>
      <c r="EL303" s="528">
        <f t="shared" si="880"/>
        <v>8.5029671210906196E-2</v>
      </c>
      <c r="EM303">
        <f t="shared" si="881"/>
        <v>1.6199999999999999E-2</v>
      </c>
      <c r="EN303" s="460">
        <f t="shared" si="882"/>
        <v>51.593164597751858</v>
      </c>
      <c r="EP303" s="460">
        <f t="shared" si="883"/>
        <v>1283.0557580966015</v>
      </c>
      <c r="EQ303" s="173">
        <f t="shared" si="884"/>
        <v>3.6539999999999995</v>
      </c>
      <c r="ER303" s="173">
        <f t="shared" si="845"/>
        <v>3.8606250000000002E-2</v>
      </c>
      <c r="ES303" s="528"/>
      <c r="EU303" s="460">
        <f t="shared" si="885"/>
        <v>3692.6062499999994</v>
      </c>
      <c r="EV303" s="528">
        <f t="shared" si="886"/>
        <v>4.5326858085106357E-2</v>
      </c>
      <c r="EW303" s="528">
        <f t="shared" si="887"/>
        <v>1.3887377796287905</v>
      </c>
      <c r="EX303" s="528">
        <f t="shared" si="888"/>
        <v>8.4031823097151169E-5</v>
      </c>
      <c r="EY303" s="528">
        <f t="shared" si="889"/>
        <v>1.6990899383038454</v>
      </c>
      <c r="EZ303" s="528"/>
      <c r="FA303" s="625">
        <f t="shared" si="890"/>
        <v>9.3524999999999997E-2</v>
      </c>
      <c r="FB303" s="460">
        <f t="shared" si="891"/>
        <v>3226.7636078408395</v>
      </c>
      <c r="FC303" s="173">
        <f t="shared" si="892"/>
        <v>8.2024256159374413</v>
      </c>
      <c r="FD303" s="5">
        <f t="shared" si="893"/>
        <v>22.445999999999998</v>
      </c>
      <c r="FE303" s="173">
        <f t="shared" si="894"/>
        <v>0.73237040888416427</v>
      </c>
      <c r="FF303" s="5">
        <f t="shared" si="895"/>
        <v>73.237040888416431</v>
      </c>
      <c r="FG303">
        <f t="shared" si="896"/>
        <v>87</v>
      </c>
      <c r="FI303" s="562">
        <f t="shared" si="846"/>
        <v>-50</v>
      </c>
    </row>
    <row r="304" spans="5:165">
      <c r="E304" s="170">
        <v>88</v>
      </c>
      <c r="F304" s="217">
        <f t="shared" si="847"/>
        <v>5.28</v>
      </c>
      <c r="G304" s="217">
        <f t="shared" si="775"/>
        <v>8.8000000000000009E-2</v>
      </c>
      <c r="H304" s="217">
        <f t="shared" si="776"/>
        <v>21.12</v>
      </c>
      <c r="I304" s="217">
        <f t="shared" si="777"/>
        <v>1.5840000000000001</v>
      </c>
      <c r="J304" s="541">
        <f t="shared" si="778"/>
        <v>35.894715214308398</v>
      </c>
      <c r="K304" s="443">
        <f t="shared" si="779"/>
        <v>19.764479999999999</v>
      </c>
      <c r="L304" s="172">
        <f t="shared" si="780"/>
        <v>55.659195214308397</v>
      </c>
      <c r="M304" s="443"/>
      <c r="N304" s="217">
        <f t="shared" si="781"/>
        <v>0.35509819938824971</v>
      </c>
      <c r="O304" s="172">
        <f t="shared" si="782"/>
        <v>39.52294182993775</v>
      </c>
      <c r="P304" s="172">
        <f t="shared" si="783"/>
        <v>3.186537185038731</v>
      </c>
      <c r="Q304" s="217">
        <f t="shared" si="784"/>
        <v>9.8807354574844375</v>
      </c>
      <c r="R304" s="217">
        <f t="shared" si="785"/>
        <v>2.1957189905520971</v>
      </c>
      <c r="S304" s="217">
        <f t="shared" si="786"/>
        <v>4</v>
      </c>
      <c r="T304" s="217">
        <f t="shared" si="787"/>
        <v>3.562487848345012</v>
      </c>
      <c r="U304" s="217">
        <f t="shared" si="788"/>
        <v>1.1909790598672627</v>
      </c>
      <c r="V304" s="217">
        <f t="shared" si="789"/>
        <v>2.1629637703668472</v>
      </c>
      <c r="W304" s="197">
        <f t="shared" si="790"/>
        <v>350</v>
      </c>
      <c r="X304" s="443">
        <f t="shared" si="848"/>
        <v>281.37762698172799</v>
      </c>
      <c r="Z304" s="217">
        <f t="shared" si="791"/>
        <v>3.0347973190845057</v>
      </c>
      <c r="AA304" s="173">
        <f t="shared" si="792"/>
        <v>1.8425765731764292</v>
      </c>
      <c r="AB304" s="173">
        <f t="shared" si="793"/>
        <v>3.6412023359429022</v>
      </c>
      <c r="AC304" s="173"/>
      <c r="AD304" s="173">
        <f t="shared" si="794"/>
        <v>0.80953306133022496</v>
      </c>
      <c r="AE304" s="545">
        <f t="shared" si="795"/>
        <v>2445.8543999999993</v>
      </c>
      <c r="AF304" s="528">
        <f t="shared" si="796"/>
        <v>0.75556419057487667</v>
      </c>
      <c r="AH304" s="173">
        <f t="shared" si="797"/>
        <v>3.2880736870436116</v>
      </c>
      <c r="AI304" s="173">
        <f t="shared" si="798"/>
        <v>3.562487848345012</v>
      </c>
      <c r="AJ304" s="173">
        <f t="shared" si="799"/>
        <v>2.8512255666753177</v>
      </c>
      <c r="AL304" s="545">
        <f t="shared" si="800"/>
        <v>5280</v>
      </c>
      <c r="AM304" s="460">
        <f t="shared" si="801"/>
        <v>281.37762698172799</v>
      </c>
      <c r="AO304">
        <f t="shared" si="802"/>
        <v>5280</v>
      </c>
      <c r="AP304">
        <f t="shared" si="803"/>
        <v>281.37762698172799</v>
      </c>
      <c r="AR304" s="5">
        <f t="shared" si="774"/>
        <v>3.5539428302341096</v>
      </c>
      <c r="AS304" s="5">
        <f t="shared" si="739"/>
        <v>1.1909790598672627</v>
      </c>
      <c r="AT304" s="5">
        <f t="shared" si="740"/>
        <v>2.3629637703668469</v>
      </c>
      <c r="AU304" s="173">
        <f t="shared" si="741"/>
        <v>0.33511486165037974</v>
      </c>
      <c r="BA304" s="173">
        <f t="shared" si="849"/>
        <v>1.1906650571901285</v>
      </c>
      <c r="BB304" s="173">
        <f t="shared" si="850"/>
        <v>6.7085099525364678</v>
      </c>
      <c r="BC304" s="173">
        <f t="shared" si="851"/>
        <v>0.12782431125778945</v>
      </c>
      <c r="BD304" s="173"/>
      <c r="BE304" s="528">
        <f t="shared" si="852"/>
        <v>1.7295735996645578E-2</v>
      </c>
      <c r="BF304" s="528">
        <f t="shared" si="804"/>
        <v>1.0461191418485134</v>
      </c>
      <c r="BG304" s="528">
        <f t="shared" si="805"/>
        <v>0.25249924470467555</v>
      </c>
      <c r="BH304" s="528">
        <f t="shared" si="853"/>
        <v>8.7169269734719376E-2</v>
      </c>
      <c r="BI304">
        <f t="shared" si="854"/>
        <v>1.6152621846438779E-2</v>
      </c>
      <c r="BJ304" s="460">
        <f t="shared" si="855"/>
        <v>268.65186655111432</v>
      </c>
      <c r="BK304">
        <f t="shared" si="806"/>
        <v>1.160021064435022</v>
      </c>
      <c r="BL304" s="460">
        <f t="shared" si="856"/>
        <v>1419.2360141309925</v>
      </c>
      <c r="BM304" s="173">
        <f t="shared" si="807"/>
        <v>3.2801999999999998</v>
      </c>
      <c r="BN304" s="173">
        <f t="shared" si="808"/>
        <v>3.9050000000000001E-2</v>
      </c>
      <c r="BQ304" s="460">
        <f t="shared" si="857"/>
        <v>3319.25</v>
      </c>
      <c r="BR304" s="528">
        <f t="shared" si="858"/>
        <v>4.2530498352407159E-2</v>
      </c>
      <c r="BS304" s="528">
        <f t="shared" si="859"/>
        <v>1.3501231734984251</v>
      </c>
      <c r="BT304" s="528">
        <f t="shared" si="860"/>
        <v>8.1695272742641199E-5</v>
      </c>
      <c r="BU304" s="528">
        <f t="shared" si="861"/>
        <v>1.5906601098611275</v>
      </c>
      <c r="BV304" s="528"/>
      <c r="BW304" s="625">
        <f t="shared" si="862"/>
        <v>8.9276335297505727E-2</v>
      </c>
      <c r="BX304" s="460">
        <f t="shared" si="863"/>
        <v>3072.6718122822081</v>
      </c>
      <c r="BY304" s="173">
        <f t="shared" si="864"/>
        <v>7.8111578264131998</v>
      </c>
      <c r="BZ304" s="5">
        <f t="shared" si="865"/>
        <v>22.704000000000001</v>
      </c>
      <c r="CA304" s="173">
        <f t="shared" si="866"/>
        <v>0.74402367928596957</v>
      </c>
      <c r="CB304" s="5">
        <f t="shared" si="867"/>
        <v>74.402367928596959</v>
      </c>
      <c r="CC304">
        <f t="shared" si="868"/>
        <v>88</v>
      </c>
      <c r="CE304" s="562">
        <f t="shared" si="809"/>
        <v>-50</v>
      </c>
      <c r="CG304" s="173">
        <f t="shared" si="810"/>
        <v>0.65693430656934315</v>
      </c>
      <c r="CH304" s="173">
        <f t="shared" si="811"/>
        <v>0.17833950839807344</v>
      </c>
      <c r="CI304" s="170">
        <v>88</v>
      </c>
      <c r="CJ304" s="217">
        <f t="shared" si="869"/>
        <v>5.28</v>
      </c>
      <c r="CK304" s="217">
        <f t="shared" si="812"/>
        <v>8.8000000000000009E-2</v>
      </c>
      <c r="CL304" s="217">
        <f t="shared" si="813"/>
        <v>21.12</v>
      </c>
      <c r="CM304" s="217">
        <f t="shared" si="814"/>
        <v>1.5840000000000001</v>
      </c>
      <c r="CN304" s="541">
        <f t="shared" si="815"/>
        <v>36</v>
      </c>
      <c r="CO304" s="443">
        <f t="shared" si="816"/>
        <v>18.8</v>
      </c>
      <c r="CP304" s="443">
        <f t="shared" si="817"/>
        <v>54.8</v>
      </c>
      <c r="CQ304" s="443"/>
      <c r="CR304" s="217">
        <f t="shared" si="818"/>
        <v>0.34306569343065696</v>
      </c>
      <c r="CS304" s="172">
        <f t="shared" si="819"/>
        <v>38.295705313189622</v>
      </c>
      <c r="CT304" s="172">
        <f t="shared" si="820"/>
        <v>3.0875912408759132</v>
      </c>
      <c r="CU304" s="217">
        <f t="shared" si="821"/>
        <v>9.5739263282974054</v>
      </c>
      <c r="CV304" s="217">
        <f t="shared" si="822"/>
        <v>2.12753918406609</v>
      </c>
      <c r="CW304" s="217">
        <f t="shared" si="823"/>
        <v>4</v>
      </c>
      <c r="CX304" s="217">
        <f t="shared" si="824"/>
        <v>3.6766524822695033</v>
      </c>
      <c r="CY304" s="217">
        <f t="shared" si="825"/>
        <v>1.2255508274231677</v>
      </c>
      <c r="CZ304" s="217">
        <f t="shared" si="826"/>
        <v>2.3467994567677679</v>
      </c>
      <c r="DA304" s="197">
        <f t="shared" si="827"/>
        <v>350</v>
      </c>
      <c r="DB304" s="443">
        <f t="shared" si="828"/>
        <v>279.92775636403741</v>
      </c>
      <c r="DD304" s="217">
        <f t="shared" si="829"/>
        <v>2.940563086548488</v>
      </c>
      <c r="DE304" s="173">
        <f t="shared" si="830"/>
        <v>1.8769551616266944</v>
      </c>
      <c r="DF304" s="173">
        <f t="shared" si="831"/>
        <v>3.5939660877863036</v>
      </c>
      <c r="DG304" s="173"/>
      <c r="DH304" s="173">
        <f t="shared" si="832"/>
        <v>0.85106382978723416</v>
      </c>
      <c r="DI304" s="545">
        <f t="shared" si="833"/>
        <v>2326.4999999999995</v>
      </c>
      <c r="DJ304" s="528">
        <f t="shared" si="834"/>
        <v>0.79432624113475192</v>
      </c>
      <c r="DL304" s="173">
        <f t="shared" si="835"/>
        <v>3.2880736870436116</v>
      </c>
      <c r="DM304" s="173">
        <f t="shared" si="836"/>
        <v>3.6766524822695033</v>
      </c>
      <c r="DN304" s="173">
        <f t="shared" si="837"/>
        <v>2.9357919621749407</v>
      </c>
      <c r="DP304" s="545">
        <f t="shared" si="838"/>
        <v>5280</v>
      </c>
      <c r="DQ304" s="460">
        <f t="shared" si="839"/>
        <v>279.92775636403741</v>
      </c>
      <c r="DS304">
        <f t="shared" si="840"/>
        <v>5280</v>
      </c>
      <c r="DT304">
        <f t="shared" si="841"/>
        <v>279.92775636403741</v>
      </c>
      <c r="DV304" s="5">
        <f t="shared" si="870"/>
        <v>3.5723502841909358</v>
      </c>
      <c r="DW304" s="5">
        <f t="shared" si="842"/>
        <v>1.2255508274231677</v>
      </c>
      <c r="DX304" s="5">
        <f t="shared" si="843"/>
        <v>2.3467994567677684</v>
      </c>
      <c r="DY304" s="173">
        <f t="shared" si="844"/>
        <v>0.3430656934306569</v>
      </c>
      <c r="EA304" s="5">
        <f t="shared" si="871"/>
        <v>161.77270921985814</v>
      </c>
      <c r="EB304" s="5">
        <f t="shared" si="872"/>
        <v>0.599158182295771</v>
      </c>
      <c r="EC304" s="5">
        <f t="shared" si="873"/>
        <v>1.1473241788642421</v>
      </c>
      <c r="ED304" s="5"/>
      <c r="EE304" s="173">
        <f t="shared" si="874"/>
        <v>1.2433133596656512</v>
      </c>
      <c r="EF304" s="173">
        <f t="shared" si="875"/>
        <v>6.8819722539048298</v>
      </c>
      <c r="EG304" s="173">
        <f t="shared" si="876"/>
        <v>0.13112947132440284</v>
      </c>
      <c r="EH304" s="173"/>
      <c r="EI304" s="528">
        <f t="shared" si="877"/>
        <v>1.8859102945941682E-2</v>
      </c>
      <c r="EJ304" s="528">
        <f t="shared" si="878"/>
        <v>1.1280000000000001</v>
      </c>
      <c r="EK304" s="528">
        <f t="shared" si="879"/>
        <v>3.4990969545504673E-2</v>
      </c>
      <c r="EL304" s="528">
        <f t="shared" si="880"/>
        <v>8.4063424947145887E-2</v>
      </c>
      <c r="EM304">
        <f t="shared" si="881"/>
        <v>1.6199999999999999E-2</v>
      </c>
      <c r="EN304" s="460">
        <f t="shared" si="882"/>
        <v>51.190969545504672</v>
      </c>
      <c r="EP304" s="460">
        <f t="shared" si="883"/>
        <v>1282.1134974385923</v>
      </c>
      <c r="EQ304" s="173">
        <f t="shared" si="884"/>
        <v>3.6959999999999997</v>
      </c>
      <c r="ER304" s="173">
        <f t="shared" si="845"/>
        <v>3.9050000000000001E-2</v>
      </c>
      <c r="ES304" s="528"/>
      <c r="EU304" s="460">
        <f t="shared" si="885"/>
        <v>3735.0499999999997</v>
      </c>
      <c r="EV304" s="528">
        <f t="shared" si="886"/>
        <v>4.6374843309692666E-2</v>
      </c>
      <c r="EW304" s="528">
        <f t="shared" si="887"/>
        <v>1.4208462631054777</v>
      </c>
      <c r="EX304" s="528">
        <f t="shared" si="888"/>
        <v>8.5974691249086929E-5</v>
      </c>
      <c r="EY304" s="528">
        <f t="shared" si="889"/>
        <v>1.6990899383038491</v>
      </c>
      <c r="EZ304" s="528"/>
      <c r="FA304" s="625">
        <f t="shared" si="890"/>
        <v>9.4600000000000004E-2</v>
      </c>
      <c r="FB304" s="460">
        <f t="shared" si="891"/>
        <v>3260.9970194102689</v>
      </c>
      <c r="FC304" s="173">
        <f t="shared" si="892"/>
        <v>8.2781605168488603</v>
      </c>
      <c r="FD304" s="5">
        <f t="shared" si="893"/>
        <v>22.704000000000001</v>
      </c>
      <c r="FE304" s="173">
        <f t="shared" si="894"/>
        <v>0.73280880420372896</v>
      </c>
      <c r="FF304" s="5">
        <f t="shared" si="895"/>
        <v>73.280880420372895</v>
      </c>
      <c r="FG304">
        <f t="shared" si="896"/>
        <v>88</v>
      </c>
      <c r="FI304" s="562">
        <f t="shared" si="846"/>
        <v>-50</v>
      </c>
    </row>
    <row r="305" spans="5:169">
      <c r="E305" s="170">
        <v>89</v>
      </c>
      <c r="F305" s="217">
        <f t="shared" si="847"/>
        <v>5.34</v>
      </c>
      <c r="G305" s="217">
        <f t="shared" si="775"/>
        <v>8.900000000000001E-2</v>
      </c>
      <c r="H305" s="217">
        <f t="shared" si="776"/>
        <v>21.36</v>
      </c>
      <c r="I305" s="217">
        <f t="shared" si="777"/>
        <v>1.6020000000000001</v>
      </c>
      <c r="J305" s="541">
        <f t="shared" si="778"/>
        <v>35.893518796289172</v>
      </c>
      <c r="K305" s="443">
        <f t="shared" si="779"/>
        <v>19.77544</v>
      </c>
      <c r="L305" s="172">
        <f t="shared" si="780"/>
        <v>55.668958796289175</v>
      </c>
      <c r="M305" s="443"/>
      <c r="N305" s="217">
        <f t="shared" si="781"/>
        <v>0.35523279809066965</v>
      </c>
      <c r="O305" s="172">
        <f t="shared" si="782"/>
        <v>39.536605008762315</v>
      </c>
      <c r="P305" s="172">
        <f t="shared" si="783"/>
        <v>3.1876387788314617</v>
      </c>
      <c r="Q305" s="217">
        <f t="shared" si="784"/>
        <v>9.8841512521905788</v>
      </c>
      <c r="R305" s="217">
        <f t="shared" si="785"/>
        <v>2.1964780560423507</v>
      </c>
      <c r="S305" s="217">
        <f t="shared" si="786"/>
        <v>4</v>
      </c>
      <c r="T305" s="217">
        <f t="shared" si="787"/>
        <v>3.60172553936891</v>
      </c>
      <c r="U305" s="217">
        <f t="shared" si="788"/>
        <v>1.2041367890878192</v>
      </c>
      <c r="V305" s="217">
        <f t="shared" si="789"/>
        <v>2.1855749592639619</v>
      </c>
      <c r="W305" s="197">
        <f t="shared" si="790"/>
        <v>350</v>
      </c>
      <c r="X305" s="443">
        <f t="shared" si="848"/>
        <v>278.57389955033318</v>
      </c>
      <c r="Z305" s="217">
        <f t="shared" si="791"/>
        <v>3.0358464560299634</v>
      </c>
      <c r="AA305" s="173">
        <f t="shared" si="792"/>
        <v>1.8421920054552294</v>
      </c>
      <c r="AB305" s="173">
        <f t="shared" si="793"/>
        <v>3.6417008834991562</v>
      </c>
      <c r="AC305" s="173"/>
      <c r="AD305" s="173">
        <f t="shared" si="794"/>
        <v>0.80908439963914847</v>
      </c>
      <c r="AE305" s="545">
        <f t="shared" si="795"/>
        <v>2475.019912499999</v>
      </c>
      <c r="AF305" s="528">
        <f t="shared" si="796"/>
        <v>0.75514543966320535</v>
      </c>
      <c r="AH305" s="173">
        <f t="shared" si="797"/>
        <v>3.3067031488002843</v>
      </c>
      <c r="AI305" s="173">
        <f t="shared" si="798"/>
        <v>3.60172553936891</v>
      </c>
      <c r="AJ305" s="173">
        <f t="shared" si="799"/>
        <v>2.8802905229893163</v>
      </c>
      <c r="AL305" s="545">
        <f t="shared" si="800"/>
        <v>5340</v>
      </c>
      <c r="AM305" s="460">
        <f t="shared" si="801"/>
        <v>278.57389955033318</v>
      </c>
      <c r="AO305">
        <f t="shared" si="802"/>
        <v>5340</v>
      </c>
      <c r="AP305">
        <f t="shared" si="803"/>
        <v>278.57389955033318</v>
      </c>
      <c r="AR305" s="5">
        <f t="shared" si="774"/>
        <v>3.5897117483517813</v>
      </c>
      <c r="AS305" s="5">
        <f t="shared" si="739"/>
        <v>1.2041367890878192</v>
      </c>
      <c r="AT305" s="5">
        <f t="shared" si="740"/>
        <v>2.3855749592639621</v>
      </c>
      <c r="AU305" s="173">
        <f t="shared" si="741"/>
        <v>0.33544108092821084</v>
      </c>
      <c r="BA305" s="173">
        <f t="shared" si="849"/>
        <v>1.2043649624728421</v>
      </c>
      <c r="BB305" s="173">
        <f t="shared" si="850"/>
        <v>6.7807342660199215</v>
      </c>
      <c r="BC305" s="173">
        <f t="shared" si="851"/>
        <v>0.12920047723092012</v>
      </c>
      <c r="BD305" s="173"/>
      <c r="BE305" s="528">
        <f t="shared" si="852"/>
        <v>1.7696038546552963E-2</v>
      </c>
      <c r="BF305" s="528">
        <f t="shared" si="804"/>
        <v>1.0472862692530185</v>
      </c>
      <c r="BG305" s="528">
        <f t="shared" si="805"/>
        <v>0.24997493749163638</v>
      </c>
      <c r="BH305" s="528">
        <f t="shared" si="853"/>
        <v>8.6330970025263604E-2</v>
      </c>
      <c r="BI305">
        <f t="shared" si="854"/>
        <v>1.6152083458330128E-2</v>
      </c>
      <c r="BJ305" s="460">
        <f t="shared" si="855"/>
        <v>266.12702094996649</v>
      </c>
      <c r="BK305">
        <f t="shared" si="806"/>
        <v>1.1609726090036081</v>
      </c>
      <c r="BL305" s="460">
        <f t="shared" si="856"/>
        <v>1417.4402987748019</v>
      </c>
      <c r="BM305" s="173">
        <f t="shared" si="807"/>
        <v>3.3174749999999995</v>
      </c>
      <c r="BN305" s="173">
        <f t="shared" si="808"/>
        <v>3.9493750000000001E-2</v>
      </c>
      <c r="BQ305" s="460">
        <f t="shared" si="857"/>
        <v>3356.9687499999995</v>
      </c>
      <c r="BR305" s="528">
        <f t="shared" si="858"/>
        <v>4.351484888496631E-2</v>
      </c>
      <c r="BS305" s="528">
        <f t="shared" si="859"/>
        <v>1.3793507155913018</v>
      </c>
      <c r="BT305" s="528">
        <f t="shared" si="860"/>
        <v>8.3463816583487539E-5</v>
      </c>
      <c r="BU305" s="528">
        <f t="shared" si="861"/>
        <v>1.5944011606754294</v>
      </c>
      <c r="BV305" s="528"/>
      <c r="BW305" s="625">
        <f t="shared" si="862"/>
        <v>9.0344488432104381E-2</v>
      </c>
      <c r="BX305" s="460">
        <f t="shared" si="863"/>
        <v>3107.6946774003854</v>
      </c>
      <c r="BY305" s="173">
        <f t="shared" si="864"/>
        <v>7.8821037261751874</v>
      </c>
      <c r="BZ305" s="5">
        <f t="shared" si="865"/>
        <v>22.962</v>
      </c>
      <c r="CA305" s="173">
        <f t="shared" si="866"/>
        <v>0.744453468444077</v>
      </c>
      <c r="CB305" s="5">
        <f t="shared" si="867"/>
        <v>74.445346844407695</v>
      </c>
      <c r="CC305">
        <f t="shared" si="868"/>
        <v>89</v>
      </c>
      <c r="CE305" s="562">
        <f t="shared" si="809"/>
        <v>-50</v>
      </c>
      <c r="CG305" s="173">
        <f t="shared" si="810"/>
        <v>0.65693430656934304</v>
      </c>
      <c r="CH305" s="173">
        <f t="shared" si="811"/>
        <v>0.17833950839807344</v>
      </c>
      <c r="CI305" s="170">
        <v>89</v>
      </c>
      <c r="CJ305" s="217">
        <f t="shared" si="869"/>
        <v>5.34</v>
      </c>
      <c r="CK305" s="217">
        <f t="shared" si="812"/>
        <v>8.900000000000001E-2</v>
      </c>
      <c r="CL305" s="217">
        <f t="shared" si="813"/>
        <v>21.36</v>
      </c>
      <c r="CM305" s="217">
        <f t="shared" si="814"/>
        <v>1.6020000000000001</v>
      </c>
      <c r="CN305" s="541">
        <f t="shared" si="815"/>
        <v>36</v>
      </c>
      <c r="CO305" s="443">
        <f t="shared" si="816"/>
        <v>18.8</v>
      </c>
      <c r="CP305" s="443">
        <f t="shared" si="817"/>
        <v>54.8</v>
      </c>
      <c r="CQ305" s="443"/>
      <c r="CR305" s="217">
        <f t="shared" si="818"/>
        <v>0.34306569343065696</v>
      </c>
      <c r="CS305" s="172">
        <f t="shared" si="819"/>
        <v>38.295705313189622</v>
      </c>
      <c r="CT305" s="172">
        <f t="shared" si="820"/>
        <v>3.0875912408759132</v>
      </c>
      <c r="CU305" s="217">
        <f t="shared" si="821"/>
        <v>9.5739263282974054</v>
      </c>
      <c r="CV305" s="217">
        <f t="shared" si="822"/>
        <v>2.12753918406609</v>
      </c>
      <c r="CW305" s="217">
        <f t="shared" si="823"/>
        <v>4</v>
      </c>
      <c r="CX305" s="217">
        <f t="shared" si="824"/>
        <v>3.7184326241134746</v>
      </c>
      <c r="CY305" s="217">
        <f t="shared" si="825"/>
        <v>1.2394775413711583</v>
      </c>
      <c r="CZ305" s="217">
        <f t="shared" si="826"/>
        <v>2.3734676324128561</v>
      </c>
      <c r="DA305" s="197">
        <f t="shared" si="827"/>
        <v>350</v>
      </c>
      <c r="DB305" s="443">
        <f t="shared" si="828"/>
        <v>276.78250067455383</v>
      </c>
      <c r="DD305" s="217">
        <f t="shared" si="829"/>
        <v>2.940563086548488</v>
      </c>
      <c r="DE305" s="173">
        <f t="shared" si="830"/>
        <v>1.8769551616266944</v>
      </c>
      <c r="DF305" s="173">
        <f t="shared" si="831"/>
        <v>3.5939660877863036</v>
      </c>
      <c r="DG305" s="173"/>
      <c r="DH305" s="173">
        <f t="shared" si="832"/>
        <v>0.85106382978723416</v>
      </c>
      <c r="DI305" s="545">
        <f t="shared" si="833"/>
        <v>2352.9374999999995</v>
      </c>
      <c r="DJ305" s="528">
        <f t="shared" si="834"/>
        <v>0.79432624113475192</v>
      </c>
      <c r="DL305" s="173">
        <f t="shared" si="835"/>
        <v>3.3067031488002843</v>
      </c>
      <c r="DM305" s="173">
        <f t="shared" si="836"/>
        <v>3.7184326241134746</v>
      </c>
      <c r="DN305" s="173">
        <f t="shared" si="837"/>
        <v>2.9667402153926972</v>
      </c>
      <c r="DP305" s="545">
        <f t="shared" si="838"/>
        <v>5340</v>
      </c>
      <c r="DQ305" s="460">
        <f t="shared" si="839"/>
        <v>276.78250067455383</v>
      </c>
      <c r="DS305">
        <f t="shared" si="840"/>
        <v>5340</v>
      </c>
      <c r="DT305">
        <f t="shared" si="841"/>
        <v>276.78250067455383</v>
      </c>
      <c r="DV305" s="5">
        <f t="shared" si="870"/>
        <v>3.6129451737840141</v>
      </c>
      <c r="DW305" s="5">
        <f t="shared" si="842"/>
        <v>1.2394775413711583</v>
      </c>
      <c r="DX305" s="5">
        <f t="shared" si="843"/>
        <v>2.3734676324128561</v>
      </c>
      <c r="DY305" s="173">
        <f t="shared" si="844"/>
        <v>0.34306569343065696</v>
      </c>
      <c r="EA305" s="5">
        <f t="shared" si="871"/>
        <v>165.47025177304963</v>
      </c>
      <c r="EB305" s="5">
        <f t="shared" si="872"/>
        <v>0.61285278434462842</v>
      </c>
      <c r="EC305" s="5">
        <f t="shared" si="873"/>
        <v>1.1735478849152452</v>
      </c>
      <c r="ED305" s="5"/>
      <c r="EE305" s="173">
        <f t="shared" si="874"/>
        <v>1.2574419205709426</v>
      </c>
      <c r="EF305" s="173">
        <f t="shared" si="875"/>
        <v>6.9601764840628384</v>
      </c>
      <c r="EG305" s="173">
        <f t="shared" si="876"/>
        <v>0.13261957895308923</v>
      </c>
      <c r="EH305" s="173"/>
      <c r="EI305" s="528">
        <f t="shared" si="877"/>
        <v>1.9290154240031516E-2</v>
      </c>
      <c r="EJ305" s="528">
        <f t="shared" si="878"/>
        <v>1.1279999999999999</v>
      </c>
      <c r="EK305" s="528">
        <f t="shared" si="879"/>
        <v>3.4597812584319231E-2</v>
      </c>
      <c r="EL305" s="528">
        <f t="shared" si="880"/>
        <v>8.31188920825712E-2</v>
      </c>
      <c r="EM305">
        <f t="shared" si="881"/>
        <v>1.6199999999999999E-2</v>
      </c>
      <c r="EN305" s="460">
        <f t="shared" si="882"/>
        <v>50.797812584319232</v>
      </c>
      <c r="EP305" s="460">
        <f t="shared" si="883"/>
        <v>1281.2068589069218</v>
      </c>
      <c r="EQ305" s="173">
        <f t="shared" si="884"/>
        <v>3.7379999999999995</v>
      </c>
      <c r="ER305" s="173">
        <f t="shared" si="845"/>
        <v>3.9493750000000001E-2</v>
      </c>
      <c r="ES305" s="528"/>
      <c r="EU305" s="460">
        <f t="shared" si="885"/>
        <v>3777.4937499999996</v>
      </c>
      <c r="EV305" s="528">
        <f t="shared" si="886"/>
        <v>4.7434805508274218E-2</v>
      </c>
      <c r="EW305" s="528">
        <f t="shared" si="887"/>
        <v>1.45332170067904</v>
      </c>
      <c r="EX305" s="528">
        <f t="shared" si="888"/>
        <v>8.7939763608473355E-5</v>
      </c>
      <c r="EY305" s="528">
        <f t="shared" si="889"/>
        <v>1.699089938303846</v>
      </c>
      <c r="EZ305" s="528"/>
      <c r="FA305" s="625">
        <f t="shared" si="890"/>
        <v>9.5674999999999996E-2</v>
      </c>
      <c r="FB305" s="460">
        <f t="shared" si="891"/>
        <v>3295.6093842547689</v>
      </c>
      <c r="FC305" s="173">
        <f t="shared" si="892"/>
        <v>8.3543099931616904</v>
      </c>
      <c r="FD305" s="5">
        <f t="shared" si="893"/>
        <v>22.962</v>
      </c>
      <c r="FE305" s="173">
        <f t="shared" si="894"/>
        <v>0.733228148687187</v>
      </c>
      <c r="FF305" s="5">
        <f t="shared" si="895"/>
        <v>73.322814868718694</v>
      </c>
      <c r="FG305">
        <f t="shared" si="896"/>
        <v>89</v>
      </c>
      <c r="FI305" s="562">
        <f t="shared" si="846"/>
        <v>-50</v>
      </c>
    </row>
    <row r="306" spans="5:169">
      <c r="E306" s="170">
        <v>90</v>
      </c>
      <c r="F306" s="217">
        <f t="shared" si="847"/>
        <v>5.4</v>
      </c>
      <c r="G306" s="217">
        <f t="shared" si="775"/>
        <v>9.0000000000000011E-2</v>
      </c>
      <c r="H306" s="217">
        <f t="shared" si="776"/>
        <v>21.6</v>
      </c>
      <c r="I306" s="217">
        <f t="shared" si="777"/>
        <v>1.62</v>
      </c>
      <c r="J306" s="541">
        <f t="shared" si="778"/>
        <v>35.892322378269952</v>
      </c>
      <c r="K306" s="443">
        <f t="shared" si="779"/>
        <v>19.7864</v>
      </c>
      <c r="L306" s="172">
        <f t="shared" si="780"/>
        <v>55.678722378269953</v>
      </c>
      <c r="M306" s="443"/>
      <c r="N306" s="217">
        <f t="shared" si="781"/>
        <v>0.35536734958778704</v>
      </c>
      <c r="O306" s="172">
        <f t="shared" si="782"/>
        <v>39.550261935244066</v>
      </c>
      <c r="P306" s="172">
        <f t="shared" si="783"/>
        <v>3.1887398685290527</v>
      </c>
      <c r="Q306" s="217">
        <f t="shared" si="784"/>
        <v>9.8875654838110165</v>
      </c>
      <c r="R306" s="217">
        <f t="shared" si="785"/>
        <v>2.1972367741802259</v>
      </c>
      <c r="S306" s="217">
        <f t="shared" si="786"/>
        <v>4</v>
      </c>
      <c r="T306" s="217">
        <f t="shared" si="787"/>
        <v>3.6409366955842741</v>
      </c>
      <c r="U306" s="217">
        <f t="shared" si="788"/>
        <v>1.2172865240245079</v>
      </c>
      <c r="V306" s="217">
        <f t="shared" si="789"/>
        <v>2.2081450060148025</v>
      </c>
      <c r="W306" s="197">
        <f t="shared" si="790"/>
        <v>350</v>
      </c>
      <c r="X306" s="443">
        <f t="shared" si="848"/>
        <v>275.82923348966318</v>
      </c>
      <c r="Z306" s="217">
        <f t="shared" si="791"/>
        <v>3.0368951128848121</v>
      </c>
      <c r="AA306" s="173">
        <f t="shared" si="792"/>
        <v>1.8418075726063228</v>
      </c>
      <c r="AB306" s="173">
        <f t="shared" si="793"/>
        <v>3.6421985965448056</v>
      </c>
      <c r="AC306" s="173"/>
      <c r="AD306" s="173">
        <f t="shared" si="794"/>
        <v>0.80863623498969006</v>
      </c>
      <c r="AE306" s="545">
        <f t="shared" si="795"/>
        <v>2504.2162499999995</v>
      </c>
      <c r="AF306" s="528">
        <f t="shared" si="796"/>
        <v>0.75472715265704404</v>
      </c>
      <c r="AH306" s="173">
        <f t="shared" si="797"/>
        <v>3.3252282413607124</v>
      </c>
      <c r="AI306" s="173">
        <f t="shared" si="798"/>
        <v>3.6409366955842741</v>
      </c>
      <c r="AJ306" s="173">
        <f t="shared" si="799"/>
        <v>2.9093358238895854</v>
      </c>
      <c r="AL306" s="545">
        <f t="shared" si="800"/>
        <v>5400</v>
      </c>
      <c r="AM306" s="460">
        <f t="shared" si="801"/>
        <v>275.82923348966318</v>
      </c>
      <c r="AO306">
        <f t="shared" si="802"/>
        <v>5400</v>
      </c>
      <c r="AP306">
        <f t="shared" si="803"/>
        <v>275.82923348966318</v>
      </c>
      <c r="AR306" s="5">
        <f t="shared" si="774"/>
        <v>3.6254315300393114</v>
      </c>
      <c r="AS306" s="5">
        <f t="shared" si="739"/>
        <v>1.2172865240245079</v>
      </c>
      <c r="AT306" s="5">
        <f t="shared" si="740"/>
        <v>2.4081450060148035</v>
      </c>
      <c r="AU306" s="173">
        <f t="shared" si="741"/>
        <v>0.33576320885897643</v>
      </c>
      <c r="BA306" s="173">
        <f t="shared" si="849"/>
        <v>1.218061044490792</v>
      </c>
      <c r="BB306" s="173">
        <f t="shared" si="850"/>
        <v>6.8528930715658616</v>
      </c>
      <c r="BC306" s="173">
        <f t="shared" si="851"/>
        <v>0.13057539501226845</v>
      </c>
      <c r="BD306" s="173"/>
      <c r="BE306" s="528">
        <f t="shared" si="852"/>
        <v>1.8100807038893191E-2</v>
      </c>
      <c r="BF306" s="528">
        <f t="shared" si="804"/>
        <v>1.0484408982968068</v>
      </c>
      <c r="BG306" s="528">
        <f t="shared" si="805"/>
        <v>0.24750379424405214</v>
      </c>
      <c r="BH306" s="528">
        <f t="shared" si="853"/>
        <v>8.5510375799121616E-2</v>
      </c>
      <c r="BI306">
        <f t="shared" si="854"/>
        <v>1.6151545070221478E-2</v>
      </c>
      <c r="BJ306" s="460">
        <f t="shared" si="855"/>
        <v>263.65533931427359</v>
      </c>
      <c r="BK306">
        <f t="shared" si="806"/>
        <v>1.1619364994716506</v>
      </c>
      <c r="BL306" s="460">
        <f t="shared" si="856"/>
        <v>1415.7074204490953</v>
      </c>
      <c r="BM306" s="173">
        <f t="shared" si="807"/>
        <v>3.3547499999999997</v>
      </c>
      <c r="BN306" s="173">
        <f t="shared" si="808"/>
        <v>3.9937500000000001E-2</v>
      </c>
      <c r="BQ306" s="460">
        <f t="shared" si="857"/>
        <v>3394.6875</v>
      </c>
      <c r="BR306" s="528">
        <f t="shared" si="858"/>
        <v>4.4510181243179979E-2</v>
      </c>
      <c r="BS306" s="528">
        <f t="shared" si="859"/>
        <v>1.4088643035094617</v>
      </c>
      <c r="BT306" s="528">
        <f t="shared" si="860"/>
        <v>8.5249668913049689E-5</v>
      </c>
      <c r="BU306" s="528">
        <f t="shared" si="861"/>
        <v>1.5980985434757689</v>
      </c>
      <c r="BV306" s="528"/>
      <c r="BW306" s="625">
        <f t="shared" si="862"/>
        <v>9.1412704331975028E-2</v>
      </c>
      <c r="BX306" s="460">
        <f t="shared" si="863"/>
        <v>3142.9709822292989</v>
      </c>
      <c r="BY306" s="173">
        <f t="shared" si="864"/>
        <v>7.9533659026783932</v>
      </c>
      <c r="BZ306" s="5">
        <f t="shared" si="865"/>
        <v>23.220000000000002</v>
      </c>
      <c r="CA306" s="173">
        <f t="shared" si="866"/>
        <v>0.74486662981763407</v>
      </c>
      <c r="CB306" s="5">
        <f t="shared" si="867"/>
        <v>74.486662981763402</v>
      </c>
      <c r="CC306">
        <f t="shared" si="868"/>
        <v>90</v>
      </c>
      <c r="CE306" s="562">
        <f t="shared" si="809"/>
        <v>-50</v>
      </c>
      <c r="CG306" s="173">
        <f t="shared" si="810"/>
        <v>0.65693430656934304</v>
      </c>
      <c r="CH306" s="173">
        <f t="shared" si="811"/>
        <v>0.17833950839807344</v>
      </c>
      <c r="CI306" s="170">
        <v>90</v>
      </c>
      <c r="CJ306" s="217">
        <f t="shared" si="869"/>
        <v>5.4</v>
      </c>
      <c r="CK306" s="217">
        <f t="shared" si="812"/>
        <v>9.0000000000000011E-2</v>
      </c>
      <c r="CL306" s="217">
        <f t="shared" si="813"/>
        <v>21.6</v>
      </c>
      <c r="CM306" s="217">
        <f t="shared" si="814"/>
        <v>1.62</v>
      </c>
      <c r="CN306" s="541">
        <f t="shared" si="815"/>
        <v>36</v>
      </c>
      <c r="CO306" s="443">
        <f t="shared" si="816"/>
        <v>18.8</v>
      </c>
      <c r="CP306" s="443">
        <f t="shared" si="817"/>
        <v>54.8</v>
      </c>
      <c r="CQ306" s="443"/>
      <c r="CR306" s="217">
        <f t="shared" si="818"/>
        <v>0.34306569343065696</v>
      </c>
      <c r="CS306" s="172">
        <f t="shared" si="819"/>
        <v>38.295705313189622</v>
      </c>
      <c r="CT306" s="172">
        <f t="shared" si="820"/>
        <v>3.0875912408759132</v>
      </c>
      <c r="CU306" s="217">
        <f t="shared" si="821"/>
        <v>9.5739263282974054</v>
      </c>
      <c r="CV306" s="217">
        <f t="shared" si="822"/>
        <v>2.12753918406609</v>
      </c>
      <c r="CW306" s="217">
        <f t="shared" si="823"/>
        <v>4</v>
      </c>
      <c r="CX306" s="217">
        <f t="shared" si="824"/>
        <v>3.7602127659574469</v>
      </c>
      <c r="CY306" s="217">
        <f t="shared" si="825"/>
        <v>1.2534042553191491</v>
      </c>
      <c r="CZ306" s="217">
        <f t="shared" si="826"/>
        <v>2.4001358080579451</v>
      </c>
      <c r="DA306" s="197">
        <f t="shared" si="827"/>
        <v>350</v>
      </c>
      <c r="DB306" s="443">
        <f t="shared" si="828"/>
        <v>273.70713955594761</v>
      </c>
      <c r="DD306" s="217">
        <f t="shared" si="829"/>
        <v>2.940563086548488</v>
      </c>
      <c r="DE306" s="173">
        <f t="shared" si="830"/>
        <v>1.8769551616266944</v>
      </c>
      <c r="DF306" s="173">
        <f t="shared" si="831"/>
        <v>3.5939660877863036</v>
      </c>
      <c r="DG306" s="173"/>
      <c r="DH306" s="173">
        <f t="shared" si="832"/>
        <v>0.85106382978723416</v>
      </c>
      <c r="DI306" s="545">
        <f t="shared" si="833"/>
        <v>2379.3749999999995</v>
      </c>
      <c r="DJ306" s="528">
        <f t="shared" si="834"/>
        <v>0.79432624113475192</v>
      </c>
      <c r="DL306" s="173">
        <f t="shared" si="835"/>
        <v>3.3252282413607124</v>
      </c>
      <c r="DM306" s="173">
        <f t="shared" si="836"/>
        <v>3.7602127659574469</v>
      </c>
      <c r="DN306" s="173">
        <f t="shared" si="837"/>
        <v>2.9976884686104546</v>
      </c>
      <c r="DP306" s="545">
        <f t="shared" si="838"/>
        <v>5400</v>
      </c>
      <c r="DQ306" s="460">
        <f t="shared" si="839"/>
        <v>273.70713955594761</v>
      </c>
      <c r="DS306">
        <f t="shared" si="840"/>
        <v>5400</v>
      </c>
      <c r="DT306">
        <f t="shared" si="841"/>
        <v>273.70713955594761</v>
      </c>
      <c r="DV306" s="5">
        <f t="shared" si="870"/>
        <v>3.6535400633770942</v>
      </c>
      <c r="DW306" s="5">
        <f t="shared" si="842"/>
        <v>1.2534042553191491</v>
      </c>
      <c r="DX306" s="5">
        <f t="shared" si="843"/>
        <v>2.4001358080579451</v>
      </c>
      <c r="DY306" s="173">
        <f t="shared" si="844"/>
        <v>0.34306569343065696</v>
      </c>
      <c r="EA306" s="5">
        <f t="shared" si="871"/>
        <v>169.20957446808512</v>
      </c>
      <c r="EB306" s="5">
        <f t="shared" si="872"/>
        <v>0.62670212765957467</v>
      </c>
      <c r="EC306" s="5">
        <f t="shared" si="873"/>
        <v>1.2000679040289726</v>
      </c>
      <c r="ED306" s="5"/>
      <c r="EE306" s="173">
        <f t="shared" si="874"/>
        <v>1.2715704814762343</v>
      </c>
      <c r="EF306" s="173">
        <f t="shared" si="875"/>
        <v>7.0383807142208488</v>
      </c>
      <c r="EG306" s="173">
        <f t="shared" si="876"/>
        <v>0.13410968658177563</v>
      </c>
      <c r="EH306" s="173"/>
      <c r="EI306" s="528">
        <f t="shared" si="877"/>
        <v>1.9726076170212766E-2</v>
      </c>
      <c r="EJ306" s="528">
        <f t="shared" si="878"/>
        <v>1.1279999999999997</v>
      </c>
      <c r="EK306" s="528">
        <f t="shared" si="879"/>
        <v>3.4213392444493444E-2</v>
      </c>
      <c r="EL306" s="528">
        <f t="shared" si="880"/>
        <v>8.2195348837209276E-2</v>
      </c>
      <c r="EM306">
        <f t="shared" si="881"/>
        <v>1.6199999999999999E-2</v>
      </c>
      <c r="EN306" s="460">
        <f t="shared" si="882"/>
        <v>50.413392444493446</v>
      </c>
      <c r="EP306" s="460">
        <f t="shared" si="883"/>
        <v>1280.3348174519151</v>
      </c>
      <c r="EQ306" s="173">
        <f t="shared" si="884"/>
        <v>3.78</v>
      </c>
      <c r="ER306" s="173">
        <f t="shared" si="845"/>
        <v>3.9937500000000001E-2</v>
      </c>
      <c r="ES306" s="528"/>
      <c r="EU306" s="460">
        <f t="shared" si="885"/>
        <v>3819.9375</v>
      </c>
      <c r="EV306" s="528">
        <f t="shared" si="886"/>
        <v>4.8506744680851067E-2</v>
      </c>
      <c r="EW306" s="528">
        <f t="shared" si="887"/>
        <v>1.4861640923494794</v>
      </c>
      <c r="EX306" s="528">
        <f t="shared" si="888"/>
        <v>8.9927040175310447E-5</v>
      </c>
      <c r="EY306" s="528">
        <f t="shared" si="889"/>
        <v>1.6990899383038445</v>
      </c>
      <c r="EZ306" s="528"/>
      <c r="FA306" s="625">
        <f t="shared" si="890"/>
        <v>9.6749999999999989E-2</v>
      </c>
      <c r="FB306" s="460">
        <f t="shared" si="891"/>
        <v>3330.60070237435</v>
      </c>
      <c r="FC306" s="173">
        <f t="shared" si="892"/>
        <v>8.4308730198262651</v>
      </c>
      <c r="FD306" s="5">
        <f t="shared" si="893"/>
        <v>23.220000000000002</v>
      </c>
      <c r="FE306" s="173">
        <f t="shared" si="894"/>
        <v>0.73362905299499559</v>
      </c>
      <c r="FF306" s="5">
        <f t="shared" si="895"/>
        <v>73.362905299499559</v>
      </c>
      <c r="FG306">
        <f t="shared" si="896"/>
        <v>90</v>
      </c>
      <c r="FI306" s="562">
        <f t="shared" si="846"/>
        <v>-50</v>
      </c>
    </row>
    <row r="307" spans="5:169">
      <c r="E307" s="170">
        <v>91</v>
      </c>
      <c r="F307" s="217">
        <f t="shared" si="847"/>
        <v>5.46</v>
      </c>
      <c r="G307" s="217">
        <f t="shared" si="775"/>
        <v>9.1000000000000011E-2</v>
      </c>
      <c r="H307" s="217">
        <f t="shared" si="776"/>
        <v>21.84</v>
      </c>
      <c r="I307" s="217">
        <f t="shared" si="777"/>
        <v>1.6380000000000001</v>
      </c>
      <c r="J307" s="541">
        <f t="shared" si="778"/>
        <v>35.891125960250726</v>
      </c>
      <c r="K307" s="443">
        <f t="shared" si="779"/>
        <v>19.797360000000001</v>
      </c>
      <c r="L307" s="172">
        <f t="shared" si="780"/>
        <v>55.68848596025073</v>
      </c>
      <c r="M307" s="443"/>
      <c r="N307" s="217">
        <f t="shared" si="781"/>
        <v>0.35550185390443079</v>
      </c>
      <c r="O307" s="172">
        <f t="shared" si="782"/>
        <v>39.563912612671558</v>
      </c>
      <c r="P307" s="172">
        <f t="shared" si="783"/>
        <v>3.1898404543966445</v>
      </c>
      <c r="Q307" s="217">
        <f t="shared" si="784"/>
        <v>9.8909781531678895</v>
      </c>
      <c r="R307" s="217">
        <f t="shared" si="785"/>
        <v>2.1979951451484201</v>
      </c>
      <c r="S307" s="217">
        <f t="shared" si="786"/>
        <v>4</v>
      </c>
      <c r="T307" s="217">
        <f t="shared" si="787"/>
        <v>3.680121362753368</v>
      </c>
      <c r="U307" s="217">
        <f t="shared" si="788"/>
        <v>1.2304282791782306</v>
      </c>
      <c r="V307" s="217">
        <f t="shared" si="789"/>
        <v>2.2306740066877815</v>
      </c>
      <c r="W307" s="197">
        <f t="shared" si="790"/>
        <v>350</v>
      </c>
      <c r="X307" s="443">
        <f t="shared" si="848"/>
        <v>273.14178133197277</v>
      </c>
      <c r="Z307" s="217">
        <f t="shared" si="791"/>
        <v>3.0379432899015661</v>
      </c>
      <c r="AA307" s="173">
        <f t="shared" si="792"/>
        <v>1.8414232745587693</v>
      </c>
      <c r="AB307" s="173">
        <f t="shared" si="793"/>
        <v>3.6426954758791328</v>
      </c>
      <c r="AC307" s="173"/>
      <c r="AD307" s="173">
        <f t="shared" si="794"/>
        <v>0.80818856655634896</v>
      </c>
      <c r="AE307" s="545">
        <f t="shared" si="795"/>
        <v>2533.4434124999998</v>
      </c>
      <c r="AF307" s="528">
        <f t="shared" si="796"/>
        <v>0.75430932878592594</v>
      </c>
      <c r="AH307" s="173">
        <f t="shared" si="797"/>
        <v>3.3436506994600976</v>
      </c>
      <c r="AI307" s="173">
        <f t="shared" si="798"/>
        <v>3.680121362753368</v>
      </c>
      <c r="AJ307" s="173">
        <f t="shared" si="799"/>
        <v>2.9383615032740993</v>
      </c>
      <c r="AL307" s="545">
        <f t="shared" si="800"/>
        <v>5460</v>
      </c>
      <c r="AM307" s="460">
        <f t="shared" si="801"/>
        <v>273.14178133197277</v>
      </c>
      <c r="AO307">
        <f t="shared" si="802"/>
        <v>5460</v>
      </c>
      <c r="AP307">
        <f t="shared" si="803"/>
        <v>273.14178133197277</v>
      </c>
      <c r="AR307" s="5">
        <f t="shared" si="774"/>
        <v>3.6611022858660127</v>
      </c>
      <c r="AS307" s="5">
        <f t="shared" ref="AS307:AS316" si="897">L*AI307/J307*1000000</f>
        <v>1.2304282791782306</v>
      </c>
      <c r="AT307" s="5">
        <f t="shared" ref="AT307:AT316" si="898">AR307-AS307</f>
        <v>2.4306740066877821</v>
      </c>
      <c r="AU307" s="173">
        <f t="shared" ref="AU307:AU316" si="899">AS307/AR307</f>
        <v>0.33608137197597576</v>
      </c>
      <c r="BA307" s="173">
        <f t="shared" si="849"/>
        <v>1.2317532998015495</v>
      </c>
      <c r="BB307" s="173">
        <f t="shared" si="850"/>
        <v>6.924986515463238</v>
      </c>
      <c r="BC307" s="173">
        <f t="shared" si="851"/>
        <v>0.13194906738923198</v>
      </c>
      <c r="BD307" s="173"/>
      <c r="BE307" s="528">
        <f t="shared" si="852"/>
        <v>1.8510037537178468E-2</v>
      </c>
      <c r="BF307" s="528">
        <f t="shared" si="804"/>
        <v>1.0495834186651536</v>
      </c>
      <c r="BG307" s="528">
        <f t="shared" si="805"/>
        <v>0.24508415196982736</v>
      </c>
      <c r="BH307" s="528">
        <f t="shared" si="853"/>
        <v>8.4706933223841083E-2</v>
      </c>
      <c r="BI307">
        <f t="shared" si="854"/>
        <v>1.6151006682112827E-2</v>
      </c>
      <c r="BJ307" s="460">
        <f t="shared" si="855"/>
        <v>261.2351586519402</v>
      </c>
      <c r="BK307">
        <f t="shared" si="806"/>
        <v>1.162912571512646</v>
      </c>
      <c r="BL307" s="460">
        <f t="shared" si="856"/>
        <v>1414.0355480781134</v>
      </c>
      <c r="BM307" s="173">
        <f t="shared" si="807"/>
        <v>3.3920249999999994</v>
      </c>
      <c r="BN307" s="173">
        <f t="shared" si="808"/>
        <v>4.038125E-2</v>
      </c>
      <c r="BQ307" s="460">
        <f t="shared" si="857"/>
        <v>3432.4062499999991</v>
      </c>
      <c r="BR307" s="528">
        <f t="shared" si="858"/>
        <v>4.5516485747160169E-2</v>
      </c>
      <c r="BS307" s="528">
        <f t="shared" si="859"/>
        <v>1.4386631471804303</v>
      </c>
      <c r="BT307" s="528">
        <f t="shared" si="860"/>
        <v>8.7052781924440418E-5</v>
      </c>
      <c r="BU307" s="528">
        <f t="shared" si="861"/>
        <v>1.6017535692400031</v>
      </c>
      <c r="BV307" s="528"/>
      <c r="BW307" s="625">
        <f t="shared" si="862"/>
        <v>9.2480981048239957E-2</v>
      </c>
      <c r="BX307" s="460">
        <f t="shared" si="863"/>
        <v>3178.5012359977582</v>
      </c>
      <c r="BY307" s="173">
        <f t="shared" si="864"/>
        <v>8.0249430340758714</v>
      </c>
      <c r="BZ307" s="5">
        <f t="shared" si="865"/>
        <v>23.478000000000002</v>
      </c>
      <c r="CA307" s="173">
        <f t="shared" si="866"/>
        <v>0.74526370360396144</v>
      </c>
      <c r="CB307" s="5">
        <f t="shared" si="867"/>
        <v>74.526370360396143</v>
      </c>
      <c r="CC307">
        <f t="shared" si="868"/>
        <v>91</v>
      </c>
      <c r="CE307" s="562">
        <f t="shared" si="809"/>
        <v>-50</v>
      </c>
      <c r="CG307" s="173">
        <f t="shared" si="810"/>
        <v>0.65693430656934304</v>
      </c>
      <c r="CH307" s="173">
        <f t="shared" si="811"/>
        <v>0.17833950839807344</v>
      </c>
      <c r="CI307" s="170">
        <v>91</v>
      </c>
      <c r="CJ307" s="217">
        <f t="shared" si="869"/>
        <v>5.46</v>
      </c>
      <c r="CK307" s="217">
        <f t="shared" si="812"/>
        <v>9.1000000000000011E-2</v>
      </c>
      <c r="CL307" s="217">
        <f t="shared" si="813"/>
        <v>21.84</v>
      </c>
      <c r="CM307" s="217">
        <f t="shared" si="814"/>
        <v>1.6380000000000001</v>
      </c>
      <c r="CN307" s="541">
        <f t="shared" si="815"/>
        <v>36</v>
      </c>
      <c r="CO307" s="443">
        <f t="shared" si="816"/>
        <v>18.8</v>
      </c>
      <c r="CP307" s="443">
        <f t="shared" si="817"/>
        <v>54.8</v>
      </c>
      <c r="CQ307" s="443"/>
      <c r="CR307" s="217">
        <f t="shared" si="818"/>
        <v>0.34306569343065696</v>
      </c>
      <c r="CS307" s="172">
        <f t="shared" si="819"/>
        <v>38.295705313189622</v>
      </c>
      <c r="CT307" s="172">
        <f t="shared" si="820"/>
        <v>3.0875912408759132</v>
      </c>
      <c r="CU307" s="217">
        <f t="shared" si="821"/>
        <v>9.5739263282974054</v>
      </c>
      <c r="CV307" s="217">
        <f t="shared" si="822"/>
        <v>2.12753918406609</v>
      </c>
      <c r="CW307" s="217">
        <f t="shared" si="823"/>
        <v>4</v>
      </c>
      <c r="CX307" s="217">
        <f t="shared" si="824"/>
        <v>3.8019929078014183</v>
      </c>
      <c r="CY307" s="217">
        <f t="shared" si="825"/>
        <v>1.2673309692671395</v>
      </c>
      <c r="CZ307" s="217">
        <f t="shared" si="826"/>
        <v>2.4268039837030329</v>
      </c>
      <c r="DA307" s="197">
        <f t="shared" si="827"/>
        <v>350</v>
      </c>
      <c r="DB307" s="443">
        <f t="shared" si="828"/>
        <v>270.69936879159661</v>
      </c>
      <c r="DD307" s="217">
        <f t="shared" si="829"/>
        <v>2.940563086548488</v>
      </c>
      <c r="DE307" s="173">
        <f t="shared" si="830"/>
        <v>1.8769551616266944</v>
      </c>
      <c r="DF307" s="173">
        <f t="shared" si="831"/>
        <v>3.5939660877863036</v>
      </c>
      <c r="DG307" s="173"/>
      <c r="DH307" s="173">
        <f t="shared" si="832"/>
        <v>0.85106382978723416</v>
      </c>
      <c r="DI307" s="545">
        <f t="shared" si="833"/>
        <v>2405.8124999999995</v>
      </c>
      <c r="DJ307" s="528">
        <f t="shared" si="834"/>
        <v>0.79432624113475192</v>
      </c>
      <c r="DL307" s="173">
        <f t="shared" si="835"/>
        <v>3.3436506994600976</v>
      </c>
      <c r="DM307" s="173">
        <f t="shared" si="836"/>
        <v>3.8019929078014183</v>
      </c>
      <c r="DN307" s="173">
        <f t="shared" si="837"/>
        <v>3.0286367218282111</v>
      </c>
      <c r="DP307" s="545">
        <f t="shared" si="838"/>
        <v>5460</v>
      </c>
      <c r="DQ307" s="460">
        <f t="shared" si="839"/>
        <v>270.69936879159661</v>
      </c>
      <c r="DS307">
        <f t="shared" si="840"/>
        <v>5460</v>
      </c>
      <c r="DT307">
        <f t="shared" si="841"/>
        <v>270.69936879159661</v>
      </c>
      <c r="DV307" s="5">
        <f t="shared" si="870"/>
        <v>3.6941349529701721</v>
      </c>
      <c r="DW307" s="5">
        <f t="shared" si="842"/>
        <v>1.2673309692671395</v>
      </c>
      <c r="DX307" s="5">
        <f t="shared" si="843"/>
        <v>2.4268039837030324</v>
      </c>
      <c r="DY307" s="173">
        <f t="shared" si="844"/>
        <v>0.34306569343065696</v>
      </c>
      <c r="EA307" s="5">
        <f t="shared" si="871"/>
        <v>172.99067730496455</v>
      </c>
      <c r="EB307" s="5">
        <f t="shared" si="872"/>
        <v>0.64070621224060953</v>
      </c>
      <c r="EC307" s="5">
        <f t="shared" si="873"/>
        <v>1.2268842362054218</v>
      </c>
      <c r="ED307" s="5"/>
      <c r="EE307" s="173">
        <f t="shared" si="874"/>
        <v>1.2856990423815255</v>
      </c>
      <c r="EF307" s="173">
        <f t="shared" si="875"/>
        <v>7.1165849443788574</v>
      </c>
      <c r="EG307" s="173">
        <f t="shared" si="876"/>
        <v>0.13559979421046203</v>
      </c>
      <c r="EH307" s="173"/>
      <c r="EI307" s="528">
        <f t="shared" si="877"/>
        <v>2.0166868736485415E-2</v>
      </c>
      <c r="EJ307" s="528">
        <f t="shared" si="878"/>
        <v>1.1280000000000001</v>
      </c>
      <c r="EK307" s="528">
        <f t="shared" si="879"/>
        <v>3.3837421098949577E-2</v>
      </c>
      <c r="EL307" s="528">
        <f t="shared" si="880"/>
        <v>8.1292103245591621E-2</v>
      </c>
      <c r="EM307">
        <f t="shared" si="881"/>
        <v>1.6199999999999999E-2</v>
      </c>
      <c r="EN307" s="460">
        <f t="shared" si="882"/>
        <v>50.037421098949579</v>
      </c>
      <c r="EP307" s="460">
        <f t="shared" si="883"/>
        <v>1279.4963930810266</v>
      </c>
      <c r="EQ307" s="173">
        <f t="shared" si="884"/>
        <v>3.8219999999999996</v>
      </c>
      <c r="ER307" s="173">
        <f t="shared" si="845"/>
        <v>4.038125E-2</v>
      </c>
      <c r="ES307" s="528"/>
      <c r="EU307" s="460">
        <f t="shared" si="885"/>
        <v>3862.3812499999995</v>
      </c>
      <c r="EV307" s="528">
        <f t="shared" si="886"/>
        <v>4.9590660827423153E-2</v>
      </c>
      <c r="EW307" s="528">
        <f t="shared" si="887"/>
        <v>1.5193734381167947</v>
      </c>
      <c r="EX307" s="528">
        <f t="shared" si="888"/>
        <v>9.1936520949598274E-5</v>
      </c>
      <c r="EY307" s="528">
        <f t="shared" si="889"/>
        <v>1.6990899383038476</v>
      </c>
      <c r="EZ307" s="528"/>
      <c r="FA307" s="625">
        <f t="shared" si="890"/>
        <v>9.7825000000000009E-2</v>
      </c>
      <c r="FB307" s="460">
        <f t="shared" si="891"/>
        <v>3365.970973769015</v>
      </c>
      <c r="FC307" s="173">
        <f t="shared" si="892"/>
        <v>8.5078486168500422</v>
      </c>
      <c r="FD307" s="5">
        <f t="shared" si="893"/>
        <v>23.478000000000002</v>
      </c>
      <c r="FE307" s="173">
        <f t="shared" si="894"/>
        <v>0.7340121027031894</v>
      </c>
      <c r="FF307" s="5">
        <f t="shared" si="895"/>
        <v>73.401210270318941</v>
      </c>
      <c r="FG307">
        <f t="shared" si="896"/>
        <v>91</v>
      </c>
      <c r="FI307" s="562">
        <f t="shared" si="846"/>
        <v>-50</v>
      </c>
    </row>
    <row r="308" spans="5:169">
      <c r="E308" s="170">
        <v>92</v>
      </c>
      <c r="F308" s="217">
        <f t="shared" si="847"/>
        <v>5.5200000000000005</v>
      </c>
      <c r="G308" s="217">
        <f t="shared" si="775"/>
        <v>9.2000000000000012E-2</v>
      </c>
      <c r="H308" s="217">
        <f t="shared" si="776"/>
        <v>22.080000000000002</v>
      </c>
      <c r="I308" s="217">
        <f t="shared" si="777"/>
        <v>1.6560000000000001</v>
      </c>
      <c r="J308" s="541">
        <f t="shared" si="778"/>
        <v>35.889929542231506</v>
      </c>
      <c r="K308" s="443">
        <f t="shared" si="779"/>
        <v>19.808320000000002</v>
      </c>
      <c r="L308" s="172">
        <f t="shared" si="780"/>
        <v>55.698249542231508</v>
      </c>
      <c r="M308" s="443"/>
      <c r="N308" s="217">
        <f t="shared" si="781"/>
        <v>0.35563631106541227</v>
      </c>
      <c r="O308" s="172">
        <f t="shared" si="782"/>
        <v>39.57755704433108</v>
      </c>
      <c r="P308" s="172">
        <f t="shared" si="783"/>
        <v>3.1909405366991934</v>
      </c>
      <c r="Q308" s="217">
        <f t="shared" si="784"/>
        <v>9.8943892610827699</v>
      </c>
      <c r="R308" s="217">
        <f t="shared" si="785"/>
        <v>2.1987531691295046</v>
      </c>
      <c r="S308" s="217">
        <f t="shared" si="786"/>
        <v>4</v>
      </c>
      <c r="T308" s="217">
        <f t="shared" si="787"/>
        <v>3.7192795865373984</v>
      </c>
      <c r="U308" s="217">
        <f t="shared" si="788"/>
        <v>1.2435620690180313</v>
      </c>
      <c r="V308" s="217">
        <f t="shared" si="789"/>
        <v>2.2531620570774695</v>
      </c>
      <c r="W308" s="197">
        <f t="shared" si="790"/>
        <v>350</v>
      </c>
      <c r="X308" s="443">
        <f t="shared" si="848"/>
        <v>270.50977186555849</v>
      </c>
      <c r="Z308" s="217">
        <f t="shared" si="791"/>
        <v>3.0389909873325656</v>
      </c>
      <c r="AA308" s="173">
        <f t="shared" si="792"/>
        <v>1.8410391112416793</v>
      </c>
      <c r="AB308" s="173">
        <f t="shared" si="793"/>
        <v>3.6431915223006084</v>
      </c>
      <c r="AC308" s="173"/>
      <c r="AD308" s="173">
        <f t="shared" si="794"/>
        <v>0.80774139351545216</v>
      </c>
      <c r="AE308" s="545">
        <f t="shared" si="795"/>
        <v>2562.7013999999995</v>
      </c>
      <c r="AF308" s="528">
        <f t="shared" si="796"/>
        <v>0.75389196728108876</v>
      </c>
      <c r="AH308" s="173">
        <f t="shared" si="797"/>
        <v>3.3619722103041161</v>
      </c>
      <c r="AI308" s="173">
        <f t="shared" si="798"/>
        <v>3.7192795865373984</v>
      </c>
      <c r="AJ308" s="173">
        <f t="shared" si="799"/>
        <v>2.9673675949659737</v>
      </c>
      <c r="AL308" s="545">
        <f t="shared" si="800"/>
        <v>5520.0000000000009</v>
      </c>
      <c r="AM308" s="460">
        <f t="shared" si="801"/>
        <v>270.50977186555849</v>
      </c>
      <c r="AO308">
        <f t="shared" si="802"/>
        <v>5520.0000000000009</v>
      </c>
      <c r="AP308">
        <f t="shared" si="803"/>
        <v>270.50977186555849</v>
      </c>
      <c r="AR308" s="5">
        <f t="shared" si="774"/>
        <v>3.6967241260955008</v>
      </c>
      <c r="AS308" s="5">
        <f t="shared" si="897"/>
        <v>1.2435620690180313</v>
      </c>
      <c r="AT308" s="5">
        <f t="shared" si="898"/>
        <v>2.4531620570774697</v>
      </c>
      <c r="AU308" s="173">
        <f t="shared" si="899"/>
        <v>0.33639569159072957</v>
      </c>
      <c r="BA308" s="173">
        <f t="shared" si="849"/>
        <v>1.245441725366111</v>
      </c>
      <c r="BB308" s="173">
        <f t="shared" si="850"/>
        <v>6.9970147421063524</v>
      </c>
      <c r="BC308" s="173">
        <f t="shared" si="851"/>
        <v>0.13332149711310751</v>
      </c>
      <c r="BD308" s="173"/>
      <c r="BE308" s="528">
        <f t="shared" si="852"/>
        <v>1.8923726113651566E-2</v>
      </c>
      <c r="BF308" s="528">
        <f t="shared" si="804"/>
        <v>1.0507142039587103</v>
      </c>
      <c r="BG308" s="528">
        <f t="shared" si="805"/>
        <v>0.2427144163185003</v>
      </c>
      <c r="BH308" s="528">
        <f t="shared" si="853"/>
        <v>8.3920111326926436E-2</v>
      </c>
      <c r="BI308">
        <f t="shared" si="854"/>
        <v>1.6150468294004176E-2</v>
      </c>
      <c r="BJ308" s="460">
        <f t="shared" si="855"/>
        <v>258.86488461250445</v>
      </c>
      <c r="BK308">
        <f t="shared" si="806"/>
        <v>1.1639006676299295</v>
      </c>
      <c r="BL308" s="460">
        <f t="shared" si="856"/>
        <v>1412.4229260117927</v>
      </c>
      <c r="BM308" s="173">
        <f t="shared" si="807"/>
        <v>3.4292999999999996</v>
      </c>
      <c r="BN308" s="173">
        <f t="shared" si="808"/>
        <v>4.0825E-2</v>
      </c>
      <c r="BQ308" s="460">
        <f t="shared" si="857"/>
        <v>3470.1249999999995</v>
      </c>
      <c r="BR308" s="528">
        <f t="shared" si="858"/>
        <v>4.6533752738487456E-2</v>
      </c>
      <c r="BS308" s="528">
        <f t="shared" si="859"/>
        <v>1.4687464590376087</v>
      </c>
      <c r="BT308" s="528">
        <f t="shared" si="860"/>
        <v>8.8873107962401661E-5</v>
      </c>
      <c r="BU308" s="528">
        <f t="shared" si="861"/>
        <v>1.6053674971373992</v>
      </c>
      <c r="BV308" s="528"/>
      <c r="BW308" s="625">
        <f t="shared" si="862"/>
        <v>9.3549316712499261E-2</v>
      </c>
      <c r="BX308" s="460">
        <f t="shared" si="863"/>
        <v>3214.2858987339569</v>
      </c>
      <c r="BY308" s="173">
        <f t="shared" si="864"/>
        <v>8.0968338247457492</v>
      </c>
      <c r="BZ308" s="5">
        <f t="shared" si="865"/>
        <v>23.736000000000001</v>
      </c>
      <c r="CA308" s="173">
        <f t="shared" si="866"/>
        <v>0.7456452080476873</v>
      </c>
      <c r="CB308" s="5">
        <f t="shared" si="867"/>
        <v>74.564520804768733</v>
      </c>
      <c r="CC308">
        <f t="shared" si="868"/>
        <v>92</v>
      </c>
      <c r="CE308" s="562">
        <f t="shared" si="809"/>
        <v>-50</v>
      </c>
      <c r="CG308" s="173">
        <f t="shared" si="810"/>
        <v>0.65693430656934315</v>
      </c>
      <c r="CH308" s="173">
        <f t="shared" si="811"/>
        <v>0.17833950839807344</v>
      </c>
      <c r="CI308" s="170">
        <v>92</v>
      </c>
      <c r="CJ308" s="217">
        <f t="shared" si="869"/>
        <v>5.5200000000000005</v>
      </c>
      <c r="CK308" s="217">
        <f t="shared" si="812"/>
        <v>9.2000000000000012E-2</v>
      </c>
      <c r="CL308" s="217">
        <f t="shared" si="813"/>
        <v>22.080000000000002</v>
      </c>
      <c r="CM308" s="217">
        <f t="shared" si="814"/>
        <v>1.6560000000000001</v>
      </c>
      <c r="CN308" s="541">
        <f t="shared" si="815"/>
        <v>36</v>
      </c>
      <c r="CO308" s="443">
        <f t="shared" si="816"/>
        <v>18.8</v>
      </c>
      <c r="CP308" s="443">
        <f t="shared" si="817"/>
        <v>54.8</v>
      </c>
      <c r="CQ308" s="443"/>
      <c r="CR308" s="217">
        <f t="shared" si="818"/>
        <v>0.34306569343065696</v>
      </c>
      <c r="CS308" s="172">
        <f t="shared" si="819"/>
        <v>38.295705313189622</v>
      </c>
      <c r="CT308" s="172">
        <f t="shared" si="820"/>
        <v>3.0875912408759132</v>
      </c>
      <c r="CU308" s="217">
        <f t="shared" si="821"/>
        <v>9.5739263282974054</v>
      </c>
      <c r="CV308" s="217">
        <f t="shared" si="822"/>
        <v>2.12753918406609</v>
      </c>
      <c r="CW308" s="217">
        <f t="shared" si="823"/>
        <v>4</v>
      </c>
      <c r="CX308" s="217">
        <f t="shared" si="824"/>
        <v>3.8437730496453897</v>
      </c>
      <c r="CY308" s="217">
        <f t="shared" si="825"/>
        <v>1.2812576832151299</v>
      </c>
      <c r="CZ308" s="217">
        <f t="shared" si="826"/>
        <v>2.453472159348121</v>
      </c>
      <c r="DA308" s="197">
        <f t="shared" si="827"/>
        <v>350</v>
      </c>
      <c r="DB308" s="443">
        <f t="shared" si="828"/>
        <v>267.75698434820964</v>
      </c>
      <c r="DD308" s="217">
        <f t="shared" si="829"/>
        <v>2.940563086548488</v>
      </c>
      <c r="DE308" s="173">
        <f t="shared" si="830"/>
        <v>1.8769551616266944</v>
      </c>
      <c r="DF308" s="173">
        <f t="shared" si="831"/>
        <v>3.5939660877863036</v>
      </c>
      <c r="DG308" s="173"/>
      <c r="DH308" s="173">
        <f t="shared" si="832"/>
        <v>0.85106382978723416</v>
      </c>
      <c r="DI308" s="545">
        <f t="shared" si="833"/>
        <v>2432.2499999999995</v>
      </c>
      <c r="DJ308" s="528">
        <f t="shared" si="834"/>
        <v>0.79432624113475192</v>
      </c>
      <c r="DL308" s="173">
        <f t="shared" si="835"/>
        <v>3.3619722103041161</v>
      </c>
      <c r="DM308" s="173">
        <f t="shared" si="836"/>
        <v>3.8437730496453897</v>
      </c>
      <c r="DN308" s="173">
        <f t="shared" si="837"/>
        <v>3.0595849750459676</v>
      </c>
      <c r="DP308" s="545">
        <f t="shared" si="838"/>
        <v>5520.0000000000009</v>
      </c>
      <c r="DQ308" s="460">
        <f t="shared" si="839"/>
        <v>267.75698434820964</v>
      </c>
      <c r="DS308">
        <f t="shared" si="840"/>
        <v>5520.0000000000009</v>
      </c>
      <c r="DT308">
        <f t="shared" si="841"/>
        <v>267.75698434820964</v>
      </c>
      <c r="DV308" s="5">
        <f t="shared" si="870"/>
        <v>3.7347298425632514</v>
      </c>
      <c r="DW308" s="5">
        <f t="shared" si="842"/>
        <v>1.2812576832151299</v>
      </c>
      <c r="DX308" s="5">
        <f t="shared" si="843"/>
        <v>2.4534721593481215</v>
      </c>
      <c r="DY308" s="173">
        <f t="shared" si="844"/>
        <v>0.3430656934306569</v>
      </c>
      <c r="EA308" s="5">
        <f t="shared" si="871"/>
        <v>176.81356028368793</v>
      </c>
      <c r="EB308" s="5">
        <f t="shared" si="872"/>
        <v>0.65486503808773311</v>
      </c>
      <c r="EC308" s="5">
        <f t="shared" si="873"/>
        <v>1.2539968814445952</v>
      </c>
      <c r="ED308" s="5"/>
      <c r="EE308" s="173">
        <f t="shared" si="874"/>
        <v>1.299827603286817</v>
      </c>
      <c r="EF308" s="173">
        <f t="shared" si="875"/>
        <v>7.1947891745368677</v>
      </c>
      <c r="EG308" s="173">
        <f t="shared" si="876"/>
        <v>0.13708990183914843</v>
      </c>
      <c r="EH308" s="173"/>
      <c r="EI308" s="528">
        <f t="shared" si="877"/>
        <v>2.0612531938849481E-2</v>
      </c>
      <c r="EJ308" s="528">
        <f t="shared" si="878"/>
        <v>1.1279999999999999</v>
      </c>
      <c r="EK308" s="528">
        <f t="shared" si="879"/>
        <v>3.34696230435262E-2</v>
      </c>
      <c r="EL308" s="528">
        <f t="shared" si="880"/>
        <v>8.040849342770473E-2</v>
      </c>
      <c r="EM308">
        <f t="shared" si="881"/>
        <v>1.6199999999999999E-2</v>
      </c>
      <c r="EN308" s="460">
        <f t="shared" si="882"/>
        <v>49.669623043526201</v>
      </c>
      <c r="EP308" s="460">
        <f t="shared" si="883"/>
        <v>1278.6906484100805</v>
      </c>
      <c r="EQ308" s="173">
        <f t="shared" si="884"/>
        <v>3.8639999999999999</v>
      </c>
      <c r="ER308" s="173">
        <f t="shared" si="845"/>
        <v>4.0825E-2</v>
      </c>
      <c r="ES308" s="528"/>
      <c r="EU308" s="460">
        <f t="shared" si="885"/>
        <v>3904.8249999999998</v>
      </c>
      <c r="EV308" s="528">
        <f t="shared" si="886"/>
        <v>5.0686553947990529E-2</v>
      </c>
      <c r="EW308" s="528">
        <f t="shared" si="887"/>
        <v>1.5529497379809869</v>
      </c>
      <c r="EX308" s="528">
        <f t="shared" si="888"/>
        <v>9.3968205931336767E-5</v>
      </c>
      <c r="EY308" s="528">
        <f t="shared" si="889"/>
        <v>1.6990899383038467</v>
      </c>
      <c r="EZ308" s="528"/>
      <c r="FA308" s="625">
        <f t="shared" si="890"/>
        <v>9.8899999999999988E-2</v>
      </c>
      <c r="FB308" s="460">
        <f t="shared" si="891"/>
        <v>3401.7201984387557</v>
      </c>
      <c r="FC308" s="173">
        <f t="shared" si="892"/>
        <v>8.5852358468488355</v>
      </c>
      <c r="FD308" s="5">
        <f t="shared" si="893"/>
        <v>23.736000000000001</v>
      </c>
      <c r="FE308" s="173">
        <f t="shared" si="894"/>
        <v>0.73437785957414581</v>
      </c>
      <c r="FF308" s="5">
        <f t="shared" si="895"/>
        <v>73.437785957414576</v>
      </c>
      <c r="FG308">
        <f t="shared" si="896"/>
        <v>92</v>
      </c>
      <c r="FI308" s="562">
        <f t="shared" si="846"/>
        <v>-50</v>
      </c>
    </row>
    <row r="309" spans="5:169">
      <c r="E309" s="170">
        <v>93</v>
      </c>
      <c r="F309" s="217">
        <f t="shared" si="847"/>
        <v>5.58</v>
      </c>
      <c r="G309" s="217">
        <f t="shared" si="775"/>
        <v>9.3000000000000013E-2</v>
      </c>
      <c r="H309" s="217">
        <f t="shared" si="776"/>
        <v>22.32</v>
      </c>
      <c r="I309" s="217">
        <f t="shared" si="777"/>
        <v>1.6740000000000002</v>
      </c>
      <c r="J309" s="541">
        <f t="shared" si="778"/>
        <v>35.88873312421228</v>
      </c>
      <c r="K309" s="443">
        <f t="shared" si="779"/>
        <v>19.819279999999999</v>
      </c>
      <c r="L309" s="172">
        <f t="shared" si="780"/>
        <v>55.708013124212279</v>
      </c>
      <c r="M309" s="443"/>
      <c r="N309" s="217">
        <f t="shared" si="781"/>
        <v>0.35577072109552549</v>
      </c>
      <c r="O309" s="172">
        <f t="shared" si="782"/>
        <v>39.591195233506589</v>
      </c>
      <c r="P309" s="172">
        <f t="shared" si="783"/>
        <v>3.1920401157014684</v>
      </c>
      <c r="Q309" s="217">
        <f t="shared" si="784"/>
        <v>9.8977988083766473</v>
      </c>
      <c r="R309" s="217">
        <f t="shared" si="785"/>
        <v>2.1995108463059214</v>
      </c>
      <c r="S309" s="217">
        <f t="shared" si="786"/>
        <v>4</v>
      </c>
      <c r="T309" s="217">
        <f t="shared" si="787"/>
        <v>3.7584114124967987</v>
      </c>
      <c r="U309" s="217">
        <f t="shared" si="788"/>
        <v>1.2566879079811906</v>
      </c>
      <c r="V309" s="217">
        <f t="shared" si="789"/>
        <v>2.2756092527055265</v>
      </c>
      <c r="W309" s="197">
        <f t="shared" si="790"/>
        <v>350</v>
      </c>
      <c r="X309" s="443">
        <f t="shared" si="848"/>
        <v>267.93150624051782</v>
      </c>
      <c r="Z309" s="217">
        <f t="shared" si="791"/>
        <v>3.0400382054299699</v>
      </c>
      <c r="AA309" s="173">
        <f t="shared" si="792"/>
        <v>1.840655082584213</v>
      </c>
      <c r="AB309" s="173">
        <f t="shared" si="793"/>
        <v>3.6436867366068877</v>
      </c>
      <c r="AC309" s="173"/>
      <c r="AD309" s="173">
        <f t="shared" si="794"/>
        <v>0.80729471504514805</v>
      </c>
      <c r="AE309" s="545">
        <f t="shared" si="795"/>
        <v>2591.9902124999994</v>
      </c>
      <c r="AF309" s="528">
        <f t="shared" si="796"/>
        <v>0.75347506737547165</v>
      </c>
      <c r="AH309" s="173">
        <f t="shared" si="797"/>
        <v>3.3801944153723298</v>
      </c>
      <c r="AI309" s="173">
        <f t="shared" si="798"/>
        <v>3.7584114124967987</v>
      </c>
      <c r="AJ309" s="173">
        <f t="shared" si="799"/>
        <v>2.9963541327136776</v>
      </c>
      <c r="AL309" s="545">
        <f t="shared" si="800"/>
        <v>5580</v>
      </c>
      <c r="AM309" s="460">
        <f t="shared" si="801"/>
        <v>267.93150624051782</v>
      </c>
      <c r="AO309">
        <f t="shared" si="802"/>
        <v>5580</v>
      </c>
      <c r="AP309">
        <f t="shared" si="803"/>
        <v>267.93150624051782</v>
      </c>
      <c r="AR309" s="5">
        <f t="shared" si="774"/>
        <v>3.7322971606867168</v>
      </c>
      <c r="AS309" s="5">
        <f t="shared" si="897"/>
        <v>1.2566879079811906</v>
      </c>
      <c r="AT309" s="5">
        <f t="shared" si="898"/>
        <v>2.4756092527055262</v>
      </c>
      <c r="AU309" s="173">
        <f t="shared" si="899"/>
        <v>0.33670628405964564</v>
      </c>
      <c r="BA309" s="173">
        <f t="shared" si="849"/>
        <v>1.2591263185275041</v>
      </c>
      <c r="BB309" s="173">
        <f t="shared" si="850"/>
        <v>7.0689778940797581</v>
      </c>
      <c r="BC309" s="173">
        <f t="shared" si="851"/>
        <v>0.1346926869007089</v>
      </c>
      <c r="BD309" s="173"/>
      <c r="BE309" s="528">
        <f t="shared" si="852"/>
        <v>1.9341868849305232E-2</v>
      </c>
      <c r="BF309" s="528">
        <f t="shared" si="804"/>
        <v>1.0518336125149139</v>
      </c>
      <c r="BG309" s="528">
        <f t="shared" si="805"/>
        <v>0.24039305807585404</v>
      </c>
      <c r="BH309" s="528">
        <f t="shared" si="853"/>
        <v>8.3149400828427242E-2</v>
      </c>
      <c r="BI309">
        <f t="shared" si="854"/>
        <v>1.6149929905895526E-2</v>
      </c>
      <c r="BJ309" s="460">
        <f t="shared" si="855"/>
        <v>256.54298798174955</v>
      </c>
      <c r="BK309">
        <f t="shared" si="806"/>
        <v>1.1649006368106631</v>
      </c>
      <c r="BL309" s="460">
        <f t="shared" si="856"/>
        <v>1410.8678701743959</v>
      </c>
      <c r="BM309" s="173">
        <f t="shared" si="807"/>
        <v>3.4665749999999997</v>
      </c>
      <c r="BN309" s="173">
        <f t="shared" si="808"/>
        <v>4.1268750000000007E-2</v>
      </c>
      <c r="BQ309" s="460">
        <f t="shared" si="857"/>
        <v>3507.8437499999995</v>
      </c>
      <c r="BR309" s="528">
        <f t="shared" si="858"/>
        <v>4.7561972580258773E-2</v>
      </c>
      <c r="BS309" s="528">
        <f t="shared" si="859"/>
        <v>1.4991134540096487</v>
      </c>
      <c r="BT309" s="528">
        <f t="shared" si="860"/>
        <v>9.0710599522662001E-5</v>
      </c>
      <c r="BU309" s="528">
        <f t="shared" si="861"/>
        <v>1.608941537057863</v>
      </c>
      <c r="BV309" s="528"/>
      <c r="BW309" s="625">
        <f t="shared" si="862"/>
        <v>9.4617709532720862E-2</v>
      </c>
      <c r="BX309" s="460">
        <f t="shared" si="863"/>
        <v>3250.3253837800139</v>
      </c>
      <c r="BY309" s="173">
        <f t="shared" si="864"/>
        <v>8.1690370039544096</v>
      </c>
      <c r="BZ309" s="5">
        <f t="shared" si="865"/>
        <v>23.994</v>
      </c>
      <c r="CA309" s="173">
        <f t="shared" si="866"/>
        <v>0.74601164053786229</v>
      </c>
      <c r="CB309" s="5">
        <f t="shared" si="867"/>
        <v>74.601164053786235</v>
      </c>
      <c r="CC309">
        <f t="shared" si="868"/>
        <v>93</v>
      </c>
      <c r="CE309" s="562">
        <f t="shared" si="809"/>
        <v>-50</v>
      </c>
      <c r="CG309" s="173">
        <f t="shared" si="810"/>
        <v>0.65693430656934315</v>
      </c>
      <c r="CH309" s="173">
        <f t="shared" si="811"/>
        <v>0.17833950839807344</v>
      </c>
      <c r="CI309" s="170">
        <v>93</v>
      </c>
      <c r="CJ309" s="217">
        <f t="shared" si="869"/>
        <v>5.58</v>
      </c>
      <c r="CK309" s="217">
        <f t="shared" si="812"/>
        <v>9.3000000000000013E-2</v>
      </c>
      <c r="CL309" s="217">
        <f t="shared" si="813"/>
        <v>22.32</v>
      </c>
      <c r="CM309" s="217">
        <f t="shared" si="814"/>
        <v>1.6740000000000002</v>
      </c>
      <c r="CN309" s="541">
        <f t="shared" si="815"/>
        <v>36</v>
      </c>
      <c r="CO309" s="443">
        <f t="shared" si="816"/>
        <v>18.8</v>
      </c>
      <c r="CP309" s="443">
        <f t="shared" si="817"/>
        <v>54.8</v>
      </c>
      <c r="CQ309" s="443"/>
      <c r="CR309" s="217">
        <f t="shared" si="818"/>
        <v>0.34306569343065696</v>
      </c>
      <c r="CS309" s="172">
        <f t="shared" si="819"/>
        <v>38.295705313189622</v>
      </c>
      <c r="CT309" s="172">
        <f t="shared" si="820"/>
        <v>3.0875912408759132</v>
      </c>
      <c r="CU309" s="217">
        <f t="shared" si="821"/>
        <v>9.5739263282974054</v>
      </c>
      <c r="CV309" s="217">
        <f t="shared" si="822"/>
        <v>2.12753918406609</v>
      </c>
      <c r="CW309" s="217">
        <f t="shared" si="823"/>
        <v>4</v>
      </c>
      <c r="CX309" s="217">
        <f t="shared" si="824"/>
        <v>3.8855531914893611</v>
      </c>
      <c r="CY309" s="217">
        <f t="shared" si="825"/>
        <v>1.2951843971631203</v>
      </c>
      <c r="CZ309" s="217">
        <f t="shared" si="826"/>
        <v>2.4801403349932092</v>
      </c>
      <c r="DA309" s="197">
        <f t="shared" si="827"/>
        <v>350</v>
      </c>
      <c r="DB309" s="443">
        <f t="shared" si="828"/>
        <v>264.87787698962677</v>
      </c>
      <c r="DD309" s="217">
        <f t="shared" si="829"/>
        <v>2.940563086548488</v>
      </c>
      <c r="DE309" s="173">
        <f t="shared" si="830"/>
        <v>1.8769551616266944</v>
      </c>
      <c r="DF309" s="173">
        <f t="shared" si="831"/>
        <v>3.5939660877863036</v>
      </c>
      <c r="DG309" s="173"/>
      <c r="DH309" s="173">
        <f t="shared" si="832"/>
        <v>0.85106382978723416</v>
      </c>
      <c r="DI309" s="545">
        <f t="shared" si="833"/>
        <v>2458.6874999999995</v>
      </c>
      <c r="DJ309" s="528">
        <f t="shared" si="834"/>
        <v>0.79432624113475192</v>
      </c>
      <c r="DL309" s="173">
        <f t="shared" si="835"/>
        <v>3.3801944153723298</v>
      </c>
      <c r="DM309" s="173">
        <f t="shared" si="836"/>
        <v>3.8855531914893611</v>
      </c>
      <c r="DN309" s="173">
        <f t="shared" si="837"/>
        <v>3.0905332282637241</v>
      </c>
      <c r="DP309" s="545">
        <f t="shared" si="838"/>
        <v>5580</v>
      </c>
      <c r="DQ309" s="460">
        <f t="shared" si="839"/>
        <v>264.87787698962677</v>
      </c>
      <c r="DS309">
        <f t="shared" si="840"/>
        <v>5580</v>
      </c>
      <c r="DT309">
        <f t="shared" si="841"/>
        <v>264.87787698962677</v>
      </c>
      <c r="DV309" s="5">
        <f t="shared" si="870"/>
        <v>3.7753247321563301</v>
      </c>
      <c r="DW309" s="5">
        <f t="shared" si="842"/>
        <v>1.2951843971631203</v>
      </c>
      <c r="DX309" s="5">
        <f t="shared" si="843"/>
        <v>2.4801403349932096</v>
      </c>
      <c r="DY309" s="173">
        <f t="shared" si="844"/>
        <v>0.34306569343065685</v>
      </c>
      <c r="EA309" s="5">
        <f t="shared" si="871"/>
        <v>180.67822340425528</v>
      </c>
      <c r="EB309" s="5">
        <f t="shared" si="872"/>
        <v>0.66917860520094552</v>
      </c>
      <c r="EC309" s="5">
        <f t="shared" si="873"/>
        <v>1.2814058397464916</v>
      </c>
      <c r="ED309" s="5"/>
      <c r="EE309" s="173">
        <f t="shared" si="874"/>
        <v>1.3139561641921083</v>
      </c>
      <c r="EF309" s="173">
        <f t="shared" si="875"/>
        <v>7.2729934046948763</v>
      </c>
      <c r="EG309" s="173">
        <f t="shared" si="876"/>
        <v>0.13858000946783483</v>
      </c>
      <c r="EH309" s="173"/>
      <c r="EI309" s="528">
        <f t="shared" si="877"/>
        <v>2.1063065777304948E-2</v>
      </c>
      <c r="EJ309" s="528">
        <f t="shared" si="878"/>
        <v>1.1279999999999999</v>
      </c>
      <c r="EK309" s="528">
        <f t="shared" si="879"/>
        <v>3.3109734623703348E-2</v>
      </c>
      <c r="EL309" s="528">
        <f t="shared" si="880"/>
        <v>7.9543885971492867E-2</v>
      </c>
      <c r="EM309">
        <f t="shared" si="881"/>
        <v>1.6199999999999999E-2</v>
      </c>
      <c r="EN309" s="460">
        <f t="shared" si="882"/>
        <v>49.309734623703349</v>
      </c>
      <c r="EP309" s="460">
        <f t="shared" si="883"/>
        <v>1277.9166863725009</v>
      </c>
      <c r="EQ309" s="173">
        <f t="shared" si="884"/>
        <v>3.9059999999999997</v>
      </c>
      <c r="ER309" s="173">
        <f t="shared" si="845"/>
        <v>4.1268750000000007E-2</v>
      </c>
      <c r="ES309" s="528"/>
      <c r="EU309" s="460">
        <f t="shared" si="885"/>
        <v>3947.2687499999997</v>
      </c>
      <c r="EV309" s="528">
        <f t="shared" si="886"/>
        <v>5.1794424042553154E-2</v>
      </c>
      <c r="EW309" s="528">
        <f t="shared" si="887"/>
        <v>1.5868929919420551</v>
      </c>
      <c r="EX309" s="528">
        <f t="shared" si="888"/>
        <v>9.6022095120525954E-5</v>
      </c>
      <c r="EY309" s="528">
        <f t="shared" si="889"/>
        <v>1.6990899383038431</v>
      </c>
      <c r="EZ309" s="528"/>
      <c r="FA309" s="625">
        <f t="shared" si="890"/>
        <v>9.9974999999999994E-2</v>
      </c>
      <c r="FB309" s="460">
        <f t="shared" si="891"/>
        <v>3437.848376383572</v>
      </c>
      <c r="FC309" s="173">
        <f t="shared" si="892"/>
        <v>8.6630338127560726</v>
      </c>
      <c r="FD309" s="5">
        <f t="shared" si="893"/>
        <v>23.994</v>
      </c>
      <c r="FE309" s="173">
        <f t="shared" si="894"/>
        <v>0.7347268627510124</v>
      </c>
      <c r="FF309" s="5">
        <f t="shared" si="895"/>
        <v>73.472686275101239</v>
      </c>
      <c r="FG309">
        <f t="shared" si="896"/>
        <v>93</v>
      </c>
      <c r="FI309" s="562">
        <f t="shared" si="846"/>
        <v>-50</v>
      </c>
    </row>
    <row r="310" spans="5:169">
      <c r="E310" s="170">
        <v>94</v>
      </c>
      <c r="F310" s="217">
        <f t="shared" si="847"/>
        <v>5.64</v>
      </c>
      <c r="G310" s="217">
        <f t="shared" si="775"/>
        <v>9.4E-2</v>
      </c>
      <c r="H310" s="217">
        <f t="shared" si="776"/>
        <v>22.56</v>
      </c>
      <c r="I310" s="217">
        <f t="shared" si="777"/>
        <v>1.6919999999999999</v>
      </c>
      <c r="J310" s="541">
        <f t="shared" si="778"/>
        <v>35.88753670619306</v>
      </c>
      <c r="K310" s="443">
        <f t="shared" si="779"/>
        <v>19.83024</v>
      </c>
      <c r="L310" s="172">
        <f t="shared" si="780"/>
        <v>55.717776706193064</v>
      </c>
      <c r="M310" s="443"/>
      <c r="N310" s="217">
        <f t="shared" si="781"/>
        <v>0.35590508401954696</v>
      </c>
      <c r="O310" s="172">
        <f t="shared" si="782"/>
        <v>39.604827183479742</v>
      </c>
      <c r="P310" s="172">
        <f t="shared" si="783"/>
        <v>3.1931391916680543</v>
      </c>
      <c r="Q310" s="217">
        <f t="shared" si="784"/>
        <v>9.9012067958699355</v>
      </c>
      <c r="R310" s="217">
        <f t="shared" si="785"/>
        <v>2.2002681768599857</v>
      </c>
      <c r="S310" s="217">
        <f t="shared" si="786"/>
        <v>4</v>
      </c>
      <c r="T310" s="217">
        <f t="shared" si="787"/>
        <v>3.7975168860915001</v>
      </c>
      <c r="U310" s="217">
        <f t="shared" si="788"/>
        <v>1.2698058104733061</v>
      </c>
      <c r="V310" s="217">
        <f t="shared" si="789"/>
        <v>2.2980156888216183</v>
      </c>
      <c r="W310" s="197">
        <f t="shared" si="790"/>
        <v>350</v>
      </c>
      <c r="X310" s="443">
        <f t="shared" si="848"/>
        <v>265.40535431074187</v>
      </c>
      <c r="Z310" s="217">
        <f t="shared" si="791"/>
        <v>3.0410849444457662</v>
      </c>
      <c r="AA310" s="173">
        <f t="shared" si="792"/>
        <v>1.84027118851558</v>
      </c>
      <c r="AB310" s="173">
        <f t="shared" si="793"/>
        <v>3.6441811195948213</v>
      </c>
      <c r="AC310" s="173"/>
      <c r="AD310" s="173">
        <f t="shared" si="794"/>
        <v>0.80684853032540216</v>
      </c>
      <c r="AE310" s="545">
        <f t="shared" si="795"/>
        <v>2621.3098499999992</v>
      </c>
      <c r="AF310" s="528">
        <f t="shared" si="796"/>
        <v>0.75305862830370862</v>
      </c>
      <c r="AH310" s="173">
        <f t="shared" si="797"/>
        <v>3.3983189121345614</v>
      </c>
      <c r="AI310" s="173">
        <f t="shared" si="798"/>
        <v>3.7975168860915001</v>
      </c>
      <c r="AJ310" s="173">
        <f t="shared" si="799"/>
        <v>3.0253211501912345</v>
      </c>
      <c r="AL310" s="545">
        <f t="shared" si="800"/>
        <v>5640</v>
      </c>
      <c r="AM310" s="460">
        <f t="shared" si="801"/>
        <v>265.40535431074187</v>
      </c>
      <c r="AO310">
        <f t="shared" si="802"/>
        <v>5640</v>
      </c>
      <c r="AP310">
        <f t="shared" si="803"/>
        <v>265.40535431074187</v>
      </c>
      <c r="AR310" s="5">
        <f t="shared" si="774"/>
        <v>3.7678214992949242</v>
      </c>
      <c r="AS310" s="5">
        <f t="shared" si="897"/>
        <v>1.2698058104733061</v>
      </c>
      <c r="AT310" s="5">
        <f t="shared" si="898"/>
        <v>2.4980156888216181</v>
      </c>
      <c r="AU310" s="173">
        <f t="shared" si="899"/>
        <v>0.33701326103450657</v>
      </c>
      <c r="BA310" s="173">
        <f t="shared" si="849"/>
        <v>1.2728070769906972</v>
      </c>
      <c r="BB310" s="173">
        <f t="shared" si="850"/>
        <v>7.1408761122380584</v>
      </c>
      <c r="BC310" s="173">
        <f t="shared" si="851"/>
        <v>0.13606263943588734</v>
      </c>
      <c r="BD310" s="173"/>
      <c r="BE310" s="528">
        <f t="shared" si="852"/>
        <v>1.9764461833898749E-2</v>
      </c>
      <c r="BF310" s="528">
        <f t="shared" si="804"/>
        <v>1.0529419881795685</v>
      </c>
      <c r="BG310" s="528">
        <f t="shared" si="805"/>
        <v>0.23811860987117306</v>
      </c>
      <c r="BH310" s="528">
        <f t="shared" si="853"/>
        <v>8.2394313044344927E-2</v>
      </c>
      <c r="BI310">
        <f t="shared" si="854"/>
        <v>1.6149391517786878E-2</v>
      </c>
      <c r="BJ310" s="460">
        <f t="shared" si="855"/>
        <v>254.26800138895993</v>
      </c>
      <c r="BK310">
        <f t="shared" si="806"/>
        <v>1.1659123342008064</v>
      </c>
      <c r="BL310" s="460">
        <f t="shared" si="856"/>
        <v>1409.368764446772</v>
      </c>
      <c r="BM310" s="173">
        <f t="shared" si="807"/>
        <v>3.5038499999999995</v>
      </c>
      <c r="BN310" s="173">
        <f t="shared" si="808"/>
        <v>4.17125E-2</v>
      </c>
      <c r="BQ310" s="460">
        <f t="shared" si="857"/>
        <v>3545.5624999999995</v>
      </c>
      <c r="BR310" s="528">
        <f t="shared" si="858"/>
        <v>4.8601135657128071E-2</v>
      </c>
      <c r="BS310" s="528">
        <f t="shared" si="859"/>
        <v>1.5297633495099638</v>
      </c>
      <c r="BT310" s="528">
        <f t="shared" si="860"/>
        <v>9.2565209251301418E-5</v>
      </c>
      <c r="BU310" s="528">
        <f t="shared" si="861"/>
        <v>1.6124768519946531</v>
      </c>
      <c r="BV310" s="528"/>
      <c r="BW310" s="625">
        <f t="shared" si="862"/>
        <v>9.5686157789379916E-2</v>
      </c>
      <c r="BX310" s="460">
        <f t="shared" si="863"/>
        <v>3286.6200601603764</v>
      </c>
      <c r="BY310" s="173">
        <f t="shared" si="864"/>
        <v>8.2415513246071477</v>
      </c>
      <c r="BZ310" s="5">
        <f t="shared" si="865"/>
        <v>24.251999999999999</v>
      </c>
      <c r="CA310" s="173">
        <f t="shared" si="866"/>
        <v>0.746363478639964</v>
      </c>
      <c r="CB310" s="5">
        <f t="shared" si="867"/>
        <v>74.636347863996406</v>
      </c>
      <c r="CC310">
        <f t="shared" si="868"/>
        <v>94</v>
      </c>
      <c r="CE310" s="562">
        <f t="shared" si="809"/>
        <v>-50</v>
      </c>
      <c r="CG310" s="173">
        <f t="shared" si="810"/>
        <v>0.65693430656934315</v>
      </c>
      <c r="CH310" s="173">
        <f t="shared" si="811"/>
        <v>0.17833950839807344</v>
      </c>
      <c r="CI310" s="170">
        <v>94</v>
      </c>
      <c r="CJ310" s="217">
        <f t="shared" si="869"/>
        <v>5.64</v>
      </c>
      <c r="CK310" s="217">
        <f t="shared" si="812"/>
        <v>9.4E-2</v>
      </c>
      <c r="CL310" s="217">
        <f t="shared" si="813"/>
        <v>22.56</v>
      </c>
      <c r="CM310" s="217">
        <f t="shared" si="814"/>
        <v>1.6919999999999999</v>
      </c>
      <c r="CN310" s="541">
        <f t="shared" si="815"/>
        <v>36</v>
      </c>
      <c r="CO310" s="443">
        <f t="shared" si="816"/>
        <v>18.8</v>
      </c>
      <c r="CP310" s="443">
        <f t="shared" si="817"/>
        <v>54.8</v>
      </c>
      <c r="CQ310" s="443"/>
      <c r="CR310" s="217">
        <f t="shared" si="818"/>
        <v>0.34306569343065696</v>
      </c>
      <c r="CS310" s="172">
        <f t="shared" si="819"/>
        <v>38.295705313189622</v>
      </c>
      <c r="CT310" s="172">
        <f t="shared" si="820"/>
        <v>3.0875912408759132</v>
      </c>
      <c r="CU310" s="217">
        <f t="shared" si="821"/>
        <v>9.5739263282974054</v>
      </c>
      <c r="CV310" s="217">
        <f t="shared" si="822"/>
        <v>2.12753918406609</v>
      </c>
      <c r="CW310" s="217">
        <f t="shared" si="823"/>
        <v>4</v>
      </c>
      <c r="CX310" s="217">
        <f t="shared" si="824"/>
        <v>3.9273333333333329</v>
      </c>
      <c r="CY310" s="217">
        <f t="shared" si="825"/>
        <v>1.3091111111111109</v>
      </c>
      <c r="CZ310" s="217">
        <f t="shared" si="826"/>
        <v>2.5068085106382973</v>
      </c>
      <c r="DA310" s="197">
        <f t="shared" si="827"/>
        <v>350</v>
      </c>
      <c r="DB310" s="443">
        <f t="shared" si="828"/>
        <v>262.06002723441799</v>
      </c>
      <c r="DD310" s="217">
        <f t="shared" si="829"/>
        <v>2.940563086548488</v>
      </c>
      <c r="DE310" s="173">
        <f t="shared" si="830"/>
        <v>1.8769551616266944</v>
      </c>
      <c r="DF310" s="173">
        <f t="shared" si="831"/>
        <v>3.5939660877863036</v>
      </c>
      <c r="DG310" s="173"/>
      <c r="DH310" s="173">
        <f t="shared" si="832"/>
        <v>0.85106382978723416</v>
      </c>
      <c r="DI310" s="545">
        <f t="shared" si="833"/>
        <v>2485.1249999999991</v>
      </c>
      <c r="DJ310" s="528">
        <f t="shared" si="834"/>
        <v>0.79432624113475192</v>
      </c>
      <c r="DL310" s="173">
        <f t="shared" si="835"/>
        <v>3.3983189121345614</v>
      </c>
      <c r="DM310" s="173">
        <f t="shared" si="836"/>
        <v>3.9273333333333329</v>
      </c>
      <c r="DN310" s="173">
        <f t="shared" si="837"/>
        <v>3.1214814814814806</v>
      </c>
      <c r="DP310" s="545">
        <f t="shared" si="838"/>
        <v>5640</v>
      </c>
      <c r="DQ310" s="460">
        <f t="shared" si="839"/>
        <v>262.06002723441799</v>
      </c>
      <c r="DS310">
        <f t="shared" si="840"/>
        <v>5640</v>
      </c>
      <c r="DT310">
        <f t="shared" si="841"/>
        <v>262.06002723441799</v>
      </c>
      <c r="DV310" s="5">
        <f t="shared" si="870"/>
        <v>3.8159196217494085</v>
      </c>
      <c r="DW310" s="5">
        <f t="shared" si="842"/>
        <v>1.3091111111111109</v>
      </c>
      <c r="DX310" s="5">
        <f t="shared" si="843"/>
        <v>2.5068085106382973</v>
      </c>
      <c r="DY310" s="173">
        <f t="shared" si="844"/>
        <v>0.3430656934306569</v>
      </c>
      <c r="EA310" s="5">
        <f t="shared" si="871"/>
        <v>184.58466666666661</v>
      </c>
      <c r="EB310" s="5">
        <f t="shared" si="872"/>
        <v>0.68364691358024687</v>
      </c>
      <c r="EC310" s="5">
        <f t="shared" si="873"/>
        <v>1.3091111111111104</v>
      </c>
      <c r="ED310" s="5"/>
      <c r="EE310" s="173">
        <f t="shared" si="874"/>
        <v>1.3280847250973999</v>
      </c>
      <c r="EF310" s="173">
        <f t="shared" si="875"/>
        <v>7.3511976348528867</v>
      </c>
      <c r="EG310" s="173">
        <f t="shared" si="876"/>
        <v>0.14007011709652123</v>
      </c>
      <c r="EH310" s="173"/>
      <c r="EI310" s="528">
        <f t="shared" si="877"/>
        <v>2.1518470251851839E-2</v>
      </c>
      <c r="EJ310" s="528">
        <f t="shared" si="878"/>
        <v>1.1279999999999999</v>
      </c>
      <c r="EK310" s="528">
        <f t="shared" si="879"/>
        <v>3.2757503404302245E-2</v>
      </c>
      <c r="EL310" s="528">
        <f t="shared" si="880"/>
        <v>7.8697674418604646E-2</v>
      </c>
      <c r="EM310">
        <f t="shared" si="881"/>
        <v>1.6199999999999999E-2</v>
      </c>
      <c r="EN310" s="460">
        <f t="shared" si="882"/>
        <v>48.957503404302244</v>
      </c>
      <c r="EP310" s="460">
        <f t="shared" si="883"/>
        <v>1277.1736480747586</v>
      </c>
      <c r="EQ310" s="173">
        <f t="shared" si="884"/>
        <v>3.9479999999999995</v>
      </c>
      <c r="ER310" s="173">
        <f t="shared" si="845"/>
        <v>4.17125E-2</v>
      </c>
      <c r="ES310" s="528"/>
      <c r="EU310" s="460">
        <f t="shared" si="885"/>
        <v>3989.7124999999996</v>
      </c>
      <c r="EV310" s="528">
        <f t="shared" si="886"/>
        <v>5.2914271111111084E-2</v>
      </c>
      <c r="EW310" s="528">
        <f t="shared" si="887"/>
        <v>1.6212032000000001</v>
      </c>
      <c r="EX310" s="528">
        <f t="shared" si="888"/>
        <v>9.8098188517165848E-5</v>
      </c>
      <c r="EY310" s="528">
        <f t="shared" si="889"/>
        <v>1.6990899383038454</v>
      </c>
      <c r="EZ310" s="528"/>
      <c r="FA310" s="625">
        <f t="shared" si="890"/>
        <v>0.10104999999999999</v>
      </c>
      <c r="FB310" s="460">
        <f t="shared" si="891"/>
        <v>3474.3555076034736</v>
      </c>
      <c r="FC310" s="173">
        <f t="shared" si="892"/>
        <v>8.7412416556782322</v>
      </c>
      <c r="FD310" s="5">
        <f t="shared" si="893"/>
        <v>24.251999999999999</v>
      </c>
      <c r="FE310" s="173">
        <f t="shared" si="894"/>
        <v>0.73505962988108386</v>
      </c>
      <c r="FF310" s="5">
        <f t="shared" si="895"/>
        <v>73.505962988108394</v>
      </c>
      <c r="FG310">
        <f t="shared" si="896"/>
        <v>94</v>
      </c>
      <c r="FI310" s="562">
        <f t="shared" si="846"/>
        <v>-50</v>
      </c>
    </row>
    <row r="311" spans="5:169">
      <c r="E311" s="170">
        <v>95</v>
      </c>
      <c r="F311" s="217">
        <f t="shared" si="847"/>
        <v>5.6999999999999993</v>
      </c>
      <c r="G311" s="217">
        <f t="shared" si="775"/>
        <v>9.5000000000000001E-2</v>
      </c>
      <c r="H311" s="217">
        <f t="shared" si="776"/>
        <v>22.799999999999997</v>
      </c>
      <c r="I311" s="217">
        <f t="shared" si="777"/>
        <v>1.71</v>
      </c>
      <c r="J311" s="541">
        <f t="shared" si="778"/>
        <v>35.886340288173841</v>
      </c>
      <c r="K311" s="443">
        <f t="shared" si="779"/>
        <v>19.841200000000001</v>
      </c>
      <c r="L311" s="172">
        <f t="shared" si="780"/>
        <v>55.727540288173842</v>
      </c>
      <c r="M311" s="443"/>
      <c r="N311" s="217">
        <f t="shared" si="781"/>
        <v>0.35603939986223615</v>
      </c>
      <c r="O311" s="172">
        <f t="shared" si="782"/>
        <v>39.618452897529927</v>
      </c>
      <c r="P311" s="172">
        <f t="shared" si="783"/>
        <v>3.1942377648633502</v>
      </c>
      <c r="Q311" s="217">
        <f t="shared" si="784"/>
        <v>9.9046132243824818</v>
      </c>
      <c r="R311" s="217">
        <f t="shared" si="785"/>
        <v>2.2010251609738849</v>
      </c>
      <c r="S311" s="217">
        <f t="shared" si="786"/>
        <v>4</v>
      </c>
      <c r="T311" s="217">
        <f t="shared" si="787"/>
        <v>3.836596052681216</v>
      </c>
      <c r="U311" s="217">
        <f t="shared" si="788"/>
        <v>1.2829157908683866</v>
      </c>
      <c r="V311" s="217">
        <f t="shared" si="789"/>
        <v>2.3203814604043398</v>
      </c>
      <c r="W311" s="197">
        <f t="shared" si="790"/>
        <v>350</v>
      </c>
      <c r="X311" s="443">
        <f t="shared" si="848"/>
        <v>262.92975119558753</v>
      </c>
      <c r="Z311" s="217">
        <f t="shared" si="791"/>
        <v>3.0421312046317617</v>
      </c>
      <c r="AA311" s="173">
        <f t="shared" si="792"/>
        <v>1.8398874289650395</v>
      </c>
      <c r="AB311" s="173">
        <f t="shared" si="793"/>
        <v>3.6446746720604422</v>
      </c>
      <c r="AC311" s="173"/>
      <c r="AD311" s="173">
        <f t="shared" si="794"/>
        <v>0.80640283853799177</v>
      </c>
      <c r="AE311" s="545">
        <f t="shared" si="795"/>
        <v>2650.6603124999992</v>
      </c>
      <c r="AF311" s="528">
        <f t="shared" si="796"/>
        <v>0.75264264930212577</v>
      </c>
      <c r="AH311" s="173">
        <f t="shared" si="797"/>
        <v>3.4163472556853134</v>
      </c>
      <c r="AI311" s="173">
        <f t="shared" si="798"/>
        <v>3.836596052681216</v>
      </c>
      <c r="AJ311" s="173">
        <f t="shared" si="799"/>
        <v>3.0542686809984314</v>
      </c>
      <c r="AL311" s="545">
        <f t="shared" si="800"/>
        <v>5699.9999999999991</v>
      </c>
      <c r="AM311" s="460">
        <f t="shared" si="801"/>
        <v>262.92975119558753</v>
      </c>
      <c r="AO311">
        <f t="shared" si="802"/>
        <v>5699.9999999999991</v>
      </c>
      <c r="AP311">
        <f t="shared" si="803"/>
        <v>262.92975119558753</v>
      </c>
      <c r="AR311" s="5">
        <f t="shared" si="774"/>
        <v>3.8032972512727268</v>
      </c>
      <c r="AS311" s="5">
        <f t="shared" si="897"/>
        <v>1.2829157908683866</v>
      </c>
      <c r="AT311" s="5">
        <f t="shared" si="898"/>
        <v>2.52038146040434</v>
      </c>
      <c r="AU311" s="173">
        <f t="shared" si="899"/>
        <v>0.33731672969791526</v>
      </c>
      <c r="BA311" s="173">
        <f t="shared" si="849"/>
        <v>1.2864839988037371</v>
      </c>
      <c r="BB311" s="173">
        <f t="shared" si="850"/>
        <v>7.2127095357810065</v>
      </c>
      <c r="BC311" s="173">
        <f t="shared" si="851"/>
        <v>0.13743135737096243</v>
      </c>
      <c r="BD311" s="173"/>
      <c r="BE311" s="528">
        <f t="shared" si="852"/>
        <v>2.0191501165972257E-2</v>
      </c>
      <c r="BF311" s="528">
        <f t="shared" si="804"/>
        <v>1.0540396610320868</v>
      </c>
      <c r="BG311" s="528">
        <f t="shared" si="805"/>
        <v>0.23588966308224341</v>
      </c>
      <c r="BH311" s="528">
        <f t="shared" si="853"/>
        <v>8.1654378855894105E-2</v>
      </c>
      <c r="BI311">
        <f t="shared" si="854"/>
        <v>1.6148853129678228E-2</v>
      </c>
      <c r="BJ311" s="460">
        <f t="shared" si="855"/>
        <v>252.03851621192163</v>
      </c>
      <c r="BK311">
        <f t="shared" si="806"/>
        <v>1.166935620799608</v>
      </c>
      <c r="BL311" s="460">
        <f t="shared" si="856"/>
        <v>1407.9240572658748</v>
      </c>
      <c r="BM311" s="173">
        <f t="shared" si="807"/>
        <v>3.5411249999999992</v>
      </c>
      <c r="BN311" s="173">
        <f t="shared" si="808"/>
        <v>4.2156249999999999E-2</v>
      </c>
      <c r="BQ311" s="460">
        <f t="shared" si="857"/>
        <v>3583.2812499999991</v>
      </c>
      <c r="BR311" s="528">
        <f t="shared" si="858"/>
        <v>4.9651232375341615E-2</v>
      </c>
      <c r="BS311" s="528">
        <f t="shared" si="859"/>
        <v>1.5606953654263878</v>
      </c>
      <c r="BT311" s="528">
        <f t="shared" si="860"/>
        <v>9.4436889944125949E-5</v>
      </c>
      <c r="BU311" s="528">
        <f t="shared" si="861"/>
        <v>1.6159745602904028</v>
      </c>
      <c r="BV311" s="528"/>
      <c r="BW311" s="625">
        <f t="shared" si="862"/>
        <v>9.6754659831830112E-2</v>
      </c>
      <c r="BX311" s="460">
        <f t="shared" si="863"/>
        <v>3323.1702548139065</v>
      </c>
      <c r="BY311" s="173">
        <f t="shared" si="864"/>
        <v>8.3143755620797819</v>
      </c>
      <c r="BZ311" s="5">
        <f t="shared" si="865"/>
        <v>24.509999999999998</v>
      </c>
      <c r="CA311" s="173">
        <f t="shared" si="866"/>
        <v>0.74670118106725147</v>
      </c>
      <c r="CB311" s="5">
        <f t="shared" si="867"/>
        <v>74.670118106725141</v>
      </c>
      <c r="CC311">
        <f t="shared" si="868"/>
        <v>94.999999999999986</v>
      </c>
      <c r="CE311" s="562">
        <f t="shared" si="809"/>
        <v>-50</v>
      </c>
      <c r="CG311" s="173">
        <f t="shared" si="810"/>
        <v>0.65693430656934315</v>
      </c>
      <c r="CH311" s="173">
        <f t="shared" si="811"/>
        <v>0.17833950839807344</v>
      </c>
      <c r="CI311" s="170">
        <v>95</v>
      </c>
      <c r="CJ311" s="217">
        <f t="shared" si="869"/>
        <v>5.6999999999999993</v>
      </c>
      <c r="CK311" s="217">
        <f t="shared" si="812"/>
        <v>9.5000000000000001E-2</v>
      </c>
      <c r="CL311" s="217">
        <f t="shared" si="813"/>
        <v>22.799999999999997</v>
      </c>
      <c r="CM311" s="217">
        <f t="shared" si="814"/>
        <v>1.71</v>
      </c>
      <c r="CN311" s="541">
        <f t="shared" si="815"/>
        <v>36</v>
      </c>
      <c r="CO311" s="443">
        <f t="shared" si="816"/>
        <v>18.8</v>
      </c>
      <c r="CP311" s="443">
        <f t="shared" si="817"/>
        <v>54.8</v>
      </c>
      <c r="CQ311" s="443"/>
      <c r="CR311" s="217">
        <f t="shared" si="818"/>
        <v>0.34306569343065696</v>
      </c>
      <c r="CS311" s="172">
        <f t="shared" si="819"/>
        <v>38.295705313189622</v>
      </c>
      <c r="CT311" s="172">
        <f t="shared" si="820"/>
        <v>3.0875912408759132</v>
      </c>
      <c r="CU311" s="217">
        <f t="shared" si="821"/>
        <v>9.5739263282974054</v>
      </c>
      <c r="CV311" s="217">
        <f t="shared" si="822"/>
        <v>2.12753918406609</v>
      </c>
      <c r="CW311" s="217">
        <f t="shared" si="823"/>
        <v>4</v>
      </c>
      <c r="CX311" s="217">
        <f t="shared" si="824"/>
        <v>3.9691134751773043</v>
      </c>
      <c r="CY311" s="217">
        <f t="shared" si="825"/>
        <v>1.3230378250591015</v>
      </c>
      <c r="CZ311" s="217">
        <f t="shared" si="826"/>
        <v>2.533476686283386</v>
      </c>
      <c r="DA311" s="197">
        <f t="shared" si="827"/>
        <v>350</v>
      </c>
      <c r="DB311" s="443">
        <f t="shared" si="828"/>
        <v>259.30150063195043</v>
      </c>
      <c r="DD311" s="217">
        <f t="shared" si="829"/>
        <v>2.940563086548488</v>
      </c>
      <c r="DE311" s="173">
        <f t="shared" si="830"/>
        <v>1.8769551616266944</v>
      </c>
      <c r="DF311" s="173">
        <f t="shared" si="831"/>
        <v>3.5939660877863036</v>
      </c>
      <c r="DG311" s="173"/>
      <c r="DH311" s="173">
        <f t="shared" si="832"/>
        <v>0.85106382978723416</v>
      </c>
      <c r="DI311" s="545">
        <f t="shared" si="833"/>
        <v>2511.5624999999991</v>
      </c>
      <c r="DJ311" s="528">
        <f t="shared" si="834"/>
        <v>0.79432624113475192</v>
      </c>
      <c r="DL311" s="173">
        <f t="shared" si="835"/>
        <v>3.4163472556853134</v>
      </c>
      <c r="DM311" s="173">
        <f t="shared" si="836"/>
        <v>3.9691134751773043</v>
      </c>
      <c r="DN311" s="173">
        <f t="shared" si="837"/>
        <v>3.1524297346992372</v>
      </c>
      <c r="DP311" s="545">
        <f t="shared" si="838"/>
        <v>5699.9999999999991</v>
      </c>
      <c r="DQ311" s="460">
        <f t="shared" si="839"/>
        <v>259.30150063195043</v>
      </c>
      <c r="DS311">
        <f t="shared" si="840"/>
        <v>5699.9999999999991</v>
      </c>
      <c r="DT311">
        <f t="shared" si="841"/>
        <v>259.30150063195043</v>
      </c>
      <c r="DV311" s="5">
        <f t="shared" si="870"/>
        <v>3.8565145113424877</v>
      </c>
      <c r="DW311" s="5">
        <f t="shared" si="842"/>
        <v>1.3230378250591015</v>
      </c>
      <c r="DX311" s="5">
        <f t="shared" si="843"/>
        <v>2.533476686283386</v>
      </c>
      <c r="DY311" s="173">
        <f t="shared" si="844"/>
        <v>0.3430656934306569</v>
      </c>
      <c r="EA311" s="5">
        <f t="shared" si="871"/>
        <v>188.53289007092195</v>
      </c>
      <c r="EB311" s="5">
        <f t="shared" si="872"/>
        <v>0.69826996322563695</v>
      </c>
      <c r="EC311" s="5">
        <f t="shared" si="873"/>
        <v>1.3371126955384534</v>
      </c>
      <c r="ED311" s="5"/>
      <c r="EE311" s="173">
        <f t="shared" si="874"/>
        <v>1.3422132860026914</v>
      </c>
      <c r="EF311" s="173">
        <f t="shared" si="875"/>
        <v>7.4294018650108953</v>
      </c>
      <c r="EG311" s="173">
        <f t="shared" si="876"/>
        <v>0.14156022472520757</v>
      </c>
      <c r="EH311" s="173"/>
      <c r="EI311" s="528">
        <f t="shared" si="877"/>
        <v>2.197874536249014E-2</v>
      </c>
      <c r="EJ311" s="528">
        <f t="shared" si="878"/>
        <v>1.1280000000000001</v>
      </c>
      <c r="EK311" s="528">
        <f t="shared" si="879"/>
        <v>3.24126875789938E-2</v>
      </c>
      <c r="EL311" s="528">
        <f t="shared" si="880"/>
        <v>7.7869277845777241E-2</v>
      </c>
      <c r="EM311">
        <f t="shared" si="881"/>
        <v>1.6199999999999999E-2</v>
      </c>
      <c r="EN311" s="460">
        <f t="shared" si="882"/>
        <v>48.6126875789938</v>
      </c>
      <c r="EP311" s="460">
        <f t="shared" si="883"/>
        <v>1276.4607107872614</v>
      </c>
      <c r="EQ311" s="173">
        <f t="shared" si="884"/>
        <v>3.9899999999999993</v>
      </c>
      <c r="ER311" s="173">
        <f t="shared" si="845"/>
        <v>4.2156249999999999E-2</v>
      </c>
      <c r="ES311" s="528"/>
      <c r="EU311" s="460">
        <f t="shared" si="885"/>
        <v>4032.1562499999991</v>
      </c>
      <c r="EV311" s="528">
        <f t="shared" si="886"/>
        <v>5.4046095153664278E-2</v>
      </c>
      <c r="EW311" s="528">
        <f t="shared" si="887"/>
        <v>1.655880362154821</v>
      </c>
      <c r="EX311" s="528">
        <f t="shared" si="888"/>
        <v>1.0019648612125634E-4</v>
      </c>
      <c r="EY311" s="528">
        <f t="shared" si="889"/>
        <v>1.6990899383038467</v>
      </c>
      <c r="EZ311" s="528"/>
      <c r="FA311" s="625">
        <f t="shared" si="890"/>
        <v>0.10212499999999999</v>
      </c>
      <c r="FB311" s="460">
        <f t="shared" si="891"/>
        <v>3511.2415920984536</v>
      </c>
      <c r="FC311" s="173">
        <f t="shared" si="892"/>
        <v>8.8198585528857123</v>
      </c>
      <c r="FD311" s="5">
        <f t="shared" si="893"/>
        <v>24.509999999999998</v>
      </c>
      <c r="FE311" s="173">
        <f t="shared" si="894"/>
        <v>0.73537665817300368</v>
      </c>
      <c r="FF311" s="5">
        <f t="shared" si="895"/>
        <v>73.537665817300365</v>
      </c>
      <c r="FG311">
        <f t="shared" si="896"/>
        <v>94.999999999999986</v>
      </c>
      <c r="FI311" s="562">
        <f t="shared" si="846"/>
        <v>-50</v>
      </c>
    </row>
    <row r="312" spans="5:169">
      <c r="E312" s="170">
        <v>96</v>
      </c>
      <c r="F312" s="217">
        <f t="shared" si="847"/>
        <v>5.76</v>
      </c>
      <c r="G312" s="217">
        <f t="shared" si="775"/>
        <v>9.6000000000000002E-2</v>
      </c>
      <c r="H312" s="217">
        <f t="shared" si="776"/>
        <v>23.04</v>
      </c>
      <c r="I312" s="217">
        <f t="shared" si="777"/>
        <v>1.728</v>
      </c>
      <c r="J312" s="541">
        <f t="shared" si="778"/>
        <v>35.885143870154614</v>
      </c>
      <c r="K312" s="443">
        <f t="shared" si="779"/>
        <v>19.852160000000001</v>
      </c>
      <c r="L312" s="172">
        <f t="shared" si="780"/>
        <v>55.737303870154619</v>
      </c>
      <c r="M312" s="443"/>
      <c r="N312" s="217">
        <f t="shared" si="781"/>
        <v>0.35617366864833483</v>
      </c>
      <c r="O312" s="172">
        <f>N312*J312*Isw_max*0.5*Efficiency*Pout/(Pout+Pout2)</f>
        <v>39.63207237893419</v>
      </c>
      <c r="P312" s="172">
        <f t="shared" si="783"/>
        <v>3.1953358355515689</v>
      </c>
      <c r="Q312" s="217">
        <f t="shared" si="784"/>
        <v>9.9080180947335474</v>
      </c>
      <c r="R312" s="217">
        <f t="shared" si="785"/>
        <v>2.2017817988296771</v>
      </c>
      <c r="S312" s="217">
        <f t="shared" si="786"/>
        <v>4</v>
      </c>
      <c r="T312" s="217">
        <f t="shared" si="787"/>
        <v>3.8756489575257165</v>
      </c>
      <c r="U312" s="217">
        <f t="shared" si="788"/>
        <v>1.2960178635089366</v>
      </c>
      <c r="V312" s="217">
        <f t="shared" si="789"/>
        <v>2.342706662162132</v>
      </c>
      <c r="W312" s="197">
        <f t="shared" si="790"/>
        <v>350</v>
      </c>
      <c r="X312" s="443">
        <f t="shared" si="848"/>
        <v>260.50319404599225</v>
      </c>
      <c r="Z312" s="217">
        <f t="shared" si="791"/>
        <v>3.043176986239589</v>
      </c>
      <c r="AA312" s="173">
        <f t="shared" si="792"/>
        <v>1.8395038038619005</v>
      </c>
      <c r="AB312" s="173">
        <f>0.5*AA312*Z312*Nps*W312/1000*(Pout/(Pout+Pout2))</f>
        <v>3.6451673947989796</v>
      </c>
      <c r="AC312" s="173"/>
      <c r="AD312" s="173">
        <f t="shared" si="794"/>
        <v>0.80595763886650118</v>
      </c>
      <c r="AE312" s="545">
        <f>MAX(10, F312/(0.5*AD312/1000000*Isw_min*Nps)/1000*Pout_total/Pout)</f>
        <v>2680.0415999999996</v>
      </c>
      <c r="AF312" s="528">
        <f t="shared" si="796"/>
        <v>0.75222712960873461</v>
      </c>
      <c r="AH312" s="173">
        <f t="shared" si="797"/>
        <v>3.4342809603009643</v>
      </c>
      <c r="AI312" s="173">
        <f>MAX(IF(F312&gt;AB312,T312,AH312),Isw_min)</f>
        <v>3.8756489575257165</v>
      </c>
      <c r="AJ312" s="173">
        <f>IF(F312&gt;AF312, (AI312-Isw_min)/1.08*0.8+1.2, AE312*0.2/350+1)</f>
        <v>3.0831967586610247</v>
      </c>
      <c r="AL312" s="545">
        <f t="shared" si="800"/>
        <v>5760</v>
      </c>
      <c r="AM312" s="460">
        <f t="shared" si="801"/>
        <v>260.50319404599225</v>
      </c>
      <c r="AO312">
        <f t="shared" si="802"/>
        <v>5760</v>
      </c>
      <c r="AP312">
        <f t="shared" si="803"/>
        <v>260.50319404599225</v>
      </c>
      <c r="AR312" s="5">
        <f t="shared" si="774"/>
        <v>3.8387245256710685</v>
      </c>
      <c r="AS312" s="5">
        <f t="shared" si="897"/>
        <v>1.2960178635089366</v>
      </c>
      <c r="AT312" s="5">
        <f t="shared" si="898"/>
        <v>2.5427066621621321</v>
      </c>
      <c r="AU312" s="173">
        <f t="shared" si="899"/>
        <v>0.33761679298474084</v>
      </c>
      <c r="BA312" s="173">
        <f t="shared" si="849"/>
        <v>1.3001570823400135</v>
      </c>
      <c r="BB312" s="173">
        <f t="shared" si="850"/>
        <v>7.2844783023241897</v>
      </c>
      <c r="BC312" s="173">
        <f t="shared" si="851"/>
        <v>0.13879884332806902</v>
      </c>
      <c r="BD312" s="173"/>
      <c r="BE312" s="528">
        <f t="shared" si="852"/>
        <v>2.0622982952858537E-2</v>
      </c>
      <c r="BF312" s="528">
        <f t="shared" si="804"/>
        <v>1.0551269480676111</v>
      </c>
      <c r="BG312" s="528">
        <f t="shared" si="805"/>
        <v>0.23370486492438089</v>
      </c>
      <c r="BH312" s="528">
        <f t="shared" si="853"/>
        <v>8.0929147740052082E-2</v>
      </c>
      <c r="BI312">
        <f t="shared" si="854"/>
        <v>1.6148314741569577E-2</v>
      </c>
      <c r="BJ312" s="460">
        <f t="shared" si="855"/>
        <v>249.85317966595048</v>
      </c>
      <c r="BK312">
        <f t="shared" si="806"/>
        <v>1.1679703631722542</v>
      </c>
      <c r="BL312" s="460">
        <f t="shared" si="856"/>
        <v>1406.532258426472</v>
      </c>
      <c r="BM312" s="173">
        <f t="shared" si="807"/>
        <v>3.5783999999999998</v>
      </c>
      <c r="BN312" s="173">
        <f t="shared" si="808"/>
        <v>4.2599999999999999E-2</v>
      </c>
      <c r="BQ312" s="460">
        <f t="shared" si="857"/>
        <v>3621</v>
      </c>
      <c r="BR312" s="528">
        <f t="shared" si="858"/>
        <v>5.0712253162766896E-2</v>
      </c>
      <c r="BS312" s="528">
        <f t="shared" si="859"/>
        <v>1.5919087241109573</v>
      </c>
      <c r="BT312" s="528">
        <f t="shared" si="860"/>
        <v>9.6325594546049258E-5</v>
      </c>
      <c r="BU312" s="528">
        <f t="shared" si="861"/>
        <v>1.6194357377555064</v>
      </c>
      <c r="BV312" s="528"/>
      <c r="BW312" s="625">
        <f t="shared" si="862"/>
        <v>9.7823214074890724E-2</v>
      </c>
      <c r="BX312" s="460">
        <f t="shared" si="863"/>
        <v>3359.9762546986676</v>
      </c>
      <c r="BY312" s="173">
        <f t="shared" si="864"/>
        <v>8.3875085131251392</v>
      </c>
      <c r="BZ312" s="5">
        <f t="shared" si="865"/>
        <v>24.768000000000001</v>
      </c>
      <c r="CA312" s="173">
        <f t="shared" si="866"/>
        <v>0.74702518859559008</v>
      </c>
      <c r="CB312" s="5">
        <f t="shared" si="867"/>
        <v>74.702518859559007</v>
      </c>
      <c r="CC312">
        <f t="shared" si="868"/>
        <v>96</v>
      </c>
      <c r="CE312" s="562">
        <f t="shared" si="809"/>
        <v>-50</v>
      </c>
      <c r="CG312" s="173">
        <f t="shared" si="810"/>
        <v>0.65693430656934293</v>
      </c>
      <c r="CH312" s="173">
        <f t="shared" si="811"/>
        <v>0.17833950839807344</v>
      </c>
      <c r="CI312" s="170">
        <v>96</v>
      </c>
      <c r="CJ312" s="217">
        <f t="shared" si="869"/>
        <v>5.76</v>
      </c>
      <c r="CK312" s="217">
        <f t="shared" si="812"/>
        <v>9.6000000000000002E-2</v>
      </c>
      <c r="CL312" s="217">
        <f t="shared" si="813"/>
        <v>23.04</v>
      </c>
      <c r="CM312" s="217">
        <f t="shared" si="814"/>
        <v>1.728</v>
      </c>
      <c r="CN312" s="541">
        <f t="shared" si="815"/>
        <v>36</v>
      </c>
      <c r="CO312" s="443">
        <f t="shared" si="816"/>
        <v>18.8</v>
      </c>
      <c r="CP312" s="443">
        <f t="shared" si="817"/>
        <v>54.8</v>
      </c>
      <c r="CQ312" s="443"/>
      <c r="CR312" s="217">
        <f t="shared" si="818"/>
        <v>0.34306569343065696</v>
      </c>
      <c r="CS312" s="172">
        <f t="shared" si="819"/>
        <v>38.295705313189622</v>
      </c>
      <c r="CT312" s="172">
        <f t="shared" si="820"/>
        <v>3.0875912408759132</v>
      </c>
      <c r="CU312" s="217">
        <f t="shared" si="821"/>
        <v>9.5739263282974054</v>
      </c>
      <c r="CV312" s="217">
        <f t="shared" si="822"/>
        <v>2.12753918406609</v>
      </c>
      <c r="CW312" s="217">
        <f t="shared" si="823"/>
        <v>4</v>
      </c>
      <c r="CX312" s="217">
        <f t="shared" si="824"/>
        <v>4.0108936170212761</v>
      </c>
      <c r="CY312" s="217">
        <f t="shared" si="825"/>
        <v>1.3369645390070921</v>
      </c>
      <c r="CZ312" s="217">
        <f t="shared" si="826"/>
        <v>2.5601448619284741</v>
      </c>
      <c r="DA312" s="197">
        <f t="shared" si="827"/>
        <v>350</v>
      </c>
      <c r="DB312" s="443">
        <f t="shared" si="828"/>
        <v>256.60044333370098</v>
      </c>
      <c r="DD312" s="217">
        <f t="shared" si="829"/>
        <v>2.940563086548488</v>
      </c>
      <c r="DE312" s="173">
        <f t="shared" si="830"/>
        <v>1.8769551616266944</v>
      </c>
      <c r="DF312" s="173">
        <f t="shared" si="831"/>
        <v>3.5939660877863036</v>
      </c>
      <c r="DG312" s="173"/>
      <c r="DH312" s="173">
        <f t="shared" si="832"/>
        <v>0.85106382978723416</v>
      </c>
      <c r="DI312" s="545">
        <f t="shared" si="833"/>
        <v>2537.9999999999995</v>
      </c>
      <c r="DJ312" s="528">
        <f t="shared" si="834"/>
        <v>0.79432624113475192</v>
      </c>
      <c r="DL312" s="173">
        <f t="shared" si="835"/>
        <v>3.4342809603009643</v>
      </c>
      <c r="DM312" s="173">
        <f t="shared" si="836"/>
        <v>4.0108936170212761</v>
      </c>
      <c r="DN312" s="173">
        <f t="shared" si="837"/>
        <v>3.1833779879169946</v>
      </c>
      <c r="DP312" s="545">
        <f t="shared" si="838"/>
        <v>5760</v>
      </c>
      <c r="DQ312" s="460">
        <f t="shared" si="839"/>
        <v>256.60044333370098</v>
      </c>
      <c r="DS312">
        <f t="shared" si="840"/>
        <v>5760</v>
      </c>
      <c r="DT312">
        <f t="shared" si="841"/>
        <v>256.60044333370098</v>
      </c>
      <c r="DV312" s="5">
        <f t="shared" si="870"/>
        <v>3.8971094009355656</v>
      </c>
      <c r="DW312" s="5">
        <f t="shared" si="842"/>
        <v>1.3369645390070921</v>
      </c>
      <c r="DX312" s="5">
        <f t="shared" si="843"/>
        <v>2.5601448619284737</v>
      </c>
      <c r="DY312" s="173">
        <f t="shared" si="844"/>
        <v>0.34306569343065701</v>
      </c>
      <c r="EA312" s="5">
        <f t="shared" si="871"/>
        <v>192.52289361702128</v>
      </c>
      <c r="EB312" s="5">
        <f t="shared" si="872"/>
        <v>0.71304775413711585</v>
      </c>
      <c r="EC312" s="5">
        <f t="shared" si="873"/>
        <v>1.3654105930285192</v>
      </c>
      <c r="ED312" s="5"/>
      <c r="EE312" s="173">
        <f t="shared" si="874"/>
        <v>1.3563418469079831</v>
      </c>
      <c r="EF312" s="173">
        <f t="shared" si="875"/>
        <v>7.507606095168903</v>
      </c>
      <c r="EG312" s="173">
        <f t="shared" si="876"/>
        <v>0.14305033235389394</v>
      </c>
      <c r="EH312" s="173"/>
      <c r="EI312" s="528">
        <f t="shared" si="877"/>
        <v>2.2443891109219856E-2</v>
      </c>
      <c r="EJ312" s="528">
        <f t="shared" si="878"/>
        <v>1.1280000000000001</v>
      </c>
      <c r="EK312" s="528">
        <f t="shared" si="879"/>
        <v>3.2075055416712621E-2</v>
      </c>
      <c r="EL312" s="528">
        <f t="shared" si="880"/>
        <v>7.7058139534883732E-2</v>
      </c>
      <c r="EM312">
        <f t="shared" si="881"/>
        <v>1.6199999999999999E-2</v>
      </c>
      <c r="EN312" s="460">
        <f t="shared" si="882"/>
        <v>48.275055416712618</v>
      </c>
      <c r="EP312" s="460">
        <f t="shared" si="883"/>
        <v>1275.7770860608164</v>
      </c>
      <c r="EQ312" s="173">
        <f t="shared" si="884"/>
        <v>4.032</v>
      </c>
      <c r="ER312" s="173">
        <f t="shared" si="845"/>
        <v>4.2599999999999999E-2</v>
      </c>
      <c r="ES312" s="528"/>
      <c r="EU312" s="460">
        <f t="shared" si="885"/>
        <v>4074.6000000000004</v>
      </c>
      <c r="EV312" s="528">
        <f t="shared" si="886"/>
        <v>5.5189896170212763E-2</v>
      </c>
      <c r="EW312" s="528">
        <f t="shared" si="887"/>
        <v>1.6909244784065178</v>
      </c>
      <c r="EX312" s="528">
        <f t="shared" si="888"/>
        <v>1.023169879327976E-4</v>
      </c>
      <c r="EY312" s="528">
        <f t="shared" si="889"/>
        <v>1.6990899383038445</v>
      </c>
      <c r="EZ312" s="528"/>
      <c r="FA312" s="625">
        <f t="shared" si="890"/>
        <v>0.1032</v>
      </c>
      <c r="FB312" s="460">
        <f t="shared" si="891"/>
        <v>3548.5066298685083</v>
      </c>
      <c r="FC312" s="173">
        <f t="shared" si="892"/>
        <v>8.8988837159293244</v>
      </c>
      <c r="FD312" s="5">
        <f t="shared" si="893"/>
        <v>24.768000000000001</v>
      </c>
      <c r="FE312" s="173">
        <f t="shared" si="894"/>
        <v>0.73567842539228367</v>
      </c>
      <c r="FF312" s="5">
        <f t="shared" si="895"/>
        <v>73.567842539228366</v>
      </c>
      <c r="FG312">
        <f t="shared" si="896"/>
        <v>96</v>
      </c>
      <c r="FI312" s="562">
        <f t="shared" si="846"/>
        <v>-50</v>
      </c>
    </row>
    <row r="313" spans="5:169">
      <c r="E313" s="170">
        <v>97</v>
      </c>
      <c r="F313" s="217">
        <f>IF(PLOT_TYPE=1, E313/100*Iout_max, min_I*EXP(O313*rr/100))</f>
        <v>5.82</v>
      </c>
      <c r="G313" s="217">
        <f t="shared" si="775"/>
        <v>9.7000000000000003E-2</v>
      </c>
      <c r="H313" s="217">
        <f t="shared" si="776"/>
        <v>23.28</v>
      </c>
      <c r="I313" s="217">
        <f t="shared" si="777"/>
        <v>1.746</v>
      </c>
      <c r="J313" s="541">
        <f t="shared" si="778"/>
        <v>35.883947452135395</v>
      </c>
      <c r="K313" s="443">
        <f t="shared" si="779"/>
        <v>19.863120000000002</v>
      </c>
      <c r="L313" s="172">
        <f t="shared" si="780"/>
        <v>55.747067452135397</v>
      </c>
      <c r="M313" s="443"/>
      <c r="N313" s="217">
        <f t="shared" si="781"/>
        <v>0.35630789040256761</v>
      </c>
      <c r="O313" s="172">
        <f>N313*J313*Isw_max*0.5*Efficiency*Pout/(Pout+Pout2)</f>
        <v>39.645685630967293</v>
      </c>
      <c r="P313" s="172">
        <f t="shared" si="783"/>
        <v>3.1964334039967386</v>
      </c>
      <c r="Q313" s="217">
        <f t="shared" si="784"/>
        <v>9.9114214077418232</v>
      </c>
      <c r="R313" s="217">
        <f t="shared" si="785"/>
        <v>2.202538090609294</v>
      </c>
      <c r="S313" s="217">
        <f t="shared" si="786"/>
        <v>4</v>
      </c>
      <c r="T313" s="217">
        <f t="shared" si="787"/>
        <v>3.9146756457851013</v>
      </c>
      <c r="U313" s="217">
        <f t="shared" si="788"/>
        <v>1.3091120427060412</v>
      </c>
      <c r="V313" s="217">
        <f t="shared" si="789"/>
        <v>2.3649913885341882</v>
      </c>
      <c r="W313" s="197">
        <f t="shared" si="790"/>
        <v>350</v>
      </c>
      <c r="X313" s="443">
        <f t="shared" si="848"/>
        <v>258.12423900098781</v>
      </c>
      <c r="Z313" s="217">
        <f t="shared" si="791"/>
        <v>3.0442222895207025</v>
      </c>
      <c r="AA313" s="173">
        <f t="shared" si="792"/>
        <v>1.8391203131355207</v>
      </c>
      <c r="AB313" s="173">
        <f>0.5*AA313*Z313*Nps*W313/1000*(Pout/(Pout+Pout2))</f>
        <v>3.6456592886048487</v>
      </c>
      <c r="AC313" s="173"/>
      <c r="AD313" s="173">
        <f t="shared" si="794"/>
        <v>0.80551293049631678</v>
      </c>
      <c r="AE313" s="545">
        <f>MAX(10, F313/(0.5*AD313/1000000*Isw_min*Nps)/1000*Pout_total/Pout)</f>
        <v>2709.4537124999997</v>
      </c>
      <c r="AF313" s="528">
        <f t="shared" si="796"/>
        <v>0.75181206846322901</v>
      </c>
      <c r="AH313" s="173">
        <f t="shared" si="797"/>
        <v>3.4521215009241573</v>
      </c>
      <c r="AI313" s="173">
        <f>MAX(IF(F313&gt;AB313,T313,AH313),Isw_min)</f>
        <v>3.9146756457851013</v>
      </c>
      <c r="AJ313" s="173">
        <f>IF(F313&gt;AF313, (AI313-Isw_min)/1.08*0.8+1.2, AE313*0.2/350+1)</f>
        <v>3.1121054166309392</v>
      </c>
      <c r="AL313" s="545">
        <f t="shared" si="800"/>
        <v>5820</v>
      </c>
      <c r="AM313" s="460">
        <f t="shared" si="801"/>
        <v>258.12423900098781</v>
      </c>
      <c r="AO313">
        <f t="shared" si="802"/>
        <v>5820</v>
      </c>
      <c r="AP313">
        <f t="shared" si="803"/>
        <v>258.12423900098781</v>
      </c>
      <c r="AR313" s="5">
        <f t="shared" si="774"/>
        <v>3.8741034312402296</v>
      </c>
      <c r="AS313" s="5">
        <f t="shared" si="897"/>
        <v>1.3091120427060412</v>
      </c>
      <c r="AT313" s="5">
        <f t="shared" si="898"/>
        <v>2.5649913885341884</v>
      </c>
      <c r="AU313" s="173">
        <f t="shared" si="899"/>
        <v>0.33791354979052557</v>
      </c>
      <c r="BA313" s="173">
        <f t="shared" si="849"/>
        <v>1.3138263262815779</v>
      </c>
      <c r="BB313" s="173">
        <f t="shared" si="850"/>
        <v>7.3561825479656155</v>
      </c>
      <c r="BC313" s="173">
        <f t="shared" si="851"/>
        <v>0.14016509990042592</v>
      </c>
      <c r="BD313" s="173"/>
      <c r="BE313" s="528">
        <f t="shared" si="852"/>
        <v>2.1058903310692677E-2</v>
      </c>
      <c r="BF313" s="528">
        <f t="shared" si="804"/>
        <v>1.0562041538389753</v>
      </c>
      <c r="BG313" s="528">
        <f t="shared" si="805"/>
        <v>0.23156291571084708</v>
      </c>
      <c r="BH313" s="528">
        <f t="shared" si="853"/>
        <v>8.0218186857185791E-2</v>
      </c>
      <c r="BI313">
        <f t="shared" si="854"/>
        <v>1.6147776353460926E-2</v>
      </c>
      <c r="BJ313" s="460">
        <f t="shared" si="855"/>
        <v>247.71069206430801</v>
      </c>
      <c r="BK313">
        <f t="shared" si="806"/>
        <v>1.1690164331794417</v>
      </c>
      <c r="BL313" s="460">
        <f t="shared" si="856"/>
        <v>1405.1919360711618</v>
      </c>
      <c r="BM313" s="173">
        <f t="shared" si="807"/>
        <v>3.6156749999999995</v>
      </c>
      <c r="BN313" s="173">
        <f t="shared" si="808"/>
        <v>4.3043749999999999E-2</v>
      </c>
      <c r="BQ313" s="460">
        <f t="shared" si="857"/>
        <v>3658.7187499999995</v>
      </c>
      <c r="BR313" s="528">
        <f t="shared" si="858"/>
        <v>5.1784188468916414E-2</v>
      </c>
      <c r="BS313" s="528">
        <f t="shared" si="859"/>
        <v>1.6234026503698167</v>
      </c>
      <c r="BT313" s="528">
        <f t="shared" si="860"/>
        <v>9.8231276150481892E-5</v>
      </c>
      <c r="BU313" s="528">
        <f t="shared" si="861"/>
        <v>1.62286141966718</v>
      </c>
      <c r="BV313" s="528"/>
      <c r="BW313" s="625">
        <f t="shared" si="862"/>
        <v>9.8891818995634415E-2</v>
      </c>
      <c r="BX313" s="460">
        <f t="shared" si="863"/>
        <v>3397.0383087776981</v>
      </c>
      <c r="BY313" s="173">
        <f t="shared" si="864"/>
        <v>8.4609489948488594</v>
      </c>
      <c r="BZ313" s="5">
        <f t="shared" si="865"/>
        <v>25.026</v>
      </c>
      <c r="CA313" s="173">
        <f t="shared" si="866"/>
        <v>0.74733592492554735</v>
      </c>
      <c r="CB313" s="5">
        <f t="shared" si="867"/>
        <v>74.733592492554735</v>
      </c>
      <c r="CC313">
        <f t="shared" si="868"/>
        <v>97.000000000000014</v>
      </c>
      <c r="CE313" s="562">
        <f t="shared" si="809"/>
        <v>-50</v>
      </c>
      <c r="CG313" s="173">
        <f t="shared" si="810"/>
        <v>0.65693430656934315</v>
      </c>
      <c r="CH313" s="173">
        <f t="shared" si="811"/>
        <v>0.17833950839807344</v>
      </c>
      <c r="CI313" s="170">
        <v>97</v>
      </c>
      <c r="CJ313" s="217">
        <f t="shared" si="869"/>
        <v>5.82</v>
      </c>
      <c r="CK313" s="217">
        <f t="shared" si="812"/>
        <v>9.7000000000000003E-2</v>
      </c>
      <c r="CL313" s="217">
        <f t="shared" si="813"/>
        <v>23.28</v>
      </c>
      <c r="CM313" s="217">
        <f t="shared" si="814"/>
        <v>1.746</v>
      </c>
      <c r="CN313" s="541">
        <f t="shared" si="815"/>
        <v>36</v>
      </c>
      <c r="CO313" s="443">
        <f t="shared" si="816"/>
        <v>18.8</v>
      </c>
      <c r="CP313" s="443">
        <f t="shared" si="817"/>
        <v>54.8</v>
      </c>
      <c r="CQ313" s="443"/>
      <c r="CR313" s="217">
        <f t="shared" si="818"/>
        <v>0.34306569343065696</v>
      </c>
      <c r="CS313" s="172">
        <f t="shared" si="819"/>
        <v>38.295705313189622</v>
      </c>
      <c r="CT313" s="172">
        <f t="shared" si="820"/>
        <v>3.0875912408759132</v>
      </c>
      <c r="CU313" s="217">
        <f t="shared" si="821"/>
        <v>9.5739263282974054</v>
      </c>
      <c r="CV313" s="217">
        <f t="shared" si="822"/>
        <v>2.12753918406609</v>
      </c>
      <c r="CW313" s="217">
        <f t="shared" si="823"/>
        <v>4</v>
      </c>
      <c r="CX313" s="217">
        <f t="shared" si="824"/>
        <v>4.0526737588652475</v>
      </c>
      <c r="CY313" s="217">
        <f t="shared" si="825"/>
        <v>1.3508912529550825</v>
      </c>
      <c r="CZ313" s="217">
        <f t="shared" si="826"/>
        <v>2.5868130375735623</v>
      </c>
      <c r="DA313" s="197">
        <f t="shared" si="827"/>
        <v>350</v>
      </c>
      <c r="DB313" s="443">
        <f t="shared" si="828"/>
        <v>253.9550779385082</v>
      </c>
      <c r="DD313" s="217">
        <f t="shared" si="829"/>
        <v>2.940563086548488</v>
      </c>
      <c r="DE313" s="173">
        <f t="shared" si="830"/>
        <v>1.8769551616266944</v>
      </c>
      <c r="DF313" s="173">
        <f t="shared" si="831"/>
        <v>3.5939660877863036</v>
      </c>
      <c r="DG313" s="173"/>
      <c r="DH313" s="173">
        <f t="shared" si="832"/>
        <v>0.85106382978723416</v>
      </c>
      <c r="DI313" s="545">
        <f t="shared" si="833"/>
        <v>2564.4374999999995</v>
      </c>
      <c r="DJ313" s="528">
        <f t="shared" si="834"/>
        <v>0.79432624113475192</v>
      </c>
      <c r="DL313" s="173">
        <f t="shared" si="835"/>
        <v>3.4521215009241573</v>
      </c>
      <c r="DM313" s="173">
        <f t="shared" si="836"/>
        <v>4.0526737588652475</v>
      </c>
      <c r="DN313" s="173">
        <f t="shared" si="837"/>
        <v>3.2143262411347511</v>
      </c>
      <c r="DP313" s="545">
        <f t="shared" si="838"/>
        <v>5820</v>
      </c>
      <c r="DQ313" s="460">
        <f t="shared" si="839"/>
        <v>253.9550779385082</v>
      </c>
      <c r="DS313">
        <f t="shared" si="840"/>
        <v>5820</v>
      </c>
      <c r="DT313">
        <f t="shared" si="841"/>
        <v>253.9550779385082</v>
      </c>
      <c r="DV313" s="5">
        <f t="shared" si="870"/>
        <v>3.9377042905286448</v>
      </c>
      <c r="DW313" s="5">
        <f t="shared" si="842"/>
        <v>1.3508912529550825</v>
      </c>
      <c r="DX313" s="5">
        <f t="shared" si="843"/>
        <v>2.5868130375735623</v>
      </c>
      <c r="DY313" s="173">
        <f t="shared" si="844"/>
        <v>0.3430656934306569</v>
      </c>
      <c r="EA313" s="5">
        <f t="shared" si="871"/>
        <v>196.55467730496451</v>
      </c>
      <c r="EB313" s="5">
        <f t="shared" si="872"/>
        <v>0.72798028631468337</v>
      </c>
      <c r="EC313" s="5">
        <f t="shared" si="873"/>
        <v>1.3940048035813084</v>
      </c>
      <c r="ED313" s="5"/>
      <c r="EE313" s="173">
        <f t="shared" si="874"/>
        <v>1.3704704078132743</v>
      </c>
      <c r="EF313" s="173">
        <f t="shared" si="875"/>
        <v>7.5858103253269142</v>
      </c>
      <c r="EG313" s="173">
        <f t="shared" si="876"/>
        <v>0.1445404399825804</v>
      </c>
      <c r="EH313" s="173"/>
      <c r="EI313" s="528">
        <f t="shared" si="877"/>
        <v>2.2913907492040964E-2</v>
      </c>
      <c r="EJ313" s="528">
        <f t="shared" si="878"/>
        <v>1.1280000000000001</v>
      </c>
      <c r="EK313" s="528">
        <f t="shared" si="879"/>
        <v>3.1744384742313524E-2</v>
      </c>
      <c r="EL313" s="528">
        <f t="shared" si="880"/>
        <v>7.6263725725245757E-2</v>
      </c>
      <c r="EM313">
        <f t="shared" si="881"/>
        <v>1.6199999999999999E-2</v>
      </c>
      <c r="EN313" s="460">
        <f t="shared" si="882"/>
        <v>47.944384742313524</v>
      </c>
      <c r="EP313" s="460">
        <f t="shared" si="883"/>
        <v>1275.1220179596005</v>
      </c>
      <c r="EQ313" s="173">
        <f t="shared" si="884"/>
        <v>4.0739999999999998</v>
      </c>
      <c r="ER313" s="173">
        <f t="shared" si="845"/>
        <v>4.3043749999999999E-2</v>
      </c>
      <c r="ES313" s="528"/>
      <c r="EU313" s="460">
        <f t="shared" si="885"/>
        <v>4117.0437499999998</v>
      </c>
      <c r="EV313" s="528">
        <f t="shared" si="886"/>
        <v>5.6345674160756476E-2</v>
      </c>
      <c r="EW313" s="528">
        <f t="shared" si="887"/>
        <v>1.7263355487550927</v>
      </c>
      <c r="EX313" s="528">
        <f t="shared" si="888"/>
        <v>1.0445969395178964E-4</v>
      </c>
      <c r="EY313" s="528">
        <f t="shared" si="889"/>
        <v>1.6990899383038438</v>
      </c>
      <c r="EZ313" s="528"/>
      <c r="FA313" s="625">
        <f t="shared" si="890"/>
        <v>0.10427499999999999</v>
      </c>
      <c r="FB313" s="460">
        <f t="shared" si="891"/>
        <v>3586.1506209136446</v>
      </c>
      <c r="FC313" s="173">
        <f t="shared" si="892"/>
        <v>8.9783163888732442</v>
      </c>
      <c r="FD313" s="5">
        <f t="shared" si="893"/>
        <v>25.026</v>
      </c>
      <c r="FE313" s="173">
        <f t="shared" si="894"/>
        <v>0.7359653907992959</v>
      </c>
      <c r="FF313" s="5">
        <f t="shared" si="895"/>
        <v>73.596539079929585</v>
      </c>
      <c r="FG313">
        <f t="shared" si="896"/>
        <v>97.000000000000014</v>
      </c>
      <c r="FI313" s="562">
        <f t="shared" si="846"/>
        <v>-50</v>
      </c>
    </row>
    <row r="314" spans="5:169">
      <c r="E314" s="170">
        <v>98</v>
      </c>
      <c r="F314" s="217">
        <f>IF(PLOT_TYPE=1, E314/100*Iout_max, min_I*EXP(O314*rr/100))</f>
        <v>5.88</v>
      </c>
      <c r="G314" s="217">
        <f t="shared" si="775"/>
        <v>9.8000000000000004E-2</v>
      </c>
      <c r="H314" s="217">
        <f t="shared" si="776"/>
        <v>23.52</v>
      </c>
      <c r="I314" s="217">
        <f t="shared" si="777"/>
        <v>1.764</v>
      </c>
      <c r="J314" s="541">
        <f t="shared" si="778"/>
        <v>35.882751034116168</v>
      </c>
      <c r="K314" s="443">
        <f t="shared" si="779"/>
        <v>19.874079999999999</v>
      </c>
      <c r="L314" s="172">
        <f t="shared" si="780"/>
        <v>55.756831034116168</v>
      </c>
      <c r="M314" s="443"/>
      <c r="N314" s="217">
        <f t="shared" si="781"/>
        <v>0.35644206514964172</v>
      </c>
      <c r="O314" s="172">
        <f>N314*J314*Isw_max*0.5*Efficiency*Pout/(Pout+Pout2)</f>
        <v>39.659292656901734</v>
      </c>
      <c r="P314" s="172">
        <f t="shared" si="783"/>
        <v>3.1975304704627021</v>
      </c>
      <c r="Q314" s="217">
        <f t="shared" si="784"/>
        <v>9.9148231642254334</v>
      </c>
      <c r="R314" s="217">
        <f t="shared" si="785"/>
        <v>2.2032940364945408</v>
      </c>
      <c r="S314" s="217">
        <f t="shared" si="786"/>
        <v>4</v>
      </c>
      <c r="T314" s="217">
        <f t="shared" si="787"/>
        <v>3.9536761625200794</v>
      </c>
      <c r="U314" s="217">
        <f t="shared" si="788"/>
        <v>1.3221983427394577</v>
      </c>
      <c r="V314" s="217">
        <f t="shared" si="789"/>
        <v>2.3872357336913685</v>
      </c>
      <c r="W314" s="197">
        <f t="shared" si="790"/>
        <v>350</v>
      </c>
      <c r="X314" s="443">
        <f t="shared" si="848"/>
        <v>255.79149832166098</v>
      </c>
      <c r="Z314" s="217">
        <f t="shared" si="791"/>
        <v>3.0452671147263826</v>
      </c>
      <c r="AA314" s="173">
        <f t="shared" si="792"/>
        <v>1.8387369567153091</v>
      </c>
      <c r="AB314" s="173">
        <f>0.5*AA314*Z314*Nps*W314/1000*(Pout/(Pout+Pout2))</f>
        <v>3.646150354271664</v>
      </c>
      <c r="AC314" s="173"/>
      <c r="AD314" s="173">
        <f t="shared" si="794"/>
        <v>0.80506871261462187</v>
      </c>
      <c r="AE314" s="545">
        <f>MAX(10, F314/(0.5*AD314/1000000*Isw_min*Nps)/1000*Pout_total/Pout)</f>
        <v>2738.8966499999983</v>
      </c>
      <c r="AF314" s="528">
        <f t="shared" si="796"/>
        <v>0.75139746510698058</v>
      </c>
      <c r="AH314" s="173">
        <f t="shared" si="797"/>
        <v>3.4698703145794942</v>
      </c>
      <c r="AI314" s="173">
        <f>MAX(IF(F314&gt;AB314,T314,AH314),Isw_min)</f>
        <v>3.9536761625200794</v>
      </c>
      <c r="AJ314" s="173">
        <f>IF(F314&gt;AF314, (AI314-Isw_min)/1.08*0.8+1.2, AE314*0.2/350+1)</f>
        <v>3.1409946882864785</v>
      </c>
      <c r="AL314" s="545">
        <f t="shared" si="800"/>
        <v>5880</v>
      </c>
      <c r="AM314" s="460">
        <f t="shared" si="801"/>
        <v>255.79149832166098</v>
      </c>
      <c r="AO314">
        <f t="shared" si="802"/>
        <v>5880</v>
      </c>
      <c r="AP314">
        <f t="shared" si="803"/>
        <v>255.79149832166098</v>
      </c>
      <c r="AR314" s="5">
        <f t="shared" si="774"/>
        <v>3.9094340764308266</v>
      </c>
      <c r="AS314" s="5">
        <f t="shared" si="897"/>
        <v>1.3221983427394577</v>
      </c>
      <c r="AT314" s="5">
        <f t="shared" si="898"/>
        <v>2.5872357336913687</v>
      </c>
      <c r="AU314" s="173">
        <f t="shared" si="899"/>
        <v>0.33820709516774289</v>
      </c>
      <c r="BA314" s="173">
        <f t="shared" si="849"/>
        <v>1.3274917296034527</v>
      </c>
      <c r="BB314" s="173">
        <f t="shared" si="850"/>
        <v>7.4278224073484864</v>
      </c>
      <c r="BC314" s="173">
        <f t="shared" si="851"/>
        <v>0.14153012965353198</v>
      </c>
      <c r="BD314" s="173"/>
      <c r="BE314" s="528">
        <f t="shared" si="852"/>
        <v>2.1499258364419908E-2</v>
      </c>
      <c r="BF314" s="528">
        <f t="shared" si="804"/>
        <v>1.0572715710612333</v>
      </c>
      <c r="BG314" s="528">
        <f t="shared" si="805"/>
        <v>0.22946256627299261</v>
      </c>
      <c r="BH314" s="528">
        <f t="shared" si="853"/>
        <v>7.9521080191873331E-2</v>
      </c>
      <c r="BI314">
        <f t="shared" si="854"/>
        <v>1.6147237965352276E-2</v>
      </c>
      <c r="BJ314" s="460">
        <f t="shared" si="855"/>
        <v>245.60980423834488</v>
      </c>
      <c r="BK314">
        <f t="shared" si="806"/>
        <v>1.1700737077227041</v>
      </c>
      <c r="BL314" s="460">
        <f t="shared" si="856"/>
        <v>1403.9017138558713</v>
      </c>
      <c r="BM314" s="173">
        <f t="shared" si="807"/>
        <v>3.6529499999999997</v>
      </c>
      <c r="BN314" s="173">
        <f t="shared" si="808"/>
        <v>4.3487499999999998E-2</v>
      </c>
      <c r="BQ314" s="460">
        <f t="shared" si="857"/>
        <v>3696.4374999999995</v>
      </c>
      <c r="BR314" s="528">
        <f t="shared" si="858"/>
        <v>5.2867028764966996E-2</v>
      </c>
      <c r="BS314" s="528">
        <f t="shared" si="859"/>
        <v>1.6551763714532479</v>
      </c>
      <c r="BT314" s="528">
        <f t="shared" si="860"/>
        <v>1.0015388799872787E-4</v>
      </c>
      <c r="BU314" s="528">
        <f t="shared" si="861"/>
        <v>1.6262526026570199</v>
      </c>
      <c r="BV314" s="528"/>
      <c r="BW314" s="625">
        <f t="shared" si="862"/>
        <v>9.9960473130362604E-2</v>
      </c>
      <c r="BX314" s="460">
        <f t="shared" si="863"/>
        <v>3434.3566298935962</v>
      </c>
      <c r="BY314" s="173">
        <f t="shared" si="864"/>
        <v>8.5346958437494678</v>
      </c>
      <c r="BZ314" s="5">
        <f t="shared" si="865"/>
        <v>25.283999999999999</v>
      </c>
      <c r="CA314" s="173">
        <f t="shared" si="866"/>
        <v>0.74763379749527237</v>
      </c>
      <c r="CB314" s="5">
        <f t="shared" si="867"/>
        <v>74.763379749527232</v>
      </c>
      <c r="CC314">
        <f t="shared" si="868"/>
        <v>98</v>
      </c>
      <c r="CE314" s="562">
        <f t="shared" si="809"/>
        <v>-50</v>
      </c>
      <c r="CG314" s="173">
        <f t="shared" si="810"/>
        <v>0.65693430656934304</v>
      </c>
      <c r="CH314" s="173">
        <f t="shared" si="811"/>
        <v>0.17833950839807347</v>
      </c>
      <c r="CI314" s="170">
        <v>98</v>
      </c>
      <c r="CJ314" s="217">
        <f t="shared" si="869"/>
        <v>5.88</v>
      </c>
      <c r="CK314" s="217">
        <f t="shared" si="812"/>
        <v>9.8000000000000004E-2</v>
      </c>
      <c r="CL314" s="217">
        <f t="shared" si="813"/>
        <v>23.52</v>
      </c>
      <c r="CM314" s="217">
        <f t="shared" si="814"/>
        <v>1.764</v>
      </c>
      <c r="CN314" s="541">
        <f t="shared" si="815"/>
        <v>36</v>
      </c>
      <c r="CO314" s="443">
        <f t="shared" si="816"/>
        <v>18.8</v>
      </c>
      <c r="CP314" s="443">
        <f t="shared" si="817"/>
        <v>54.8</v>
      </c>
      <c r="CQ314" s="443"/>
      <c r="CR314" s="217">
        <f t="shared" si="818"/>
        <v>0.34306569343065696</v>
      </c>
      <c r="CS314" s="172">
        <f t="shared" si="819"/>
        <v>38.295705313189622</v>
      </c>
      <c r="CT314" s="172">
        <f t="shared" si="820"/>
        <v>3.0875912408759132</v>
      </c>
      <c r="CU314" s="217">
        <f t="shared" si="821"/>
        <v>9.5739263282974054</v>
      </c>
      <c r="CV314" s="217">
        <f t="shared" si="822"/>
        <v>2.12753918406609</v>
      </c>
      <c r="CW314" s="217">
        <f t="shared" si="823"/>
        <v>4</v>
      </c>
      <c r="CX314" s="217">
        <f t="shared" si="824"/>
        <v>4.0944539007092189</v>
      </c>
      <c r="CY314" s="217">
        <f t="shared" si="825"/>
        <v>1.3648179669030729</v>
      </c>
      <c r="CZ314" s="217">
        <f t="shared" si="826"/>
        <v>2.61348121321865</v>
      </c>
      <c r="DA314" s="197">
        <f t="shared" si="827"/>
        <v>350</v>
      </c>
      <c r="DB314" s="443">
        <f t="shared" si="828"/>
        <v>251.36369959219689</v>
      </c>
      <c r="DD314" s="217">
        <f t="shared" si="829"/>
        <v>2.940563086548488</v>
      </c>
      <c r="DE314" s="173">
        <f t="shared" si="830"/>
        <v>1.8769551616266944</v>
      </c>
      <c r="DF314" s="173">
        <f t="shared" si="831"/>
        <v>3.5939660877863036</v>
      </c>
      <c r="DG314" s="173"/>
      <c r="DH314" s="173">
        <f t="shared" si="832"/>
        <v>0.85106382978723416</v>
      </c>
      <c r="DI314" s="545">
        <f t="shared" si="833"/>
        <v>2590.8749999999995</v>
      </c>
      <c r="DJ314" s="528">
        <f t="shared" si="834"/>
        <v>0.79432624113475192</v>
      </c>
      <c r="DL314" s="173">
        <f t="shared" si="835"/>
        <v>3.4698703145794942</v>
      </c>
      <c r="DM314" s="173">
        <f t="shared" si="836"/>
        <v>4.0944539007092189</v>
      </c>
      <c r="DN314" s="173">
        <f t="shared" si="837"/>
        <v>3.2452744943525076</v>
      </c>
      <c r="DP314" s="545">
        <f t="shared" si="838"/>
        <v>5880</v>
      </c>
      <c r="DQ314" s="460">
        <f t="shared" si="839"/>
        <v>251.36369959219689</v>
      </c>
      <c r="DS314">
        <f t="shared" si="840"/>
        <v>5880</v>
      </c>
      <c r="DT314">
        <f t="shared" si="841"/>
        <v>251.36369959219689</v>
      </c>
      <c r="DV314" s="5">
        <f t="shared" si="870"/>
        <v>3.9782991801217231</v>
      </c>
      <c r="DW314" s="5">
        <f t="shared" si="842"/>
        <v>1.3648179669030729</v>
      </c>
      <c r="DX314" s="5">
        <f t="shared" si="843"/>
        <v>2.61348121321865</v>
      </c>
      <c r="DY314" s="173">
        <f t="shared" si="844"/>
        <v>0.34306569343065696</v>
      </c>
      <c r="EA314" s="5">
        <f t="shared" si="871"/>
        <v>200.6282411347517</v>
      </c>
      <c r="EB314" s="5">
        <f t="shared" si="872"/>
        <v>0.74306755975833971</v>
      </c>
      <c r="EC314" s="5">
        <f t="shared" si="873"/>
        <v>1.4228953271968203</v>
      </c>
      <c r="ED314" s="5"/>
      <c r="EE314" s="173">
        <f t="shared" si="874"/>
        <v>1.3845989687185658</v>
      </c>
      <c r="EF314" s="173">
        <f t="shared" si="875"/>
        <v>7.6640145554849219</v>
      </c>
      <c r="EG314" s="173">
        <f t="shared" si="876"/>
        <v>0.14603054761126674</v>
      </c>
      <c r="EH314" s="173"/>
      <c r="EI314" s="528">
        <f t="shared" si="877"/>
        <v>2.3388794510953492E-2</v>
      </c>
      <c r="EJ314" s="528">
        <f t="shared" si="878"/>
        <v>1.1280000000000001</v>
      </c>
      <c r="EK314" s="528">
        <f t="shared" si="879"/>
        <v>3.1420462449024612E-2</v>
      </c>
      <c r="EL314" s="528">
        <f t="shared" si="880"/>
        <v>7.5485524442335084E-2</v>
      </c>
      <c r="EM314">
        <f t="shared" si="881"/>
        <v>1.6199999999999999E-2</v>
      </c>
      <c r="EN314" s="460">
        <f t="shared" si="882"/>
        <v>47.620462449024615</v>
      </c>
      <c r="EP314" s="460">
        <f t="shared" si="883"/>
        <v>1274.4947814023133</v>
      </c>
      <c r="EQ314" s="173">
        <f t="shared" si="884"/>
        <v>4.1159999999999997</v>
      </c>
      <c r="ER314" s="173">
        <f t="shared" si="845"/>
        <v>4.3487499999999998E-2</v>
      </c>
      <c r="ES314" s="528"/>
      <c r="EU314" s="460">
        <f t="shared" si="885"/>
        <v>4159.4875000000002</v>
      </c>
      <c r="EV314" s="528">
        <f t="shared" si="886"/>
        <v>5.7513429125295473E-2</v>
      </c>
      <c r="EW314" s="528">
        <f t="shared" si="887"/>
        <v>1.7621135732005422</v>
      </c>
      <c r="EX314" s="528">
        <f t="shared" si="888"/>
        <v>1.0662460417823221E-4</v>
      </c>
      <c r="EY314" s="528">
        <f t="shared" si="889"/>
        <v>1.699089938303846</v>
      </c>
      <c r="EZ314" s="528"/>
      <c r="FA314" s="625">
        <f t="shared" si="890"/>
        <v>0.10534999999999999</v>
      </c>
      <c r="FB314" s="460">
        <f t="shared" si="891"/>
        <v>3624.1735652338616</v>
      </c>
      <c r="FC314" s="173">
        <f t="shared" si="892"/>
        <v>9.0581558466361738</v>
      </c>
      <c r="FD314" s="5">
        <f t="shared" si="893"/>
        <v>25.283999999999999</v>
      </c>
      <c r="FE314" s="173">
        <f t="shared" si="894"/>
        <v>0.73623799603357098</v>
      </c>
      <c r="FF314" s="5">
        <f t="shared" si="895"/>
        <v>73.623799603357099</v>
      </c>
      <c r="FG314">
        <f t="shared" si="896"/>
        <v>98</v>
      </c>
      <c r="FI314" s="562">
        <f t="shared" si="846"/>
        <v>-50</v>
      </c>
    </row>
    <row r="315" spans="5:169">
      <c r="E315" s="170">
        <v>99</v>
      </c>
      <c r="F315" s="217">
        <f>IF(PLOT_TYPE=1, E315/100*Iout_max, min_I*EXP(O315*rr/100))</f>
        <v>5.9399999999999995</v>
      </c>
      <c r="G315" s="217">
        <f t="shared" si="775"/>
        <v>9.9000000000000005E-2</v>
      </c>
      <c r="H315" s="217">
        <f t="shared" si="776"/>
        <v>23.759999999999998</v>
      </c>
      <c r="I315" s="217">
        <f t="shared" si="777"/>
        <v>1.782</v>
      </c>
      <c r="J315" s="541">
        <f t="shared" si="778"/>
        <v>35.881554616096949</v>
      </c>
      <c r="K315" s="443">
        <f t="shared" si="779"/>
        <v>19.88504</v>
      </c>
      <c r="L315" s="172">
        <f t="shared" si="780"/>
        <v>55.766594616096953</v>
      </c>
      <c r="M315" s="443"/>
      <c r="N315" s="217">
        <f t="shared" si="781"/>
        <v>0.35657619291424708</v>
      </c>
      <c r="O315" s="172">
        <f>N315*J315*Isw_max*0.5*Efficiency*Pout/(Pout+Pout2)</f>
        <v>39.672893460007685</v>
      </c>
      <c r="P315" s="172">
        <f t="shared" si="783"/>
        <v>3.1986270352131196</v>
      </c>
      <c r="Q315" s="217">
        <f t="shared" si="784"/>
        <v>9.9182233650019214</v>
      </c>
      <c r="R315" s="217">
        <f t="shared" si="785"/>
        <v>2.2040496366670936</v>
      </c>
      <c r="S315" s="217">
        <f t="shared" si="786"/>
        <v>4</v>
      </c>
      <c r="T315" s="217">
        <f t="shared" si="787"/>
        <v>3.9926505526922389</v>
      </c>
      <c r="U315" s="217">
        <f t="shared" si="788"/>
        <v>1.3352767778576959</v>
      </c>
      <c r="V315" s="217">
        <f t="shared" si="789"/>
        <v>2.4094397915370989</v>
      </c>
      <c r="W315" s="197">
        <f t="shared" si="790"/>
        <v>350</v>
      </c>
      <c r="X315" s="443">
        <f t="shared" si="848"/>
        <v>253.50363769060897</v>
      </c>
      <c r="Z315" s="217">
        <f t="shared" si="791"/>
        <v>3.0463114621077332</v>
      </c>
      <c r="AA315" s="173">
        <f t="shared" si="792"/>
        <v>1.8383537345307226</v>
      </c>
      <c r="AB315" s="173">
        <f>0.5*AA315*Z315*Nps*W315/1000*(Pout/(Pout+Pout2))</f>
        <v>3.6466405925922305</v>
      </c>
      <c r="AC315" s="173"/>
      <c r="AD315" s="173">
        <f t="shared" si="794"/>
        <v>0.8046249844103911</v>
      </c>
      <c r="AE315" s="545">
        <f>MAX(10, F315/(0.5*AD315/1000000*Isw_min*Nps)/1000*Pout_total/Pout)</f>
        <v>2768.370412499999</v>
      </c>
      <c r="AF315" s="528">
        <f t="shared" si="796"/>
        <v>0.75098331878303171</v>
      </c>
      <c r="AH315" s="173">
        <f t="shared" si="797"/>
        <v>3.4875288017243875</v>
      </c>
      <c r="AI315" s="173">
        <f>MAX(IF(F315&gt;AB315,T315,AH315),Isw_min)</f>
        <v>3.9926505526922389</v>
      </c>
      <c r="AJ315" s="173">
        <f>IF(F315&gt;AF315, (AI315-Isw_min)/1.08*0.8+1.2, AE315*0.2/350+1)</f>
        <v>3.1698646069325225</v>
      </c>
      <c r="AL315" s="545">
        <f t="shared" si="800"/>
        <v>5939.9999999999991</v>
      </c>
      <c r="AM315" s="460">
        <f t="shared" si="801"/>
        <v>253.50363769060897</v>
      </c>
      <c r="AO315">
        <f t="shared" si="802"/>
        <v>5939.9999999999991</v>
      </c>
      <c r="AP315">
        <f t="shared" si="803"/>
        <v>253.50363769060897</v>
      </c>
      <c r="AR315" s="5">
        <f t="shared" si="774"/>
        <v>3.9447165693947945</v>
      </c>
      <c r="AS315" s="5">
        <f t="shared" si="897"/>
        <v>1.3352767778576959</v>
      </c>
      <c r="AT315" s="5">
        <f t="shared" si="898"/>
        <v>2.6094397915370986</v>
      </c>
      <c r="AU315" s="173">
        <f t="shared" si="899"/>
        <v>0.33849752051072113</v>
      </c>
      <c r="BA315" s="173">
        <f t="shared" si="849"/>
        <v>1.3411532915588462</v>
      </c>
      <c r="BB315" s="173">
        <f t="shared" si="850"/>
        <v>7.4993980137203931</v>
      </c>
      <c r="BC315" s="173">
        <f t="shared" si="851"/>
        <v>0.14289393512629397</v>
      </c>
      <c r="BD315" s="173"/>
      <c r="BE315" s="528">
        <f t="shared" si="852"/>
        <v>2.1944044247801355E-2</v>
      </c>
      <c r="BF315" s="528">
        <f t="shared" si="804"/>
        <v>1.0583294811812862</v>
      </c>
      <c r="BG315" s="528">
        <f t="shared" si="805"/>
        <v>0.22740261552937097</v>
      </c>
      <c r="BH315" s="528">
        <f t="shared" si="853"/>
        <v>7.8837427743337768E-2</v>
      </c>
      <c r="BI315">
        <f t="shared" si="854"/>
        <v>1.6146699577243625E-2</v>
      </c>
      <c r="BJ315" s="460">
        <f t="shared" si="855"/>
        <v>243.54931510661459</v>
      </c>
      <c r="BK315">
        <f t="shared" si="806"/>
        <v>1.1711420685044531</v>
      </c>
      <c r="BL315" s="460">
        <f t="shared" si="856"/>
        <v>1402.6602682790399</v>
      </c>
      <c r="BM315" s="173">
        <f t="shared" si="807"/>
        <v>3.6902249999999994</v>
      </c>
      <c r="BN315" s="173">
        <f t="shared" si="808"/>
        <v>4.3931249999999998E-2</v>
      </c>
      <c r="BQ315" s="460">
        <f t="shared" si="857"/>
        <v>3734.1562499999995</v>
      </c>
      <c r="BR315" s="528">
        <f t="shared" si="858"/>
        <v>5.3960764543773826E-2</v>
      </c>
      <c r="BS315" s="528">
        <f t="shared" si="859"/>
        <v>1.6872291170458011</v>
      </c>
      <c r="BT315" s="528">
        <f t="shared" si="860"/>
        <v>1.0209338347938757E-4</v>
      </c>
      <c r="BU315" s="528">
        <f t="shared" si="861"/>
        <v>1.6296102464941991</v>
      </c>
      <c r="BV315" s="528"/>
      <c r="BW315" s="625">
        <f t="shared" si="862"/>
        <v>0.10102917507175541</v>
      </c>
      <c r="BX315" s="460">
        <f t="shared" si="863"/>
        <v>3471.9313965390088</v>
      </c>
      <c r="BY315" s="173">
        <f t="shared" si="864"/>
        <v>8.6087479148180481</v>
      </c>
      <c r="BZ315" s="5">
        <f t="shared" si="865"/>
        <v>25.541999999999998</v>
      </c>
      <c r="CA315" s="173">
        <f t="shared" si="866"/>
        <v>0.74791919824740638</v>
      </c>
      <c r="CB315" s="5">
        <f t="shared" si="867"/>
        <v>74.791919824740631</v>
      </c>
      <c r="CC315">
        <f t="shared" si="868"/>
        <v>98.999999999999986</v>
      </c>
      <c r="CE315" s="562">
        <f t="shared" si="809"/>
        <v>-50</v>
      </c>
      <c r="CG315" s="173">
        <f t="shared" si="810"/>
        <v>0.65693430656934304</v>
      </c>
      <c r="CH315" s="173">
        <f t="shared" si="811"/>
        <v>0.17833950839807344</v>
      </c>
      <c r="CI315" s="170">
        <v>99</v>
      </c>
      <c r="CJ315" s="217">
        <f t="shared" si="869"/>
        <v>5.9399999999999995</v>
      </c>
      <c r="CK315" s="217">
        <f t="shared" si="812"/>
        <v>9.9000000000000005E-2</v>
      </c>
      <c r="CL315" s="217">
        <f t="shared" si="813"/>
        <v>23.759999999999998</v>
      </c>
      <c r="CM315" s="217">
        <f t="shared" si="814"/>
        <v>1.782</v>
      </c>
      <c r="CN315" s="541">
        <f t="shared" si="815"/>
        <v>36</v>
      </c>
      <c r="CO315" s="443">
        <f t="shared" si="816"/>
        <v>18.8</v>
      </c>
      <c r="CP315" s="443">
        <f t="shared" si="817"/>
        <v>54.8</v>
      </c>
      <c r="CQ315" s="443"/>
      <c r="CR315" s="217">
        <f t="shared" si="818"/>
        <v>0.34306569343065696</v>
      </c>
      <c r="CS315" s="172">
        <f t="shared" si="819"/>
        <v>38.295705313189622</v>
      </c>
      <c r="CT315" s="172">
        <f t="shared" si="820"/>
        <v>3.0875912408759132</v>
      </c>
      <c r="CU315" s="217">
        <f t="shared" si="821"/>
        <v>9.5739263282974054</v>
      </c>
      <c r="CV315" s="217">
        <f t="shared" si="822"/>
        <v>2.12753918406609</v>
      </c>
      <c r="CW315" s="217">
        <f t="shared" si="823"/>
        <v>4</v>
      </c>
      <c r="CX315" s="217">
        <f t="shared" si="824"/>
        <v>4.1362340425531912</v>
      </c>
      <c r="CY315" s="217">
        <f t="shared" si="825"/>
        <v>1.3787446808510637</v>
      </c>
      <c r="CZ315" s="217">
        <f t="shared" si="826"/>
        <v>2.6401493888637391</v>
      </c>
      <c r="DA315" s="197">
        <f t="shared" si="827"/>
        <v>350</v>
      </c>
      <c r="DB315" s="443">
        <f t="shared" si="828"/>
        <v>248.82467232358883</v>
      </c>
      <c r="DD315" s="217">
        <f t="shared" si="829"/>
        <v>2.940563086548488</v>
      </c>
      <c r="DE315" s="173">
        <f t="shared" si="830"/>
        <v>1.8769551616266944</v>
      </c>
      <c r="DF315" s="173">
        <f t="shared" si="831"/>
        <v>3.5939660877863036</v>
      </c>
      <c r="DG315" s="173"/>
      <c r="DH315" s="173">
        <f t="shared" si="832"/>
        <v>0.85106382978723416</v>
      </c>
      <c r="DI315" s="545">
        <f t="shared" si="833"/>
        <v>2617.3124999999991</v>
      </c>
      <c r="DJ315" s="528">
        <f t="shared" si="834"/>
        <v>0.79432624113475192</v>
      </c>
      <c r="DL315" s="173">
        <f t="shared" si="835"/>
        <v>3.4875288017243875</v>
      </c>
      <c r="DM315" s="173">
        <f t="shared" si="836"/>
        <v>4.1362340425531912</v>
      </c>
      <c r="DN315" s="173">
        <f t="shared" si="837"/>
        <v>3.276222747570265</v>
      </c>
      <c r="DP315" s="545">
        <f t="shared" si="838"/>
        <v>5939.9999999999991</v>
      </c>
      <c r="DQ315" s="460">
        <f t="shared" si="839"/>
        <v>248.82467232358883</v>
      </c>
      <c r="DS315">
        <f t="shared" si="840"/>
        <v>5939.9999999999991</v>
      </c>
      <c r="DT315">
        <f t="shared" si="841"/>
        <v>248.82467232358883</v>
      </c>
      <c r="DV315" s="5">
        <f t="shared" si="870"/>
        <v>4.0188940697148023</v>
      </c>
      <c r="DW315" s="5">
        <f t="shared" si="842"/>
        <v>1.3787446808510637</v>
      </c>
      <c r="DX315" s="5">
        <f t="shared" si="843"/>
        <v>2.6401493888637386</v>
      </c>
      <c r="DY315" s="173">
        <f t="shared" si="844"/>
        <v>0.34306569343065696</v>
      </c>
      <c r="EA315" s="5">
        <f t="shared" si="871"/>
        <v>204.74358510638294</v>
      </c>
      <c r="EB315" s="5">
        <f t="shared" si="872"/>
        <v>0.75830957446808511</v>
      </c>
      <c r="EC315" s="5">
        <f t="shared" si="873"/>
        <v>1.4520821638750558</v>
      </c>
      <c r="ED315" s="5"/>
      <c r="EE315" s="173">
        <f t="shared" si="874"/>
        <v>1.3987275296238575</v>
      </c>
      <c r="EF315" s="173">
        <f t="shared" si="875"/>
        <v>7.7422187856429323</v>
      </c>
      <c r="EG315" s="173">
        <f t="shared" si="876"/>
        <v>0.14752065523995317</v>
      </c>
      <c r="EH315" s="173"/>
      <c r="EI315" s="528">
        <f t="shared" si="877"/>
        <v>2.3868552165957437E-2</v>
      </c>
      <c r="EJ315" s="528">
        <f t="shared" si="878"/>
        <v>1.1280000000000001</v>
      </c>
      <c r="EK315" s="528">
        <f t="shared" si="879"/>
        <v>3.1103084040448602E-2</v>
      </c>
      <c r="EL315" s="528">
        <f t="shared" si="880"/>
        <v>7.4723044397463009E-2</v>
      </c>
      <c r="EM315">
        <f t="shared" si="881"/>
        <v>1.6199999999999999E-2</v>
      </c>
      <c r="EN315" s="460">
        <f t="shared" si="882"/>
        <v>47.303084040448596</v>
      </c>
      <c r="EP315" s="460">
        <f t="shared" si="883"/>
        <v>1273.8946806038691</v>
      </c>
      <c r="EQ315" s="173">
        <f t="shared" si="884"/>
        <v>4.1579999999999995</v>
      </c>
      <c r="ER315" s="173">
        <f t="shared" si="845"/>
        <v>4.3931249999999998E-2</v>
      </c>
      <c r="ES315" s="528"/>
      <c r="EU315" s="460">
        <f t="shared" si="885"/>
        <v>4201.9312499999996</v>
      </c>
      <c r="EV315" s="528">
        <f t="shared" si="886"/>
        <v>5.8693161063829768E-2</v>
      </c>
      <c r="EW315" s="528">
        <f t="shared" si="887"/>
        <v>1.7982585517428695</v>
      </c>
      <c r="EX315" s="528">
        <f t="shared" si="888"/>
        <v>1.0881171861212561E-4</v>
      </c>
      <c r="EY315" s="528">
        <f t="shared" si="889"/>
        <v>1.6990899383038467</v>
      </c>
      <c r="EZ315" s="528"/>
      <c r="FA315" s="625">
        <f t="shared" si="890"/>
        <v>0.10642500000000002</v>
      </c>
      <c r="FB315" s="460">
        <f t="shared" si="891"/>
        <v>3662.5754628291579</v>
      </c>
      <c r="FC315" s="173">
        <f t="shared" si="892"/>
        <v>9.1384013934330266</v>
      </c>
      <c r="FD315" s="5">
        <f t="shared" si="893"/>
        <v>25.541999999999998</v>
      </c>
      <c r="FE315" s="173">
        <f t="shared" si="894"/>
        <v>0.73649666594794816</v>
      </c>
      <c r="FF315" s="5">
        <f t="shared" si="895"/>
        <v>73.649666594794809</v>
      </c>
      <c r="FG315">
        <f t="shared" si="896"/>
        <v>98.999999999999986</v>
      </c>
      <c r="FI315" s="562">
        <f t="shared" si="846"/>
        <v>-50</v>
      </c>
    </row>
    <row r="316" spans="5:169">
      <c r="E316" s="170">
        <v>100</v>
      </c>
      <c r="F316" s="217">
        <f>IF(PLOT_TYPE=1, E316/100*Iout_max, min_I*EXP(O316*rr/100))</f>
        <v>6</v>
      </c>
      <c r="G316" s="217">
        <f t="shared" si="775"/>
        <v>0.1</v>
      </c>
      <c r="H316" s="217">
        <f t="shared" si="776"/>
        <v>24</v>
      </c>
      <c r="I316" s="217">
        <f t="shared" si="777"/>
        <v>1.8</v>
      </c>
      <c r="J316" s="541">
        <f t="shared" si="778"/>
        <v>35.880358198077722</v>
      </c>
      <c r="K316" s="443">
        <f t="shared" si="779"/>
        <v>19.896000000000001</v>
      </c>
      <c r="L316" s="172">
        <f t="shared" si="780"/>
        <v>55.776358198077723</v>
      </c>
      <c r="M316" s="443"/>
      <c r="N316" s="217">
        <f t="shared" si="781"/>
        <v>0.35671027372105657</v>
      </c>
      <c r="O316" s="172">
        <f>N316*J316*Isw_max*0.5*Efficiency*Pout/(Pout+Pout2)</f>
        <v>39.686488043553062</v>
      </c>
      <c r="P316" s="172">
        <f t="shared" si="783"/>
        <v>3.1997230985114657</v>
      </c>
      <c r="Q316" s="217">
        <f t="shared" si="784"/>
        <v>9.9216220108882656</v>
      </c>
      <c r="R316" s="217">
        <f t="shared" si="785"/>
        <v>2.2048048913085037</v>
      </c>
      <c r="S316" s="217">
        <f t="shared" si="786"/>
        <v>4</v>
      </c>
      <c r="T316" s="217">
        <f t="shared" si="787"/>
        <v>4.0315988611643228</v>
      </c>
      <c r="U316" s="217">
        <f t="shared" si="788"/>
        <v>1.3483473622781106</v>
      </c>
      <c r="V316" s="217">
        <f t="shared" si="789"/>
        <v>2.4316036557082765</v>
      </c>
      <c r="W316" s="197">
        <f t="shared" si="790"/>
        <v>350</v>
      </c>
      <c r="X316" s="443">
        <f t="shared" si="848"/>
        <v>251.25937366584455</v>
      </c>
      <c r="Z316" s="217">
        <f t="shared" si="791"/>
        <v>3.0473553319156808</v>
      </c>
      <c r="AA316" s="173">
        <f t="shared" si="792"/>
        <v>1.8379706465112671</v>
      </c>
      <c r="AB316" s="173">
        <f>0.5*AA316*Z316*Nps*W316/1000*(Pout/(Pout+Pout2))</f>
        <v>3.6471300043585431</v>
      </c>
      <c r="AC316" s="173"/>
      <c r="AD316" s="173">
        <f t="shared" si="794"/>
        <v>0.80418174507438689</v>
      </c>
      <c r="AE316" s="545">
        <f>MAX(10, F316/(0.5*AD316/1000000*Isw_min*Nps)/1000*Pout_total/Pout)</f>
        <v>2797.8749999999986</v>
      </c>
      <c r="AF316" s="528">
        <f t="shared" si="796"/>
        <v>0.75056962873609456</v>
      </c>
      <c r="AH316" s="173">
        <f>SQRT((H316+I316)/(0.5*L*Fsw_DCM))</f>
        <v>3.505098327538656</v>
      </c>
      <c r="AI316" s="173">
        <f>MAX(IF(F316&gt;AB316,T316,AH316),Isw_min)</f>
        <v>4.0315988611643228</v>
      </c>
      <c r="AJ316" s="173">
        <f>IF(F316&gt;AF316, (AI316-Isw_min)/1.08*0.8+1.2, AE316*0.2/350+1)</f>
        <v>3.1987152058007329</v>
      </c>
      <c r="AL316" s="545">
        <f t="shared" si="800"/>
        <v>6000</v>
      </c>
      <c r="AM316" s="460">
        <f t="shared" si="801"/>
        <v>251.25937366584455</v>
      </c>
      <c r="AO316">
        <f t="shared" si="802"/>
        <v>6000</v>
      </c>
      <c r="AP316">
        <f t="shared" si="803"/>
        <v>251.25937366584455</v>
      </c>
      <c r="AR316" s="5">
        <f t="shared" si="774"/>
        <v>3.9799510179863873</v>
      </c>
      <c r="AS316" s="5">
        <f t="shared" si="897"/>
        <v>1.3483473622781106</v>
      </c>
      <c r="AT316" s="5">
        <f t="shared" si="898"/>
        <v>2.6316036557082767</v>
      </c>
      <c r="AU316" s="173">
        <f t="shared" si="899"/>
        <v>0.33878491372999164</v>
      </c>
      <c r="BA316" s="173">
        <f t="shared" si="849"/>
        <v>1.3548110116652288</v>
      </c>
      <c r="BB316" s="173">
        <f t="shared" si="850"/>
        <v>7.5709094989891872</v>
      </c>
      <c r="BC316" s="173">
        <f t="shared" si="851"/>
        <v>0.14425651883209126</v>
      </c>
      <c r="BD316" s="173"/>
      <c r="BE316" s="528">
        <f>Rdson*BA316^2</f>
        <v>2.2393257103418201E-2</v>
      </c>
      <c r="BF316" s="528">
        <f t="shared" si="804"/>
        <v>1.0593781549149235</v>
      </c>
      <c r="BG316" s="528">
        <f t="shared" si="805"/>
        <v>0.22538190819387896</v>
      </c>
      <c r="BH316" s="528">
        <f t="shared" si="853"/>
        <v>7.8166844762181262E-2</v>
      </c>
      <c r="BI316">
        <f t="shared" si="854"/>
        <v>1.6146161189134974E-2</v>
      </c>
      <c r="BJ316" s="460">
        <f t="shared" si="855"/>
        <v>241.52806938301393</v>
      </c>
      <c r="BK316">
        <f t="shared" si="806"/>
        <v>1.1722214018017296</v>
      </c>
      <c r="BL316" s="460">
        <f t="shared" si="856"/>
        <v>1401.4663261635369</v>
      </c>
      <c r="BM316" s="173">
        <f t="shared" si="807"/>
        <v>3.7274999999999991</v>
      </c>
      <c r="BN316" s="173">
        <f t="shared" si="808"/>
        <v>4.4374999999999998E-2</v>
      </c>
      <c r="BQ316" s="460">
        <f t="shared" si="857"/>
        <v>3771.8749999999991</v>
      </c>
      <c r="BR316" s="528">
        <f t="shared" si="858"/>
        <v>5.5065386319880817E-2</v>
      </c>
      <c r="BS316" s="528">
        <f t="shared" si="859"/>
        <v>1.7195601192565413</v>
      </c>
      <c r="BT316" s="528">
        <f t="shared" si="860"/>
        <v>1.040497161277675E-4</v>
      </c>
      <c r="BU316" s="528">
        <f t="shared" si="861"/>
        <v>1.6329352757709739</v>
      </c>
      <c r="BV316" s="528"/>
      <c r="BW316" s="625">
        <f t="shared" si="862"/>
        <v>0.10209792346618438</v>
      </c>
      <c r="BX316" s="460">
        <f t="shared" si="863"/>
        <v>3509.7627545297082</v>
      </c>
      <c r="BY316" s="173">
        <f>SUM(BE316:BI316,BM316:BP316,BR316:BW316)</f>
        <v>8.6831040806932425</v>
      </c>
      <c r="BZ316" s="5">
        <f t="shared" si="865"/>
        <v>25.8</v>
      </c>
      <c r="CA316" s="173">
        <f t="shared" si="866"/>
        <v>0.74819250435302809</v>
      </c>
      <c r="CB316" s="5">
        <f t="shared" si="867"/>
        <v>74.819250435302806</v>
      </c>
      <c r="CC316">
        <f t="shared" si="868"/>
        <v>100</v>
      </c>
      <c r="CE316" s="562">
        <f t="shared" si="809"/>
        <v>-50</v>
      </c>
      <c r="CG316" s="173">
        <f t="shared" si="810"/>
        <v>0.65693430656934304</v>
      </c>
      <c r="CH316" s="173">
        <f t="shared" si="811"/>
        <v>0.17833950839807344</v>
      </c>
      <c r="CI316" s="170">
        <v>100</v>
      </c>
      <c r="CJ316" s="217">
        <f t="shared" si="869"/>
        <v>6</v>
      </c>
      <c r="CK316" s="217">
        <f t="shared" si="812"/>
        <v>0.1</v>
      </c>
      <c r="CL316" s="217">
        <f t="shared" si="813"/>
        <v>24</v>
      </c>
      <c r="CM316" s="217">
        <f t="shared" si="814"/>
        <v>1.8</v>
      </c>
      <c r="CN316" s="541">
        <f t="shared" si="815"/>
        <v>36</v>
      </c>
      <c r="CO316" s="443">
        <f t="shared" si="816"/>
        <v>18.8</v>
      </c>
      <c r="CP316" s="443">
        <f t="shared" si="817"/>
        <v>54.8</v>
      </c>
      <c r="CQ316" s="443"/>
      <c r="CR316" s="217">
        <f t="shared" si="818"/>
        <v>0.34306569343065696</v>
      </c>
      <c r="CS316" s="172">
        <f t="shared" si="819"/>
        <v>38.295705313189622</v>
      </c>
      <c r="CT316" s="172">
        <f t="shared" si="820"/>
        <v>3.0875912408759132</v>
      </c>
      <c r="CU316" s="217">
        <f t="shared" si="821"/>
        <v>9.5739263282974054</v>
      </c>
      <c r="CV316" s="217">
        <f t="shared" si="822"/>
        <v>2.12753918406609</v>
      </c>
      <c r="CW316" s="217">
        <f t="shared" si="823"/>
        <v>4</v>
      </c>
      <c r="CX316" s="217">
        <f t="shared" si="824"/>
        <v>4.1780141843971625</v>
      </c>
      <c r="CY316" s="217">
        <f t="shared" si="825"/>
        <v>1.3926713947990541</v>
      </c>
      <c r="CZ316" s="217">
        <f t="shared" si="826"/>
        <v>2.6668175645088268</v>
      </c>
      <c r="DA316" s="197">
        <f t="shared" si="827"/>
        <v>350</v>
      </c>
      <c r="DB316" s="443">
        <f t="shared" si="828"/>
        <v>246.33642560035292</v>
      </c>
      <c r="DD316" s="217">
        <f t="shared" si="829"/>
        <v>2.940563086548488</v>
      </c>
      <c r="DE316" s="173">
        <f t="shared" si="830"/>
        <v>1.8769551616266944</v>
      </c>
      <c r="DF316" s="173">
        <f t="shared" si="831"/>
        <v>3.5939660877863036</v>
      </c>
      <c r="DG316" s="173"/>
      <c r="DH316" s="173">
        <f t="shared" si="832"/>
        <v>0.85106382978723416</v>
      </c>
      <c r="DI316" s="545">
        <f t="shared" si="833"/>
        <v>2643.7499999999995</v>
      </c>
      <c r="DJ316" s="528">
        <f t="shared" si="834"/>
        <v>0.79432624113475192</v>
      </c>
      <c r="DL316" s="173">
        <f t="shared" si="835"/>
        <v>3.505098327538656</v>
      </c>
      <c r="DM316" s="173">
        <f t="shared" si="836"/>
        <v>4.1780141843971625</v>
      </c>
      <c r="DN316" s="173">
        <f t="shared" si="837"/>
        <v>3.3071710007880215</v>
      </c>
      <c r="DP316" s="545">
        <f t="shared" si="838"/>
        <v>6000</v>
      </c>
      <c r="DQ316" s="460">
        <f t="shared" si="839"/>
        <v>246.33642560035292</v>
      </c>
      <c r="DS316">
        <f t="shared" si="840"/>
        <v>6000</v>
      </c>
      <c r="DT316">
        <f t="shared" si="841"/>
        <v>246.33642560035292</v>
      </c>
      <c r="DV316" s="5">
        <f t="shared" si="870"/>
        <v>4.0594889593078811</v>
      </c>
      <c r="DW316" s="5">
        <f t="shared" si="842"/>
        <v>1.3926713947990541</v>
      </c>
      <c r="DX316" s="5">
        <f t="shared" si="843"/>
        <v>2.6668175645088272</v>
      </c>
      <c r="DY316" s="173">
        <f t="shared" si="844"/>
        <v>0.34306569343065696</v>
      </c>
      <c r="EA316" s="5">
        <f t="shared" si="871"/>
        <v>208.90070921985813</v>
      </c>
      <c r="EB316" s="5">
        <f t="shared" si="872"/>
        <v>0.7737063304439189</v>
      </c>
      <c r="EC316" s="5">
        <f t="shared" si="873"/>
        <v>1.481565313616015</v>
      </c>
      <c r="ED316" s="5"/>
      <c r="EE316" s="173">
        <f t="shared" si="874"/>
        <v>1.412856090529149</v>
      </c>
      <c r="EF316" s="173">
        <f t="shared" si="875"/>
        <v>7.8204230158009418</v>
      </c>
      <c r="EG316" s="173">
        <f t="shared" si="876"/>
        <v>0.14901076286863957</v>
      </c>
      <c r="EH316" s="173"/>
      <c r="EI316" s="528">
        <f t="shared" si="877"/>
        <v>2.435318045705279E-2</v>
      </c>
      <c r="EJ316" s="528">
        <f t="shared" si="878"/>
        <v>1.1280000000000001</v>
      </c>
      <c r="EK316" s="528">
        <f t="shared" si="879"/>
        <v>3.0792053200044113E-2</v>
      </c>
      <c r="EL316" s="528">
        <f t="shared" si="880"/>
        <v>7.3975813953488373E-2</v>
      </c>
      <c r="EM316">
        <f t="shared" si="881"/>
        <v>1.6199999999999999E-2</v>
      </c>
      <c r="EN316" s="460">
        <f t="shared" si="882"/>
        <v>46.992053200044111</v>
      </c>
      <c r="EP316" s="460">
        <f t="shared" si="883"/>
        <v>1273.3210476105851</v>
      </c>
      <c r="EQ316" s="173">
        <f t="shared" si="884"/>
        <v>4.1999999999999993</v>
      </c>
      <c r="ER316" s="173">
        <f t="shared" si="845"/>
        <v>4.4374999999999998E-2</v>
      </c>
      <c r="ES316" s="528"/>
      <c r="EU316" s="460">
        <f t="shared" si="885"/>
        <v>4244.3749999999991</v>
      </c>
      <c r="EV316" s="528">
        <f t="shared" si="886"/>
        <v>5.988486997635932E-2</v>
      </c>
      <c r="EW316" s="528">
        <f t="shared" si="887"/>
        <v>1.8347704843820729</v>
      </c>
      <c r="EX316" s="528">
        <f t="shared" si="888"/>
        <v>1.1102103725346967E-4</v>
      </c>
      <c r="EY316" s="528">
        <f t="shared" si="889"/>
        <v>1.6990899383038476</v>
      </c>
      <c r="EZ316" s="528"/>
      <c r="FA316" s="625">
        <f t="shared" si="890"/>
        <v>0.10750000000000001</v>
      </c>
      <c r="FB316" s="460">
        <f t="shared" si="891"/>
        <v>3701.3563136995331</v>
      </c>
      <c r="FC316" s="173">
        <f t="shared" si="892"/>
        <v>9.2190523613101174</v>
      </c>
      <c r="FD316" s="5">
        <f t="shared" si="893"/>
        <v>25.8</v>
      </c>
      <c r="FE316" s="173">
        <f t="shared" si="894"/>
        <v>0.73674180939586065</v>
      </c>
      <c r="FF316" s="5">
        <f t="shared" si="895"/>
        <v>73.674180939586066</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0.1</v>
      </c>
      <c r="G322" s="884">
        <f>F322*Vout</f>
        <v>0.4</v>
      </c>
      <c r="M322">
        <f>'Design Converter'!L73</f>
        <v>5.0000000000000001E-4</v>
      </c>
      <c r="N322" s="884">
        <f>M322*Vout2</f>
        <v>9.0000000000000011E-3</v>
      </c>
      <c r="T322">
        <f>Vout*F316+Vout2*G316</f>
        <v>25.8</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36</v>
      </c>
      <c r="H325">
        <f>15000</f>
        <v>15000</v>
      </c>
      <c r="I325">
        <f>L*0.9</f>
        <v>1.08E-5</v>
      </c>
      <c r="M325" s="885">
        <v>1.9999999999999999E-7</v>
      </c>
      <c r="N325">
        <f>VIN_max</f>
        <v>36</v>
      </c>
      <c r="O325">
        <f>15000</f>
        <v>15000</v>
      </c>
      <c r="P325">
        <f>L*0.9</f>
        <v>1.08E-5</v>
      </c>
    </row>
    <row r="326" spans="5:20">
      <c r="G326" s="76" t="s">
        <v>911</v>
      </c>
      <c r="N326" s="76" t="s">
        <v>911</v>
      </c>
    </row>
    <row r="327" spans="5:20">
      <c r="G327" s="884">
        <f>0.5*(G325/I325*F325)^2*H325*I325</f>
        <v>3.5999999999999997E-2</v>
      </c>
      <c r="N327" s="884">
        <f>0.5*(N325/P325*M325)^2*O325*P325</f>
        <v>3.5999999999999997E-2</v>
      </c>
    </row>
    <row r="328" spans="5:20">
      <c r="E328" s="76" t="s">
        <v>919</v>
      </c>
      <c r="K328" s="76"/>
      <c r="L328" s="76" t="s">
        <v>920</v>
      </c>
    </row>
    <row r="329" spans="5:20">
      <c r="G329" t="str">
        <f>IF(G322+N322&lt;G327, "Yes", IF(G322&lt;G327, "Yes", "No"))</f>
        <v>No</v>
      </c>
      <c r="H329">
        <f>(Vout*1.05)^2/(G327-G322)</f>
        <v>-48.46153846153846</v>
      </c>
      <c r="N329" t="str">
        <f>IF(G322+N322&lt;N327, "Yes", IF(N322&lt;N327, "Yes", "No"))</f>
        <v>Yes</v>
      </c>
      <c r="O329">
        <f>(Vout2*1.05)^2/(N327-N322)</f>
        <v>13230.000000000005</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18</v>
      </c>
      <c r="E6" s="443">
        <f t="shared" ref="E6:E37" si="0">(Vout+Vfwd1)*Nps</f>
        <v>18.8</v>
      </c>
      <c r="F6" s="217">
        <f t="shared" ref="F6:F37" si="1">(Vout+Vfwd1)*Nps/((Vout+Vfwd1)*Nps+D6)</f>
        <v>0.51086956521739135</v>
      </c>
      <c r="G6" s="172">
        <f t="shared" ref="G6:G37" si="2">F6*D6*Isw_max*0.5*Efficiency</f>
        <v>30.652173913043484</v>
      </c>
      <c r="H6" s="217">
        <f t="shared" ref="H6:H37" si="3">G6/Vout</f>
        <v>7.663043478260871</v>
      </c>
      <c r="I6" s="443">
        <f t="shared" ref="I6:I37" si="4">(Vout+Vfwd1)*Nps+D6</f>
        <v>36.799999999999997</v>
      </c>
      <c r="J6" s="172">
        <f t="shared" ref="J6:J37" si="5">MIN(2*Vout*Iout/(Efficiency*D6*F6), 1.35)</f>
        <v>1.35</v>
      </c>
      <c r="K6" s="172">
        <f t="shared" ref="K6:K37" si="6">L*J6/D6*1000000</f>
        <v>0.9</v>
      </c>
      <c r="L6" s="172">
        <f t="shared" ref="L6:L37" si="7">L*J6/((Vout+Vfwd1)*Nps)*1000000</f>
        <v>0.86170212765957444</v>
      </c>
      <c r="M6" s="443">
        <f>MIN(1/(K6+L6)*1000, 350)</f>
        <v>350</v>
      </c>
      <c r="N6" s="197">
        <f t="shared" ref="N6:N37" si="8">IF(1/((350000*L)*(1/D6+1/E6))&gt;Isw_min, 350, 0.001/((Isw_min*L)*(1/D6+1/E6)))</f>
        <v>350</v>
      </c>
      <c r="O6" s="217">
        <f t="shared" ref="O6:O37" si="9">1/((N6*1000*L)*(1/D6+1/E6))</f>
        <v>2.18944099378882</v>
      </c>
      <c r="P6" s="173">
        <f t="shared" ref="P6:P37" si="10">L*O6/E6*1000000</f>
        <v>1.3975155279503106</v>
      </c>
      <c r="Q6" s="173">
        <f t="shared" ref="Q6:Q37" si="11">0.5*P6*O6*Nps*N6/1000</f>
        <v>2.1418444504455847</v>
      </c>
      <c r="R6" s="173">
        <f t="shared" ref="R6:R37" si="12">L*Isw_min/E6*1000000</f>
        <v>0.85106382978723416</v>
      </c>
    </row>
    <row r="7" spans="3:19">
      <c r="C7" s="170">
        <v>1</v>
      </c>
      <c r="D7" s="5">
        <f t="shared" ref="D7:D38" si="13">C7/100*(VIN_max-VIN_min)+VIN_min</f>
        <v>18.18</v>
      </c>
      <c r="E7" s="443">
        <f t="shared" si="0"/>
        <v>18.8</v>
      </c>
      <c r="F7" s="217">
        <f t="shared" si="1"/>
        <v>0.5083829096809086</v>
      </c>
      <c r="G7" s="172">
        <f t="shared" si="2"/>
        <v>30.808004326663063</v>
      </c>
      <c r="H7" s="217">
        <f t="shared" si="3"/>
        <v>7.7020010816657658</v>
      </c>
      <c r="I7" s="443">
        <f t="shared" si="4"/>
        <v>36.980000000000004</v>
      </c>
      <c r="J7" s="172">
        <f t="shared" si="5"/>
        <v>1.35</v>
      </c>
      <c r="K7" s="172">
        <f t="shared" si="6"/>
        <v>0.8910891089108911</v>
      </c>
      <c r="L7" s="172">
        <f t="shared" si="7"/>
        <v>0.86170212765957444</v>
      </c>
      <c r="M7" s="443">
        <f t="shared" ref="M7:M70" si="14">MIN(1/(K7+L7)*1000, 350)</f>
        <v>350</v>
      </c>
      <c r="N7" s="197">
        <f t="shared" si="8"/>
        <v>350</v>
      </c>
      <c r="O7" s="217">
        <f t="shared" si="9"/>
        <v>2.2005717376187901</v>
      </c>
      <c r="P7" s="173">
        <f t="shared" si="10"/>
        <v>1.4046202580545468</v>
      </c>
      <c r="Q7" s="173">
        <f t="shared" si="11"/>
        <v>2.1636773493731529</v>
      </c>
      <c r="R7" s="173">
        <f t="shared" si="12"/>
        <v>0.85106382978723416</v>
      </c>
    </row>
    <row r="8" spans="3:19">
      <c r="C8" s="170">
        <v>2</v>
      </c>
      <c r="D8" s="5">
        <f t="shared" si="13"/>
        <v>18.36</v>
      </c>
      <c r="E8" s="443">
        <f t="shared" si="0"/>
        <v>18.8</v>
      </c>
      <c r="F8" s="217">
        <f t="shared" si="1"/>
        <v>0.50592034445640477</v>
      </c>
      <c r="G8" s="172">
        <f t="shared" si="2"/>
        <v>30.962325080731972</v>
      </c>
      <c r="H8" s="217">
        <f t="shared" si="3"/>
        <v>7.740581270182993</v>
      </c>
      <c r="I8" s="443">
        <f t="shared" si="4"/>
        <v>37.159999999999997</v>
      </c>
      <c r="J8" s="172">
        <f t="shared" si="5"/>
        <v>1.35</v>
      </c>
      <c r="K8" s="172">
        <f t="shared" si="6"/>
        <v>0.88235294117647056</v>
      </c>
      <c r="L8" s="172">
        <f t="shared" si="7"/>
        <v>0.86170212765957444</v>
      </c>
      <c r="M8" s="443">
        <f t="shared" si="14"/>
        <v>350</v>
      </c>
      <c r="N8" s="197">
        <f t="shared" si="8"/>
        <v>350</v>
      </c>
      <c r="O8" s="217">
        <f t="shared" si="9"/>
        <v>2.2115946486237119</v>
      </c>
      <c r="P8" s="173">
        <f t="shared" si="10"/>
        <v>1.4116561586959864</v>
      </c>
      <c r="Q8" s="173">
        <f t="shared" si="11"/>
        <v>2.185407844388124</v>
      </c>
      <c r="R8" s="173">
        <f t="shared" si="12"/>
        <v>0.85106382978723416</v>
      </c>
    </row>
    <row r="9" spans="3:19">
      <c r="C9" s="170">
        <v>3</v>
      </c>
      <c r="D9" s="5">
        <f t="shared" si="13"/>
        <v>18.54</v>
      </c>
      <c r="E9" s="443">
        <f t="shared" si="0"/>
        <v>18.8</v>
      </c>
      <c r="F9" s="217">
        <f t="shared" si="1"/>
        <v>0.50348152115693623</v>
      </c>
      <c r="G9" s="172">
        <f t="shared" si="2"/>
        <v>31.11515800749866</v>
      </c>
      <c r="H9" s="217">
        <f t="shared" si="3"/>
        <v>7.7787895018746651</v>
      </c>
      <c r="I9" s="443">
        <f t="shared" si="4"/>
        <v>37.340000000000003</v>
      </c>
      <c r="J9" s="172">
        <f t="shared" si="5"/>
        <v>1.35</v>
      </c>
      <c r="K9" s="172">
        <f t="shared" si="6"/>
        <v>0.87378640776699035</v>
      </c>
      <c r="L9" s="172">
        <f t="shared" si="7"/>
        <v>0.86170212765957444</v>
      </c>
      <c r="M9" s="443">
        <f t="shared" si="14"/>
        <v>350</v>
      </c>
      <c r="N9" s="197">
        <f t="shared" si="8"/>
        <v>350</v>
      </c>
      <c r="O9" s="217">
        <f t="shared" si="9"/>
        <v>2.2225112862499041</v>
      </c>
      <c r="P9" s="173">
        <f t="shared" si="10"/>
        <v>1.418624225265896</v>
      </c>
      <c r="Q9" s="173">
        <f t="shared" si="11"/>
        <v>2.2070358461206863</v>
      </c>
      <c r="R9" s="173">
        <f t="shared" si="12"/>
        <v>0.85106382978723416</v>
      </c>
    </row>
    <row r="10" spans="3:19">
      <c r="C10" s="170">
        <v>4</v>
      </c>
      <c r="D10" s="5">
        <f t="shared" si="13"/>
        <v>18.72</v>
      </c>
      <c r="E10" s="443">
        <f t="shared" si="0"/>
        <v>18.8</v>
      </c>
      <c r="F10" s="217">
        <f t="shared" si="1"/>
        <v>0.50106609808102354</v>
      </c>
      <c r="G10" s="172">
        <f t="shared" si="2"/>
        <v>31.266524520255867</v>
      </c>
      <c r="H10" s="217">
        <f t="shared" si="3"/>
        <v>7.8166311300639668</v>
      </c>
      <c r="I10" s="443">
        <f t="shared" si="4"/>
        <v>37.519999999999996</v>
      </c>
      <c r="J10" s="172">
        <f t="shared" si="5"/>
        <v>1.35</v>
      </c>
      <c r="K10" s="172">
        <f t="shared" si="6"/>
        <v>0.86538461538461553</v>
      </c>
      <c r="L10" s="172">
        <f t="shared" si="7"/>
        <v>0.86170212765957444</v>
      </c>
      <c r="M10" s="443">
        <f t="shared" si="14"/>
        <v>350</v>
      </c>
      <c r="N10" s="197">
        <f t="shared" si="8"/>
        <v>350</v>
      </c>
      <c r="O10" s="217">
        <f t="shared" si="9"/>
        <v>2.2333231800182758</v>
      </c>
      <c r="P10" s="173">
        <f t="shared" si="10"/>
        <v>1.4255254340542187</v>
      </c>
      <c r="Q10" s="173">
        <f t="shared" si="11"/>
        <v>2.2285612969052302</v>
      </c>
      <c r="R10" s="173">
        <f t="shared" si="12"/>
        <v>0.85106382978723416</v>
      </c>
    </row>
    <row r="11" spans="3:19">
      <c r="C11" s="170">
        <v>5</v>
      </c>
      <c r="D11" s="5">
        <f t="shared" si="13"/>
        <v>18.899999999999999</v>
      </c>
      <c r="E11" s="443">
        <f t="shared" si="0"/>
        <v>18.8</v>
      </c>
      <c r="F11" s="217">
        <f t="shared" si="1"/>
        <v>0.49867374005305037</v>
      </c>
      <c r="G11" s="172">
        <f t="shared" si="2"/>
        <v>31.416445623342174</v>
      </c>
      <c r="H11" s="217">
        <f t="shared" si="3"/>
        <v>7.8541114058355435</v>
      </c>
      <c r="I11" s="443">
        <f t="shared" si="4"/>
        <v>37.700000000000003</v>
      </c>
      <c r="J11" s="172">
        <f t="shared" si="5"/>
        <v>1.35</v>
      </c>
      <c r="K11" s="172">
        <f t="shared" si="6"/>
        <v>0.85714285714285721</v>
      </c>
      <c r="L11" s="172">
        <f t="shared" si="7"/>
        <v>0.86170212765957444</v>
      </c>
      <c r="M11" s="443">
        <f t="shared" si="14"/>
        <v>350</v>
      </c>
      <c r="N11" s="197">
        <f t="shared" si="8"/>
        <v>350</v>
      </c>
      <c r="O11" s="217">
        <f t="shared" si="9"/>
        <v>2.2440318302387268</v>
      </c>
      <c r="P11" s="173">
        <f t="shared" si="10"/>
        <v>1.4323607427055702</v>
      </c>
      <c r="Q11" s="173">
        <f t="shared" si="11"/>
        <v>2.2499841693109781</v>
      </c>
      <c r="R11" s="173">
        <f t="shared" si="12"/>
        <v>0.85106382978723416</v>
      </c>
    </row>
    <row r="12" spans="3:19">
      <c r="C12" s="170">
        <v>6</v>
      </c>
      <c r="D12" s="5">
        <f t="shared" si="13"/>
        <v>19.079999999999998</v>
      </c>
      <c r="E12" s="443">
        <f t="shared" si="0"/>
        <v>18.8</v>
      </c>
      <c r="F12" s="217">
        <f t="shared" si="1"/>
        <v>0.49630411826821552</v>
      </c>
      <c r="G12" s="172">
        <f t="shared" si="2"/>
        <v>31.564941921858505</v>
      </c>
      <c r="H12" s="217">
        <f t="shared" si="3"/>
        <v>7.8912354804646263</v>
      </c>
      <c r="I12" s="443">
        <f t="shared" si="4"/>
        <v>37.879999999999995</v>
      </c>
      <c r="J12" s="172">
        <f t="shared" si="5"/>
        <v>1.35</v>
      </c>
      <c r="K12" s="172">
        <f t="shared" si="6"/>
        <v>0.84905660377358494</v>
      </c>
      <c r="L12" s="172">
        <f t="shared" si="7"/>
        <v>0.86170212765957444</v>
      </c>
      <c r="M12" s="443">
        <f t="shared" si="14"/>
        <v>350</v>
      </c>
      <c r="N12" s="197">
        <f t="shared" si="8"/>
        <v>350</v>
      </c>
      <c r="O12" s="217">
        <f t="shared" si="9"/>
        <v>2.2546387087041784</v>
      </c>
      <c r="P12" s="173">
        <f t="shared" si="10"/>
        <v>1.4391310906622414</v>
      </c>
      <c r="Q12" s="173">
        <f t="shared" si="11"/>
        <v>2.2713044647347265</v>
      </c>
      <c r="R12" s="173">
        <f t="shared" si="12"/>
        <v>0.85106382978723416</v>
      </c>
    </row>
    <row r="13" spans="3:19">
      <c r="C13" s="170">
        <v>7</v>
      </c>
      <c r="D13" s="5">
        <f t="shared" si="13"/>
        <v>19.260000000000002</v>
      </c>
      <c r="E13" s="443">
        <f t="shared" si="0"/>
        <v>18.8</v>
      </c>
      <c r="F13" s="217">
        <f t="shared" si="1"/>
        <v>0.49395691014188126</v>
      </c>
      <c r="G13" s="172">
        <f t="shared" si="2"/>
        <v>31.712033631108781</v>
      </c>
      <c r="H13" s="217">
        <f t="shared" si="3"/>
        <v>7.9280084077771953</v>
      </c>
      <c r="I13" s="443">
        <f t="shared" si="4"/>
        <v>38.06</v>
      </c>
      <c r="J13" s="172">
        <f t="shared" si="5"/>
        <v>1.35</v>
      </c>
      <c r="K13" s="172">
        <f t="shared" si="6"/>
        <v>0.84112149532710279</v>
      </c>
      <c r="L13" s="172">
        <f t="shared" si="7"/>
        <v>0.86170212765957444</v>
      </c>
      <c r="M13" s="443">
        <f t="shared" si="14"/>
        <v>350</v>
      </c>
      <c r="N13" s="197">
        <f t="shared" si="8"/>
        <v>350</v>
      </c>
      <c r="O13" s="217">
        <f t="shared" si="9"/>
        <v>2.2651452593649126</v>
      </c>
      <c r="P13" s="173">
        <f t="shared" si="10"/>
        <v>1.4458373995946252</v>
      </c>
      <c r="Q13" s="173">
        <f t="shared" si="11"/>
        <v>2.2925222120529805</v>
      </c>
      <c r="R13" s="173">
        <f t="shared" si="12"/>
        <v>0.85106382978723416</v>
      </c>
    </row>
    <row r="14" spans="3:19" s="76" customFormat="1">
      <c r="C14" s="189">
        <v>8</v>
      </c>
      <c r="D14" s="534">
        <f t="shared" si="13"/>
        <v>19.440000000000001</v>
      </c>
      <c r="E14" s="535">
        <f t="shared" si="0"/>
        <v>18.8</v>
      </c>
      <c r="F14" s="329">
        <f t="shared" si="1"/>
        <v>0.49163179916317989</v>
      </c>
      <c r="G14" s="536">
        <f t="shared" si="2"/>
        <v>31.85774058577406</v>
      </c>
      <c r="H14" s="329">
        <f t="shared" si="3"/>
        <v>7.964435146443515</v>
      </c>
      <c r="I14" s="535">
        <f t="shared" si="4"/>
        <v>38.24</v>
      </c>
      <c r="J14" s="172">
        <f t="shared" si="5"/>
        <v>1.35</v>
      </c>
      <c r="K14" s="536">
        <f t="shared" si="6"/>
        <v>0.83333333333333337</v>
      </c>
      <c r="L14" s="536">
        <f t="shared" si="7"/>
        <v>0.86170212765957444</v>
      </c>
      <c r="M14" s="535">
        <f t="shared" si="14"/>
        <v>350</v>
      </c>
      <c r="N14" s="537">
        <f t="shared" si="8"/>
        <v>350</v>
      </c>
      <c r="O14" s="329">
        <f t="shared" si="9"/>
        <v>2.2755528989838614</v>
      </c>
      <c r="P14" s="173">
        <f t="shared" si="10"/>
        <v>1.4524805738194859</v>
      </c>
      <c r="Q14" s="538">
        <f t="shared" si="11"/>
        <v>2.3136374663308716</v>
      </c>
      <c r="R14" s="173">
        <f t="shared" si="12"/>
        <v>0.85106382978723416</v>
      </c>
    </row>
    <row r="15" spans="3:19">
      <c r="C15" s="170">
        <v>9</v>
      </c>
      <c r="D15" s="5">
        <f t="shared" si="13"/>
        <v>19.62</v>
      </c>
      <c r="E15" s="443">
        <f t="shared" si="0"/>
        <v>18.8</v>
      </c>
      <c r="F15" s="217">
        <f t="shared" si="1"/>
        <v>0.48932847475273294</v>
      </c>
      <c r="G15" s="172">
        <f t="shared" si="2"/>
        <v>32.002082248828742</v>
      </c>
      <c r="H15" s="217">
        <f t="shared" si="3"/>
        <v>8.0005205622071855</v>
      </c>
      <c r="I15" s="443">
        <f t="shared" si="4"/>
        <v>38.42</v>
      </c>
      <c r="J15" s="172">
        <f t="shared" si="5"/>
        <v>1.35</v>
      </c>
      <c r="K15" s="172">
        <f t="shared" si="6"/>
        <v>0.82568807339449546</v>
      </c>
      <c r="L15" s="172">
        <f t="shared" si="7"/>
        <v>0.86170212765957444</v>
      </c>
      <c r="M15" s="443">
        <f t="shared" si="14"/>
        <v>350</v>
      </c>
      <c r="N15" s="197">
        <f t="shared" si="8"/>
        <v>350</v>
      </c>
      <c r="O15" s="217">
        <f t="shared" si="9"/>
        <v>2.2858630177734813</v>
      </c>
      <c r="P15" s="173">
        <f t="shared" si="10"/>
        <v>1.4590615007064773</v>
      </c>
      <c r="Q15" s="173">
        <f t="shared" si="11"/>
        <v>2.334650307585409</v>
      </c>
      <c r="R15" s="173">
        <f t="shared" si="12"/>
        <v>0.85106382978723416</v>
      </c>
    </row>
    <row r="16" spans="3:19">
      <c r="C16" s="170">
        <v>10</v>
      </c>
      <c r="D16" s="5">
        <f t="shared" si="13"/>
        <v>19.8</v>
      </c>
      <c r="E16" s="443">
        <f t="shared" si="0"/>
        <v>18.8</v>
      </c>
      <c r="F16" s="217">
        <f t="shared" si="1"/>
        <v>0.48704663212435234</v>
      </c>
      <c r="G16" s="172">
        <f t="shared" si="2"/>
        <v>32.145077720207262</v>
      </c>
      <c r="H16" s="217">
        <f t="shared" si="3"/>
        <v>8.0362694300518154</v>
      </c>
      <c r="I16" s="443">
        <f t="shared" si="4"/>
        <v>38.6</v>
      </c>
      <c r="J16" s="172">
        <f t="shared" si="5"/>
        <v>1.35</v>
      </c>
      <c r="K16" s="172">
        <f t="shared" si="6"/>
        <v>0.81818181818181823</v>
      </c>
      <c r="L16" s="172">
        <f t="shared" si="7"/>
        <v>0.86170212765957444</v>
      </c>
      <c r="M16" s="443">
        <f t="shared" si="14"/>
        <v>350</v>
      </c>
      <c r="N16" s="197">
        <f t="shared" si="8"/>
        <v>350</v>
      </c>
      <c r="O16" s="217">
        <f t="shared" si="9"/>
        <v>2.2960769800148038</v>
      </c>
      <c r="P16" s="173">
        <f t="shared" si="10"/>
        <v>1.465581051073279</v>
      </c>
      <c r="Q16" s="173">
        <f t="shared" si="11"/>
        <v>2.3555608396006793</v>
      </c>
      <c r="R16" s="173">
        <f t="shared" si="12"/>
        <v>0.85106382978723416</v>
      </c>
    </row>
    <row r="17" spans="3:18">
      <c r="C17" s="170">
        <v>11</v>
      </c>
      <c r="D17" s="5">
        <f t="shared" si="13"/>
        <v>19.98</v>
      </c>
      <c r="E17" s="443">
        <f t="shared" si="0"/>
        <v>18.8</v>
      </c>
      <c r="F17" s="217">
        <f t="shared" si="1"/>
        <v>0.4847859721505931</v>
      </c>
      <c r="G17" s="172">
        <f t="shared" si="2"/>
        <v>32.286745745229503</v>
      </c>
      <c r="H17" s="217">
        <f t="shared" si="3"/>
        <v>8.0716864363073757</v>
      </c>
      <c r="I17" s="443">
        <f t="shared" si="4"/>
        <v>38.78</v>
      </c>
      <c r="J17" s="172">
        <f t="shared" si="5"/>
        <v>1.35</v>
      </c>
      <c r="K17" s="172">
        <f t="shared" si="6"/>
        <v>0.81081081081081086</v>
      </c>
      <c r="L17" s="172">
        <f t="shared" si="7"/>
        <v>0.86170212765957444</v>
      </c>
      <c r="M17" s="443">
        <f t="shared" si="14"/>
        <v>350</v>
      </c>
      <c r="N17" s="197">
        <f t="shared" si="8"/>
        <v>350</v>
      </c>
      <c r="O17" s="217">
        <f t="shared" si="9"/>
        <v>2.3061961246592499</v>
      </c>
      <c r="P17" s="173">
        <f t="shared" si="10"/>
        <v>1.4720400795697339</v>
      </c>
      <c r="Q17" s="173">
        <f t="shared" si="11"/>
        <v>2.3763691887927703</v>
      </c>
      <c r="R17" s="173">
        <f t="shared" si="12"/>
        <v>0.85106382978723416</v>
      </c>
    </row>
    <row r="18" spans="3:18">
      <c r="C18" s="170">
        <v>12</v>
      </c>
      <c r="D18" s="5">
        <f t="shared" si="13"/>
        <v>20.16</v>
      </c>
      <c r="E18" s="443">
        <f t="shared" si="0"/>
        <v>18.8</v>
      </c>
      <c r="F18" s="217">
        <f t="shared" si="1"/>
        <v>0.48254620123203285</v>
      </c>
      <c r="G18" s="172">
        <f t="shared" si="2"/>
        <v>32.427104722792606</v>
      </c>
      <c r="H18" s="217">
        <f t="shared" si="3"/>
        <v>8.1067761806981515</v>
      </c>
      <c r="I18" s="443">
        <f t="shared" si="4"/>
        <v>38.96</v>
      </c>
      <c r="J18" s="172">
        <f t="shared" si="5"/>
        <v>1.35</v>
      </c>
      <c r="K18" s="172">
        <f t="shared" si="6"/>
        <v>0.8035714285714286</v>
      </c>
      <c r="L18" s="172">
        <f t="shared" si="7"/>
        <v>0.86170212765957444</v>
      </c>
      <c r="M18" s="443">
        <f t="shared" si="14"/>
        <v>350</v>
      </c>
      <c r="N18" s="197">
        <f t="shared" si="8"/>
        <v>350</v>
      </c>
      <c r="O18" s="217">
        <f t="shared" si="9"/>
        <v>2.3162217659137574</v>
      </c>
      <c r="P18" s="173">
        <f t="shared" si="10"/>
        <v>1.4784394250513344</v>
      </c>
      <c r="Q18" s="173">
        <f t="shared" si="11"/>
        <v>2.3970755031222457</v>
      </c>
      <c r="R18" s="173">
        <f t="shared" si="12"/>
        <v>0.85106382978723416</v>
      </c>
    </row>
    <row r="19" spans="3:18">
      <c r="C19" s="170">
        <v>13</v>
      </c>
      <c r="D19" s="5">
        <f t="shared" si="13"/>
        <v>20.34</v>
      </c>
      <c r="E19" s="443">
        <f t="shared" si="0"/>
        <v>18.8</v>
      </c>
      <c r="F19" s="217">
        <f t="shared" si="1"/>
        <v>0.4803270311701584</v>
      </c>
      <c r="G19" s="172">
        <f t="shared" si="2"/>
        <v>32.566172713336741</v>
      </c>
      <c r="H19" s="217">
        <f t="shared" si="3"/>
        <v>8.1415431783341852</v>
      </c>
      <c r="I19" s="443">
        <f t="shared" si="4"/>
        <v>39.14</v>
      </c>
      <c r="J19" s="172">
        <f t="shared" si="5"/>
        <v>1.35</v>
      </c>
      <c r="K19" s="172">
        <f t="shared" si="6"/>
        <v>0.79646017699115046</v>
      </c>
      <c r="L19" s="172">
        <f t="shared" si="7"/>
        <v>0.86170212765957444</v>
      </c>
      <c r="M19" s="443">
        <f t="shared" si="14"/>
        <v>350</v>
      </c>
      <c r="N19" s="197">
        <f t="shared" si="8"/>
        <v>350</v>
      </c>
      <c r="O19" s="217">
        <f t="shared" si="9"/>
        <v>2.3261551938097669</v>
      </c>
      <c r="P19" s="173">
        <f t="shared" si="10"/>
        <v>1.4847799109424042</v>
      </c>
      <c r="Q19" s="173">
        <f t="shared" si="11"/>
        <v>2.4176799510521536</v>
      </c>
      <c r="R19" s="173">
        <f t="shared" si="12"/>
        <v>0.85106382978723416</v>
      </c>
    </row>
    <row r="20" spans="3:18">
      <c r="C20" s="170">
        <v>14</v>
      </c>
      <c r="D20" s="5">
        <f t="shared" si="13"/>
        <v>20.52</v>
      </c>
      <c r="E20" s="443">
        <f t="shared" si="0"/>
        <v>18.8</v>
      </c>
      <c r="F20" s="217">
        <f t="shared" si="1"/>
        <v>0.47812817904374366</v>
      </c>
      <c r="G20" s="172">
        <f t="shared" si="2"/>
        <v>32.703967446592067</v>
      </c>
      <c r="H20" s="217">
        <f t="shared" si="3"/>
        <v>8.1759918616480167</v>
      </c>
      <c r="I20" s="443">
        <f t="shared" si="4"/>
        <v>39.32</v>
      </c>
      <c r="J20" s="172">
        <f t="shared" si="5"/>
        <v>1.35</v>
      </c>
      <c r="K20" s="172">
        <f t="shared" si="6"/>
        <v>0.78947368421052644</v>
      </c>
      <c r="L20" s="172">
        <f t="shared" si="7"/>
        <v>0.86170212765957444</v>
      </c>
      <c r="M20" s="443">
        <f t="shared" si="14"/>
        <v>350</v>
      </c>
      <c r="N20" s="197">
        <f t="shared" si="8"/>
        <v>350</v>
      </c>
      <c r="O20" s="217">
        <f t="shared" si="9"/>
        <v>2.3359976747565758</v>
      </c>
      <c r="P20" s="173">
        <f t="shared" si="10"/>
        <v>1.4910623455893035</v>
      </c>
      <c r="Q20" s="173">
        <f t="shared" si="11"/>
        <v>2.4381827205495892</v>
      </c>
      <c r="R20" s="173">
        <f t="shared" si="12"/>
        <v>0.85106382978723416</v>
      </c>
    </row>
    <row r="21" spans="3:18">
      <c r="C21" s="170">
        <v>15</v>
      </c>
      <c r="D21" s="5">
        <f t="shared" si="13"/>
        <v>20.7</v>
      </c>
      <c r="E21" s="443">
        <f t="shared" si="0"/>
        <v>18.8</v>
      </c>
      <c r="F21" s="217">
        <f t="shared" si="1"/>
        <v>0.47594936708860763</v>
      </c>
      <c r="G21" s="172">
        <f t="shared" si="2"/>
        <v>32.840506329113929</v>
      </c>
      <c r="H21" s="217">
        <f t="shared" si="3"/>
        <v>8.2101265822784821</v>
      </c>
      <c r="I21" s="443">
        <f t="shared" si="4"/>
        <v>39.5</v>
      </c>
      <c r="J21" s="172">
        <f t="shared" si="5"/>
        <v>1.35</v>
      </c>
      <c r="K21" s="172">
        <f t="shared" si="6"/>
        <v>0.78260869565217395</v>
      </c>
      <c r="L21" s="172">
        <f t="shared" si="7"/>
        <v>0.86170212765957444</v>
      </c>
      <c r="M21" s="443">
        <f t="shared" si="14"/>
        <v>350</v>
      </c>
      <c r="N21" s="197">
        <f t="shared" si="8"/>
        <v>350</v>
      </c>
      <c r="O21" s="217">
        <f t="shared" si="9"/>
        <v>2.345750452079566</v>
      </c>
      <c r="P21" s="173">
        <f t="shared" si="10"/>
        <v>1.4972875226039781</v>
      </c>
      <c r="Q21" s="173">
        <f t="shared" si="11"/>
        <v>2.4585840181289624</v>
      </c>
      <c r="R21" s="173">
        <f t="shared" si="12"/>
        <v>0.85106382978723416</v>
      </c>
    </row>
    <row r="22" spans="3:18" s="3" customFormat="1" ht="13">
      <c r="C22" s="333">
        <v>16</v>
      </c>
      <c r="D22" s="530">
        <f t="shared" si="13"/>
        <v>20.88</v>
      </c>
      <c r="E22" s="531">
        <f t="shared" si="0"/>
        <v>18.8</v>
      </c>
      <c r="F22" s="532">
        <f t="shared" si="1"/>
        <v>0.47379032258064518</v>
      </c>
      <c r="G22" s="332">
        <f t="shared" si="2"/>
        <v>32.975806451612904</v>
      </c>
      <c r="H22" s="532">
        <f t="shared" si="3"/>
        <v>8.243951612903226</v>
      </c>
      <c r="I22" s="531">
        <f t="shared" si="4"/>
        <v>39.68</v>
      </c>
      <c r="J22" s="172">
        <f t="shared" si="5"/>
        <v>1.35</v>
      </c>
      <c r="K22" s="332">
        <f t="shared" si="6"/>
        <v>0.77586206896551724</v>
      </c>
      <c r="L22" s="332">
        <f t="shared" si="7"/>
        <v>0.86170212765957444</v>
      </c>
      <c r="M22" s="531">
        <f t="shared" si="14"/>
        <v>350</v>
      </c>
      <c r="N22" s="335">
        <f t="shared" si="8"/>
        <v>350</v>
      </c>
      <c r="O22" s="532">
        <f t="shared" si="9"/>
        <v>2.3554147465437785</v>
      </c>
      <c r="P22" s="173">
        <f t="shared" si="10"/>
        <v>1.5034562211981564</v>
      </c>
      <c r="Q22" s="539">
        <f t="shared" si="11"/>
        <v>2.4788840679351858</v>
      </c>
      <c r="R22" s="173">
        <f t="shared" si="12"/>
        <v>0.85106382978723416</v>
      </c>
    </row>
    <row r="23" spans="3:18">
      <c r="C23" s="170">
        <v>17</v>
      </c>
      <c r="D23" s="5">
        <f t="shared" si="13"/>
        <v>21.06</v>
      </c>
      <c r="E23" s="443">
        <f t="shared" si="0"/>
        <v>18.8</v>
      </c>
      <c r="F23" s="217">
        <f t="shared" si="1"/>
        <v>0.47165077772202713</v>
      </c>
      <c r="G23" s="172">
        <f t="shared" si="2"/>
        <v>33.109884596086303</v>
      </c>
      <c r="H23" s="217">
        <f t="shared" si="3"/>
        <v>8.2774711490215758</v>
      </c>
      <c r="I23" s="443">
        <f t="shared" si="4"/>
        <v>39.86</v>
      </c>
      <c r="J23" s="172">
        <f t="shared" si="5"/>
        <v>1.35</v>
      </c>
      <c r="K23" s="172">
        <f t="shared" si="6"/>
        <v>0.76923076923076938</v>
      </c>
      <c r="L23" s="172">
        <f t="shared" si="7"/>
        <v>0.86170212765957444</v>
      </c>
      <c r="M23" s="443">
        <f t="shared" si="14"/>
        <v>350</v>
      </c>
      <c r="N23" s="197">
        <f t="shared" si="8"/>
        <v>350</v>
      </c>
      <c r="O23" s="217">
        <f t="shared" si="9"/>
        <v>2.364991756863307</v>
      </c>
      <c r="P23" s="173">
        <f t="shared" si="10"/>
        <v>1.5095692065084938</v>
      </c>
      <c r="Q23" s="173">
        <f t="shared" si="11"/>
        <v>2.4990831108650897</v>
      </c>
      <c r="R23" s="173">
        <f t="shared" si="12"/>
        <v>0.85106382978723416</v>
      </c>
    </row>
    <row r="24" spans="3:18">
      <c r="C24" s="170">
        <v>18</v>
      </c>
      <c r="D24" s="5">
        <f t="shared" si="13"/>
        <v>21.24</v>
      </c>
      <c r="E24" s="443">
        <f t="shared" si="0"/>
        <v>18.8</v>
      </c>
      <c r="F24" s="217">
        <f t="shared" si="1"/>
        <v>0.46953046953046956</v>
      </c>
      <c r="G24" s="172">
        <f t="shared" si="2"/>
        <v>33.24275724275725</v>
      </c>
      <c r="H24" s="217">
        <f t="shared" si="3"/>
        <v>8.3106893106893125</v>
      </c>
      <c r="I24" s="443">
        <f t="shared" si="4"/>
        <v>40.04</v>
      </c>
      <c r="J24" s="172">
        <f t="shared" si="5"/>
        <v>1.35</v>
      </c>
      <c r="K24" s="172">
        <f t="shared" si="6"/>
        <v>0.76271186440677974</v>
      </c>
      <c r="L24" s="172">
        <f t="shared" si="7"/>
        <v>0.86170212765957444</v>
      </c>
      <c r="M24" s="443">
        <f t="shared" si="14"/>
        <v>350</v>
      </c>
      <c r="N24" s="197">
        <f t="shared" si="8"/>
        <v>350</v>
      </c>
      <c r="O24" s="217">
        <f t="shared" si="9"/>
        <v>2.3744826601969455</v>
      </c>
      <c r="P24" s="173">
        <f t="shared" si="10"/>
        <v>1.5156272299129439</v>
      </c>
      <c r="Q24" s="173">
        <f t="shared" si="11"/>
        <v>2.5191814037254296</v>
      </c>
      <c r="R24" s="173">
        <f t="shared" si="12"/>
        <v>0.85106382978723416</v>
      </c>
    </row>
    <row r="25" spans="3:18">
      <c r="C25" s="170">
        <v>19</v>
      </c>
      <c r="D25" s="5">
        <f t="shared" si="13"/>
        <v>21.42</v>
      </c>
      <c r="E25" s="443">
        <f t="shared" si="0"/>
        <v>18.8</v>
      </c>
      <c r="F25" s="217">
        <f t="shared" si="1"/>
        <v>0.46742913973147693</v>
      </c>
      <c r="G25" s="172">
        <f t="shared" si="2"/>
        <v>33.374440576827453</v>
      </c>
      <c r="H25" s="217">
        <f t="shared" si="3"/>
        <v>8.3436101442068633</v>
      </c>
      <c r="I25" s="443">
        <f t="shared" si="4"/>
        <v>40.22</v>
      </c>
      <c r="J25" s="172">
        <f t="shared" si="5"/>
        <v>1.35</v>
      </c>
      <c r="K25" s="172">
        <f t="shared" si="6"/>
        <v>0.75630252100840334</v>
      </c>
      <c r="L25" s="172">
        <f t="shared" si="7"/>
        <v>0.86170212765957444</v>
      </c>
      <c r="M25" s="443">
        <f t="shared" si="14"/>
        <v>350</v>
      </c>
      <c r="N25" s="197">
        <f t="shared" si="8"/>
        <v>350</v>
      </c>
      <c r="O25" s="217">
        <f t="shared" si="9"/>
        <v>2.3838886126305319</v>
      </c>
      <c r="P25" s="173">
        <f t="shared" si="10"/>
        <v>1.5216310293386373</v>
      </c>
      <c r="Q25" s="173">
        <f t="shared" si="11"/>
        <v>2.5391792184259567</v>
      </c>
      <c r="R25" s="173">
        <f t="shared" si="12"/>
        <v>0.85106382978723416</v>
      </c>
    </row>
    <row r="26" spans="3:18">
      <c r="C26" s="170">
        <v>20</v>
      </c>
      <c r="D26" s="5">
        <f t="shared" si="13"/>
        <v>21.6</v>
      </c>
      <c r="E26" s="443">
        <f t="shared" si="0"/>
        <v>18.8</v>
      </c>
      <c r="F26" s="217">
        <f t="shared" si="1"/>
        <v>0.46534653465346532</v>
      </c>
      <c r="G26" s="172">
        <f t="shared" si="2"/>
        <v>33.504950495049506</v>
      </c>
      <c r="H26" s="217">
        <f t="shared" si="3"/>
        <v>8.3762376237623766</v>
      </c>
      <c r="I26" s="443">
        <f t="shared" si="4"/>
        <v>40.400000000000006</v>
      </c>
      <c r="J26" s="172">
        <f t="shared" si="5"/>
        <v>1.35</v>
      </c>
      <c r="K26" s="172">
        <f t="shared" si="6"/>
        <v>0.75</v>
      </c>
      <c r="L26" s="172">
        <f t="shared" si="7"/>
        <v>0.86170212765957444</v>
      </c>
      <c r="M26" s="443">
        <f t="shared" si="14"/>
        <v>350</v>
      </c>
      <c r="N26" s="197">
        <f t="shared" si="8"/>
        <v>350</v>
      </c>
      <c r="O26" s="217">
        <f t="shared" si="9"/>
        <v>2.3932107496463932</v>
      </c>
      <c r="P26" s="173">
        <f t="shared" si="10"/>
        <v>1.5275813295615275</v>
      </c>
      <c r="Q26" s="173">
        <f t="shared" si="11"/>
        <v>2.5590768412060436</v>
      </c>
      <c r="R26" s="173">
        <f t="shared" si="12"/>
        <v>0.85106382978723416</v>
      </c>
    </row>
    <row r="27" spans="3:18">
      <c r="C27" s="170">
        <v>21</v>
      </c>
      <c r="D27" s="5">
        <f t="shared" si="13"/>
        <v>21.78</v>
      </c>
      <c r="E27" s="443">
        <f t="shared" si="0"/>
        <v>18.8</v>
      </c>
      <c r="F27" s="217">
        <f t="shared" si="1"/>
        <v>0.4632824051256777</v>
      </c>
      <c r="G27" s="172">
        <f t="shared" si="2"/>
        <v>33.634302612124209</v>
      </c>
      <c r="H27" s="217">
        <f t="shared" si="3"/>
        <v>8.4085756530310523</v>
      </c>
      <c r="I27" s="443">
        <f t="shared" si="4"/>
        <v>40.58</v>
      </c>
      <c r="J27" s="172">
        <f t="shared" si="5"/>
        <v>1.35</v>
      </c>
      <c r="K27" s="172">
        <f t="shared" si="6"/>
        <v>0.74380165289256195</v>
      </c>
      <c r="L27" s="172">
        <f t="shared" si="7"/>
        <v>0.86170212765957444</v>
      </c>
      <c r="M27" s="443">
        <f t="shared" si="14"/>
        <v>350</v>
      </c>
      <c r="N27" s="197">
        <f t="shared" si="8"/>
        <v>350</v>
      </c>
      <c r="O27" s="217">
        <f t="shared" si="9"/>
        <v>2.4024501865802996</v>
      </c>
      <c r="P27" s="173">
        <f t="shared" si="10"/>
        <v>1.5334788424980637</v>
      </c>
      <c r="Q27" s="173">
        <f t="shared" si="11"/>
        <v>2.5788745718934902</v>
      </c>
      <c r="R27" s="173">
        <f t="shared" si="12"/>
        <v>0.85106382978723416</v>
      </c>
    </row>
    <row r="28" spans="3:18">
      <c r="C28" s="170">
        <v>22</v>
      </c>
      <c r="D28" s="5">
        <f t="shared" si="13"/>
        <v>21.96</v>
      </c>
      <c r="E28" s="443">
        <f t="shared" si="0"/>
        <v>18.8</v>
      </c>
      <c r="F28" s="217">
        <f t="shared" si="1"/>
        <v>0.4612365063788027</v>
      </c>
      <c r="G28" s="172">
        <f t="shared" si="2"/>
        <v>33.762512266928361</v>
      </c>
      <c r="H28" s="217">
        <f t="shared" si="3"/>
        <v>8.4406280667320903</v>
      </c>
      <c r="I28" s="443">
        <f t="shared" si="4"/>
        <v>40.760000000000005</v>
      </c>
      <c r="J28" s="172">
        <f t="shared" si="5"/>
        <v>1.35</v>
      </c>
      <c r="K28" s="172">
        <f t="shared" si="6"/>
        <v>0.73770491803278682</v>
      </c>
      <c r="L28" s="172">
        <f t="shared" si="7"/>
        <v>0.86170212765957444</v>
      </c>
      <c r="M28" s="443">
        <f t="shared" si="14"/>
        <v>350</v>
      </c>
      <c r="N28" s="197">
        <f t="shared" si="8"/>
        <v>350</v>
      </c>
      <c r="O28" s="217">
        <f t="shared" si="9"/>
        <v>2.4116080190663114</v>
      </c>
      <c r="P28" s="173">
        <f t="shared" si="10"/>
        <v>1.539324267489135</v>
      </c>
      <c r="Q28" s="173">
        <f t="shared" si="11"/>
        <v>2.5985727231941214</v>
      </c>
      <c r="R28" s="173">
        <f t="shared" si="12"/>
        <v>0.85106382978723416</v>
      </c>
    </row>
    <row r="29" spans="3:18">
      <c r="C29" s="170">
        <v>23</v>
      </c>
      <c r="D29" s="5">
        <f t="shared" si="13"/>
        <v>22.14</v>
      </c>
      <c r="E29" s="443">
        <f t="shared" si="0"/>
        <v>18.8</v>
      </c>
      <c r="F29" s="217">
        <f t="shared" si="1"/>
        <v>0.45920859794821695</v>
      </c>
      <c r="G29" s="172">
        <f t="shared" si="2"/>
        <v>33.889594528578414</v>
      </c>
      <c r="H29" s="217">
        <f t="shared" si="3"/>
        <v>8.4723986321446034</v>
      </c>
      <c r="I29" s="443">
        <f t="shared" si="4"/>
        <v>40.94</v>
      </c>
      <c r="J29" s="172">
        <f t="shared" si="5"/>
        <v>1.35</v>
      </c>
      <c r="K29" s="172">
        <f t="shared" si="6"/>
        <v>0.73170731707317072</v>
      </c>
      <c r="L29" s="172">
        <f t="shared" si="7"/>
        <v>0.86170212765957444</v>
      </c>
      <c r="M29" s="443">
        <f t="shared" si="14"/>
        <v>350</v>
      </c>
      <c r="N29" s="197">
        <f t="shared" si="8"/>
        <v>350</v>
      </c>
      <c r="O29" s="217">
        <f t="shared" si="9"/>
        <v>2.4206853234698857</v>
      </c>
      <c r="P29" s="173">
        <f t="shared" si="10"/>
        <v>1.5451182915765229</v>
      </c>
      <c r="Q29" s="173">
        <f t="shared" si="11"/>
        <v>2.6181716200109069</v>
      </c>
      <c r="R29" s="173">
        <f t="shared" si="12"/>
        <v>0.85106382978723416</v>
      </c>
    </row>
    <row r="30" spans="3:18">
      <c r="C30" s="170">
        <v>24</v>
      </c>
      <c r="D30" s="5">
        <f t="shared" si="13"/>
        <v>22.32</v>
      </c>
      <c r="E30" s="443">
        <f t="shared" si="0"/>
        <v>18.8</v>
      </c>
      <c r="F30" s="217">
        <f t="shared" si="1"/>
        <v>0.45719844357976652</v>
      </c>
      <c r="G30" s="172">
        <f t="shared" si="2"/>
        <v>34.01556420233463</v>
      </c>
      <c r="H30" s="217">
        <f t="shared" si="3"/>
        <v>8.5038910505836576</v>
      </c>
      <c r="I30" s="443">
        <f t="shared" si="4"/>
        <v>41.120000000000005</v>
      </c>
      <c r="J30" s="172">
        <f t="shared" si="5"/>
        <v>1.35</v>
      </c>
      <c r="K30" s="172">
        <f t="shared" si="6"/>
        <v>0.72580645161290325</v>
      </c>
      <c r="L30" s="172">
        <f t="shared" si="7"/>
        <v>0.86170212765957444</v>
      </c>
      <c r="M30" s="443">
        <f t="shared" si="14"/>
        <v>350</v>
      </c>
      <c r="N30" s="197">
        <f t="shared" si="8"/>
        <v>350</v>
      </c>
      <c r="O30" s="217">
        <f t="shared" si="9"/>
        <v>2.4296831573096163</v>
      </c>
      <c r="P30" s="173">
        <f t="shared" si="10"/>
        <v>1.5508615897720954</v>
      </c>
      <c r="Q30" s="173">
        <f t="shared" si="11"/>
        <v>2.637671598791373</v>
      </c>
      <c r="R30" s="173">
        <f t="shared" si="12"/>
        <v>0.85106382978723416</v>
      </c>
    </row>
    <row r="31" spans="3:18">
      <c r="C31" s="170">
        <v>25</v>
      </c>
      <c r="D31" s="5">
        <f t="shared" si="13"/>
        <v>22.5</v>
      </c>
      <c r="E31" s="443">
        <f t="shared" si="0"/>
        <v>18.8</v>
      </c>
      <c r="F31" s="217">
        <f t="shared" si="1"/>
        <v>0.45520581113801456</v>
      </c>
      <c r="G31" s="172">
        <f t="shared" si="2"/>
        <v>34.140435835351091</v>
      </c>
      <c r="H31" s="217">
        <f t="shared" si="3"/>
        <v>8.5351089588377729</v>
      </c>
      <c r="I31" s="443">
        <f t="shared" si="4"/>
        <v>41.3</v>
      </c>
      <c r="J31" s="172">
        <f t="shared" si="5"/>
        <v>1.35</v>
      </c>
      <c r="K31" s="172">
        <f t="shared" si="6"/>
        <v>0.72</v>
      </c>
      <c r="L31" s="172">
        <f t="shared" si="7"/>
        <v>0.86170212765957444</v>
      </c>
      <c r="M31" s="443">
        <f t="shared" si="14"/>
        <v>350</v>
      </c>
      <c r="N31" s="197">
        <f t="shared" si="8"/>
        <v>350</v>
      </c>
      <c r="O31" s="217">
        <f t="shared" si="9"/>
        <v>2.4386025596679346</v>
      </c>
      <c r="P31" s="173">
        <f t="shared" si="10"/>
        <v>1.5565548253199581</v>
      </c>
      <c r="Q31" s="173">
        <f t="shared" si="11"/>
        <v>2.6570730069021073</v>
      </c>
      <c r="R31" s="173">
        <f t="shared" si="12"/>
        <v>0.85106382978723416</v>
      </c>
    </row>
    <row r="32" spans="3:18">
      <c r="C32" s="170">
        <v>26</v>
      </c>
      <c r="D32" s="5">
        <f t="shared" si="13"/>
        <v>22.68</v>
      </c>
      <c r="E32" s="443">
        <f t="shared" si="0"/>
        <v>18.8</v>
      </c>
      <c r="F32" s="217">
        <f t="shared" si="1"/>
        <v>0.45323047251687559</v>
      </c>
      <c r="G32" s="172">
        <f t="shared" si="2"/>
        <v>34.264223722275801</v>
      </c>
      <c r="H32" s="217">
        <f t="shared" si="3"/>
        <v>8.5660559305689503</v>
      </c>
      <c r="I32" s="443">
        <f t="shared" si="4"/>
        <v>41.480000000000004</v>
      </c>
      <c r="J32" s="172">
        <f t="shared" si="5"/>
        <v>1.35</v>
      </c>
      <c r="K32" s="172">
        <f t="shared" si="6"/>
        <v>0.7142857142857143</v>
      </c>
      <c r="L32" s="172">
        <f t="shared" si="7"/>
        <v>0.86170212765957444</v>
      </c>
      <c r="M32" s="443">
        <f t="shared" si="14"/>
        <v>350</v>
      </c>
      <c r="N32" s="197">
        <f t="shared" si="8"/>
        <v>350</v>
      </c>
      <c r="O32" s="217">
        <f t="shared" si="9"/>
        <v>2.4474445515911283</v>
      </c>
      <c r="P32" s="173">
        <f t="shared" si="10"/>
        <v>1.5621986499517841</v>
      </c>
      <c r="Q32" s="173">
        <f t="shared" si="11"/>
        <v>2.6763762020292576</v>
      </c>
      <c r="R32" s="173">
        <f t="shared" si="12"/>
        <v>0.85106382978723416</v>
      </c>
    </row>
    <row r="33" spans="3:18">
      <c r="C33" s="170">
        <v>27</v>
      </c>
      <c r="D33" s="5">
        <f t="shared" si="13"/>
        <v>22.86</v>
      </c>
      <c r="E33" s="443">
        <f t="shared" si="0"/>
        <v>18.8</v>
      </c>
      <c r="F33" s="217">
        <f t="shared" si="1"/>
        <v>0.45127220355256847</v>
      </c>
      <c r="G33" s="172">
        <f t="shared" si="2"/>
        <v>34.386941910705715</v>
      </c>
      <c r="H33" s="217">
        <f t="shared" si="3"/>
        <v>8.5967354776764289</v>
      </c>
      <c r="I33" s="443">
        <f t="shared" si="4"/>
        <v>41.66</v>
      </c>
      <c r="J33" s="172">
        <f t="shared" si="5"/>
        <v>1.35</v>
      </c>
      <c r="K33" s="172">
        <f t="shared" si="6"/>
        <v>0.70866141732283472</v>
      </c>
      <c r="L33" s="172">
        <f t="shared" si="7"/>
        <v>0.86170212765957444</v>
      </c>
      <c r="M33" s="443">
        <f t="shared" si="14"/>
        <v>350</v>
      </c>
      <c r="N33" s="197">
        <f t="shared" si="8"/>
        <v>350</v>
      </c>
      <c r="O33" s="217">
        <f t="shared" si="9"/>
        <v>2.4562101364789792</v>
      </c>
      <c r="P33" s="173">
        <f t="shared" si="10"/>
        <v>1.5677937041355188</v>
      </c>
      <c r="Q33" s="173">
        <f t="shared" si="11"/>
        <v>2.6955815516039108</v>
      </c>
      <c r="R33" s="173">
        <f t="shared" si="12"/>
        <v>0.85106382978723416</v>
      </c>
    </row>
    <row r="34" spans="3:18">
      <c r="C34" s="170">
        <v>28</v>
      </c>
      <c r="D34" s="5">
        <f t="shared" si="13"/>
        <v>23.04</v>
      </c>
      <c r="E34" s="443">
        <f t="shared" si="0"/>
        <v>18.8</v>
      </c>
      <c r="F34" s="217">
        <f t="shared" si="1"/>
        <v>0.44933078393881454</v>
      </c>
      <c r="G34" s="172">
        <f t="shared" si="2"/>
        <v>34.508604206500955</v>
      </c>
      <c r="H34" s="217">
        <f t="shared" si="3"/>
        <v>8.6271510516252388</v>
      </c>
      <c r="I34" s="443">
        <f t="shared" si="4"/>
        <v>41.84</v>
      </c>
      <c r="J34" s="172">
        <f t="shared" si="5"/>
        <v>1.35</v>
      </c>
      <c r="K34" s="172">
        <f t="shared" si="6"/>
        <v>0.703125</v>
      </c>
      <c r="L34" s="172">
        <f t="shared" si="7"/>
        <v>0.86170212765957444</v>
      </c>
      <c r="M34" s="443">
        <f t="shared" si="14"/>
        <v>350</v>
      </c>
      <c r="N34" s="197">
        <f t="shared" si="8"/>
        <v>350</v>
      </c>
      <c r="O34" s="217">
        <f t="shared" si="9"/>
        <v>2.4649003004643535</v>
      </c>
      <c r="P34" s="173">
        <f t="shared" si="10"/>
        <v>1.5733406173176725</v>
      </c>
      <c r="Q34" s="173">
        <f t="shared" si="11"/>
        <v>2.7146894322513719</v>
      </c>
      <c r="R34" s="173">
        <f t="shared" si="12"/>
        <v>0.85106382978723416</v>
      </c>
    </row>
    <row r="35" spans="3:18">
      <c r="C35" s="170">
        <v>29</v>
      </c>
      <c r="D35" s="5">
        <f t="shared" si="13"/>
        <v>23.22</v>
      </c>
      <c r="E35" s="443">
        <f t="shared" si="0"/>
        <v>18.8</v>
      </c>
      <c r="F35" s="217">
        <f t="shared" si="1"/>
        <v>0.44740599714421708</v>
      </c>
      <c r="G35" s="172">
        <f t="shared" si="2"/>
        <v>34.629224178962403</v>
      </c>
      <c r="H35" s="217">
        <f t="shared" si="3"/>
        <v>8.6573060447406007</v>
      </c>
      <c r="I35" s="443">
        <f t="shared" si="4"/>
        <v>42.019999999999996</v>
      </c>
      <c r="J35" s="172">
        <f t="shared" si="5"/>
        <v>1.35</v>
      </c>
      <c r="K35" s="172">
        <f t="shared" si="6"/>
        <v>0.69767441860465129</v>
      </c>
      <c r="L35" s="172">
        <f t="shared" si="7"/>
        <v>0.86170212765957444</v>
      </c>
      <c r="M35" s="443">
        <f t="shared" si="14"/>
        <v>350</v>
      </c>
      <c r="N35" s="197">
        <f t="shared" si="8"/>
        <v>350</v>
      </c>
      <c r="O35" s="217">
        <f t="shared" si="9"/>
        <v>2.473516012783028</v>
      </c>
      <c r="P35" s="173">
        <f t="shared" si="10"/>
        <v>1.5788400081593796</v>
      </c>
      <c r="Q35" s="173">
        <f t="shared" si="11"/>
        <v>2.7337002292632984</v>
      </c>
      <c r="R35" s="173">
        <f t="shared" si="12"/>
        <v>0.85106382978723416</v>
      </c>
    </row>
    <row r="36" spans="3:18">
      <c r="C36" s="170">
        <v>30</v>
      </c>
      <c r="D36" s="5">
        <f t="shared" si="13"/>
        <v>23.4</v>
      </c>
      <c r="E36" s="443">
        <f t="shared" si="0"/>
        <v>18.8</v>
      </c>
      <c r="F36" s="217">
        <f t="shared" si="1"/>
        <v>0.44549763033175355</v>
      </c>
      <c r="G36" s="172">
        <f t="shared" si="2"/>
        <v>34.748815165876778</v>
      </c>
      <c r="H36" s="217">
        <f t="shared" si="3"/>
        <v>8.6872037914691944</v>
      </c>
      <c r="I36" s="443">
        <f t="shared" si="4"/>
        <v>42.2</v>
      </c>
      <c r="J36" s="172">
        <f t="shared" si="5"/>
        <v>1.35</v>
      </c>
      <c r="K36" s="172">
        <f t="shared" si="6"/>
        <v>0.6923076923076924</v>
      </c>
      <c r="L36" s="172">
        <f t="shared" si="7"/>
        <v>0.86170212765957444</v>
      </c>
      <c r="M36" s="443">
        <f t="shared" si="14"/>
        <v>350</v>
      </c>
      <c r="N36" s="197">
        <f t="shared" si="8"/>
        <v>350</v>
      </c>
      <c r="O36" s="217">
        <f t="shared" si="9"/>
        <v>2.4820582261340549</v>
      </c>
      <c r="P36" s="173">
        <f t="shared" si="10"/>
        <v>1.5842924847664182</v>
      </c>
      <c r="Q36" s="173">
        <f t="shared" si="11"/>
        <v>2.7526143360917952</v>
      </c>
      <c r="R36" s="173">
        <f t="shared" si="12"/>
        <v>0.85106382978723416</v>
      </c>
    </row>
    <row r="37" spans="3:18">
      <c r="C37" s="170">
        <v>31</v>
      </c>
      <c r="D37" s="5">
        <f t="shared" si="13"/>
        <v>23.58</v>
      </c>
      <c r="E37" s="443">
        <f t="shared" si="0"/>
        <v>18.8</v>
      </c>
      <c r="F37" s="217">
        <f t="shared" si="1"/>
        <v>0.44360547428032099</v>
      </c>
      <c r="G37" s="172">
        <f t="shared" si="2"/>
        <v>34.867390278433234</v>
      </c>
      <c r="H37" s="217">
        <f t="shared" si="3"/>
        <v>8.7168475696083085</v>
      </c>
      <c r="I37" s="443">
        <f t="shared" si="4"/>
        <v>42.379999999999995</v>
      </c>
      <c r="J37" s="172">
        <f t="shared" si="5"/>
        <v>1.35</v>
      </c>
      <c r="K37" s="172">
        <f t="shared" si="6"/>
        <v>0.68702290076335892</v>
      </c>
      <c r="L37" s="172">
        <f t="shared" si="7"/>
        <v>0.86170212765957444</v>
      </c>
      <c r="M37" s="443">
        <f t="shared" si="14"/>
        <v>350</v>
      </c>
      <c r="N37" s="197">
        <f t="shared" si="8"/>
        <v>350</v>
      </c>
      <c r="O37" s="217">
        <f t="shared" si="9"/>
        <v>2.490527877030944</v>
      </c>
      <c r="P37" s="173">
        <f t="shared" si="10"/>
        <v>1.5896986449133685</v>
      </c>
      <c r="Q37" s="173">
        <f t="shared" si="11"/>
        <v>2.7714321538645423</v>
      </c>
      <c r="R37" s="173">
        <f t="shared" si="12"/>
        <v>0.85106382978723416</v>
      </c>
    </row>
    <row r="38" spans="3:18">
      <c r="C38" s="170">
        <v>32</v>
      </c>
      <c r="D38" s="5">
        <f t="shared" si="13"/>
        <v>23.759999999999998</v>
      </c>
      <c r="E38" s="443">
        <f t="shared" ref="E38:E69" si="15">(Vout+Vfwd1)*Nps</f>
        <v>18.8</v>
      </c>
      <c r="F38" s="217">
        <f t="shared" ref="F38:F69" si="16">(Vout+Vfwd1)*Nps/((Vout+Vfwd1)*Nps+D38)</f>
        <v>0.44172932330827069</v>
      </c>
      <c r="G38" s="172">
        <f t="shared" ref="G38:G69" si="17">F38*D38*Isw_max*0.5*Efficiency</f>
        <v>34.984962406015036</v>
      </c>
      <c r="H38" s="217">
        <f t="shared" ref="H38:H69" si="18">G38/Vout</f>
        <v>8.746240601503759</v>
      </c>
      <c r="I38" s="443">
        <f t="shared" ref="I38:I69" si="19">(Vout+Vfwd1)*Nps+D38</f>
        <v>42.56</v>
      </c>
      <c r="J38" s="172">
        <f t="shared" ref="J38:J69" si="20">MIN(2*Vout*Iout/(Efficiency*D38*F38), 1.35)</f>
        <v>1.35</v>
      </c>
      <c r="K38" s="172">
        <f t="shared" ref="K38:K69" si="21">L*J38/D38*1000000</f>
        <v>0.68181818181818188</v>
      </c>
      <c r="L38" s="172">
        <f t="shared" ref="L38:L69" si="22">L*J38/((Vout+Vfwd1)*Nps)*1000000</f>
        <v>0.86170212765957444</v>
      </c>
      <c r="M38" s="443">
        <f t="shared" si="14"/>
        <v>350</v>
      </c>
      <c r="N38" s="197">
        <f t="shared" ref="N38:N69" si="23">IF(1/((350000*L)*(1/D38+1/E38))&gt;Isw_min, 350, 0.001/((Isw_min*L)*(1/D38+1/E38)))</f>
        <v>350</v>
      </c>
      <c r="O38" s="217">
        <f t="shared" ref="O38:O69" si="24">1/((N38*1000*L)*(1/D38+1/E38))</f>
        <v>2.498925886143931</v>
      </c>
      <c r="P38" s="173">
        <f t="shared" ref="P38:P69" si="25">L*O38/E38*1000000</f>
        <v>1.5950590762620835</v>
      </c>
      <c r="Q38" s="173">
        <f t="shared" ref="Q38:Q69" si="26">0.5*P38*O38*Nps*N38/1000</f>
        <v>2.7901540909201032</v>
      </c>
      <c r="R38" s="173">
        <f t="shared" ref="R38:R69" si="27">L*Isw_min/E38*1000000</f>
        <v>0.85106382978723416</v>
      </c>
    </row>
    <row r="39" spans="3:18">
      <c r="C39" s="170">
        <v>33</v>
      </c>
      <c r="D39" s="5">
        <f t="shared" ref="D39:D70" si="28">C39/100*(VIN_max-VIN_min)+VIN_min</f>
        <v>23.94</v>
      </c>
      <c r="E39" s="443">
        <f t="shared" si="15"/>
        <v>18.8</v>
      </c>
      <c r="F39" s="217">
        <f t="shared" si="16"/>
        <v>0.43986897519887691</v>
      </c>
      <c r="G39" s="172">
        <f t="shared" si="17"/>
        <v>35.10154422087038</v>
      </c>
      <c r="H39" s="217">
        <f t="shared" si="18"/>
        <v>8.7753860552175951</v>
      </c>
      <c r="I39" s="443">
        <f t="shared" si="19"/>
        <v>42.74</v>
      </c>
      <c r="J39" s="172">
        <f t="shared" si="20"/>
        <v>1.35</v>
      </c>
      <c r="K39" s="172">
        <f t="shared" si="21"/>
        <v>0.67669172932330823</v>
      </c>
      <c r="L39" s="172">
        <f t="shared" si="22"/>
        <v>0.86170212765957444</v>
      </c>
      <c r="M39" s="443">
        <f t="shared" si="14"/>
        <v>350</v>
      </c>
      <c r="N39" s="197">
        <f t="shared" si="23"/>
        <v>350</v>
      </c>
      <c r="O39" s="217">
        <f t="shared" si="24"/>
        <v>2.5072531586335987</v>
      </c>
      <c r="P39" s="173">
        <f t="shared" si="25"/>
        <v>1.6003743565746373</v>
      </c>
      <c r="Q39" s="173">
        <f t="shared" si="26"/>
        <v>2.808780562362581</v>
      </c>
      <c r="R39" s="173">
        <f t="shared" si="27"/>
        <v>0.85106382978723416</v>
      </c>
    </row>
    <row r="40" spans="3:18">
      <c r="C40" s="170">
        <v>34</v>
      </c>
      <c r="D40" s="5">
        <f t="shared" si="28"/>
        <v>24.12</v>
      </c>
      <c r="E40" s="443">
        <f t="shared" si="15"/>
        <v>18.8</v>
      </c>
      <c r="F40" s="217">
        <f t="shared" si="16"/>
        <v>0.43802423112767941</v>
      </c>
      <c r="G40" s="172">
        <f t="shared" si="17"/>
        <v>35.217148182665426</v>
      </c>
      <c r="H40" s="217">
        <f t="shared" si="18"/>
        <v>8.8042870456663564</v>
      </c>
      <c r="I40" s="443">
        <f t="shared" si="19"/>
        <v>42.92</v>
      </c>
      <c r="J40" s="172">
        <f t="shared" si="20"/>
        <v>1.35</v>
      </c>
      <c r="K40" s="172">
        <f t="shared" si="21"/>
        <v>0.67164179104477606</v>
      </c>
      <c r="L40" s="172">
        <f t="shared" si="22"/>
        <v>0.86170212765957444</v>
      </c>
      <c r="M40" s="443">
        <f t="shared" si="14"/>
        <v>350</v>
      </c>
      <c r="N40" s="197">
        <f t="shared" si="23"/>
        <v>350</v>
      </c>
      <c r="O40" s="217">
        <f t="shared" si="24"/>
        <v>2.5155105844761017</v>
      </c>
      <c r="P40" s="173">
        <f t="shared" si="25"/>
        <v>1.6056450539209159</v>
      </c>
      <c r="Q40" s="173">
        <f t="shared" si="26"/>
        <v>2.8273119896348353</v>
      </c>
      <c r="R40" s="173">
        <f t="shared" si="27"/>
        <v>0.85106382978723416</v>
      </c>
    </row>
    <row r="41" spans="3:18">
      <c r="C41" s="170">
        <v>35</v>
      </c>
      <c r="D41" s="5">
        <f t="shared" si="28"/>
        <v>24.3</v>
      </c>
      <c r="E41" s="443">
        <f t="shared" si="15"/>
        <v>18.8</v>
      </c>
      <c r="F41" s="217">
        <f t="shared" si="16"/>
        <v>0.43619489559164731</v>
      </c>
      <c r="G41" s="172">
        <f t="shared" si="17"/>
        <v>35.331786542923432</v>
      </c>
      <c r="H41" s="217">
        <f t="shared" si="18"/>
        <v>8.8329466357308579</v>
      </c>
      <c r="I41" s="443">
        <f t="shared" si="19"/>
        <v>43.1</v>
      </c>
      <c r="J41" s="172">
        <f t="shared" si="20"/>
        <v>1.35</v>
      </c>
      <c r="K41" s="172">
        <f t="shared" si="21"/>
        <v>0.66666666666666674</v>
      </c>
      <c r="L41" s="172">
        <f t="shared" si="22"/>
        <v>0.86170212765957444</v>
      </c>
      <c r="M41" s="443">
        <f t="shared" si="14"/>
        <v>350</v>
      </c>
      <c r="N41" s="197">
        <f t="shared" si="23"/>
        <v>350</v>
      </c>
      <c r="O41" s="217">
        <f t="shared" si="24"/>
        <v>2.5236990387802449</v>
      </c>
      <c r="P41" s="173">
        <f t="shared" si="25"/>
        <v>1.6108717268810073</v>
      </c>
      <c r="Q41" s="173">
        <f t="shared" si="26"/>
        <v>2.8457488001095097</v>
      </c>
      <c r="R41" s="173">
        <f t="shared" si="27"/>
        <v>0.85106382978723416</v>
      </c>
    </row>
    <row r="42" spans="3:18">
      <c r="C42" s="170">
        <v>36</v>
      </c>
      <c r="D42" s="5">
        <f t="shared" si="28"/>
        <v>24.48</v>
      </c>
      <c r="E42" s="443">
        <f t="shared" si="15"/>
        <v>18.8</v>
      </c>
      <c r="F42" s="217">
        <f t="shared" si="16"/>
        <v>0.43438077634011091</v>
      </c>
      <c r="G42" s="172">
        <f t="shared" si="17"/>
        <v>35.445471349353056</v>
      </c>
      <c r="H42" s="217">
        <f t="shared" si="18"/>
        <v>8.8613678373382641</v>
      </c>
      <c r="I42" s="443">
        <f t="shared" si="19"/>
        <v>43.28</v>
      </c>
      <c r="J42" s="172">
        <f t="shared" si="20"/>
        <v>1.35</v>
      </c>
      <c r="K42" s="172">
        <f t="shared" si="21"/>
        <v>0.66176470588235303</v>
      </c>
      <c r="L42" s="172">
        <f t="shared" si="22"/>
        <v>0.86170212765957444</v>
      </c>
      <c r="M42" s="443">
        <f t="shared" si="14"/>
        <v>350</v>
      </c>
      <c r="N42" s="197">
        <f t="shared" si="23"/>
        <v>350</v>
      </c>
      <c r="O42" s="217">
        <f t="shared" si="24"/>
        <v>2.5318193820966459</v>
      </c>
      <c r="P42" s="173">
        <f t="shared" si="25"/>
        <v>1.6160549247425398</v>
      </c>
      <c r="Q42" s="173">
        <f t="shared" si="26"/>
        <v>2.8640914266971289</v>
      </c>
      <c r="R42" s="173">
        <f t="shared" si="27"/>
        <v>0.85106382978723416</v>
      </c>
    </row>
    <row r="43" spans="3:18">
      <c r="C43" s="170">
        <v>37</v>
      </c>
      <c r="D43" s="5">
        <f t="shared" si="28"/>
        <v>24.66</v>
      </c>
      <c r="E43" s="443">
        <f t="shared" si="15"/>
        <v>18.8</v>
      </c>
      <c r="F43" s="217">
        <f t="shared" si="16"/>
        <v>0.43258168430740912</v>
      </c>
      <c r="G43" s="172">
        <f t="shared" si="17"/>
        <v>35.55821445006903</v>
      </c>
      <c r="H43" s="217">
        <f t="shared" si="18"/>
        <v>8.8895536125172576</v>
      </c>
      <c r="I43" s="443">
        <f t="shared" si="19"/>
        <v>43.46</v>
      </c>
      <c r="J43" s="172">
        <f t="shared" si="20"/>
        <v>1.35</v>
      </c>
      <c r="K43" s="172">
        <f t="shared" si="21"/>
        <v>0.65693430656934304</v>
      </c>
      <c r="L43" s="172">
        <f t="shared" si="22"/>
        <v>0.86170212765957444</v>
      </c>
      <c r="M43" s="443">
        <f t="shared" si="14"/>
        <v>350</v>
      </c>
      <c r="N43" s="197">
        <f t="shared" si="23"/>
        <v>350</v>
      </c>
      <c r="O43" s="217">
        <f t="shared" si="24"/>
        <v>2.5398724607192169</v>
      </c>
      <c r="P43" s="173">
        <f t="shared" si="25"/>
        <v>1.6211951876931172</v>
      </c>
      <c r="Q43" s="173">
        <f t="shared" si="26"/>
        <v>2.8823403074705891</v>
      </c>
      <c r="R43" s="173">
        <f t="shared" si="27"/>
        <v>0.85106382978723416</v>
      </c>
    </row>
    <row r="44" spans="3:18">
      <c r="C44" s="170">
        <v>38</v>
      </c>
      <c r="D44" s="5">
        <f t="shared" si="28"/>
        <v>24.84</v>
      </c>
      <c r="E44" s="443">
        <f t="shared" si="15"/>
        <v>18.8</v>
      </c>
      <c r="F44" s="217">
        <f t="shared" si="16"/>
        <v>0.4307974335472044</v>
      </c>
      <c r="G44" s="172">
        <f t="shared" si="17"/>
        <v>35.670027497708531</v>
      </c>
      <c r="H44" s="217">
        <f t="shared" si="18"/>
        <v>8.9175068744271329</v>
      </c>
      <c r="I44" s="443">
        <f t="shared" si="19"/>
        <v>43.64</v>
      </c>
      <c r="J44" s="172">
        <f t="shared" si="20"/>
        <v>1.35</v>
      </c>
      <c r="K44" s="172">
        <f t="shared" si="21"/>
        <v>0.65217391304347827</v>
      </c>
      <c r="L44" s="172">
        <f t="shared" si="22"/>
        <v>0.86170212765957444</v>
      </c>
      <c r="M44" s="443">
        <f t="shared" si="14"/>
        <v>350</v>
      </c>
      <c r="N44" s="197">
        <f t="shared" si="23"/>
        <v>350</v>
      </c>
      <c r="O44" s="217">
        <f t="shared" si="24"/>
        <v>2.5478591069791801</v>
      </c>
      <c r="P44" s="173">
        <f t="shared" si="25"/>
        <v>1.6262930470079875</v>
      </c>
      <c r="Q44" s="173">
        <f t="shared" si="26"/>
        <v>2.9004958853053546</v>
      </c>
      <c r="R44" s="173">
        <f t="shared" si="27"/>
        <v>0.85106382978723416</v>
      </c>
    </row>
    <row r="45" spans="3:18">
      <c r="C45" s="170">
        <v>39</v>
      </c>
      <c r="D45" s="5">
        <f t="shared" si="28"/>
        <v>25.02</v>
      </c>
      <c r="E45" s="443">
        <f t="shared" si="15"/>
        <v>18.8</v>
      </c>
      <c r="F45" s="217">
        <f t="shared" si="16"/>
        <v>0.42902784116841625</v>
      </c>
      <c r="G45" s="172">
        <f t="shared" si="17"/>
        <v>35.780921953445912</v>
      </c>
      <c r="H45" s="217">
        <f t="shared" si="18"/>
        <v>8.9452304883614779</v>
      </c>
      <c r="I45" s="443">
        <f t="shared" si="19"/>
        <v>43.82</v>
      </c>
      <c r="J45" s="172">
        <f t="shared" si="20"/>
        <v>1.35</v>
      </c>
      <c r="K45" s="172">
        <f t="shared" si="21"/>
        <v>0.64748201438848929</v>
      </c>
      <c r="L45" s="172">
        <f t="shared" si="22"/>
        <v>0.86170212765957444</v>
      </c>
      <c r="M45" s="443">
        <f t="shared" si="14"/>
        <v>350</v>
      </c>
      <c r="N45" s="197">
        <f t="shared" si="23"/>
        <v>350</v>
      </c>
      <c r="O45" s="217">
        <f t="shared" si="24"/>
        <v>2.5557801395318509</v>
      </c>
      <c r="P45" s="173">
        <f t="shared" si="25"/>
        <v>1.6313490252330962</v>
      </c>
      <c r="Q45" s="173">
        <f t="shared" si="26"/>
        <v>2.918558607534774</v>
      </c>
      <c r="R45" s="173">
        <f t="shared" si="27"/>
        <v>0.85106382978723416</v>
      </c>
    </row>
    <row r="46" spans="3:18">
      <c r="C46" s="170">
        <v>40</v>
      </c>
      <c r="D46" s="5">
        <f t="shared" si="28"/>
        <v>25.2</v>
      </c>
      <c r="E46" s="443">
        <f t="shared" si="15"/>
        <v>18.8</v>
      </c>
      <c r="F46" s="217">
        <f t="shared" si="16"/>
        <v>0.4272727272727273</v>
      </c>
      <c r="G46" s="172">
        <f t="shared" si="17"/>
        <v>35.890909090909091</v>
      </c>
      <c r="H46" s="217">
        <f t="shared" si="18"/>
        <v>8.9727272727272727</v>
      </c>
      <c r="I46" s="443">
        <f t="shared" si="19"/>
        <v>44</v>
      </c>
      <c r="J46" s="172">
        <f t="shared" si="20"/>
        <v>1.35</v>
      </c>
      <c r="K46" s="172">
        <f t="shared" si="21"/>
        <v>0.6428571428571429</v>
      </c>
      <c r="L46" s="172">
        <f t="shared" si="22"/>
        <v>0.86170212765957444</v>
      </c>
      <c r="M46" s="443">
        <f t="shared" si="14"/>
        <v>350</v>
      </c>
      <c r="N46" s="197">
        <f t="shared" si="23"/>
        <v>350</v>
      </c>
      <c r="O46" s="217">
        <f t="shared" si="24"/>
        <v>2.5636363636363639</v>
      </c>
      <c r="P46" s="173">
        <f t="shared" si="25"/>
        <v>1.6363636363636367</v>
      </c>
      <c r="Q46" s="173">
        <f t="shared" si="26"/>
        <v>2.9365289256198359</v>
      </c>
      <c r="R46" s="173">
        <f t="shared" si="27"/>
        <v>0.85106382978723416</v>
      </c>
    </row>
    <row r="47" spans="3:18">
      <c r="C47" s="170">
        <v>41</v>
      </c>
      <c r="D47" s="5">
        <f t="shared" si="28"/>
        <v>25.38</v>
      </c>
      <c r="E47" s="443">
        <f t="shared" si="15"/>
        <v>18.8</v>
      </c>
      <c r="F47" s="217">
        <f t="shared" si="16"/>
        <v>0.42553191489361702</v>
      </c>
      <c r="G47" s="172">
        <f t="shared" si="17"/>
        <v>36</v>
      </c>
      <c r="H47" s="217">
        <f t="shared" si="18"/>
        <v>9</v>
      </c>
      <c r="I47" s="443">
        <f t="shared" si="19"/>
        <v>44.18</v>
      </c>
      <c r="J47" s="172">
        <f t="shared" si="20"/>
        <v>1.35</v>
      </c>
      <c r="K47" s="172">
        <f t="shared" si="21"/>
        <v>0.63829787234042556</v>
      </c>
      <c r="L47" s="172">
        <f t="shared" si="22"/>
        <v>0.86170212765957444</v>
      </c>
      <c r="M47" s="443">
        <f t="shared" si="14"/>
        <v>350</v>
      </c>
      <c r="N47" s="197">
        <f t="shared" si="23"/>
        <v>350</v>
      </c>
      <c r="O47" s="217">
        <f t="shared" si="24"/>
        <v>2.5714285714285712</v>
      </c>
      <c r="P47" s="173">
        <f t="shared" si="25"/>
        <v>1.641337386018237</v>
      </c>
      <c r="Q47" s="173">
        <f t="shared" si="26"/>
        <v>2.9544072948328268</v>
      </c>
      <c r="R47" s="173">
        <f t="shared" si="27"/>
        <v>0.85106382978723416</v>
      </c>
    </row>
    <row r="48" spans="3:18">
      <c r="C48" s="170">
        <v>42</v>
      </c>
      <c r="D48" s="5">
        <f t="shared" si="28"/>
        <v>25.56</v>
      </c>
      <c r="E48" s="443">
        <f t="shared" si="15"/>
        <v>18.8</v>
      </c>
      <c r="F48" s="217">
        <f t="shared" si="16"/>
        <v>0.42380522993688008</v>
      </c>
      <c r="G48" s="172">
        <f t="shared" si="17"/>
        <v>36.108205590622184</v>
      </c>
      <c r="H48" s="217">
        <f t="shared" si="18"/>
        <v>9.027051397655546</v>
      </c>
      <c r="I48" s="443">
        <f t="shared" si="19"/>
        <v>44.36</v>
      </c>
      <c r="J48" s="172">
        <f t="shared" si="20"/>
        <v>1.35</v>
      </c>
      <c r="K48" s="172">
        <f t="shared" si="21"/>
        <v>0.63380281690140849</v>
      </c>
      <c r="L48" s="172">
        <f t="shared" si="22"/>
        <v>0.86170212765957444</v>
      </c>
      <c r="M48" s="443">
        <f t="shared" si="14"/>
        <v>350</v>
      </c>
      <c r="N48" s="197">
        <f t="shared" si="23"/>
        <v>350</v>
      </c>
      <c r="O48" s="217">
        <f t="shared" si="24"/>
        <v>2.5791575421872985</v>
      </c>
      <c r="P48" s="173">
        <f t="shared" si="25"/>
        <v>1.646270771608914</v>
      </c>
      <c r="Q48" s="173">
        <f t="shared" si="26"/>
        <v>2.9721941739543438</v>
      </c>
      <c r="R48" s="173">
        <f t="shared" si="27"/>
        <v>0.85106382978723416</v>
      </c>
    </row>
    <row r="49" spans="3:18">
      <c r="C49" s="170">
        <v>43</v>
      </c>
      <c r="D49" s="5">
        <f t="shared" si="28"/>
        <v>25.740000000000002</v>
      </c>
      <c r="E49" s="443">
        <f t="shared" si="15"/>
        <v>18.8</v>
      </c>
      <c r="F49" s="217">
        <f t="shared" si="16"/>
        <v>0.42209250112258639</v>
      </c>
      <c r="G49" s="172">
        <f t="shared" si="17"/>
        <v>36.215536596317918</v>
      </c>
      <c r="H49" s="217">
        <f t="shared" si="18"/>
        <v>9.0538841490794795</v>
      </c>
      <c r="I49" s="443">
        <f t="shared" si="19"/>
        <v>44.540000000000006</v>
      </c>
      <c r="J49" s="172">
        <f t="shared" si="20"/>
        <v>1.35</v>
      </c>
      <c r="K49" s="172">
        <f t="shared" si="21"/>
        <v>0.62937062937062938</v>
      </c>
      <c r="L49" s="172">
        <f t="shared" si="22"/>
        <v>0.86170212765957444</v>
      </c>
      <c r="M49" s="443">
        <f t="shared" si="14"/>
        <v>350</v>
      </c>
      <c r="N49" s="197">
        <f t="shared" si="23"/>
        <v>350</v>
      </c>
      <c r="O49" s="217">
        <f t="shared" si="24"/>
        <v>2.5868240425941371</v>
      </c>
      <c r="P49" s="173">
        <f t="shared" si="25"/>
        <v>1.651164282506896</v>
      </c>
      <c r="Q49" s="173">
        <f t="shared" si="26"/>
        <v>2.9898900249830755</v>
      </c>
      <c r="R49" s="173">
        <f t="shared" si="27"/>
        <v>0.85106382978723416</v>
      </c>
    </row>
    <row r="50" spans="3:18">
      <c r="C50" s="170">
        <v>44</v>
      </c>
      <c r="D50" s="5">
        <f t="shared" si="28"/>
        <v>25.92</v>
      </c>
      <c r="E50" s="443">
        <f t="shared" si="15"/>
        <v>18.8</v>
      </c>
      <c r="F50" s="217">
        <f t="shared" si="16"/>
        <v>0.42039355992844368</v>
      </c>
      <c r="G50" s="172">
        <f t="shared" si="17"/>
        <v>36.32200357781754</v>
      </c>
      <c r="H50" s="217">
        <f t="shared" si="18"/>
        <v>9.080500894454385</v>
      </c>
      <c r="I50" s="443">
        <f t="shared" si="19"/>
        <v>44.72</v>
      </c>
      <c r="J50" s="172">
        <f t="shared" si="20"/>
        <v>1.35</v>
      </c>
      <c r="K50" s="172">
        <f t="shared" si="21"/>
        <v>0.625</v>
      </c>
      <c r="L50" s="172">
        <f t="shared" si="22"/>
        <v>0.86170212765957444</v>
      </c>
      <c r="M50" s="443">
        <f t="shared" si="14"/>
        <v>350</v>
      </c>
      <c r="N50" s="197">
        <f t="shared" si="23"/>
        <v>350</v>
      </c>
      <c r="O50" s="217">
        <f t="shared" si="24"/>
        <v>2.5944288269869666</v>
      </c>
      <c r="P50" s="173">
        <f t="shared" si="25"/>
        <v>1.6560184002044469</v>
      </c>
      <c r="Q50" s="173">
        <f t="shared" si="26"/>
        <v>3.0074953128578792</v>
      </c>
      <c r="R50" s="173">
        <f t="shared" si="27"/>
        <v>0.85106382978723416</v>
      </c>
    </row>
    <row r="51" spans="3:18">
      <c r="C51" s="170">
        <v>45</v>
      </c>
      <c r="D51" s="5">
        <f t="shared" si="28"/>
        <v>26.1</v>
      </c>
      <c r="E51" s="443">
        <f t="shared" si="15"/>
        <v>18.8</v>
      </c>
      <c r="F51" s="217">
        <f t="shared" si="16"/>
        <v>0.4187082405345211</v>
      </c>
      <c r="G51" s="172">
        <f t="shared" si="17"/>
        <v>36.42761692650334</v>
      </c>
      <c r="H51" s="217">
        <f t="shared" si="18"/>
        <v>9.1069042316258351</v>
      </c>
      <c r="I51" s="443">
        <f t="shared" si="19"/>
        <v>44.900000000000006</v>
      </c>
      <c r="J51" s="172">
        <f t="shared" si="20"/>
        <v>1.35</v>
      </c>
      <c r="K51" s="172">
        <f t="shared" si="21"/>
        <v>0.62068965517241381</v>
      </c>
      <c r="L51" s="172">
        <f t="shared" si="22"/>
        <v>0.86170212765957444</v>
      </c>
      <c r="M51" s="443">
        <f t="shared" si="14"/>
        <v>350</v>
      </c>
      <c r="N51" s="197">
        <f t="shared" si="23"/>
        <v>350</v>
      </c>
      <c r="O51" s="217">
        <f t="shared" si="24"/>
        <v>2.6019726376073815</v>
      </c>
      <c r="P51" s="173">
        <f t="shared" si="25"/>
        <v>1.6608335984727967</v>
      </c>
      <c r="Q51" s="173">
        <f t="shared" si="26"/>
        <v>3.0250105051916552</v>
      </c>
      <c r="R51" s="173">
        <f t="shared" si="27"/>
        <v>0.85106382978723416</v>
      </c>
    </row>
    <row r="52" spans="3:18">
      <c r="C52" s="170">
        <v>46</v>
      </c>
      <c r="D52" s="5">
        <f t="shared" si="28"/>
        <v>26.28</v>
      </c>
      <c r="E52" s="443">
        <f t="shared" si="15"/>
        <v>18.8</v>
      </c>
      <c r="F52" s="217">
        <f t="shared" si="16"/>
        <v>0.41703637976929908</v>
      </c>
      <c r="G52" s="172">
        <f t="shared" si="17"/>
        <v>36.532386867790606</v>
      </c>
      <c r="H52" s="217">
        <f t="shared" si="18"/>
        <v>9.1330967169476516</v>
      </c>
      <c r="I52" s="443">
        <f t="shared" si="19"/>
        <v>45.08</v>
      </c>
      <c r="J52" s="172">
        <f t="shared" si="20"/>
        <v>1.35</v>
      </c>
      <c r="K52" s="172">
        <f t="shared" si="21"/>
        <v>0.61643835616438347</v>
      </c>
      <c r="L52" s="172">
        <f t="shared" si="22"/>
        <v>0.86170212765957444</v>
      </c>
      <c r="M52" s="443">
        <f t="shared" si="14"/>
        <v>350</v>
      </c>
      <c r="N52" s="197">
        <f t="shared" si="23"/>
        <v>350</v>
      </c>
      <c r="O52" s="217">
        <f t="shared" si="24"/>
        <v>2.6094562048421857</v>
      </c>
      <c r="P52" s="173">
        <f t="shared" si="25"/>
        <v>1.6656103435162888</v>
      </c>
      <c r="Q52" s="173">
        <f t="shared" si="26"/>
        <v>3.0424360720165327</v>
      </c>
      <c r="R52" s="173">
        <f t="shared" si="27"/>
        <v>0.85106382978723416</v>
      </c>
    </row>
    <row r="53" spans="3:18">
      <c r="C53" s="170">
        <v>47</v>
      </c>
      <c r="D53" s="5">
        <f t="shared" si="28"/>
        <v>26.46</v>
      </c>
      <c r="E53" s="443">
        <f t="shared" si="15"/>
        <v>18.8</v>
      </c>
      <c r="F53" s="217">
        <f t="shared" si="16"/>
        <v>0.41537781705700394</v>
      </c>
      <c r="G53" s="172">
        <f t="shared" si="17"/>
        <v>36.636323464427747</v>
      </c>
      <c r="H53" s="217">
        <f t="shared" si="18"/>
        <v>9.1590808661069367</v>
      </c>
      <c r="I53" s="443">
        <f t="shared" si="19"/>
        <v>45.260000000000005</v>
      </c>
      <c r="J53" s="172">
        <f t="shared" si="20"/>
        <v>1.35</v>
      </c>
      <c r="K53" s="172">
        <f t="shared" si="21"/>
        <v>0.61224489795918369</v>
      </c>
      <c r="L53" s="172">
        <f t="shared" si="22"/>
        <v>0.86170212765957444</v>
      </c>
      <c r="M53" s="443">
        <f t="shared" si="14"/>
        <v>350</v>
      </c>
      <c r="N53" s="197">
        <f t="shared" si="23"/>
        <v>350</v>
      </c>
      <c r="O53" s="217">
        <f t="shared" si="24"/>
        <v>2.6168802474591253</v>
      </c>
      <c r="P53" s="173">
        <f t="shared" si="25"/>
        <v>1.670349094122846</v>
      </c>
      <c r="Q53" s="173">
        <f t="shared" si="26"/>
        <v>3.0597724855399231</v>
      </c>
      <c r="R53" s="173">
        <f t="shared" si="27"/>
        <v>0.85106382978723416</v>
      </c>
    </row>
    <row r="54" spans="3:18">
      <c r="C54" s="170">
        <v>48</v>
      </c>
      <c r="D54" s="5">
        <f t="shared" si="28"/>
        <v>26.64</v>
      </c>
      <c r="E54" s="443">
        <f t="shared" si="15"/>
        <v>18.8</v>
      </c>
      <c r="F54" s="217">
        <f t="shared" si="16"/>
        <v>0.41373239436619724</v>
      </c>
      <c r="G54" s="172">
        <f t="shared" si="17"/>
        <v>36.739436619718319</v>
      </c>
      <c r="H54" s="217">
        <f t="shared" si="18"/>
        <v>9.1848591549295797</v>
      </c>
      <c r="I54" s="443">
        <f t="shared" si="19"/>
        <v>45.44</v>
      </c>
      <c r="J54" s="172">
        <f t="shared" si="20"/>
        <v>1.35</v>
      </c>
      <c r="K54" s="172">
        <f t="shared" si="21"/>
        <v>0.60810810810810811</v>
      </c>
      <c r="L54" s="172">
        <f t="shared" si="22"/>
        <v>0.86170212765957444</v>
      </c>
      <c r="M54" s="443">
        <f t="shared" si="14"/>
        <v>350</v>
      </c>
      <c r="N54" s="197">
        <f t="shared" si="23"/>
        <v>350</v>
      </c>
      <c r="O54" s="217">
        <f t="shared" si="24"/>
        <v>2.6242454728370217</v>
      </c>
      <c r="P54" s="173">
        <f t="shared" si="25"/>
        <v>1.6750503018108647</v>
      </c>
      <c r="Q54" s="173">
        <f t="shared" si="26"/>
        <v>3.0770202199110135</v>
      </c>
      <c r="R54" s="173">
        <f t="shared" si="27"/>
        <v>0.85106382978723416</v>
      </c>
    </row>
    <row r="55" spans="3:18">
      <c r="C55" s="170">
        <v>49</v>
      </c>
      <c r="D55" s="5">
        <f t="shared" si="28"/>
        <v>26.82</v>
      </c>
      <c r="E55" s="443">
        <f t="shared" si="15"/>
        <v>18.8</v>
      </c>
      <c r="F55" s="217">
        <f t="shared" si="16"/>
        <v>0.41209995615957912</v>
      </c>
      <c r="G55" s="172">
        <f t="shared" si="17"/>
        <v>36.841736080666372</v>
      </c>
      <c r="H55" s="217">
        <f t="shared" si="18"/>
        <v>9.2104340201665931</v>
      </c>
      <c r="I55" s="443">
        <f t="shared" si="19"/>
        <v>45.620000000000005</v>
      </c>
      <c r="J55" s="172">
        <f t="shared" si="20"/>
        <v>1.35</v>
      </c>
      <c r="K55" s="172">
        <f t="shared" si="21"/>
        <v>0.60402684563758402</v>
      </c>
      <c r="L55" s="172">
        <f t="shared" si="22"/>
        <v>0.86170212765957444</v>
      </c>
      <c r="M55" s="443">
        <f t="shared" si="14"/>
        <v>350</v>
      </c>
      <c r="N55" s="197">
        <f t="shared" si="23"/>
        <v>350</v>
      </c>
      <c r="O55" s="217">
        <f t="shared" si="24"/>
        <v>2.6315525771904551</v>
      </c>
      <c r="P55" s="173">
        <f t="shared" si="25"/>
        <v>1.679714410972631</v>
      </c>
      <c r="Q55" s="173">
        <f t="shared" si="26"/>
        <v>3.0941797509972822</v>
      </c>
      <c r="R55" s="173">
        <f t="shared" si="27"/>
        <v>0.85106382978723416</v>
      </c>
    </row>
    <row r="56" spans="3:18">
      <c r="C56" s="170">
        <v>50</v>
      </c>
      <c r="D56" s="5">
        <f t="shared" si="28"/>
        <v>27</v>
      </c>
      <c r="E56" s="443">
        <f t="shared" si="15"/>
        <v>18.8</v>
      </c>
      <c r="F56" s="217">
        <f t="shared" si="16"/>
        <v>0.41048034934497818</v>
      </c>
      <c r="G56" s="172">
        <f t="shared" si="17"/>
        <v>36.943231441048034</v>
      </c>
      <c r="H56" s="217">
        <f t="shared" si="18"/>
        <v>9.2358078602620086</v>
      </c>
      <c r="I56" s="443">
        <f t="shared" si="19"/>
        <v>45.8</v>
      </c>
      <c r="J56" s="172">
        <f t="shared" si="20"/>
        <v>1.35</v>
      </c>
      <c r="K56" s="172">
        <f t="shared" si="21"/>
        <v>0.60000000000000009</v>
      </c>
      <c r="L56" s="172">
        <f t="shared" si="22"/>
        <v>0.86170212765957444</v>
      </c>
      <c r="M56" s="443">
        <f t="shared" si="14"/>
        <v>350</v>
      </c>
      <c r="N56" s="197">
        <f t="shared" si="23"/>
        <v>350</v>
      </c>
      <c r="O56" s="217">
        <f t="shared" si="24"/>
        <v>2.6388022457891456</v>
      </c>
      <c r="P56" s="173">
        <f t="shared" si="25"/>
        <v>1.6843418590143482</v>
      </c>
      <c r="Q56" s="173">
        <f t="shared" si="26"/>
        <v>3.1112515561706084</v>
      </c>
      <c r="R56" s="173">
        <f t="shared" si="27"/>
        <v>0.85106382978723416</v>
      </c>
    </row>
    <row r="57" spans="3:18">
      <c r="C57" s="170">
        <v>51</v>
      </c>
      <c r="D57" s="5">
        <f t="shared" si="28"/>
        <v>27.18</v>
      </c>
      <c r="E57" s="443">
        <f t="shared" si="15"/>
        <v>18.8</v>
      </c>
      <c r="F57" s="217">
        <f t="shared" si="16"/>
        <v>0.40887342322749021</v>
      </c>
      <c r="G57" s="172">
        <f t="shared" si="17"/>
        <v>37.043932144410611</v>
      </c>
      <c r="H57" s="217">
        <f t="shared" si="18"/>
        <v>9.2609830361026528</v>
      </c>
      <c r="I57" s="443">
        <f t="shared" si="19"/>
        <v>45.980000000000004</v>
      </c>
      <c r="J57" s="172">
        <f t="shared" si="20"/>
        <v>1.35</v>
      </c>
      <c r="K57" s="172">
        <f t="shared" si="21"/>
        <v>0.59602649006622521</v>
      </c>
      <c r="L57" s="172">
        <f t="shared" si="22"/>
        <v>0.86170212765957444</v>
      </c>
      <c r="M57" s="443">
        <f t="shared" si="14"/>
        <v>350</v>
      </c>
      <c r="N57" s="197">
        <f t="shared" si="23"/>
        <v>350</v>
      </c>
      <c r="O57" s="217">
        <f t="shared" si="24"/>
        <v>2.6459951531721861</v>
      </c>
      <c r="P57" s="173">
        <f t="shared" si="25"/>
        <v>1.6889330764928847</v>
      </c>
      <c r="Q57" s="173">
        <f t="shared" si="26"/>
        <v>3.1282361141026529</v>
      </c>
      <c r="R57" s="173">
        <f t="shared" si="27"/>
        <v>0.85106382978723416</v>
      </c>
    </row>
    <row r="58" spans="3:18">
      <c r="C58" s="170">
        <v>52</v>
      </c>
      <c r="D58" s="5">
        <f t="shared" si="28"/>
        <v>27.36</v>
      </c>
      <c r="E58" s="443">
        <f t="shared" si="15"/>
        <v>18.8</v>
      </c>
      <c r="F58" s="217">
        <f t="shared" si="16"/>
        <v>0.40727902946273836</v>
      </c>
      <c r="G58" s="172">
        <f t="shared" si="17"/>
        <v>37.143847487001743</v>
      </c>
      <c r="H58" s="217">
        <f t="shared" si="18"/>
        <v>9.2859618717504357</v>
      </c>
      <c r="I58" s="443">
        <f t="shared" si="19"/>
        <v>46.16</v>
      </c>
      <c r="J58" s="172">
        <f t="shared" si="20"/>
        <v>1.35</v>
      </c>
      <c r="K58" s="172">
        <f t="shared" si="21"/>
        <v>0.5921052631578948</v>
      </c>
      <c r="L58" s="172">
        <f t="shared" si="22"/>
        <v>0.86170212765957444</v>
      </c>
      <c r="M58" s="443">
        <f t="shared" si="14"/>
        <v>350</v>
      </c>
      <c r="N58" s="197">
        <f t="shared" si="23"/>
        <v>350</v>
      </c>
      <c r="O58" s="217">
        <f t="shared" si="24"/>
        <v>2.6531319633572665</v>
      </c>
      <c r="P58" s="173">
        <f t="shared" si="25"/>
        <v>1.6934884872493188</v>
      </c>
      <c r="Q58" s="173">
        <f t="shared" si="26"/>
        <v>3.1451339045690987</v>
      </c>
      <c r="R58" s="173">
        <f t="shared" si="27"/>
        <v>0.85106382978723416</v>
      </c>
    </row>
    <row r="59" spans="3:18">
      <c r="C59" s="170">
        <v>53</v>
      </c>
      <c r="D59" s="5">
        <f t="shared" si="28"/>
        <v>27.54</v>
      </c>
      <c r="E59" s="443">
        <f t="shared" si="15"/>
        <v>18.8</v>
      </c>
      <c r="F59" s="217">
        <f t="shared" si="16"/>
        <v>0.40569702201122138</v>
      </c>
      <c r="G59" s="172">
        <f t="shared" si="17"/>
        <v>37.242986620630127</v>
      </c>
      <c r="H59" s="217">
        <f t="shared" si="18"/>
        <v>9.3107466551575317</v>
      </c>
      <c r="I59" s="443">
        <f t="shared" si="19"/>
        <v>46.34</v>
      </c>
      <c r="J59" s="172">
        <f t="shared" si="20"/>
        <v>1.35</v>
      </c>
      <c r="K59" s="172">
        <f t="shared" si="21"/>
        <v>0.58823529411764708</v>
      </c>
      <c r="L59" s="172">
        <f t="shared" si="22"/>
        <v>0.86170212765957444</v>
      </c>
      <c r="M59" s="443">
        <f t="shared" si="14"/>
        <v>350</v>
      </c>
      <c r="N59" s="197">
        <f t="shared" si="23"/>
        <v>350</v>
      </c>
      <c r="O59" s="217">
        <f t="shared" si="24"/>
        <v>2.6602133300450088</v>
      </c>
      <c r="P59" s="173">
        <f t="shared" si="25"/>
        <v>1.6980085085393672</v>
      </c>
      <c r="Q59" s="173">
        <f t="shared" si="26"/>
        <v>3.1619454082623886</v>
      </c>
      <c r="R59" s="173">
        <f t="shared" si="27"/>
        <v>0.85106382978723416</v>
      </c>
    </row>
    <row r="60" spans="3:18">
      <c r="C60" s="170">
        <v>54</v>
      </c>
      <c r="D60" s="5">
        <f t="shared" si="28"/>
        <v>27.72</v>
      </c>
      <c r="E60" s="443">
        <f t="shared" si="15"/>
        <v>18.8</v>
      </c>
      <c r="F60" s="217">
        <f t="shared" si="16"/>
        <v>0.40412725709372316</v>
      </c>
      <c r="G60" s="172">
        <f t="shared" si="17"/>
        <v>37.341358555460019</v>
      </c>
      <c r="H60" s="217">
        <f t="shared" si="18"/>
        <v>9.3353396388650047</v>
      </c>
      <c r="I60" s="443">
        <f t="shared" si="19"/>
        <v>46.519999999999996</v>
      </c>
      <c r="J60" s="172">
        <f t="shared" si="20"/>
        <v>1.35</v>
      </c>
      <c r="K60" s="172">
        <f t="shared" si="21"/>
        <v>0.5844155844155845</v>
      </c>
      <c r="L60" s="172">
        <f t="shared" si="22"/>
        <v>0.86170212765957444</v>
      </c>
      <c r="M60" s="443">
        <f t="shared" si="14"/>
        <v>350</v>
      </c>
      <c r="N60" s="197">
        <f t="shared" si="23"/>
        <v>350</v>
      </c>
      <c r="O60" s="217">
        <f t="shared" si="24"/>
        <v>2.6672398968185722</v>
      </c>
      <c r="P60" s="173">
        <f t="shared" si="25"/>
        <v>1.7024935511607908</v>
      </c>
      <c r="Q60" s="173">
        <f t="shared" si="26"/>
        <v>3.1786711066126747</v>
      </c>
      <c r="R60" s="173">
        <f t="shared" si="27"/>
        <v>0.85106382978723416</v>
      </c>
    </row>
    <row r="61" spans="3:18">
      <c r="C61" s="170">
        <v>55</v>
      </c>
      <c r="D61" s="5">
        <f t="shared" si="28"/>
        <v>27.9</v>
      </c>
      <c r="E61" s="443">
        <f t="shared" si="15"/>
        <v>18.8</v>
      </c>
      <c r="F61" s="217">
        <f t="shared" si="16"/>
        <v>0.40256959314775159</v>
      </c>
      <c r="G61" s="172">
        <f t="shared" si="17"/>
        <v>37.438972162740896</v>
      </c>
      <c r="H61" s="217">
        <f t="shared" si="18"/>
        <v>9.359743040685224</v>
      </c>
      <c r="I61" s="443">
        <f t="shared" si="19"/>
        <v>46.7</v>
      </c>
      <c r="J61" s="172">
        <f t="shared" si="20"/>
        <v>1.35</v>
      </c>
      <c r="K61" s="172">
        <f t="shared" si="21"/>
        <v>0.58064516129032273</v>
      </c>
      <c r="L61" s="172">
        <f t="shared" si="22"/>
        <v>0.86170212765957444</v>
      </c>
      <c r="M61" s="443">
        <f t="shared" si="14"/>
        <v>350</v>
      </c>
      <c r="N61" s="197">
        <f t="shared" si="23"/>
        <v>350</v>
      </c>
      <c r="O61" s="217">
        <f t="shared" si="24"/>
        <v>2.6742122973386353</v>
      </c>
      <c r="P61" s="173">
        <f t="shared" si="25"/>
        <v>1.7069440195778522</v>
      </c>
      <c r="Q61" s="173">
        <f t="shared" si="26"/>
        <v>3.195311481616613</v>
      </c>
      <c r="R61" s="173">
        <f t="shared" si="27"/>
        <v>0.85106382978723416</v>
      </c>
    </row>
    <row r="62" spans="3:18">
      <c r="C62" s="170">
        <v>56</v>
      </c>
      <c r="D62" s="5">
        <f t="shared" si="28"/>
        <v>28.080000000000002</v>
      </c>
      <c r="E62" s="443">
        <f t="shared" si="15"/>
        <v>18.8</v>
      </c>
      <c r="F62" s="217">
        <f t="shared" si="16"/>
        <v>0.40102389078498291</v>
      </c>
      <c r="G62" s="172">
        <f t="shared" si="17"/>
        <v>37.535836177474408</v>
      </c>
      <c r="H62" s="217">
        <f t="shared" si="18"/>
        <v>9.3839590443686021</v>
      </c>
      <c r="I62" s="443">
        <f t="shared" si="19"/>
        <v>46.88</v>
      </c>
      <c r="J62" s="172">
        <f t="shared" si="20"/>
        <v>1.35</v>
      </c>
      <c r="K62" s="172">
        <f t="shared" si="21"/>
        <v>0.57692307692307687</v>
      </c>
      <c r="L62" s="172">
        <f t="shared" si="22"/>
        <v>0.86170212765957444</v>
      </c>
      <c r="M62" s="443">
        <f t="shared" si="14"/>
        <v>350</v>
      </c>
      <c r="N62" s="197">
        <f t="shared" si="23"/>
        <v>350</v>
      </c>
      <c r="O62" s="217">
        <f t="shared" si="24"/>
        <v>2.6811311555338859</v>
      </c>
      <c r="P62" s="173">
        <f t="shared" si="25"/>
        <v>1.7113603120429057</v>
      </c>
      <c r="Q62" s="173">
        <f t="shared" si="26"/>
        <v>3.2118670156736995</v>
      </c>
      <c r="R62" s="173">
        <f t="shared" si="27"/>
        <v>0.85106382978723416</v>
      </c>
    </row>
    <row r="63" spans="3:18">
      <c r="C63" s="170">
        <v>57</v>
      </c>
      <c r="D63" s="5">
        <f t="shared" si="28"/>
        <v>28.259999999999998</v>
      </c>
      <c r="E63" s="443">
        <f t="shared" si="15"/>
        <v>18.8</v>
      </c>
      <c r="F63" s="217">
        <f t="shared" si="16"/>
        <v>0.39949001274968127</v>
      </c>
      <c r="G63" s="172">
        <f t="shared" si="17"/>
        <v>37.631959201019974</v>
      </c>
      <c r="H63" s="217">
        <f t="shared" si="18"/>
        <v>9.4079898002549935</v>
      </c>
      <c r="I63" s="443">
        <f t="shared" si="19"/>
        <v>47.06</v>
      </c>
      <c r="J63" s="172">
        <f t="shared" si="20"/>
        <v>1.35</v>
      </c>
      <c r="K63" s="172">
        <f t="shared" si="21"/>
        <v>0.57324840764331209</v>
      </c>
      <c r="L63" s="172">
        <f t="shared" si="22"/>
        <v>0.86170212765957444</v>
      </c>
      <c r="M63" s="443">
        <f t="shared" si="14"/>
        <v>350</v>
      </c>
      <c r="N63" s="197">
        <f t="shared" si="23"/>
        <v>350</v>
      </c>
      <c r="O63" s="217">
        <f t="shared" si="24"/>
        <v>2.6879970857871411</v>
      </c>
      <c r="P63" s="173">
        <f t="shared" si="25"/>
        <v>1.7157428207151963</v>
      </c>
      <c r="Q63" s="173">
        <f t="shared" si="26"/>
        <v>3.2283381914298599</v>
      </c>
      <c r="R63" s="173">
        <f t="shared" si="27"/>
        <v>0.85106382978723416</v>
      </c>
    </row>
    <row r="64" spans="3:18">
      <c r="C64" s="170">
        <v>58</v>
      </c>
      <c r="D64" s="5">
        <f t="shared" si="28"/>
        <v>28.439999999999998</v>
      </c>
      <c r="E64" s="443">
        <f t="shared" si="15"/>
        <v>18.8</v>
      </c>
      <c r="F64" s="217">
        <f t="shared" si="16"/>
        <v>0.3979678238780695</v>
      </c>
      <c r="G64" s="172">
        <f t="shared" si="17"/>
        <v>37.727349703640989</v>
      </c>
      <c r="H64" s="217">
        <f t="shared" si="18"/>
        <v>9.4318374259102473</v>
      </c>
      <c r="I64" s="443">
        <f t="shared" si="19"/>
        <v>47.239999999999995</v>
      </c>
      <c r="J64" s="172">
        <f t="shared" si="20"/>
        <v>1.35</v>
      </c>
      <c r="K64" s="172">
        <f t="shared" si="21"/>
        <v>0.569620253164557</v>
      </c>
      <c r="L64" s="172">
        <f t="shared" si="22"/>
        <v>0.86170212765957444</v>
      </c>
      <c r="M64" s="443">
        <f t="shared" si="14"/>
        <v>350</v>
      </c>
      <c r="N64" s="197">
        <f t="shared" si="23"/>
        <v>350</v>
      </c>
      <c r="O64" s="217">
        <f t="shared" si="24"/>
        <v>2.6948106931172129</v>
      </c>
      <c r="P64" s="173">
        <f t="shared" si="25"/>
        <v>1.7200919317769443</v>
      </c>
      <c r="Q64" s="173">
        <f t="shared" si="26"/>
        <v>3.2447254916280071</v>
      </c>
      <c r="R64" s="173">
        <f t="shared" si="27"/>
        <v>0.85106382978723416</v>
      </c>
    </row>
    <row r="65" spans="3:18">
      <c r="C65" s="170">
        <v>59</v>
      </c>
      <c r="D65" s="5">
        <f t="shared" si="28"/>
        <v>28.619999999999997</v>
      </c>
      <c r="E65" s="443">
        <f t="shared" si="15"/>
        <v>18.8</v>
      </c>
      <c r="F65" s="217">
        <f t="shared" si="16"/>
        <v>0.39645719105862504</v>
      </c>
      <c r="G65" s="172">
        <f t="shared" si="17"/>
        <v>37.822016026992827</v>
      </c>
      <c r="H65" s="217">
        <f t="shared" si="18"/>
        <v>9.4555040067482068</v>
      </c>
      <c r="I65" s="443">
        <f t="shared" si="19"/>
        <v>47.42</v>
      </c>
      <c r="J65" s="172">
        <f t="shared" si="20"/>
        <v>1.35</v>
      </c>
      <c r="K65" s="172">
        <f t="shared" si="21"/>
        <v>0.5660377358490567</v>
      </c>
      <c r="L65" s="172">
        <f t="shared" si="22"/>
        <v>0.86170212765957444</v>
      </c>
      <c r="M65" s="443">
        <f t="shared" si="14"/>
        <v>350</v>
      </c>
      <c r="N65" s="197">
        <f t="shared" si="23"/>
        <v>350</v>
      </c>
      <c r="O65" s="217">
        <f t="shared" si="24"/>
        <v>2.7015725733566303</v>
      </c>
      <c r="P65" s="173">
        <f t="shared" si="25"/>
        <v>1.7244080255467853</v>
      </c>
      <c r="Q65" s="173">
        <f t="shared" si="26"/>
        <v>3.2610293989652783</v>
      </c>
      <c r="R65" s="173">
        <f t="shared" si="27"/>
        <v>0.85106382978723416</v>
      </c>
    </row>
    <row r="66" spans="3:18">
      <c r="C66" s="170">
        <v>60</v>
      </c>
      <c r="D66" s="5">
        <f t="shared" si="28"/>
        <v>28.799999999999997</v>
      </c>
      <c r="E66" s="443">
        <f t="shared" si="15"/>
        <v>18.8</v>
      </c>
      <c r="F66" s="217">
        <f t="shared" si="16"/>
        <v>0.39495798319327735</v>
      </c>
      <c r="G66" s="172">
        <f t="shared" si="17"/>
        <v>37.915966386554622</v>
      </c>
      <c r="H66" s="217">
        <f t="shared" si="18"/>
        <v>9.4789915966386555</v>
      </c>
      <c r="I66" s="443">
        <f t="shared" si="19"/>
        <v>47.599999999999994</v>
      </c>
      <c r="J66" s="172">
        <f t="shared" si="20"/>
        <v>1.35</v>
      </c>
      <c r="K66" s="172">
        <f t="shared" si="21"/>
        <v>0.56250000000000011</v>
      </c>
      <c r="L66" s="172">
        <f t="shared" si="22"/>
        <v>0.86170212765957444</v>
      </c>
      <c r="M66" s="443">
        <f t="shared" si="14"/>
        <v>350</v>
      </c>
      <c r="N66" s="197">
        <f t="shared" si="23"/>
        <v>350</v>
      </c>
      <c r="O66" s="217">
        <f t="shared" si="24"/>
        <v>2.7082833133253299</v>
      </c>
      <c r="P66" s="173">
        <f t="shared" si="25"/>
        <v>1.728691476590636</v>
      </c>
      <c r="Q66" s="173">
        <f t="shared" si="26"/>
        <v>3.2772503959567012</v>
      </c>
      <c r="R66" s="173">
        <f t="shared" si="27"/>
        <v>0.85106382978723416</v>
      </c>
    </row>
    <row r="67" spans="3:18">
      <c r="C67" s="170">
        <v>61</v>
      </c>
      <c r="D67" s="5">
        <f t="shared" si="28"/>
        <v>28.98</v>
      </c>
      <c r="E67" s="443">
        <f t="shared" si="15"/>
        <v>18.8</v>
      </c>
      <c r="F67" s="217">
        <f t="shared" si="16"/>
        <v>0.39347007115948096</v>
      </c>
      <c r="G67" s="172">
        <f t="shared" si="17"/>
        <v>38.009208874005864</v>
      </c>
      <c r="H67" s="217">
        <f t="shared" si="18"/>
        <v>9.5023022185014661</v>
      </c>
      <c r="I67" s="443">
        <f t="shared" si="19"/>
        <v>47.78</v>
      </c>
      <c r="J67" s="172">
        <f t="shared" si="20"/>
        <v>1.35</v>
      </c>
      <c r="K67" s="172">
        <f t="shared" si="21"/>
        <v>0.55900621118012428</v>
      </c>
      <c r="L67" s="172">
        <f t="shared" si="22"/>
        <v>0.86170212765957444</v>
      </c>
      <c r="M67" s="443">
        <f t="shared" si="14"/>
        <v>350</v>
      </c>
      <c r="N67" s="197">
        <f t="shared" si="23"/>
        <v>350</v>
      </c>
      <c r="O67" s="217">
        <f t="shared" si="24"/>
        <v>2.7149434910004184</v>
      </c>
      <c r="P67" s="173">
        <f t="shared" si="25"/>
        <v>1.7329426538300543</v>
      </c>
      <c r="Q67" s="173">
        <f t="shared" si="26"/>
        <v>3.2933889648050281</v>
      </c>
      <c r="R67" s="173">
        <f t="shared" si="27"/>
        <v>0.85106382978723416</v>
      </c>
    </row>
    <row r="68" spans="3:18">
      <c r="C68" s="170">
        <v>62</v>
      </c>
      <c r="D68" s="5">
        <f t="shared" si="28"/>
        <v>29.16</v>
      </c>
      <c r="E68" s="443">
        <f t="shared" si="15"/>
        <v>18.8</v>
      </c>
      <c r="F68" s="217">
        <f t="shared" si="16"/>
        <v>0.39199332777314427</v>
      </c>
      <c r="G68" s="172">
        <f t="shared" si="17"/>
        <v>38.101751459549625</v>
      </c>
      <c r="H68" s="217">
        <f t="shared" si="18"/>
        <v>9.5254378648874063</v>
      </c>
      <c r="I68" s="443">
        <f t="shared" si="19"/>
        <v>47.96</v>
      </c>
      <c r="J68" s="172">
        <f t="shared" si="20"/>
        <v>1.35</v>
      </c>
      <c r="K68" s="172">
        <f t="shared" si="21"/>
        <v>0.55555555555555558</v>
      </c>
      <c r="L68" s="172">
        <f t="shared" si="22"/>
        <v>0.86170212765957444</v>
      </c>
      <c r="M68" s="443">
        <f t="shared" si="14"/>
        <v>350</v>
      </c>
      <c r="N68" s="197">
        <f t="shared" si="23"/>
        <v>350</v>
      </c>
      <c r="O68" s="217">
        <f t="shared" si="24"/>
        <v>2.7215536756821161</v>
      </c>
      <c r="P68" s="173">
        <f t="shared" si="25"/>
        <v>1.7371619206481592</v>
      </c>
      <c r="Q68" s="173">
        <f t="shared" si="26"/>
        <v>3.3094455872765014</v>
      </c>
      <c r="R68" s="173">
        <f t="shared" si="27"/>
        <v>0.85106382978723416</v>
      </c>
    </row>
    <row r="69" spans="3:18">
      <c r="C69" s="170">
        <v>63</v>
      </c>
      <c r="D69" s="5">
        <f t="shared" si="28"/>
        <v>29.34</v>
      </c>
      <c r="E69" s="443">
        <f t="shared" si="15"/>
        <v>18.8</v>
      </c>
      <c r="F69" s="217">
        <f t="shared" si="16"/>
        <v>0.39052762775238886</v>
      </c>
      <c r="G69" s="172">
        <f t="shared" si="17"/>
        <v>38.193601994183631</v>
      </c>
      <c r="H69" s="217">
        <f t="shared" si="18"/>
        <v>9.5484004985459077</v>
      </c>
      <c r="I69" s="443">
        <f t="shared" si="19"/>
        <v>48.14</v>
      </c>
      <c r="J69" s="172">
        <f t="shared" si="20"/>
        <v>1.35</v>
      </c>
      <c r="K69" s="172">
        <f t="shared" si="21"/>
        <v>0.55214723926380371</v>
      </c>
      <c r="L69" s="172">
        <f t="shared" si="22"/>
        <v>0.86170212765957444</v>
      </c>
      <c r="M69" s="443">
        <f t="shared" si="14"/>
        <v>350</v>
      </c>
      <c r="N69" s="197">
        <f t="shared" si="23"/>
        <v>350</v>
      </c>
      <c r="O69" s="217">
        <f t="shared" si="24"/>
        <v>2.7281144281559735</v>
      </c>
      <c r="P69" s="173">
        <f t="shared" si="25"/>
        <v>1.7413496349931745</v>
      </c>
      <c r="Q69" s="173">
        <f t="shared" si="26"/>
        <v>3.3254207445823121</v>
      </c>
      <c r="R69" s="173">
        <f t="shared" si="27"/>
        <v>0.85106382978723416</v>
      </c>
    </row>
    <row r="70" spans="3:18">
      <c r="C70" s="170">
        <v>64</v>
      </c>
      <c r="D70" s="5">
        <f t="shared" si="28"/>
        <v>29.52</v>
      </c>
      <c r="E70" s="443">
        <f t="shared" ref="E70:E106" si="29">(Vout+Vfwd1)*Nps</f>
        <v>18.8</v>
      </c>
      <c r="F70" s="217">
        <f t="shared" ref="F70:F106" si="30">(Vout+Vfwd1)*Nps/((Vout+Vfwd1)*Nps+D70)</f>
        <v>0.38907284768211919</v>
      </c>
      <c r="G70" s="172">
        <f t="shared" ref="G70:G101" si="31">F70*D70*Isw_max*0.5*Efficiency</f>
        <v>38.284768211920529</v>
      </c>
      <c r="H70" s="217">
        <f t="shared" ref="H70:H101" si="32">G70/Vout</f>
        <v>9.5711920529801322</v>
      </c>
      <c r="I70" s="443">
        <f t="shared" ref="I70:I106" si="33">(Vout+Vfwd1)*Nps+D70</f>
        <v>48.32</v>
      </c>
      <c r="J70" s="172">
        <f t="shared" ref="J70:J106" si="34">MIN(2*Vout*Iout/(Efficiency*D70*F70), 1.35)</f>
        <v>1.35</v>
      </c>
      <c r="K70" s="172">
        <f t="shared" ref="K70:K101" si="35">L*J70/D70*1000000</f>
        <v>0.54878048780487809</v>
      </c>
      <c r="L70" s="172">
        <f t="shared" ref="L70:L106" si="36">L*J70/((Vout+Vfwd1)*Nps)*1000000</f>
        <v>0.86170212765957444</v>
      </c>
      <c r="M70" s="443">
        <f t="shared" si="14"/>
        <v>350</v>
      </c>
      <c r="N70" s="197">
        <f t="shared" ref="N70:N106" si="37">IF(1/((350000*L)*(1/D70+1/E70))&gt;Isw_min, 350, 0.001/((Isw_min*L)*(1/D70+1/E70)))</f>
        <v>350</v>
      </c>
      <c r="O70" s="217">
        <f t="shared" ref="O70:O101" si="38">1/((N70*1000*L)*(1/D70+1/E70))</f>
        <v>2.734626300851466</v>
      </c>
      <c r="P70" s="173">
        <f t="shared" ref="P70:P101" si="39">L*O70/E70*1000000</f>
        <v>1.7455061494796591</v>
      </c>
      <c r="Q70" s="173">
        <f t="shared" ref="Q70:Q101" si="40">0.5*P70*O70*Nps*N70/1000</f>
        <v>3.3413149172655321</v>
      </c>
      <c r="R70" s="173">
        <f t="shared" ref="R70:R106" si="41">L*Isw_min/E70*1000000</f>
        <v>0.85106382978723416</v>
      </c>
    </row>
    <row r="71" spans="3:18">
      <c r="C71" s="170">
        <v>65</v>
      </c>
      <c r="D71" s="5">
        <f t="shared" ref="D71:D102" si="42">C71/100*(VIN_max-VIN_min)+VIN_min</f>
        <v>29.700000000000003</v>
      </c>
      <c r="E71" s="443">
        <f t="shared" si="29"/>
        <v>18.8</v>
      </c>
      <c r="F71" s="217">
        <f t="shared" si="30"/>
        <v>0.38762886597938145</v>
      </c>
      <c r="G71" s="172">
        <f t="shared" si="31"/>
        <v>38.375257731958769</v>
      </c>
      <c r="H71" s="217">
        <f t="shared" si="32"/>
        <v>9.5938144329896922</v>
      </c>
      <c r="I71" s="443">
        <f t="shared" si="33"/>
        <v>48.5</v>
      </c>
      <c r="J71" s="172">
        <f t="shared" si="34"/>
        <v>1.35</v>
      </c>
      <c r="K71" s="172">
        <f t="shared" si="35"/>
        <v>0.54545454545454541</v>
      </c>
      <c r="L71" s="172">
        <f t="shared" si="36"/>
        <v>0.86170212765957444</v>
      </c>
      <c r="M71" s="443">
        <f t="shared" ref="M71:M106" si="43">MIN(1/(K71+L71)*1000, 350)</f>
        <v>350</v>
      </c>
      <c r="N71" s="197">
        <f t="shared" si="37"/>
        <v>350</v>
      </c>
      <c r="O71" s="217">
        <f t="shared" si="38"/>
        <v>2.7410898379970541</v>
      </c>
      <c r="P71" s="173">
        <f t="shared" si="39"/>
        <v>1.7496318114874814</v>
      </c>
      <c r="Q71" s="173">
        <f t="shared" si="40"/>
        <v>3.357128585093299</v>
      </c>
      <c r="R71" s="173">
        <f t="shared" si="41"/>
        <v>0.85106382978723416</v>
      </c>
    </row>
    <row r="72" spans="3:18">
      <c r="C72" s="170">
        <v>66</v>
      </c>
      <c r="D72" s="5">
        <f t="shared" si="42"/>
        <v>29.880000000000003</v>
      </c>
      <c r="E72" s="443">
        <f t="shared" si="29"/>
        <v>18.8</v>
      </c>
      <c r="F72" s="217">
        <f t="shared" si="30"/>
        <v>0.38619556285949053</v>
      </c>
      <c r="G72" s="172">
        <f t="shared" si="31"/>
        <v>38.465078060805261</v>
      </c>
      <c r="H72" s="217">
        <f t="shared" si="32"/>
        <v>9.6162695152013153</v>
      </c>
      <c r="I72" s="443">
        <f t="shared" si="33"/>
        <v>48.680000000000007</v>
      </c>
      <c r="J72" s="172">
        <f t="shared" si="34"/>
        <v>1.35</v>
      </c>
      <c r="K72" s="172">
        <f t="shared" si="35"/>
        <v>0.54216867469879515</v>
      </c>
      <c r="L72" s="172">
        <f t="shared" si="36"/>
        <v>0.86170212765957444</v>
      </c>
      <c r="M72" s="443">
        <f t="shared" si="43"/>
        <v>350</v>
      </c>
      <c r="N72" s="197">
        <f t="shared" si="37"/>
        <v>350</v>
      </c>
      <c r="O72" s="217">
        <f t="shared" si="38"/>
        <v>2.7475055757718043</v>
      </c>
      <c r="P72" s="173">
        <f t="shared" si="39"/>
        <v>1.7537269632585983</v>
      </c>
      <c r="Q72" s="173">
        <f t="shared" si="40"/>
        <v>3.3728622269540476</v>
      </c>
      <c r="R72" s="173">
        <f t="shared" si="41"/>
        <v>0.85106382978723416</v>
      </c>
    </row>
    <row r="73" spans="3:18">
      <c r="C73" s="170">
        <v>67</v>
      </c>
      <c r="D73" s="5">
        <f t="shared" si="42"/>
        <v>30.060000000000002</v>
      </c>
      <c r="E73" s="443">
        <f t="shared" si="29"/>
        <v>18.8</v>
      </c>
      <c r="F73" s="217">
        <f t="shared" si="30"/>
        <v>0.38477282030290627</v>
      </c>
      <c r="G73" s="172">
        <f t="shared" si="31"/>
        <v>38.55423659435121</v>
      </c>
      <c r="H73" s="217">
        <f t="shared" si="32"/>
        <v>9.6385591485878024</v>
      </c>
      <c r="I73" s="443">
        <f t="shared" si="33"/>
        <v>48.86</v>
      </c>
      <c r="J73" s="172">
        <f t="shared" si="34"/>
        <v>1.35</v>
      </c>
      <c r="K73" s="172">
        <f t="shared" si="35"/>
        <v>0.53892215568862267</v>
      </c>
      <c r="L73" s="172">
        <f t="shared" si="36"/>
        <v>0.86170212765957444</v>
      </c>
      <c r="M73" s="443">
        <f t="shared" si="43"/>
        <v>350</v>
      </c>
      <c r="N73" s="197">
        <f t="shared" si="37"/>
        <v>350</v>
      </c>
      <c r="O73" s="217">
        <f t="shared" si="38"/>
        <v>2.7538740424536576</v>
      </c>
      <c r="P73" s="173">
        <f t="shared" si="39"/>
        <v>1.7577919419916963</v>
      </c>
      <c r="Q73" s="173">
        <f t="shared" si="40"/>
        <v>3.3885163207595963</v>
      </c>
      <c r="R73" s="173">
        <f t="shared" si="41"/>
        <v>0.85106382978723416</v>
      </c>
    </row>
    <row r="74" spans="3:18">
      <c r="C74" s="170">
        <v>68</v>
      </c>
      <c r="D74" s="5">
        <f t="shared" si="42"/>
        <v>30.240000000000002</v>
      </c>
      <c r="E74" s="443">
        <f t="shared" si="29"/>
        <v>18.8</v>
      </c>
      <c r="F74" s="217">
        <f t="shared" si="30"/>
        <v>0.38336052202283849</v>
      </c>
      <c r="G74" s="172">
        <f t="shared" si="31"/>
        <v>38.642740619902121</v>
      </c>
      <c r="H74" s="217">
        <f t="shared" si="32"/>
        <v>9.6606851549755302</v>
      </c>
      <c r="I74" s="443">
        <f t="shared" si="33"/>
        <v>49.040000000000006</v>
      </c>
      <c r="J74" s="172">
        <f t="shared" si="34"/>
        <v>1.35</v>
      </c>
      <c r="K74" s="172">
        <f t="shared" si="35"/>
        <v>0.5357142857142857</v>
      </c>
      <c r="L74" s="172">
        <f t="shared" si="36"/>
        <v>0.86170212765957444</v>
      </c>
      <c r="M74" s="443">
        <f t="shared" si="43"/>
        <v>350</v>
      </c>
      <c r="N74" s="197">
        <f t="shared" si="37"/>
        <v>350</v>
      </c>
      <c r="O74" s="217">
        <f t="shared" si="38"/>
        <v>2.760195758564437</v>
      </c>
      <c r="P74" s="173">
        <f t="shared" si="39"/>
        <v>1.7618270799347471</v>
      </c>
      <c r="Q74" s="173">
        <f t="shared" si="40"/>
        <v>3.4040913433518996</v>
      </c>
      <c r="R74" s="173">
        <f t="shared" si="41"/>
        <v>0.85106382978723416</v>
      </c>
    </row>
    <row r="75" spans="3:18">
      <c r="C75" s="170">
        <v>69</v>
      </c>
      <c r="D75" s="5">
        <f t="shared" si="42"/>
        <v>30.419999999999998</v>
      </c>
      <c r="E75" s="443">
        <f t="shared" si="29"/>
        <v>18.8</v>
      </c>
      <c r="F75" s="217">
        <f t="shared" si="30"/>
        <v>0.38195855343356361</v>
      </c>
      <c r="G75" s="172">
        <f t="shared" si="31"/>
        <v>38.730597318163348</v>
      </c>
      <c r="H75" s="217">
        <f t="shared" si="32"/>
        <v>9.6826493295408369</v>
      </c>
      <c r="I75" s="443">
        <f t="shared" si="33"/>
        <v>49.22</v>
      </c>
      <c r="J75" s="172">
        <f t="shared" si="34"/>
        <v>1.35</v>
      </c>
      <c r="K75" s="172">
        <f t="shared" si="35"/>
        <v>0.53254437869822491</v>
      </c>
      <c r="L75" s="172">
        <f t="shared" si="36"/>
        <v>0.86170212765957444</v>
      </c>
      <c r="M75" s="443">
        <f t="shared" si="43"/>
        <v>350</v>
      </c>
      <c r="N75" s="197">
        <f t="shared" si="37"/>
        <v>350</v>
      </c>
      <c r="O75" s="217">
        <f t="shared" si="38"/>
        <v>2.7664712370116673</v>
      </c>
      <c r="P75" s="173">
        <f t="shared" si="39"/>
        <v>1.7658327044755322</v>
      </c>
      <c r="Q75" s="173">
        <f t="shared" si="40"/>
        <v>3.4195877704142585</v>
      </c>
      <c r="R75" s="173">
        <f t="shared" si="41"/>
        <v>0.85106382978723416</v>
      </c>
    </row>
    <row r="76" spans="3:18">
      <c r="C76" s="170">
        <v>70</v>
      </c>
      <c r="D76" s="5">
        <f t="shared" si="42"/>
        <v>30.6</v>
      </c>
      <c r="E76" s="443">
        <f t="shared" si="29"/>
        <v>18.8</v>
      </c>
      <c r="F76" s="217">
        <f t="shared" si="30"/>
        <v>0.38056680161943318</v>
      </c>
      <c r="G76" s="172">
        <f t="shared" si="31"/>
        <v>38.817813765182187</v>
      </c>
      <c r="H76" s="217">
        <f t="shared" si="32"/>
        <v>9.7044534412955468</v>
      </c>
      <c r="I76" s="443">
        <f t="shared" si="33"/>
        <v>49.400000000000006</v>
      </c>
      <c r="J76" s="172">
        <f t="shared" si="34"/>
        <v>1.35</v>
      </c>
      <c r="K76" s="172">
        <f t="shared" si="35"/>
        <v>0.52941176470588236</v>
      </c>
      <c r="L76" s="172">
        <f t="shared" si="36"/>
        <v>0.86170212765957444</v>
      </c>
      <c r="M76" s="443">
        <f t="shared" si="43"/>
        <v>350</v>
      </c>
      <c r="N76" s="197">
        <f t="shared" si="37"/>
        <v>350</v>
      </c>
      <c r="O76" s="217">
        <f t="shared" si="38"/>
        <v>2.7727009832272991</v>
      </c>
      <c r="P76" s="173">
        <f t="shared" si="39"/>
        <v>1.7698091382301908</v>
      </c>
      <c r="Q76" s="173">
        <f t="shared" si="40"/>
        <v>3.4350060763868564</v>
      </c>
      <c r="R76" s="173">
        <f t="shared" si="41"/>
        <v>0.85106382978723416</v>
      </c>
    </row>
    <row r="77" spans="3:18">
      <c r="C77" s="170">
        <v>71</v>
      </c>
      <c r="D77" s="5">
        <f t="shared" si="42"/>
        <v>30.78</v>
      </c>
      <c r="E77" s="443">
        <f t="shared" si="29"/>
        <v>18.8</v>
      </c>
      <c r="F77" s="217">
        <f t="shared" si="30"/>
        <v>0.37918515530455832</v>
      </c>
      <c r="G77" s="172">
        <f t="shared" si="31"/>
        <v>38.904396934247686</v>
      </c>
      <c r="H77" s="217">
        <f t="shared" si="32"/>
        <v>9.7260992335619214</v>
      </c>
      <c r="I77" s="443">
        <f t="shared" si="33"/>
        <v>49.58</v>
      </c>
      <c r="J77" s="172">
        <f t="shared" si="34"/>
        <v>1.35</v>
      </c>
      <c r="K77" s="172">
        <f t="shared" si="35"/>
        <v>0.52631578947368429</v>
      </c>
      <c r="L77" s="172">
        <f t="shared" si="36"/>
        <v>0.86170212765957444</v>
      </c>
      <c r="M77" s="443">
        <f t="shared" si="43"/>
        <v>350</v>
      </c>
      <c r="N77" s="197">
        <f t="shared" si="37"/>
        <v>350</v>
      </c>
      <c r="O77" s="217">
        <f t="shared" si="38"/>
        <v>2.7788854953034057</v>
      </c>
      <c r="P77" s="173">
        <f t="shared" si="39"/>
        <v>1.7737566991298335</v>
      </c>
      <c r="Q77" s="173">
        <f t="shared" si="40"/>
        <v>3.4503467343863985</v>
      </c>
      <c r="R77" s="173">
        <f t="shared" si="41"/>
        <v>0.85106382978723416</v>
      </c>
    </row>
    <row r="78" spans="3:18">
      <c r="C78" s="170">
        <v>72</v>
      </c>
      <c r="D78" s="5">
        <f t="shared" si="42"/>
        <v>30.96</v>
      </c>
      <c r="E78" s="443">
        <f t="shared" si="29"/>
        <v>18.8</v>
      </c>
      <c r="F78" s="217">
        <f t="shared" si="30"/>
        <v>0.37781350482315113</v>
      </c>
      <c r="G78" s="172">
        <f t="shared" si="31"/>
        <v>38.9903536977492</v>
      </c>
      <c r="H78" s="217">
        <f t="shared" si="32"/>
        <v>9.7475884244372999</v>
      </c>
      <c r="I78" s="443">
        <f t="shared" si="33"/>
        <v>49.760000000000005</v>
      </c>
      <c r="J78" s="172">
        <f t="shared" si="34"/>
        <v>1.35</v>
      </c>
      <c r="K78" s="172">
        <f t="shared" si="35"/>
        <v>0.52325581395348841</v>
      </c>
      <c r="L78" s="172">
        <f t="shared" si="36"/>
        <v>0.86170212765957444</v>
      </c>
      <c r="M78" s="443">
        <f t="shared" si="43"/>
        <v>350</v>
      </c>
      <c r="N78" s="197">
        <f t="shared" si="37"/>
        <v>350</v>
      </c>
      <c r="O78" s="217">
        <f t="shared" si="38"/>
        <v>2.7850252641249424</v>
      </c>
      <c r="P78" s="173">
        <f t="shared" si="39"/>
        <v>1.7776757005052826</v>
      </c>
      <c r="Q78" s="173">
        <f t="shared" si="40"/>
        <v>3.4656102161297517</v>
      </c>
      <c r="R78" s="173">
        <f t="shared" si="41"/>
        <v>0.85106382978723416</v>
      </c>
    </row>
    <row r="79" spans="3:18">
      <c r="C79" s="170">
        <v>73</v>
      </c>
      <c r="D79" s="5">
        <f t="shared" si="42"/>
        <v>31.14</v>
      </c>
      <c r="E79" s="443">
        <f t="shared" si="29"/>
        <v>18.8</v>
      </c>
      <c r="F79" s="217">
        <f t="shared" si="30"/>
        <v>0.37645174209050863</v>
      </c>
      <c r="G79" s="172">
        <f t="shared" si="31"/>
        <v>39.075690828994802</v>
      </c>
      <c r="H79" s="217">
        <f t="shared" si="32"/>
        <v>9.7689227072487004</v>
      </c>
      <c r="I79" s="443">
        <f t="shared" si="33"/>
        <v>49.94</v>
      </c>
      <c r="J79" s="172">
        <f t="shared" si="34"/>
        <v>1.35</v>
      </c>
      <c r="K79" s="172">
        <f t="shared" si="35"/>
        <v>0.52023121387283233</v>
      </c>
      <c r="L79" s="172">
        <f t="shared" si="36"/>
        <v>0.86170212765957444</v>
      </c>
      <c r="M79" s="443">
        <f t="shared" si="43"/>
        <v>350</v>
      </c>
      <c r="N79" s="197">
        <f t="shared" si="37"/>
        <v>350</v>
      </c>
      <c r="O79" s="217">
        <f t="shared" si="38"/>
        <v>2.7911207734996282</v>
      </c>
      <c r="P79" s="173">
        <f t="shared" si="39"/>
        <v>1.7815664511699754</v>
      </c>
      <c r="Q79" s="173">
        <f t="shared" si="40"/>
        <v>3.4807969918613701</v>
      </c>
      <c r="R79" s="173">
        <f t="shared" si="41"/>
        <v>0.85106382978723416</v>
      </c>
    </row>
    <row r="80" spans="3:18">
      <c r="C80" s="170">
        <v>74</v>
      </c>
      <c r="D80" s="5">
        <f t="shared" si="42"/>
        <v>31.32</v>
      </c>
      <c r="E80" s="443">
        <f t="shared" si="29"/>
        <v>18.8</v>
      </c>
      <c r="F80" s="217">
        <f t="shared" si="30"/>
        <v>0.37509976057462091</v>
      </c>
      <c r="G80" s="172">
        <f t="shared" si="31"/>
        <v>39.160415003990423</v>
      </c>
      <c r="H80" s="217">
        <f t="shared" si="32"/>
        <v>9.7901037509976057</v>
      </c>
      <c r="I80" s="443">
        <f t="shared" si="33"/>
        <v>50.120000000000005</v>
      </c>
      <c r="J80" s="172">
        <f t="shared" si="34"/>
        <v>1.35</v>
      </c>
      <c r="K80" s="172">
        <f t="shared" si="35"/>
        <v>0.51724137931034486</v>
      </c>
      <c r="L80" s="172">
        <f t="shared" si="36"/>
        <v>0.86170212765957444</v>
      </c>
      <c r="M80" s="443">
        <f t="shared" si="43"/>
        <v>350</v>
      </c>
      <c r="N80" s="197">
        <f t="shared" si="37"/>
        <v>350</v>
      </c>
      <c r="O80" s="217">
        <f t="shared" si="38"/>
        <v>2.7971725002850301</v>
      </c>
      <c r="P80" s="173">
        <f t="shared" si="39"/>
        <v>1.7854292555010829</v>
      </c>
      <c r="Q80" s="173">
        <f t="shared" si="40"/>
        <v>3.4959075302844025</v>
      </c>
      <c r="R80" s="173">
        <f t="shared" si="41"/>
        <v>0.85106382978723416</v>
      </c>
    </row>
    <row r="81" spans="3:18">
      <c r="C81" s="170">
        <v>75</v>
      </c>
      <c r="D81" s="5">
        <f t="shared" si="42"/>
        <v>31.5</v>
      </c>
      <c r="E81" s="443">
        <f t="shared" si="29"/>
        <v>18.8</v>
      </c>
      <c r="F81" s="217">
        <f t="shared" si="30"/>
        <v>0.37375745526838972</v>
      </c>
      <c r="G81" s="172">
        <f t="shared" si="31"/>
        <v>39.244532803180924</v>
      </c>
      <c r="H81" s="217">
        <f t="shared" si="32"/>
        <v>9.811133200795231</v>
      </c>
      <c r="I81" s="443">
        <f t="shared" si="33"/>
        <v>50.3</v>
      </c>
      <c r="J81" s="172">
        <f t="shared" si="34"/>
        <v>1.35</v>
      </c>
      <c r="K81" s="172">
        <f t="shared" si="35"/>
        <v>0.51428571428571435</v>
      </c>
      <c r="L81" s="172">
        <f t="shared" si="36"/>
        <v>0.86170212765957444</v>
      </c>
      <c r="M81" s="443">
        <f t="shared" si="43"/>
        <v>350</v>
      </c>
      <c r="N81" s="197">
        <f t="shared" si="37"/>
        <v>350</v>
      </c>
      <c r="O81" s="217">
        <f t="shared" si="38"/>
        <v>2.8031809145129229</v>
      </c>
      <c r="P81" s="173">
        <f t="shared" si="39"/>
        <v>1.7892644135188869</v>
      </c>
      <c r="Q81" s="173">
        <f t="shared" si="40"/>
        <v>3.5109422984953111</v>
      </c>
      <c r="R81" s="173">
        <f t="shared" si="41"/>
        <v>0.85106382978723416</v>
      </c>
    </row>
    <row r="82" spans="3:18">
      <c r="C82" s="170">
        <v>76</v>
      </c>
      <c r="D82" s="5">
        <f t="shared" si="42"/>
        <v>31.68</v>
      </c>
      <c r="E82" s="443">
        <f t="shared" si="29"/>
        <v>18.8</v>
      </c>
      <c r="F82" s="217">
        <f t="shared" si="30"/>
        <v>0.37242472266244053</v>
      </c>
      <c r="G82" s="172">
        <f t="shared" si="31"/>
        <v>39.328050713153722</v>
      </c>
      <c r="H82" s="217">
        <f t="shared" si="32"/>
        <v>9.8320126782884305</v>
      </c>
      <c r="I82" s="443">
        <f t="shared" si="33"/>
        <v>50.480000000000004</v>
      </c>
      <c r="J82" s="172">
        <f t="shared" si="34"/>
        <v>1.35</v>
      </c>
      <c r="K82" s="172">
        <f t="shared" si="35"/>
        <v>0.51136363636363646</v>
      </c>
      <c r="L82" s="172">
        <f t="shared" si="36"/>
        <v>0.86170212765957444</v>
      </c>
      <c r="M82" s="443">
        <f t="shared" si="43"/>
        <v>350</v>
      </c>
      <c r="N82" s="197">
        <f t="shared" si="37"/>
        <v>350</v>
      </c>
      <c r="O82" s="217">
        <f t="shared" si="38"/>
        <v>2.80914647951098</v>
      </c>
      <c r="P82" s="173">
        <f t="shared" si="39"/>
        <v>1.7930722209644552</v>
      </c>
      <c r="Q82" s="173">
        <f t="shared" si="40"/>
        <v>3.5259017619218631</v>
      </c>
      <c r="R82" s="173">
        <f t="shared" si="41"/>
        <v>0.85106382978723416</v>
      </c>
    </row>
    <row r="83" spans="3:18">
      <c r="C83" s="170">
        <v>77</v>
      </c>
      <c r="D83" s="5">
        <f t="shared" si="42"/>
        <v>31.86</v>
      </c>
      <c r="E83" s="443">
        <f t="shared" si="29"/>
        <v>18.8</v>
      </c>
      <c r="F83" s="217">
        <f t="shared" si="30"/>
        <v>0.37110146071851563</v>
      </c>
      <c r="G83" s="172">
        <f t="shared" si="31"/>
        <v>39.410975128306362</v>
      </c>
      <c r="H83" s="217">
        <f t="shared" si="32"/>
        <v>9.8527437820765904</v>
      </c>
      <c r="I83" s="443">
        <f t="shared" si="33"/>
        <v>50.66</v>
      </c>
      <c r="J83" s="172">
        <f t="shared" si="34"/>
        <v>1.35</v>
      </c>
      <c r="K83" s="172">
        <f t="shared" si="35"/>
        <v>0.50847457627118642</v>
      </c>
      <c r="L83" s="172">
        <f t="shared" si="36"/>
        <v>0.86170212765957444</v>
      </c>
      <c r="M83" s="443">
        <f t="shared" si="43"/>
        <v>350</v>
      </c>
      <c r="N83" s="197">
        <f t="shared" si="37"/>
        <v>350</v>
      </c>
      <c r="O83" s="217">
        <f t="shared" si="38"/>
        <v>2.8150696520218825</v>
      </c>
      <c r="P83" s="173">
        <f t="shared" si="39"/>
        <v>1.7968529693756696</v>
      </c>
      <c r="Q83" s="173">
        <f t="shared" si="40"/>
        <v>3.5407863842643965</v>
      </c>
      <c r="R83" s="173">
        <f t="shared" si="41"/>
        <v>0.85106382978723416</v>
      </c>
    </row>
    <row r="84" spans="3:18">
      <c r="C84" s="170">
        <v>78</v>
      </c>
      <c r="D84" s="5">
        <f t="shared" si="42"/>
        <v>32.04</v>
      </c>
      <c r="E84" s="443">
        <f t="shared" si="29"/>
        <v>18.8</v>
      </c>
      <c r="F84" s="217">
        <f t="shared" si="30"/>
        <v>0.36978756884343034</v>
      </c>
      <c r="G84" s="172">
        <f t="shared" si="31"/>
        <v>39.493312352478355</v>
      </c>
      <c r="H84" s="217">
        <f t="shared" si="32"/>
        <v>9.8733280881195888</v>
      </c>
      <c r="I84" s="443">
        <f t="shared" si="33"/>
        <v>50.84</v>
      </c>
      <c r="J84" s="172">
        <f t="shared" si="34"/>
        <v>1.35</v>
      </c>
      <c r="K84" s="172">
        <f t="shared" si="35"/>
        <v>0.50561797752809001</v>
      </c>
      <c r="L84" s="172">
        <f t="shared" si="36"/>
        <v>0.86170212765957444</v>
      </c>
      <c r="M84" s="443">
        <f t="shared" si="43"/>
        <v>350</v>
      </c>
      <c r="N84" s="197">
        <f t="shared" si="37"/>
        <v>350</v>
      </c>
      <c r="O84" s="217">
        <f t="shared" si="38"/>
        <v>2.8209508823198828</v>
      </c>
      <c r="P84" s="173">
        <f t="shared" si="39"/>
        <v>1.8006069461616274</v>
      </c>
      <c r="Q84" s="173">
        <f t="shared" si="40"/>
        <v>3.5555966274401665</v>
      </c>
      <c r="R84" s="173">
        <f t="shared" si="41"/>
        <v>0.85106382978723416</v>
      </c>
    </row>
    <row r="85" spans="3:18">
      <c r="C85" s="170">
        <v>79</v>
      </c>
      <c r="D85" s="5">
        <f t="shared" si="42"/>
        <v>32.22</v>
      </c>
      <c r="E85" s="443">
        <f t="shared" si="29"/>
        <v>18.8</v>
      </c>
      <c r="F85" s="217">
        <f t="shared" si="30"/>
        <v>0.36848294786358293</v>
      </c>
      <c r="G85" s="172">
        <f t="shared" si="31"/>
        <v>39.575068600548803</v>
      </c>
      <c r="H85" s="217">
        <f t="shared" si="32"/>
        <v>9.8937671501372009</v>
      </c>
      <c r="I85" s="443">
        <f t="shared" si="33"/>
        <v>51.019999999999996</v>
      </c>
      <c r="J85" s="172">
        <f t="shared" si="34"/>
        <v>1.35</v>
      </c>
      <c r="K85" s="172">
        <f t="shared" si="35"/>
        <v>0.5027932960893855</v>
      </c>
      <c r="L85" s="172">
        <f t="shared" si="36"/>
        <v>0.86170212765957444</v>
      </c>
      <c r="M85" s="443">
        <f t="shared" si="43"/>
        <v>350</v>
      </c>
      <c r="N85" s="197">
        <f t="shared" si="37"/>
        <v>350</v>
      </c>
      <c r="O85" s="217">
        <f t="shared" si="38"/>
        <v>2.8267906143249144</v>
      </c>
      <c r="P85" s="173">
        <f t="shared" si="39"/>
        <v>1.8043344346754773</v>
      </c>
      <c r="Q85" s="173">
        <f t="shared" si="40"/>
        <v>3.5703329515307227</v>
      </c>
      <c r="R85" s="173">
        <f t="shared" si="41"/>
        <v>0.85106382978723416</v>
      </c>
    </row>
    <row r="86" spans="3:18">
      <c r="C86" s="170">
        <v>80</v>
      </c>
      <c r="D86" s="5">
        <f t="shared" si="42"/>
        <v>32.4</v>
      </c>
      <c r="E86" s="443">
        <f t="shared" si="29"/>
        <v>18.8</v>
      </c>
      <c r="F86" s="217">
        <f t="shared" si="30"/>
        <v>0.3671875</v>
      </c>
      <c r="G86" s="172">
        <f t="shared" si="31"/>
        <v>39.65625</v>
      </c>
      <c r="H86" s="217">
        <f t="shared" si="32"/>
        <v>9.9140625</v>
      </c>
      <c r="I86" s="443">
        <f t="shared" si="33"/>
        <v>51.2</v>
      </c>
      <c r="J86" s="172">
        <f t="shared" si="34"/>
        <v>1.35</v>
      </c>
      <c r="K86" s="172">
        <f t="shared" si="35"/>
        <v>0.50000000000000011</v>
      </c>
      <c r="L86" s="172">
        <f t="shared" si="36"/>
        <v>0.86170212765957444</v>
      </c>
      <c r="M86" s="443">
        <f t="shared" si="43"/>
        <v>350</v>
      </c>
      <c r="N86" s="197">
        <f t="shared" si="37"/>
        <v>350</v>
      </c>
      <c r="O86" s="217">
        <f t="shared" si="38"/>
        <v>2.8325892857142851</v>
      </c>
      <c r="P86" s="173">
        <f t="shared" si="39"/>
        <v>1.808035714285714</v>
      </c>
      <c r="Q86" s="173">
        <f t="shared" si="40"/>
        <v>3.5849958147321419</v>
      </c>
      <c r="R86" s="173">
        <f t="shared" si="41"/>
        <v>0.85106382978723416</v>
      </c>
    </row>
    <row r="87" spans="3:18">
      <c r="C87" s="170">
        <v>81</v>
      </c>
      <c r="D87" s="5">
        <f t="shared" si="42"/>
        <v>32.58</v>
      </c>
      <c r="E87" s="443">
        <f t="shared" si="29"/>
        <v>18.8</v>
      </c>
      <c r="F87" s="217">
        <f t="shared" si="30"/>
        <v>0.36590112884390819</v>
      </c>
      <c r="G87" s="172">
        <f t="shared" si="31"/>
        <v>39.736862592448425</v>
      </c>
      <c r="H87" s="217">
        <f t="shared" si="32"/>
        <v>9.9342156481121062</v>
      </c>
      <c r="I87" s="443">
        <f t="shared" si="33"/>
        <v>51.379999999999995</v>
      </c>
      <c r="J87" s="172">
        <f t="shared" si="34"/>
        <v>1.35</v>
      </c>
      <c r="K87" s="172">
        <f t="shared" si="35"/>
        <v>0.49723756906077354</v>
      </c>
      <c r="L87" s="172">
        <f t="shared" si="36"/>
        <v>0.86170212765957444</v>
      </c>
      <c r="M87" s="443">
        <f t="shared" si="43"/>
        <v>350</v>
      </c>
      <c r="N87" s="197">
        <f t="shared" si="37"/>
        <v>350</v>
      </c>
      <c r="O87" s="217">
        <f t="shared" si="38"/>
        <v>2.8383473280320302</v>
      </c>
      <c r="P87" s="173">
        <f t="shared" si="39"/>
        <v>1.811711060445977</v>
      </c>
      <c r="Q87" s="173">
        <f t="shared" si="40"/>
        <v>3.5995856733080398</v>
      </c>
      <c r="R87" s="173">
        <f t="shared" si="41"/>
        <v>0.85106382978723416</v>
      </c>
    </row>
    <row r="88" spans="3:18">
      <c r="C88" s="170">
        <v>82</v>
      </c>
      <c r="D88" s="5">
        <f t="shared" si="42"/>
        <v>32.76</v>
      </c>
      <c r="E88" s="443">
        <f t="shared" si="29"/>
        <v>18.8</v>
      </c>
      <c r="F88" s="217">
        <f t="shared" si="30"/>
        <v>0.36462373933281611</v>
      </c>
      <c r="G88" s="172">
        <f t="shared" si="31"/>
        <v>39.81691233514352</v>
      </c>
      <c r="H88" s="217">
        <f t="shared" si="32"/>
        <v>9.9542280837858801</v>
      </c>
      <c r="I88" s="443">
        <f t="shared" si="33"/>
        <v>51.56</v>
      </c>
      <c r="J88" s="172">
        <f t="shared" si="34"/>
        <v>1.35</v>
      </c>
      <c r="K88" s="172">
        <f t="shared" si="35"/>
        <v>0.49450549450549458</v>
      </c>
      <c r="L88" s="172">
        <f t="shared" si="36"/>
        <v>0.86170212765957444</v>
      </c>
      <c r="M88" s="443">
        <f t="shared" si="43"/>
        <v>350</v>
      </c>
      <c r="N88" s="197">
        <f t="shared" si="37"/>
        <v>350</v>
      </c>
      <c r="O88" s="217">
        <f t="shared" si="38"/>
        <v>2.844065166795966</v>
      </c>
      <c r="P88" s="173">
        <f t="shared" si="39"/>
        <v>1.8153607447633824</v>
      </c>
      <c r="Q88" s="173">
        <f t="shared" si="40"/>
        <v>3.6141029815452224</v>
      </c>
      <c r="R88" s="173">
        <f t="shared" si="41"/>
        <v>0.85106382978723416</v>
      </c>
    </row>
    <row r="89" spans="3:18">
      <c r="C89" s="170">
        <v>83</v>
      </c>
      <c r="D89" s="5">
        <f t="shared" si="42"/>
        <v>32.94</v>
      </c>
      <c r="E89" s="443">
        <f t="shared" si="29"/>
        <v>18.8</v>
      </c>
      <c r="F89" s="217">
        <f t="shared" si="30"/>
        <v>0.36335523772709705</v>
      </c>
      <c r="G89" s="172">
        <f t="shared" si="31"/>
        <v>39.896405102435253</v>
      </c>
      <c r="H89" s="217">
        <f t="shared" si="32"/>
        <v>9.9741012756088132</v>
      </c>
      <c r="I89" s="443">
        <f t="shared" si="33"/>
        <v>51.739999999999995</v>
      </c>
      <c r="J89" s="172">
        <f t="shared" si="34"/>
        <v>1.35</v>
      </c>
      <c r="K89" s="172">
        <f t="shared" si="35"/>
        <v>0.49180327868852464</v>
      </c>
      <c r="L89" s="172">
        <f t="shared" si="36"/>
        <v>0.86170212765957444</v>
      </c>
      <c r="M89" s="443">
        <f t="shared" si="43"/>
        <v>350</v>
      </c>
      <c r="N89" s="197">
        <f t="shared" si="37"/>
        <v>350</v>
      </c>
      <c r="O89" s="217">
        <f t="shared" si="38"/>
        <v>2.8497432216025183</v>
      </c>
      <c r="P89" s="173">
        <f t="shared" si="39"/>
        <v>1.8189850350654371</v>
      </c>
      <c r="Q89" s="173">
        <f t="shared" si="40"/>
        <v>3.6285481917119036</v>
      </c>
      <c r="R89" s="173">
        <f t="shared" si="41"/>
        <v>0.85106382978723416</v>
      </c>
    </row>
    <row r="90" spans="3:18">
      <c r="C90" s="170">
        <v>84</v>
      </c>
      <c r="D90" s="5">
        <f t="shared" si="42"/>
        <v>33.119999999999997</v>
      </c>
      <c r="E90" s="443">
        <f t="shared" si="29"/>
        <v>18.8</v>
      </c>
      <c r="F90" s="217">
        <f t="shared" si="30"/>
        <v>0.36209553158705704</v>
      </c>
      <c r="G90" s="172">
        <f t="shared" si="31"/>
        <v>39.975346687211093</v>
      </c>
      <c r="H90" s="217">
        <f t="shared" si="32"/>
        <v>9.9938366718027734</v>
      </c>
      <c r="I90" s="443">
        <f t="shared" si="33"/>
        <v>51.92</v>
      </c>
      <c r="J90" s="172">
        <f t="shared" si="34"/>
        <v>1.35</v>
      </c>
      <c r="K90" s="172">
        <f t="shared" si="35"/>
        <v>0.48913043478260876</v>
      </c>
      <c r="L90" s="172">
        <f t="shared" si="36"/>
        <v>0.86170212765957444</v>
      </c>
      <c r="M90" s="443">
        <f t="shared" si="43"/>
        <v>350</v>
      </c>
      <c r="N90" s="197">
        <f t="shared" si="37"/>
        <v>350</v>
      </c>
      <c r="O90" s="217">
        <f t="shared" si="38"/>
        <v>2.8553819062293635</v>
      </c>
      <c r="P90" s="173">
        <f t="shared" si="39"/>
        <v>1.8225841954655515</v>
      </c>
      <c r="Q90" s="173">
        <f t="shared" si="40"/>
        <v>3.6429217540183561</v>
      </c>
      <c r="R90" s="173">
        <f t="shared" si="41"/>
        <v>0.85106382978723416</v>
      </c>
    </row>
    <row r="91" spans="3:18">
      <c r="C91" s="170">
        <v>85</v>
      </c>
      <c r="D91" s="5">
        <f t="shared" si="42"/>
        <v>33.299999999999997</v>
      </c>
      <c r="E91" s="443">
        <f t="shared" si="29"/>
        <v>18.8</v>
      </c>
      <c r="F91" s="217">
        <f t="shared" si="30"/>
        <v>0.36084452975047993</v>
      </c>
      <c r="G91" s="172">
        <f t="shared" si="31"/>
        <v>40.053742802303269</v>
      </c>
      <c r="H91" s="217">
        <f t="shared" si="32"/>
        <v>10.013435700575817</v>
      </c>
      <c r="I91" s="443">
        <f t="shared" si="33"/>
        <v>52.099999999999994</v>
      </c>
      <c r="J91" s="172">
        <f t="shared" si="34"/>
        <v>1.35</v>
      </c>
      <c r="K91" s="172">
        <f t="shared" si="35"/>
        <v>0.48648648648648651</v>
      </c>
      <c r="L91" s="172">
        <f t="shared" si="36"/>
        <v>0.86170212765957444</v>
      </c>
      <c r="M91" s="443">
        <f t="shared" si="43"/>
        <v>350</v>
      </c>
      <c r="N91" s="197">
        <f t="shared" si="37"/>
        <v>350</v>
      </c>
      <c r="O91" s="217">
        <f t="shared" si="38"/>
        <v>2.8609816287359471</v>
      </c>
      <c r="P91" s="173">
        <f t="shared" si="39"/>
        <v>1.8261584864272002</v>
      </c>
      <c r="Q91" s="173">
        <f t="shared" si="40"/>
        <v>3.6572241165799242</v>
      </c>
      <c r="R91" s="173">
        <f t="shared" si="41"/>
        <v>0.85106382978723416</v>
      </c>
    </row>
    <row r="92" spans="3:18">
      <c r="C92" s="170">
        <v>86</v>
      </c>
      <c r="D92" s="5">
        <f t="shared" si="42"/>
        <v>33.480000000000004</v>
      </c>
      <c r="E92" s="443">
        <f t="shared" si="29"/>
        <v>18.8</v>
      </c>
      <c r="F92" s="217">
        <f t="shared" si="30"/>
        <v>0.35960214231063503</v>
      </c>
      <c r="G92" s="172">
        <f t="shared" si="31"/>
        <v>40.131599081866874</v>
      </c>
      <c r="H92" s="217">
        <f t="shared" si="32"/>
        <v>10.032899770466718</v>
      </c>
      <c r="I92" s="443">
        <f t="shared" si="33"/>
        <v>52.28</v>
      </c>
      <c r="J92" s="172">
        <f t="shared" si="34"/>
        <v>1.35</v>
      </c>
      <c r="K92" s="172">
        <f t="shared" si="35"/>
        <v>0.4838709677419355</v>
      </c>
      <c r="L92" s="172">
        <f t="shared" si="36"/>
        <v>0.86170212765957444</v>
      </c>
      <c r="M92" s="443">
        <f t="shared" si="43"/>
        <v>350</v>
      </c>
      <c r="N92" s="197">
        <f t="shared" si="37"/>
        <v>350</v>
      </c>
      <c r="O92" s="217">
        <f t="shared" si="38"/>
        <v>2.8665427915619195</v>
      </c>
      <c r="P92" s="173">
        <f t="shared" si="39"/>
        <v>1.829708164826757</v>
      </c>
      <c r="Q92" s="173">
        <f t="shared" si="40"/>
        <v>3.6714557253822901</v>
      </c>
      <c r="R92" s="173">
        <f t="shared" si="41"/>
        <v>0.85106382978723416</v>
      </c>
    </row>
    <row r="93" spans="3:18">
      <c r="C93" s="170">
        <v>87</v>
      </c>
      <c r="D93" s="5">
        <f t="shared" si="42"/>
        <v>33.659999999999997</v>
      </c>
      <c r="E93" s="443">
        <f t="shared" si="29"/>
        <v>18.8</v>
      </c>
      <c r="F93" s="217">
        <f t="shared" si="30"/>
        <v>0.35836828059473891</v>
      </c>
      <c r="G93" s="172">
        <f t="shared" si="31"/>
        <v>40.208921082729702</v>
      </c>
      <c r="H93" s="217">
        <f t="shared" si="32"/>
        <v>10.052230270682426</v>
      </c>
      <c r="I93" s="443">
        <f t="shared" si="33"/>
        <v>52.459999999999994</v>
      </c>
      <c r="J93" s="172">
        <f t="shared" si="34"/>
        <v>1.35</v>
      </c>
      <c r="K93" s="172">
        <f t="shared" si="35"/>
        <v>0.48128342245989308</v>
      </c>
      <c r="L93" s="172">
        <f t="shared" si="36"/>
        <v>0.86170212765957444</v>
      </c>
      <c r="M93" s="443">
        <f t="shared" si="43"/>
        <v>350</v>
      </c>
      <c r="N93" s="197">
        <f t="shared" si="37"/>
        <v>350</v>
      </c>
      <c r="O93" s="217">
        <f t="shared" si="38"/>
        <v>2.8720657916235499</v>
      </c>
      <c r="P93" s="173">
        <f t="shared" si="39"/>
        <v>1.8332334840150319</v>
      </c>
      <c r="Q93" s="173">
        <f t="shared" si="40"/>
        <v>3.6856170242489017</v>
      </c>
      <c r="R93" s="173">
        <f t="shared" si="41"/>
        <v>0.85106382978723416</v>
      </c>
    </row>
    <row r="94" spans="3:18">
      <c r="C94" s="170">
        <v>88</v>
      </c>
      <c r="D94" s="5">
        <f t="shared" si="42"/>
        <v>33.840000000000003</v>
      </c>
      <c r="E94" s="443">
        <f t="shared" si="29"/>
        <v>18.8</v>
      </c>
      <c r="F94" s="217">
        <f t="shared" si="30"/>
        <v>0.35714285714285715</v>
      </c>
      <c r="G94" s="172">
        <f t="shared" si="31"/>
        <v>40.285714285714292</v>
      </c>
      <c r="H94" s="217">
        <f t="shared" si="32"/>
        <v>10.071428571428573</v>
      </c>
      <c r="I94" s="443">
        <f t="shared" si="33"/>
        <v>52.64</v>
      </c>
      <c r="J94" s="172">
        <f t="shared" si="34"/>
        <v>1.35</v>
      </c>
      <c r="K94" s="172">
        <f t="shared" si="35"/>
        <v>0.47872340425531906</v>
      </c>
      <c r="L94" s="172">
        <f t="shared" si="36"/>
        <v>0.86170212765957444</v>
      </c>
      <c r="M94" s="443">
        <f t="shared" si="43"/>
        <v>350</v>
      </c>
      <c r="N94" s="197">
        <f t="shared" si="37"/>
        <v>350</v>
      </c>
      <c r="O94" s="217">
        <f t="shared" si="38"/>
        <v>2.8775510204081631</v>
      </c>
      <c r="P94" s="173">
        <f t="shared" si="39"/>
        <v>1.8367346938775508</v>
      </c>
      <c r="Q94" s="173">
        <f t="shared" si="40"/>
        <v>3.6997084548104948</v>
      </c>
      <c r="R94" s="173">
        <f t="shared" si="41"/>
        <v>0.85106382978723416</v>
      </c>
    </row>
    <row r="95" spans="3:18">
      <c r="C95" s="170">
        <v>89</v>
      </c>
      <c r="D95" s="5">
        <f t="shared" si="42"/>
        <v>34.019999999999996</v>
      </c>
      <c r="E95" s="443">
        <f t="shared" si="29"/>
        <v>18.8</v>
      </c>
      <c r="F95" s="217">
        <f t="shared" si="30"/>
        <v>0.35592578568723976</v>
      </c>
      <c r="G95" s="172">
        <f t="shared" si="31"/>
        <v>40.361984096932986</v>
      </c>
      <c r="H95" s="217">
        <f t="shared" si="32"/>
        <v>10.090496024233246</v>
      </c>
      <c r="I95" s="443">
        <f t="shared" si="33"/>
        <v>52.819999999999993</v>
      </c>
      <c r="J95" s="172">
        <f t="shared" si="34"/>
        <v>1.35</v>
      </c>
      <c r="K95" s="172">
        <f t="shared" si="35"/>
        <v>0.47619047619047628</v>
      </c>
      <c r="L95" s="172">
        <f t="shared" si="36"/>
        <v>0.86170212765957444</v>
      </c>
      <c r="M95" s="443">
        <f t="shared" si="43"/>
        <v>350</v>
      </c>
      <c r="N95" s="197">
        <f t="shared" si="37"/>
        <v>350</v>
      </c>
      <c r="O95" s="217">
        <f t="shared" si="38"/>
        <v>2.8829988640666411</v>
      </c>
      <c r="P95" s="173">
        <f t="shared" si="39"/>
        <v>1.8402120408936005</v>
      </c>
      <c r="Q95" s="173">
        <f t="shared" si="40"/>
        <v>3.7137304564766036</v>
      </c>
      <c r="R95" s="173">
        <f t="shared" si="41"/>
        <v>0.85106382978723416</v>
      </c>
    </row>
    <row r="96" spans="3:18">
      <c r="C96" s="170">
        <v>90</v>
      </c>
      <c r="D96" s="5">
        <f t="shared" si="42"/>
        <v>34.200000000000003</v>
      </c>
      <c r="E96" s="443">
        <f t="shared" si="29"/>
        <v>18.8</v>
      </c>
      <c r="F96" s="217">
        <f t="shared" si="30"/>
        <v>0.3547169811320755</v>
      </c>
      <c r="G96" s="172">
        <f t="shared" si="31"/>
        <v>40.437735849056608</v>
      </c>
      <c r="H96" s="217">
        <f t="shared" si="32"/>
        <v>10.109433962264152</v>
      </c>
      <c r="I96" s="443">
        <f t="shared" si="33"/>
        <v>53</v>
      </c>
      <c r="J96" s="172">
        <f t="shared" si="34"/>
        <v>1.35</v>
      </c>
      <c r="K96" s="172">
        <f t="shared" si="35"/>
        <v>0.47368421052631582</v>
      </c>
      <c r="L96" s="172">
        <f t="shared" si="36"/>
        <v>0.86170212765957444</v>
      </c>
      <c r="M96" s="443">
        <f t="shared" si="43"/>
        <v>350</v>
      </c>
      <c r="N96" s="197">
        <f t="shared" si="37"/>
        <v>350</v>
      </c>
      <c r="O96" s="217">
        <f t="shared" si="38"/>
        <v>2.8884097035040432</v>
      </c>
      <c r="P96" s="173">
        <f t="shared" si="39"/>
        <v>1.8436657681940702</v>
      </c>
      <c r="Q96" s="173">
        <f t="shared" si="40"/>
        <v>3.7276834664089922</v>
      </c>
      <c r="R96" s="173">
        <f t="shared" si="41"/>
        <v>0.85106382978723416</v>
      </c>
    </row>
    <row r="97" spans="3:18">
      <c r="C97" s="170">
        <v>91</v>
      </c>
      <c r="D97" s="5">
        <f t="shared" si="42"/>
        <v>34.379999999999995</v>
      </c>
      <c r="E97" s="443">
        <f t="shared" si="29"/>
        <v>18.8</v>
      </c>
      <c r="F97" s="217">
        <f t="shared" si="30"/>
        <v>0.35351635953365934</v>
      </c>
      <c r="G97" s="172">
        <f t="shared" si="31"/>
        <v>40.512974802557359</v>
      </c>
      <c r="H97" s="217">
        <f t="shared" si="32"/>
        <v>10.12824370063934</v>
      </c>
      <c r="I97" s="443">
        <f t="shared" si="33"/>
        <v>53.179999999999993</v>
      </c>
      <c r="J97" s="172">
        <f t="shared" si="34"/>
        <v>1.35</v>
      </c>
      <c r="K97" s="172">
        <f t="shared" si="35"/>
        <v>0.4712041884816755</v>
      </c>
      <c r="L97" s="172">
        <f t="shared" si="36"/>
        <v>0.86170212765957444</v>
      </c>
      <c r="M97" s="443">
        <f t="shared" si="43"/>
        <v>350</v>
      </c>
      <c r="N97" s="197">
        <f t="shared" si="37"/>
        <v>350</v>
      </c>
      <c r="O97" s="217">
        <f t="shared" si="38"/>
        <v>2.8937839144683819</v>
      </c>
      <c r="P97" s="173">
        <f t="shared" si="39"/>
        <v>1.8470961156181163</v>
      </c>
      <c r="Q97" s="173">
        <f t="shared" si="40"/>
        <v>3.7415679194969149</v>
      </c>
      <c r="R97" s="173">
        <f t="shared" si="41"/>
        <v>0.85106382978723416</v>
      </c>
    </row>
    <row r="98" spans="3:18">
      <c r="C98" s="170">
        <v>92</v>
      </c>
      <c r="D98" s="5">
        <f t="shared" si="42"/>
        <v>34.56</v>
      </c>
      <c r="E98" s="443">
        <f t="shared" si="29"/>
        <v>18.8</v>
      </c>
      <c r="F98" s="217">
        <f t="shared" si="30"/>
        <v>0.35232383808095952</v>
      </c>
      <c r="G98" s="172">
        <f t="shared" si="31"/>
        <v>40.587706146926543</v>
      </c>
      <c r="H98" s="217">
        <f t="shared" si="32"/>
        <v>10.146926536731636</v>
      </c>
      <c r="I98" s="443">
        <f t="shared" si="33"/>
        <v>53.36</v>
      </c>
      <c r="J98" s="172">
        <f t="shared" si="34"/>
        <v>1.35</v>
      </c>
      <c r="K98" s="172">
        <f t="shared" si="35"/>
        <v>0.46875</v>
      </c>
      <c r="L98" s="172">
        <f t="shared" si="36"/>
        <v>0.86170212765957444</v>
      </c>
      <c r="M98" s="443">
        <f t="shared" si="43"/>
        <v>350</v>
      </c>
      <c r="N98" s="197">
        <f t="shared" si="37"/>
        <v>350</v>
      </c>
      <c r="O98" s="217">
        <f t="shared" si="38"/>
        <v>2.8991218676376098</v>
      </c>
      <c r="P98" s="173">
        <f t="shared" si="39"/>
        <v>1.8505033197686871</v>
      </c>
      <c r="Q98" s="173">
        <f t="shared" si="40"/>
        <v>3.7553842483341748</v>
      </c>
      <c r="R98" s="173">
        <f t="shared" si="41"/>
        <v>0.85106382978723416</v>
      </c>
    </row>
    <row r="99" spans="3:18">
      <c r="C99" s="170">
        <v>93</v>
      </c>
      <c r="D99" s="5">
        <f t="shared" si="42"/>
        <v>34.74</v>
      </c>
      <c r="E99" s="443">
        <f t="shared" si="29"/>
        <v>18.8</v>
      </c>
      <c r="F99" s="217">
        <f t="shared" si="30"/>
        <v>0.35113933507657824</v>
      </c>
      <c r="G99" s="172">
        <f t="shared" si="31"/>
        <v>40.661935001867768</v>
      </c>
      <c r="H99" s="217">
        <f t="shared" si="32"/>
        <v>10.165483750466942</v>
      </c>
      <c r="I99" s="443">
        <f t="shared" si="33"/>
        <v>53.540000000000006</v>
      </c>
      <c r="J99" s="172">
        <f t="shared" si="34"/>
        <v>1.35</v>
      </c>
      <c r="K99" s="172">
        <f t="shared" si="35"/>
        <v>0.46632124352331605</v>
      </c>
      <c r="L99" s="172">
        <f t="shared" si="36"/>
        <v>0.86170212765957444</v>
      </c>
      <c r="M99" s="443">
        <f t="shared" si="43"/>
        <v>350</v>
      </c>
      <c r="N99" s="197">
        <f t="shared" si="37"/>
        <v>350</v>
      </c>
      <c r="O99" s="217">
        <f t="shared" si="38"/>
        <v>2.9044239287048401</v>
      </c>
      <c r="P99" s="173">
        <f t="shared" si="39"/>
        <v>1.8538876140669194</v>
      </c>
      <c r="Q99" s="173">
        <f t="shared" si="40"/>
        <v>3.7691328831978392</v>
      </c>
      <c r="R99" s="173">
        <f t="shared" si="41"/>
        <v>0.85106382978723416</v>
      </c>
    </row>
    <row r="100" spans="3:18">
      <c r="C100" s="170">
        <v>94</v>
      </c>
      <c r="D100" s="5">
        <f t="shared" si="42"/>
        <v>34.92</v>
      </c>
      <c r="E100" s="443">
        <f t="shared" si="29"/>
        <v>18.8</v>
      </c>
      <c r="F100" s="217">
        <f t="shared" si="30"/>
        <v>0.34996276991809383</v>
      </c>
      <c r="G100" s="172">
        <f t="shared" si="31"/>
        <v>40.735666418466124</v>
      </c>
      <c r="H100" s="217">
        <f t="shared" si="32"/>
        <v>10.183916604616531</v>
      </c>
      <c r="I100" s="443">
        <f t="shared" si="33"/>
        <v>53.72</v>
      </c>
      <c r="J100" s="172">
        <f t="shared" si="34"/>
        <v>1.35</v>
      </c>
      <c r="K100" s="172">
        <f t="shared" si="35"/>
        <v>0.46391752577319589</v>
      </c>
      <c r="L100" s="172">
        <f t="shared" si="36"/>
        <v>0.86170212765957444</v>
      </c>
      <c r="M100" s="443">
        <f t="shared" si="43"/>
        <v>350</v>
      </c>
      <c r="N100" s="197">
        <f t="shared" si="37"/>
        <v>350</v>
      </c>
      <c r="O100" s="217">
        <f t="shared" si="38"/>
        <v>2.9096904584618657</v>
      </c>
      <c r="P100" s="173">
        <f t="shared" si="39"/>
        <v>1.8572492288054461</v>
      </c>
      <c r="Q100" s="173">
        <f t="shared" si="40"/>
        <v>3.7828142520286052</v>
      </c>
      <c r="R100" s="173">
        <f t="shared" si="41"/>
        <v>0.85106382978723416</v>
      </c>
    </row>
    <row r="101" spans="3:18">
      <c r="C101" s="170">
        <v>95</v>
      </c>
      <c r="D101" s="5">
        <f t="shared" si="42"/>
        <v>35.099999999999994</v>
      </c>
      <c r="E101" s="443">
        <f t="shared" si="29"/>
        <v>18.8</v>
      </c>
      <c r="F101" s="217">
        <f t="shared" si="30"/>
        <v>0.34879406307977745</v>
      </c>
      <c r="G101" s="172">
        <f t="shared" si="31"/>
        <v>40.808905380333961</v>
      </c>
      <c r="H101" s="217">
        <f t="shared" si="32"/>
        <v>10.20222634508349</v>
      </c>
      <c r="I101" s="443">
        <f t="shared" si="33"/>
        <v>53.899999999999991</v>
      </c>
      <c r="J101" s="172">
        <f t="shared" si="34"/>
        <v>1.35</v>
      </c>
      <c r="K101" s="172">
        <f t="shared" si="35"/>
        <v>0.46153846153846162</v>
      </c>
      <c r="L101" s="172">
        <f t="shared" si="36"/>
        <v>0.86170212765957444</v>
      </c>
      <c r="M101" s="443">
        <f t="shared" si="43"/>
        <v>350</v>
      </c>
      <c r="N101" s="197">
        <f t="shared" si="37"/>
        <v>350</v>
      </c>
      <c r="O101" s="217">
        <f t="shared" si="38"/>
        <v>2.9149218128809959</v>
      </c>
      <c r="P101" s="173">
        <f t="shared" si="39"/>
        <v>1.8605883912006358</v>
      </c>
      <c r="Q101" s="173">
        <f t="shared" si="40"/>
        <v>3.7964287804127248</v>
      </c>
      <c r="R101" s="173">
        <f t="shared" si="41"/>
        <v>0.85106382978723416</v>
      </c>
    </row>
    <row r="102" spans="3:18">
      <c r="C102" s="170">
        <v>96</v>
      </c>
      <c r="D102" s="5">
        <f t="shared" si="42"/>
        <v>35.28</v>
      </c>
      <c r="E102" s="443">
        <f t="shared" si="29"/>
        <v>18.8</v>
      </c>
      <c r="F102" s="217">
        <f t="shared" si="30"/>
        <v>0.34763313609467456</v>
      </c>
      <c r="G102" s="172">
        <f>F102*D102*Isw_max*0.5*Efficiency</f>
        <v>40.88165680473373</v>
      </c>
      <c r="H102" s="217">
        <f>G102/Vout</f>
        <v>10.220414201183432</v>
      </c>
      <c r="I102" s="443">
        <f t="shared" si="33"/>
        <v>54.08</v>
      </c>
      <c r="J102" s="172">
        <f t="shared" si="34"/>
        <v>1.35</v>
      </c>
      <c r="K102" s="172">
        <f>L*J102/D102*1000000</f>
        <v>0.45918367346938777</v>
      </c>
      <c r="L102" s="172">
        <f t="shared" si="36"/>
        <v>0.86170212765957444</v>
      </c>
      <c r="M102" s="443">
        <f t="shared" si="43"/>
        <v>350</v>
      </c>
      <c r="N102" s="197">
        <f t="shared" si="37"/>
        <v>350</v>
      </c>
      <c r="O102" s="217">
        <f>1/((N102*1000*L)*(1/D102+1/E102))</f>
        <v>2.920118343195266</v>
      </c>
      <c r="P102" s="173">
        <f>L*O102/E102*1000000</f>
        <v>1.863905325443787</v>
      </c>
      <c r="Q102" s="173">
        <f>0.5*P102*O102*Nps*N102/1000</f>
        <v>3.8099768915654209</v>
      </c>
      <c r="R102" s="173">
        <f t="shared" si="41"/>
        <v>0.85106382978723416</v>
      </c>
    </row>
    <row r="103" spans="3:18">
      <c r="C103" s="170">
        <v>97</v>
      </c>
      <c r="D103" s="5">
        <f>C103/100*(VIN_max-VIN_min)+VIN_min</f>
        <v>35.46</v>
      </c>
      <c r="E103" s="443">
        <f t="shared" si="29"/>
        <v>18.8</v>
      </c>
      <c r="F103" s="217">
        <f t="shared" si="30"/>
        <v>0.34647991153704383</v>
      </c>
      <c r="G103" s="172">
        <f>F103*D103*Isw_max*0.5*Efficiency</f>
        <v>40.953925543678579</v>
      </c>
      <c r="H103" s="217">
        <f>G103/Vout</f>
        <v>10.238481385919645</v>
      </c>
      <c r="I103" s="443">
        <f t="shared" si="33"/>
        <v>54.260000000000005</v>
      </c>
      <c r="J103" s="172">
        <f t="shared" si="34"/>
        <v>1.35</v>
      </c>
      <c r="K103" s="172">
        <f>L*J103/D103*1000000</f>
        <v>0.45685279187817263</v>
      </c>
      <c r="L103" s="172">
        <f t="shared" si="36"/>
        <v>0.86170212765957444</v>
      </c>
      <c r="M103" s="443">
        <f t="shared" si="43"/>
        <v>350</v>
      </c>
      <c r="N103" s="197">
        <f t="shared" si="37"/>
        <v>350</v>
      </c>
      <c r="O103" s="217">
        <f>1/((N103*1000*L)*(1/D103+1/E103))</f>
        <v>2.9252803959770417</v>
      </c>
      <c r="P103" s="173">
        <f>L*O103/E103*1000000</f>
        <v>1.8672002527513034</v>
      </c>
      <c r="Q103" s="173">
        <f>0.5*P103*O103*Nps*N103/1000</f>
        <v>3.8234590063157361</v>
      </c>
      <c r="R103" s="173">
        <f t="shared" si="41"/>
        <v>0.85106382978723416</v>
      </c>
    </row>
    <row r="104" spans="3:18">
      <c r="C104" s="170">
        <v>98</v>
      </c>
      <c r="D104" s="5">
        <f>C104/100*(VIN_max-VIN_min)+VIN_min</f>
        <v>35.64</v>
      </c>
      <c r="E104" s="443">
        <f t="shared" si="29"/>
        <v>18.8</v>
      </c>
      <c r="F104" s="217">
        <f t="shared" si="30"/>
        <v>0.34533431300514328</v>
      </c>
      <c r="G104" s="172">
        <f>F104*D104*Isw_max*0.5*Efficiency</f>
        <v>41.025716385011023</v>
      </c>
      <c r="H104" s="217">
        <f>G104/Vout</f>
        <v>10.256429096252756</v>
      </c>
      <c r="I104" s="443">
        <f t="shared" si="33"/>
        <v>54.44</v>
      </c>
      <c r="J104" s="172">
        <f t="shared" si="34"/>
        <v>1.35</v>
      </c>
      <c r="K104" s="172">
        <f>L*J104/D104*1000000</f>
        <v>0.45454545454545459</v>
      </c>
      <c r="L104" s="172">
        <f t="shared" si="36"/>
        <v>0.86170212765957444</v>
      </c>
      <c r="M104" s="443">
        <f t="shared" si="43"/>
        <v>350</v>
      </c>
      <c r="N104" s="197">
        <f t="shared" si="37"/>
        <v>350</v>
      </c>
      <c r="O104" s="217">
        <f>1/((N104*1000*L)*(1/D104+1/E104))</f>
        <v>2.9304083132150729</v>
      </c>
      <c r="P104" s="173">
        <f>L*O104/E104*1000000</f>
        <v>1.8704733914138765</v>
      </c>
      <c r="Q104" s="173">
        <f>0.5*P104*O104*Nps*N104/1000</f>
        <v>3.8368755430927703</v>
      </c>
      <c r="R104" s="173">
        <f t="shared" si="41"/>
        <v>0.85106382978723416</v>
      </c>
    </row>
    <row r="105" spans="3:18">
      <c r="C105" s="170">
        <v>99</v>
      </c>
      <c r="D105" s="5">
        <f>C105/100*(VIN_max-VIN_min)+VIN_min</f>
        <v>35.82</v>
      </c>
      <c r="E105" s="443">
        <f t="shared" si="29"/>
        <v>18.8</v>
      </c>
      <c r="F105" s="217">
        <f t="shared" si="30"/>
        <v>0.34419626510435736</v>
      </c>
      <c r="G105" s="172">
        <f>F105*D105*Isw_max*0.5*Efficiency</f>
        <v>41.09703405346027</v>
      </c>
      <c r="H105" s="217">
        <f>G105/Vout</f>
        <v>10.274258513365067</v>
      </c>
      <c r="I105" s="443">
        <f t="shared" si="33"/>
        <v>54.620000000000005</v>
      </c>
      <c r="J105" s="172">
        <f t="shared" si="34"/>
        <v>1.35</v>
      </c>
      <c r="K105" s="172">
        <f>L*J105/D105*1000000</f>
        <v>0.45226130653266333</v>
      </c>
      <c r="L105" s="172">
        <f t="shared" si="36"/>
        <v>0.86170212765957444</v>
      </c>
      <c r="M105" s="443">
        <f t="shared" si="43"/>
        <v>350</v>
      </c>
      <c r="N105" s="197">
        <f t="shared" si="37"/>
        <v>350</v>
      </c>
      <c r="O105" s="217">
        <f>1/((N105*1000*L)*(1/D105+1/E105))</f>
        <v>2.9355024323900194</v>
      </c>
      <c r="P105" s="173">
        <f>L*O105/E105*1000000</f>
        <v>1.873724956844693</v>
      </c>
      <c r="Q105" s="173">
        <f>0.5*P105*O105*Nps*N105/1000</f>
        <v>3.8502269179132358</v>
      </c>
      <c r="R105" s="173">
        <f t="shared" si="41"/>
        <v>0.85106382978723416</v>
      </c>
    </row>
    <row r="106" spans="3:18">
      <c r="C106" s="170">
        <v>100</v>
      </c>
      <c r="D106" s="5">
        <f>C106/100*(VIN_max-VIN_min)+VIN_min</f>
        <v>36</v>
      </c>
      <c r="E106" s="443">
        <f t="shared" si="29"/>
        <v>18.8</v>
      </c>
      <c r="F106" s="217">
        <f t="shared" si="30"/>
        <v>0.34306569343065696</v>
      </c>
      <c r="G106" s="172">
        <f>F106*D106*Isw_max*0.5*Efficiency</f>
        <v>41.167883211678841</v>
      </c>
      <c r="H106" s="217">
        <f>G106/Vout</f>
        <v>10.29197080291971</v>
      </c>
      <c r="I106" s="443">
        <f t="shared" si="33"/>
        <v>54.8</v>
      </c>
      <c r="J106" s="172">
        <f t="shared" si="34"/>
        <v>1.35</v>
      </c>
      <c r="K106" s="172">
        <f>L*J106/D106*1000000</f>
        <v>0.45</v>
      </c>
      <c r="L106" s="172">
        <f t="shared" si="36"/>
        <v>0.86170212765957444</v>
      </c>
      <c r="M106" s="443">
        <f t="shared" si="43"/>
        <v>350</v>
      </c>
      <c r="N106" s="197">
        <f t="shared" si="37"/>
        <v>350</v>
      </c>
      <c r="O106" s="217">
        <f>1/((N106*1000*L)*(1/D106+1/E106))</f>
        <v>2.940563086548488</v>
      </c>
      <c r="P106" s="173">
        <f>L*O106/E106*1000000</f>
        <v>1.8769551616266944</v>
      </c>
      <c r="Q106" s="173">
        <f>0.5*P106*O106*Nps*N106/1000</f>
        <v>3.8635135443702762</v>
      </c>
      <c r="R106" s="173">
        <f t="shared" si="41"/>
        <v>0.85106382978723416</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4 V, IOUT = 6 A</v>
      </c>
      <c r="K28" s="469"/>
      <c r="L28" s="469"/>
    </row>
    <row r="29" spans="1:17" ht="24.75" customHeight="1" thickBot="1">
      <c r="A29" s="115" t="s">
        <v>937</v>
      </c>
    </row>
    <row r="30" spans="1:17" ht="18" customHeight="1">
      <c r="A30" s="202" t="s">
        <v>123</v>
      </c>
      <c r="B30" s="203" t="s">
        <v>122</v>
      </c>
      <c r="C30" s="203" t="s">
        <v>6</v>
      </c>
      <c r="D30" s="962" t="s">
        <v>41</v>
      </c>
      <c r="E30" s="963"/>
      <c r="F30" s="964"/>
      <c r="G30" s="203" t="s">
        <v>116</v>
      </c>
      <c r="H30" s="203" t="s">
        <v>67</v>
      </c>
      <c r="I30" s="488" t="s">
        <v>117</v>
      </c>
      <c r="J30" s="489" t="s">
        <v>346</v>
      </c>
      <c r="K30" s="490" t="s">
        <v>354</v>
      </c>
      <c r="L30" s="463"/>
      <c r="N30" s="117"/>
      <c r="Q30" s="495"/>
    </row>
    <row r="31" spans="1:17" s="117" customFormat="1" ht="17.149999999999999" customHeight="1">
      <c r="A31" s="116">
        <f>ROUNDUP('Design Converter'!E30/10,0)</f>
        <v>1</v>
      </c>
      <c r="B31" s="127" t="s">
        <v>120</v>
      </c>
      <c r="C31" s="130">
        <f>Cin</f>
        <v>10</v>
      </c>
      <c r="D31" s="954" t="str">
        <f>IF(VIN_max&gt;35, "Capacitor, Ceramic, "&amp;'Variable Mgmt'!B250&amp;", 100V, X7R, 10%", "Capacitor, Ceramic, "&amp;'Variable Mgmt'!B250&amp;", 50V, X7R, 10%")</f>
        <v>Capacitor, Ceramic, 10µF, 100V, X7R, 10%</v>
      </c>
      <c r="E31" s="955"/>
      <c r="F31" s="955"/>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100</v>
      </c>
      <c r="D32" s="967"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100µF, 6.3V, X7R, 10%</v>
      </c>
      <c r="E32" s="968"/>
      <c r="F32" s="968"/>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9" t="str">
        <f>CHOOSE(MODE_SS, "Capacitor, Ceramic, "&amp;'Standard Value Calculator'!B4*1000000000&amp;"nF"&amp;", 16V, X7R, 10%", "-")</f>
        <v>-</v>
      </c>
      <c r="E34" s="970"/>
      <c r="F34" s="970"/>
      <c r="G34" s="120"/>
      <c r="H34" s="121" t="str">
        <f>CHOOSE(MODE_SS, "Std", "-")</f>
        <v>-</v>
      </c>
      <c r="I34" s="476" t="str">
        <f>CHOOSE(MODE_SS, "Std", "-")</f>
        <v>-</v>
      </c>
      <c r="J34" s="484" t="str">
        <f>CHOOSE(MODE_SS,CHOOSE(Q34,'Variable Mgmt'!T78,'Variable Mgmt'!T79,'Variable Mgmt'!T80),"-",CHOOSE(Q34,'Variable Mgmt'!T78,'Variable Mgmt'!T79,'Variable Mgmt'!T80))</f>
        <v>-</v>
      </c>
      <c r="K34" s="482" t="str">
        <f>CHOOSE(MODE_SS, CHOOSE(Q34,'Variable Mgmt'!U78,'Variable Mgmt'!U79,'Variable Mgmt'!U80), "-", CHOOSE(Q34,'Variable Mgmt'!U78,'Variable Mgmt'!U79,'Variable Mgmt'!U80))</f>
        <v>-</v>
      </c>
      <c r="L34" s="487"/>
      <c r="Q34" s="493">
        <v>5</v>
      </c>
    </row>
    <row r="35" spans="1:17" s="117" customFormat="1" ht="17.149999999999999" customHeight="1">
      <c r="A35" s="118">
        <v>1</v>
      </c>
      <c r="B35" s="119" t="s">
        <v>929</v>
      </c>
      <c r="C35" s="620" t="str">
        <f>'Design Converter'!E62&amp;"nF"</f>
        <v>4nF</v>
      </c>
      <c r="D35" s="900" t="str">
        <f>"Capacitor, Ceramic, "&amp;C35&amp;", 16V, X7R, 10%"</f>
        <v>Capacitor, Ceramic, 4nF,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100pF</v>
      </c>
      <c r="D36" s="900" t="str">
        <f>"Capacitor, Ceramic, "&amp;C36&amp;", 50V, X7R, 10%"</f>
        <v>Capacitor, Ceramic, 100pF,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7" t="s">
        <v>928</v>
      </c>
      <c r="E37" s="968"/>
      <c r="F37" s="968"/>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7" t="s">
        <v>935</v>
      </c>
      <c r="E38" s="968"/>
      <c r="F38" s="968"/>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65" t="str">
        <f>"Rectifying Diode, Schottky"</f>
        <v>Rectifying Diode, Schottky</v>
      </c>
      <c r="E39" s="966"/>
      <c r="F39" s="966"/>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9" t="str">
        <f>CHOOSE(MODE, "-", "Rectifying Diode, Schottky")</f>
        <v>-</v>
      </c>
      <c r="E40" s="960"/>
      <c r="F40" s="960"/>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9" t="str">
        <f>"Clamp Circuit Diode, Zener, 24V"</f>
        <v>Clamp Circuit Diode, Zener, 24V</v>
      </c>
      <c r="E42" s="960"/>
      <c r="F42" s="960"/>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4.4V</v>
      </c>
      <c r="D43" s="618" t="str">
        <f>"Output Clamp Diode, Zener, "&amp;ROUND(Vout*1.125,0)&amp;"V"</f>
        <v>Output Clamp Diode, Zener, 5V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19.8V</v>
      </c>
      <c r="D44" s="959" t="str">
        <f>CHOOSE(MODE, "-", "Output Clamp Diode, Zener, "&amp;ROUND(Vout2*1.125,0)&amp;"V")</f>
        <v>-</v>
      </c>
      <c r="E44" s="960"/>
      <c r="F44" s="960"/>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80V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1">
        <f>C46</f>
        <v>12.1</v>
      </c>
      <c r="E46" s="952"/>
      <c r="F46" s="952"/>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188</v>
      </c>
      <c r="D47" s="951">
        <f>C47</f>
        <v>188</v>
      </c>
      <c r="E47" s="952"/>
      <c r="F47" s="952"/>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121k</v>
      </c>
      <c r="D48" s="959" t="str">
        <f>CHOOSE(MODE_UVLO, "Resistor, Chip, "&amp;'Variable Mgmt'!C269&amp;", 1/16W, 1%", "-")</f>
        <v>Resistor, Chip, 121kΩ, 1/16W, 1%</v>
      </c>
      <c r="E48" s="960"/>
      <c r="F48" s="960"/>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17.4k</v>
      </c>
      <c r="D49" s="959" t="str">
        <f>CHOOSE(MODE_UVLO, "Resistor, Chip, "&amp;'Variable Mgmt'!C270&amp;", 1/16W, 1%", "-")</f>
        <v>Resistor, Chip, 17.4kΩ, 1/16W, 1%</v>
      </c>
      <c r="E49" s="960"/>
      <c r="F49" s="960"/>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v>
      </c>
      <c r="B50" s="123" t="s">
        <v>516</v>
      </c>
      <c r="C50" s="124" t="str">
        <f>CHOOSE(MODE_TC, RTC, "-")</f>
        <v>-</v>
      </c>
      <c r="D50" s="951" t="str">
        <f>CHOOSE(MODE_TC, "Resistor, Chip, "&amp;'Variable Mgmt'!B265&amp;", 1/16W, 1%", "-")</f>
        <v>-</v>
      </c>
      <c r="E50" s="952"/>
      <c r="F50" s="952"/>
      <c r="G50" s="125" t="s">
        <v>119</v>
      </c>
      <c r="H50" s="126" t="str">
        <f>CHOOSE(MODE_TC, "Std", "-")</f>
        <v>-</v>
      </c>
      <c r="I50" s="477" t="str">
        <f>CHOOSE(MODE_TC, "Std", "-")</f>
        <v>-</v>
      </c>
      <c r="J50" s="613" t="str">
        <f>CHOOSE(MODE_TC, CHOOSE(Q50,'Variable Mgmt'!T78,'Variable Mgmt'!T409,'Variable Mgmt'!T80), "-")</f>
        <v>-</v>
      </c>
      <c r="K50" s="614" t="str">
        <f>CHOOSE(MODE_TC, CHOOSE(Q50,'Variable Mgmt'!U78,'Variable Mgmt'!U79,'Variable Mgmt'!U80,'Variable Mgmt'!U81,'Variable Mgmt'!U82),"-")</f>
        <v>-</v>
      </c>
      <c r="L50" s="487"/>
      <c r="Q50" s="494">
        <v>1</v>
      </c>
    </row>
    <row r="51" spans="1:17" s="117" customFormat="1" ht="17.149999999999999" customHeight="1">
      <c r="A51" s="122">
        <v>1</v>
      </c>
      <c r="B51" s="123" t="s">
        <v>932</v>
      </c>
      <c r="C51" s="124" t="str">
        <f>'Variable Mgmt'!D313</f>
        <v>15mΩ</v>
      </c>
      <c r="D51" s="961" t="s">
        <v>933</v>
      </c>
      <c r="E51" s="952"/>
      <c r="F51" s="952"/>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6.7</v>
      </c>
      <c r="D52" s="904" t="str">
        <f>"Resistor, Chip, "&amp;C52&amp;"kΩ, 1/16W, 1%"</f>
        <v>Resistor, Chip, 6.7kΩ,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1" t="str">
        <f>"Resistor, Chip, "&amp;C53&amp;", 1/16W, 1%"</f>
        <v>Resistor, Chip, 100Ω, 1/16W, 1%</v>
      </c>
      <c r="E53" s="952"/>
      <c r="F53" s="952"/>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12k</v>
      </c>
      <c r="D54" s="956" t="str">
        <f>"Transformer, "&amp;L*1000000&amp;"µH, "&amp;'Variable Mgmt'!W66&amp;", "&amp;Rdcr_pri*1000&amp;"mΩ Pri DCR"</f>
        <v>Transformer, 12µH, 4 : 1, 30mΩ Pri DCR</v>
      </c>
      <c r="E54" s="957"/>
      <c r="F54" s="958"/>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53" t="s">
        <v>357</v>
      </c>
      <c r="I57" s="953"/>
      <c r="J57" s="953"/>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Alva Hernandez, Manuel</cp:lastModifiedBy>
  <cp:lastPrinted>2016-03-02T21:18:53Z</cp:lastPrinted>
  <dcterms:created xsi:type="dcterms:W3CDTF">1996-10-14T23:33:28Z</dcterms:created>
  <dcterms:modified xsi:type="dcterms:W3CDTF">2025-06-09T16:08:50Z</dcterms:modified>
</cp:coreProperties>
</file>